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9" activeTab="0"/>
  </bookViews>
  <sheets>
    <sheet name="TOT-1110" sheetId="1" r:id="rId1"/>
    <sheet name="LI-11 (1)" sheetId="2" r:id="rId2"/>
    <sheet name="LI-YACY-11 (1)" sheetId="3" r:id="rId3"/>
    <sheet name="TR-11 (1)" sheetId="4" r:id="rId4"/>
    <sheet name="TR-11 (2)" sheetId="5" r:id="rId5"/>
    <sheet name="TR-TIBA-11 (1)" sheetId="6" r:id="rId6"/>
    <sheet name="SA-11 (1)" sheetId="7" r:id="rId7"/>
    <sheet name="SA-11 (2)" sheetId="8" r:id="rId8"/>
    <sheet name="SA-TIBA-11 (1)" sheetId="9" r:id="rId9"/>
    <sheet name="RE-11 (1)" sheetId="10" r:id="rId10"/>
    <sheet name="RE-11 (2)" sheetId="11" r:id="rId11"/>
    <sheet name="SUP-YACYLEC" sheetId="12" r:id="rId12"/>
    <sheet name="SUP-TIBA" sheetId="13" r:id="rId13"/>
    <sheet name="TASA FALLA" sheetId="14" r:id="rId14"/>
    <sheet name="DATO" sheetId="15" r:id="rId15"/>
  </sheets>
  <externalReferences>
    <externalReference r:id="rId18"/>
  </externalReferences>
  <definedNames>
    <definedName name="_xlnm.Print_Area" localSheetId="12">'SUP-TIBA'!$A$1:$X$76</definedName>
    <definedName name="_xlnm.Print_Area" localSheetId="13">'TASA FALLA'!$A$1:$V$99</definedName>
    <definedName name="DD" localSheetId="13">'TASA FALLA'!DD</definedName>
    <definedName name="DD">[0]!DD</definedName>
    <definedName name="DDD" localSheetId="13">'TASA FALLA'!DDD</definedName>
    <definedName name="DDD">[0]!DDD</definedName>
    <definedName name="DISTROCUYO" localSheetId="13">'TASA FALLA'!DISTROCUYO</definedName>
    <definedName name="DISTROCUYO">[0]!DISTROCUYO</definedName>
    <definedName name="FER" localSheetId="13">'TASA FALLA'!FER</definedName>
    <definedName name="FER">[0]!FER</definedName>
    <definedName name="INICIO" localSheetId="13">'TASA FALLA'!INICIO</definedName>
    <definedName name="INICIO">[0]!INICIO</definedName>
    <definedName name="INICIOTI" localSheetId="13">'TASA FALLA'!INICIOTI</definedName>
    <definedName name="INICIOTI">[0]!INICIOTI</definedName>
    <definedName name="LINEAS" localSheetId="13">'TASA FALLA'!LINEAS</definedName>
    <definedName name="LINEAS">[0]!LINEAS</definedName>
    <definedName name="NAME_L" localSheetId="13">'TASA FALLA'!NAME_L</definedName>
    <definedName name="NAME_L">[0]!NAME_L</definedName>
    <definedName name="NAME_L_TI" localSheetId="13">'TASA FALLA'!NAME_L_TI</definedName>
    <definedName name="NAME_L_TI">[0]!NAME_L_TI</definedName>
    <definedName name="TRAN" localSheetId="13">'TASA FALLA'!TRAN</definedName>
    <definedName name="TRAN">[0]!TRAN</definedName>
    <definedName name="TRANSNOA" localSheetId="13">'TASA FALLA'!TRANSNOA</definedName>
    <definedName name="TRANSNOA">[0]!TRANSNOA</definedName>
    <definedName name="x" localSheetId="13">'TASA FALLA'!x</definedName>
    <definedName name="x">[0]!x</definedName>
    <definedName name="XX" localSheetId="13">'TASA FALLA'!XX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8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<sst xmlns="http://schemas.openxmlformats.org/spreadsheetml/2006/main" count="1269" uniqueCount="414">
  <si>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</si>
  <si>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</si>
  <si>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</si>
  <si>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</si>
  <si>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</si>
  <si>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</si>
  <si>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</si>
  <si>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</si>
  <si>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</si>
  <si>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</si>
  <si>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</si>
  <si>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</si>
  <si>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</si>
  <si>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</si>
  <si>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</si>
  <si>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</si>
  <si>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</si>
  <si>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</si>
  <si>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</si>
  <si>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</si>
  <si>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</si>
  <si>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</si>
  <si>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</si>
  <si>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</si>
  <si>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</si>
  <si>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</si>
  <si>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</si>
  <si>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</si>
  <si>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</si>
  <si>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</si>
  <si>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</si>
  <si>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</si>
  <si>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</si>
  <si>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</si>
  <si>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</si>
  <si>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</si>
  <si>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</si>
  <si>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</si>
  <si>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</si>
  <si>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</si>
  <si>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</si>
  <si>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</si>
  <si>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</si>
  <si>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</si>
  <si>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</si>
  <si>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</si>
  <si>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</si>
  <si>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</si>
  <si>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</si>
  <si>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</si>
  <si>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</si>
  <si>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</si>
  <si>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</si>
  <si>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</si>
  <si>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</si>
  <si>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</si>
  <si>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</si>
  <si>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</si>
  <si>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</si>
  <si>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</si>
  <si>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</si>
  <si>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</si>
  <si>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YACYLEC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</si>
  <si>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</si>
  <si>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</si>
  <si>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</si>
  <si>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</si>
  <si>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</si>
  <si>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1.2.-  Líneas de la Transportista Independiente YACYLEC S.A.</t>
  </si>
  <si>
    <t>PENALIZAC.
PROGRAM.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</si>
  <si>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</si>
  <si>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</si>
  <si>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</si>
  <si>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</si>
  <si>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</si>
  <si>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</si>
  <si>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</si>
  <si>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</si>
  <si>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</si>
  <si>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</si>
  <si>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</si>
  <si>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</si>
  <si>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</si>
  <si>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</si>
  <si>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</si>
  <si>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</si>
  <si>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</si>
  <si>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</si>
  <si>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</si>
  <si>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</si>
  <si>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</si>
  <si>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</si>
  <si>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</si>
  <si>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</si>
  <si>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</si>
  <si>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</si>
  <si>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</si>
  <si>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</si>
  <si>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</si>
  <si>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</si>
  <si>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</si>
  <si>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</si>
  <si>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</si>
  <si>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</si>
  <si>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</si>
  <si>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</si>
  <si>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</si>
  <si>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</si>
  <si>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SANCIÓN =</t>
  </si>
  <si>
    <t>Remuneración TRANSFORMADOR    =</t>
  </si>
  <si>
    <t>$/MVA</t>
  </si>
  <si>
    <t>TRANSFORMADOR</t>
  </si>
  <si>
    <t>POT. [MVA]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</si>
  <si>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</si>
  <si>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</si>
  <si>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</si>
  <si>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</si>
  <si>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</si>
  <si>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</si>
  <si>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</si>
  <si>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</si>
  <si>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</si>
  <si>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</si>
  <si>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500/132/33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</si>
  <si>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</si>
  <si>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</si>
  <si>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</si>
  <si>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</si>
  <si>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</si>
  <si>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</si>
  <si>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</si>
  <si>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</si>
  <si>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</si>
  <si>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</si>
  <si>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</si>
  <si>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</si>
  <si>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</si>
  <si>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</si>
  <si>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</si>
  <si>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</si>
  <si>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</si>
  <si>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</si>
  <si>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</si>
  <si>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</si>
  <si>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</si>
  <si>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</si>
  <si>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</si>
  <si>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</si>
  <si>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</si>
  <si>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</si>
  <si>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</si>
  <si>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</si>
  <si>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</si>
  <si>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</si>
  <si>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</si>
  <si>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</si>
  <si>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</si>
  <si>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</si>
  <si>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</si>
  <si>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</si>
  <si>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</si>
  <si>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</si>
  <si>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</si>
  <si>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</si>
  <si>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</si>
  <si>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</si>
  <si>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</si>
  <si>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</si>
  <si>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</si>
  <si>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</si>
  <si>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</si>
  <si>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</si>
  <si>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</si>
  <si>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</si>
  <si>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</si>
  <si>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</si>
  <si>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</si>
  <si>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</si>
  <si>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</si>
  <si>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</si>
  <si>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</si>
  <si>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</si>
  <si>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</si>
  <si>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FilaInicio</t>
  </si>
  <si>
    <t>MODELO L IV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</si>
  <si>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</si>
  <si>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</si>
  <si>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</si>
  <si>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</si>
  <si>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</si>
  <si>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</si>
  <si>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</si>
  <si>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</si>
  <si>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</si>
  <si>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</si>
  <si>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</si>
  <si>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</si>
  <si>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</si>
  <si>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SUP-LITSA</t>
  </si>
  <si>
    <t>SUP-TIBA</t>
  </si>
  <si>
    <t>SUP-ENECOR</t>
  </si>
  <si>
    <t>B14</t>
  </si>
  <si>
    <t>SI</t>
  </si>
  <si>
    <t>MODELO R IV</t>
  </si>
  <si>
    <t>Total</t>
  </si>
  <si>
    <t>FILHTOTAL</t>
  </si>
  <si>
    <t>COLHTOTAL</t>
  </si>
  <si>
    <t>COLHCALC</t>
  </si>
  <si>
    <t>FILHCALC</t>
  </si>
  <si>
    <t>COLTRANSP</t>
  </si>
  <si>
    <t>FILTRANSP</t>
  </si>
  <si>
    <t xml:space="preserve"> 2.2.- SALIDAS</t>
  </si>
  <si>
    <t>2.1.- TRANSFORMACIÓN</t>
  </si>
  <si>
    <t>2.1.1.- Equipamiento Propio</t>
  </si>
  <si>
    <t>Rest %</t>
  </si>
  <si>
    <t>REDUC PROGR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</si>
  <si>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</si>
  <si>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</si>
  <si>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</si>
  <si>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</si>
  <si>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</si>
  <si>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COL TSAL</t>
  </si>
  <si>
    <t>POT.
[MVAr]</t>
  </si>
  <si>
    <t>INDISP</t>
  </si>
  <si>
    <t>ID EQUIPO</t>
  </si>
  <si>
    <t>MODELO L LIMSA</t>
  </si>
  <si>
    <t>MODELO T LIMSA</t>
  </si>
  <si>
    <t>SUP-LIMSA</t>
  </si>
  <si>
    <t>MODELO L INTESAR</t>
  </si>
  <si>
    <t>MODELO L CUYANA</t>
  </si>
  <si>
    <t>MODELO T CUYANA</t>
  </si>
  <si>
    <t>MODELO S TESA</t>
  </si>
  <si>
    <t>MODELO S CTM</t>
  </si>
  <si>
    <t>SUP-TESA</t>
  </si>
  <si>
    <t>SUP-CTM</t>
  </si>
  <si>
    <t>SUP-CUYANA</t>
  </si>
  <si>
    <t>SUP-INTESAR</t>
  </si>
  <si>
    <t>MODELO T INTESAR</t>
  </si>
  <si>
    <t>DAG</t>
  </si>
  <si>
    <t>MODELO VST</t>
  </si>
  <si>
    <t>TRANSENER_CAUSAS_VST.XLS</t>
  </si>
  <si>
    <t>Col09</t>
  </si>
  <si>
    <t>-</t>
  </si>
  <si>
    <t>MODELO S LIMSA</t>
  </si>
  <si>
    <t>MODELO S LITSA</t>
  </si>
  <si>
    <t>TRANSENER_INDISPONIBILIDADES_LINEAS_TRANSENER.XLS</t>
  </si>
  <si>
    <t>TRANSENER_INDISPONIBILIDADES_LINEAS_YACYLEC.XLS</t>
  </si>
  <si>
    <t>TRANSENER_INDISPONIBILIDADES_LINEAS_LITSA.XLS</t>
  </si>
  <si>
    <t>TRANSENER_INDISPONIBILIDADES_LINEAS_IV.XLS</t>
  </si>
  <si>
    <t>TRANSENER_INDISPONIBILIDADES_LINEAS_INTESAR.XLS</t>
  </si>
  <si>
    <t>TRANSENER_INDISPONIBILIDADES_LINEAS_CUYANA.XLS</t>
  </si>
  <si>
    <t>TRANSENER_INDISPONIBILIDADES_LINEAS_LIMSA.XLS</t>
  </si>
  <si>
    <t>TRANSENER_INDISPONIBILIDADES_TRAFOS_TRANSENER.XLS</t>
  </si>
  <si>
    <t>TRANSENER_INDISPONIBILIDADES_TRAFOS_LITSA.XLS</t>
  </si>
  <si>
    <t>TRANSENER_INDISPONIBILIDADES_TRAFOS_TIBA.XLS</t>
  </si>
  <si>
    <t>TRANSENER_INDISPONIBILIDADES_TRAFOS_ENECOR.XLS</t>
  </si>
  <si>
    <t>TRANSENER_INDISPONIBILIDADES_TRAFOS_INTESAR.XLS</t>
  </si>
  <si>
    <t>TRANSENER_INDISPONIBILIDADES_TRAFOS_LIMSA.XLS</t>
  </si>
  <si>
    <t>TRANSENER_INDISPONIBILIDADES_TRAFOS_CUYANA.XLS</t>
  </si>
  <si>
    <t>TRANSENER_INDISPONIBILIDADES_SALIDAS_TRANSENER.XLS</t>
  </si>
  <si>
    <t>TRANSENER_INDISPONIBILIDADES_SALIDAS_TIBA.XLS</t>
  </si>
  <si>
    <t>TRANSENER_INDISPONIBILIDADES_SALIDAS_ENECOR.XLS</t>
  </si>
  <si>
    <t>TRANSENER_INDISPONIBILIDADES_SALIDAS_LITSA.XLS</t>
  </si>
  <si>
    <t>TRANSENER_INDISPONIBILIDADES_SALIDAS_LIMSA.XLS</t>
  </si>
  <si>
    <t>TRANSENER_INDISPONIBILIDADES_SALIDAS_TESA.XLS</t>
  </si>
  <si>
    <t>TRANSENER_INDISPONIBILIDADES_SALIDAS_CTM.XLS</t>
  </si>
  <si>
    <t>TRANSENER_INDISPONIBILIDADES_REACTIVOS_TRANSENER.XLS</t>
  </si>
  <si>
    <t>TRANSENER_INDISPONIBILIDADES_REACTIVOS_YACYLEC.XLS</t>
  </si>
  <si>
    <t>TRANSENER_INDISPONIBILIDADES_REACTIVOS_LITSA.XLS</t>
  </si>
  <si>
    <t>TRANSENER_INDISPONIBILIDADES_REACTIVOS_IV.XLS</t>
  </si>
  <si>
    <t>TRANSENER_INDISPONIBILIDADES_DAG.XLS</t>
  </si>
  <si>
    <t>MODELO L RIOJA</t>
  </si>
  <si>
    <t>TRANSENER_INDISPONIBILIDADES_LINEAS_RIOJA.XLS</t>
  </si>
  <si>
    <t>MODELO T COBRA</t>
  </si>
  <si>
    <t>TRANSENER_INDISPONIBILIDADES_TRAFOS_COBRA.XLS</t>
  </si>
  <si>
    <t>SUP-RIOJA</t>
  </si>
  <si>
    <t>SUP-COBRA</t>
  </si>
  <si>
    <t>500/132/13,2</t>
  </si>
  <si>
    <t>MODELO R LIMSA</t>
  </si>
  <si>
    <t>TRANSENER_INDISPONIBILIDADES_REACTIVOS_LIMSA.XLS</t>
  </si>
  <si>
    <t>TOTAL A PENALIZAR A TRANSENER S.A POR SUPERVISIÓN A TIBA</t>
  </si>
  <si>
    <t>TOTAL A PENALIZAR A TRANSENER S.A POR SUPERVISIÓN A YACYLEC</t>
  </si>
  <si>
    <t>Desde el 01 al 30 de noviembre de 2010</t>
  </si>
  <si>
    <t>P</t>
  </si>
  <si>
    <t>ALMAFUERTE - ROSARIO OESTE</t>
  </si>
  <si>
    <t>B</t>
  </si>
  <si>
    <t>EZEIZA - ABASTO 2</t>
  </si>
  <si>
    <t>C</t>
  </si>
  <si>
    <t>EZEIZA - ABASTO 1</t>
  </si>
  <si>
    <t>EZEIZA - HENDERSON 2</t>
  </si>
  <si>
    <t>A</t>
  </si>
  <si>
    <t>GRAL. RODRIGUEZ - VILLA  LIA 2</t>
  </si>
  <si>
    <t>SALTO GRANDE - SANTO TOME</t>
  </si>
  <si>
    <t>ROMANG - RESISTENCIA</t>
  </si>
  <si>
    <t>GRAL. RODRIGUEZ - RAMALLO</t>
  </si>
  <si>
    <t>COLONIA ELIA - CAMPANA</t>
  </si>
  <si>
    <t>F</t>
  </si>
  <si>
    <t>ROSARIO OESTE - RAMALLO 1</t>
  </si>
  <si>
    <t>ROSARIO OESTE - RAMALLO 2</t>
  </si>
  <si>
    <t>AGUA DEL CAJON - CHOCON OESTE</t>
  </si>
  <si>
    <t>GRAL. RODRIGUEZ - VILLA  LIA 1</t>
  </si>
  <si>
    <t>RINCON - YACYRETA  I</t>
  </si>
  <si>
    <t>RINCON - YACYRETA II</t>
  </si>
  <si>
    <t>LUJAN</t>
  </si>
  <si>
    <t>TRAFO 2</t>
  </si>
  <si>
    <t>RESISTENCIA</t>
  </si>
  <si>
    <t>TRAFO 1</t>
  </si>
  <si>
    <t>ROSARIO OESTE</t>
  </si>
  <si>
    <t>TRAFO 3</t>
  </si>
  <si>
    <t>MALVINAS ARGENTINAS</t>
  </si>
  <si>
    <t>HENDERSON</t>
  </si>
  <si>
    <t>PLANICIE BANDERITA</t>
  </si>
  <si>
    <t>T3 HE</t>
  </si>
  <si>
    <t>500/220/13,2</t>
  </si>
  <si>
    <t>EZEIZA</t>
  </si>
  <si>
    <t>500/220/132</t>
  </si>
  <si>
    <t>GRAN MENDOZA</t>
  </si>
  <si>
    <t>SALIDA LINEA CORRIENTES 1</t>
  </si>
  <si>
    <t>ATUCHA</t>
  </si>
  <si>
    <t>SALIDA LINEA A E.T. ZARATE</t>
  </si>
  <si>
    <t>SANTO TOME</t>
  </si>
  <si>
    <t>SALIDA CALCHINES</t>
  </si>
  <si>
    <t>VILLA LIA</t>
  </si>
  <si>
    <t>SALIDA TRAFO 220/132/13,2</t>
  </si>
  <si>
    <t>P. BANDERITA</t>
  </si>
  <si>
    <t>SALIDA LINEA A PLAYA BANDERITA</t>
  </si>
  <si>
    <t>SALIDA LINEA A P. LA PLAZA</t>
  </si>
  <si>
    <t>SALIDA LINEA R. DEL BUSTO</t>
  </si>
  <si>
    <t>SALIDA TRAFO MONTECRISTO</t>
  </si>
  <si>
    <t>GRAL. RODRIGUEZ</t>
  </si>
  <si>
    <t>SALIDA TRAFO 4 500/220</t>
  </si>
  <si>
    <t>SALIDA LINEA A BARRANQUERAS 1</t>
  </si>
  <si>
    <t>CHOCON OESTE</t>
  </si>
  <si>
    <t>SALIDA LINEA A AGUA DEL CAJON</t>
  </si>
  <si>
    <t>SALIDA LINEA CASILDA 1</t>
  </si>
  <si>
    <t>ALMAFUERTE</t>
  </si>
  <si>
    <t>SALIDA REOLIN 3</t>
  </si>
  <si>
    <t>SALIDA LINEA STA. CATALINA</t>
  </si>
  <si>
    <t>SALIDA LINEA C.GOMEZ</t>
  </si>
  <si>
    <t>SALIDA TRAFO 3 500/220</t>
  </si>
  <si>
    <t>SALIDA SAN LUIS I</t>
  </si>
  <si>
    <t>ALICURA</t>
  </si>
  <si>
    <t>SALIDA TRAFO MAQ. 2</t>
  </si>
  <si>
    <t>SALIDA RESISTENCIA 2 CD5</t>
  </si>
  <si>
    <t>RAMALLO</t>
  </si>
  <si>
    <t>SALIDA LINEA PERGAMINO</t>
  </si>
  <si>
    <t>AGUA DEL CAJÓN</t>
  </si>
  <si>
    <t>SALIDA LINEA A SAN M. DE LOS ANDES</t>
  </si>
  <si>
    <t xml:space="preserve">BAHIA BLANCA </t>
  </si>
  <si>
    <t>SALIDA PETROQUIMICA 3</t>
  </si>
  <si>
    <t xml:space="preserve">CAMPANA </t>
  </si>
  <si>
    <t>SALIDA A V. LIA</t>
  </si>
  <si>
    <t>BAHIA BLANCA</t>
  </si>
  <si>
    <t>SALIDA PETROQUIMICA 2</t>
  </si>
  <si>
    <t>SALIDA A DORREGO</t>
  </si>
  <si>
    <t>SALIDA A PETROQUIMICA</t>
  </si>
  <si>
    <t>OLAVARRIA</t>
  </si>
  <si>
    <t>SALIDA A TANDIL</t>
  </si>
  <si>
    <t>SALIDA A G. CHAVES</t>
  </si>
  <si>
    <t>SALIDA a Norte II</t>
  </si>
  <si>
    <t>SALIDA A PRINGLES</t>
  </si>
  <si>
    <t xml:space="preserve">EZEIZA </t>
  </si>
  <si>
    <t>CS3</t>
  </si>
  <si>
    <t>0,000</t>
  </si>
  <si>
    <t>PUELCHES</t>
  </si>
  <si>
    <t>R1B5PU</t>
  </si>
  <si>
    <t xml:space="preserve">EL BRACHO </t>
  </si>
  <si>
    <t>R1T1BR</t>
  </si>
  <si>
    <t>CS4</t>
  </si>
  <si>
    <t>R1T2BR</t>
  </si>
  <si>
    <t>CS1</t>
  </si>
  <si>
    <t>CS2</t>
  </si>
  <si>
    <t>Trafo 2</t>
  </si>
  <si>
    <t>NUEVA CAMPANA</t>
  </si>
  <si>
    <t>P - PROGRAMADA  ;  F - FORZADA</t>
  </si>
  <si>
    <t>TRAFO 4</t>
  </si>
  <si>
    <t>55/132/13,2</t>
  </si>
  <si>
    <t>RECREO</t>
  </si>
  <si>
    <t>SALIDA A SAN NICOLAS</t>
  </si>
  <si>
    <t>RIO CORONDA</t>
  </si>
  <si>
    <t>SALIDA A TG1 SM</t>
  </si>
  <si>
    <t>M. BELGRANO</t>
  </si>
  <si>
    <t>SALIDA TRAFO TV1 TG BELGRANO</t>
  </si>
  <si>
    <t>SALIDA TRAFO 1 CAJON 4</t>
  </si>
  <si>
    <t>SALIDA TRAFO 2 CAJON 5</t>
  </si>
  <si>
    <t>R. OESTE - RIO CORONDA</t>
  </si>
  <si>
    <t>2.1.2.- Transportista Independiente TIBA S.A.</t>
  </si>
  <si>
    <t>R. OESTE</t>
  </si>
  <si>
    <t>BC2</t>
  </si>
  <si>
    <t>SALIDA A CHILLAR</t>
  </si>
  <si>
    <t>P - PROGRAMADA ;  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</si>
  <si>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</si>
  <si>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</t>
  </si>
  <si>
    <t>AUTOTRAFO 1</t>
  </si>
  <si>
    <t>AUTOTRAFO 2</t>
  </si>
  <si>
    <t>4.2.- Transportista Independiente  TIBA S.A.</t>
  </si>
  <si>
    <t>SISTEMA DE TRANSPORTE DE ENERGÍA ELÉCTRICA EN ALTA TENSION</t>
  </si>
  <si>
    <t>INDISPONIBILIDADES FORZADAS DE LÍNEAS - TASA DE FALLA</t>
  </si>
  <si>
    <t>Correspondiente al mes de noviembre de 2010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</si>
  <si>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</si>
  <si>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</si>
  <si>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</si>
  <si>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</si>
  <si>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</si>
  <si>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</si>
  <si>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</si>
  <si>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 xml:space="preserve"> -</t>
  </si>
  <si>
    <t>"Acuedo Instrumental del Acta Acuerdo UNIREM - TRANSBA" (Dec PEN Nº 1460/05)  ;  Res ENRE N°523/09 y Res ENRE N°397/10</t>
  </si>
  <si>
    <t>Valores remuneratorios según  "Acuerdo Instrumental del Acta Acuerdo  UNIREN  -  TRANSENER S.A."   (Dec. PEN Nº 1462/05)  ,</t>
  </si>
  <si>
    <t>TOTAL DE PENALIZACIONES</t>
  </si>
  <si>
    <t>RM: Por Capacitores ET Bahía Blanca:</t>
  </si>
  <si>
    <t>100 MVAr</t>
  </si>
  <si>
    <t>Según Resolución ENRE N° 157/07</t>
  </si>
  <si>
    <t xml:space="preserve">ANEXO  VI al Memorandum  D.T.E.E.  N°     381 /2012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</si>
</sst>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0.000000"/>
    <numFmt numFmtId="227" formatCode="0.00000000"/>
  </numFmts>
  <fonts count="1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i/>
      <sz val="12"/>
      <name val="Times New Roman"/>
      <family val="1"/>
    </font>
    <font>
      <sz val="8"/>
      <color indexed="10"/>
      <name val="MS Sans Serif"/>
      <family val="2"/>
    </font>
    <font>
      <sz val="8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8"/>
      <color indexed="18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4" fillId="2" borderId="14" xfId="0" applyFont="1" applyFill="1" applyBorder="1" applyAlignment="1" applyProtection="1">
      <alignment horizontal="center" vertical="center"/>
      <protection/>
    </xf>
    <xf numFmtId="168" fontId="35" fillId="2" borderId="2" xfId="0" applyNumberFormat="1" applyFont="1" applyFill="1" applyBorder="1" applyAlignment="1" applyProtection="1">
      <alignment horizontal="center"/>
      <protection/>
    </xf>
    <xf numFmtId="168" fontId="35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/>
    </xf>
    <xf numFmtId="0" fontId="41" fillId="3" borderId="14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 applyProtection="1">
      <alignment horizontal="center" vertical="center"/>
      <protection/>
    </xf>
    <xf numFmtId="0" fontId="45" fillId="3" borderId="14" xfId="0" applyFont="1" applyFill="1" applyBorder="1" applyAlignment="1">
      <alignment horizontal="center" vertical="center" wrapText="1"/>
    </xf>
    <xf numFmtId="0" fontId="41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3" fillId="0" borderId="0" xfId="0" applyFont="1" applyAlignment="1">
      <alignment horizontal="right" vertical="top"/>
    </xf>
    <xf numFmtId="0" fontId="53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3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2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0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68" fontId="64" fillId="6" borderId="21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27" fillId="0" borderId="14" xfId="23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4" fillId="2" borderId="14" xfId="0" applyNumberFormat="1" applyFont="1" applyFill="1" applyBorder="1" applyAlignment="1" applyProtection="1">
      <alignment horizontal="center" vertical="center"/>
      <protection/>
    </xf>
    <xf numFmtId="0" fontId="37" fillId="2" borderId="8" xfId="0" applyFont="1" applyFill="1" applyBorder="1" applyAlignment="1" applyProtection="1">
      <alignment horizontal="centerContinuous" vertical="center" wrapText="1"/>
      <protection/>
    </xf>
    <xf numFmtId="0" fontId="38" fillId="2" borderId="15" xfId="0" applyFont="1" applyFill="1" applyBorder="1" applyAlignment="1">
      <alignment horizontal="centerContinuous"/>
    </xf>
    <xf numFmtId="0" fontId="37" fillId="2" borderId="9" xfId="0" applyFont="1" applyFill="1" applyBorder="1" applyAlignment="1">
      <alignment horizontal="centerContinuous" vertical="center"/>
    </xf>
    <xf numFmtId="0" fontId="66" fillId="8" borderId="14" xfId="0" applyFont="1" applyFill="1" applyBorder="1" applyAlignment="1">
      <alignment horizontal="center" vertical="center" wrapText="1"/>
    </xf>
    <xf numFmtId="0" fontId="67" fillId="9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168" fontId="36" fillId="2" borderId="21" xfId="0" applyNumberFormat="1" applyFont="1" applyFill="1" applyBorder="1" applyAlignment="1" applyProtection="1" quotePrefix="1">
      <alignment horizontal="center"/>
      <protection/>
    </xf>
    <xf numFmtId="168" fontId="36" fillId="2" borderId="22" xfId="0" applyNumberFormat="1" applyFont="1" applyFill="1" applyBorder="1" applyAlignment="1" applyProtection="1" quotePrefix="1">
      <alignment horizontal="center"/>
      <protection/>
    </xf>
    <xf numFmtId="4" fontId="36" fillId="2" borderId="4" xfId="0" applyNumberFormat="1" applyFont="1" applyFill="1" applyBorder="1" applyAlignment="1" applyProtection="1">
      <alignment horizontal="center"/>
      <protection/>
    </xf>
    <xf numFmtId="4" fontId="68" fillId="8" borderId="2" xfId="0" applyNumberFormat="1" applyFont="1" applyFill="1" applyBorder="1" applyAlignment="1" applyProtection="1">
      <alignment horizontal="center"/>
      <protection/>
    </xf>
    <xf numFmtId="4" fontId="69" fillId="9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5" fillId="2" borderId="2" xfId="0" applyFont="1" applyFill="1" applyBorder="1" applyAlignment="1" applyProtection="1">
      <alignment horizontal="center"/>
      <protection/>
    </xf>
    <xf numFmtId="22" fontId="7" fillId="0" borderId="23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6" fillId="2" borderId="21" xfId="0" applyNumberFormat="1" applyFont="1" applyFill="1" applyBorder="1" applyAlignment="1" applyProtection="1" quotePrefix="1">
      <alignment horizontal="center"/>
      <protection locked="0"/>
    </xf>
    <xf numFmtId="168" fontId="36" fillId="2" borderId="22" xfId="0" applyNumberFormat="1" applyFont="1" applyFill="1" applyBorder="1" applyAlignment="1" applyProtection="1" quotePrefix="1">
      <alignment horizontal="center"/>
      <protection locked="0"/>
    </xf>
    <xf numFmtId="4" fontId="36" fillId="2" borderId="4" xfId="0" applyNumberFormat="1" applyFont="1" applyFill="1" applyBorder="1" applyAlignment="1" applyProtection="1">
      <alignment horizontal="center"/>
      <protection locked="0"/>
    </xf>
    <xf numFmtId="4" fontId="70" fillId="8" borderId="2" xfId="0" applyNumberFormat="1" applyFont="1" applyFill="1" applyBorder="1" applyAlignment="1" applyProtection="1">
      <alignment horizontal="center"/>
      <protection locked="0"/>
    </xf>
    <xf numFmtId="4" fontId="71" fillId="9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6" fillId="2" borderId="24" xfId="0" applyNumberFormat="1" applyFont="1" applyFill="1" applyBorder="1" applyAlignment="1" applyProtection="1" quotePrefix="1">
      <alignment horizontal="center"/>
      <protection locked="0"/>
    </xf>
    <xf numFmtId="168" fontId="36" fillId="2" borderId="25" xfId="0" applyNumberFormat="1" applyFont="1" applyFill="1" applyBorder="1" applyAlignment="1" applyProtection="1" quotePrefix="1">
      <alignment horizontal="center"/>
      <protection locked="0"/>
    </xf>
    <xf numFmtId="4" fontId="36" fillId="2" borderId="26" xfId="0" applyNumberFormat="1" applyFont="1" applyFill="1" applyBorder="1" applyAlignment="1" applyProtection="1">
      <alignment horizontal="center"/>
      <protection locked="0"/>
    </xf>
    <xf numFmtId="4" fontId="70" fillId="8" borderId="3" xfId="0" applyNumberFormat="1" applyFont="1" applyFill="1" applyBorder="1" applyAlignment="1" applyProtection="1">
      <alignment horizontal="center"/>
      <protection locked="0"/>
    </xf>
    <xf numFmtId="4" fontId="71" fillId="9" borderId="3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0" fillId="8" borderId="14" xfId="0" applyNumberFormat="1" applyFont="1" applyFill="1" applyBorder="1" applyAlignment="1" applyProtection="1">
      <alignment horizontal="center"/>
      <protection/>
    </xf>
    <xf numFmtId="2" fontId="71" fillId="9" borderId="14" xfId="0" applyNumberFormat="1" applyFont="1" applyFill="1" applyBorder="1" applyAlignment="1" applyProtection="1">
      <alignment horizontal="center"/>
      <protection/>
    </xf>
    <xf numFmtId="2" fontId="60" fillId="0" borderId="28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2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1" fillId="5" borderId="14" xfId="0" applyFont="1" applyFill="1" applyBorder="1" applyAlignment="1" applyProtection="1">
      <alignment horizontal="center" vertical="center"/>
      <protection/>
    </xf>
    <xf numFmtId="0" fontId="73" fillId="8" borderId="14" xfId="0" applyFont="1" applyFill="1" applyBorder="1" applyAlignment="1">
      <alignment horizontal="center" vertical="center" wrapText="1"/>
    </xf>
    <xf numFmtId="0" fontId="74" fillId="6" borderId="14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 applyProtection="1">
      <alignment horizontal="centerContinuous" vertical="center" wrapText="1"/>
      <protection/>
    </xf>
    <xf numFmtId="0" fontId="39" fillId="10" borderId="9" xfId="0" applyFont="1" applyFill="1" applyBorder="1" applyAlignment="1">
      <alignment horizontal="centerContinuous" vertical="center"/>
    </xf>
    <xf numFmtId="0" fontId="45" fillId="11" borderId="14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 applyProtection="1">
      <alignment horizontal="center"/>
      <protection/>
    </xf>
    <xf numFmtId="0" fontId="35" fillId="2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4" fillId="5" borderId="29" xfId="0" applyFont="1" applyFill="1" applyBorder="1" applyAlignment="1">
      <alignment horizontal="center"/>
    </xf>
    <xf numFmtId="0" fontId="75" fillId="8" borderId="29" xfId="0" applyFont="1" applyFill="1" applyBorder="1" applyAlignment="1">
      <alignment horizontal="center"/>
    </xf>
    <xf numFmtId="0" fontId="76" fillId="6" borderId="29" xfId="0" applyFont="1" applyFill="1" applyBorder="1" applyAlignment="1">
      <alignment horizontal="center"/>
    </xf>
    <xf numFmtId="0" fontId="36" fillId="2" borderId="31" xfId="0" applyFont="1" applyFill="1" applyBorder="1" applyAlignment="1">
      <alignment horizontal="center"/>
    </xf>
    <xf numFmtId="0" fontId="36" fillId="2" borderId="32" xfId="0" applyFont="1" applyFill="1" applyBorder="1" applyAlignment="1">
      <alignment horizontal="center"/>
    </xf>
    <xf numFmtId="0" fontId="77" fillId="10" borderId="33" xfId="0" applyFont="1" applyFill="1" applyBorder="1" applyAlignment="1">
      <alignment horizontal="center"/>
    </xf>
    <xf numFmtId="0" fontId="77" fillId="10" borderId="34" xfId="0" applyFont="1" applyFill="1" applyBorder="1" applyAlignment="1">
      <alignment horizontal="center"/>
    </xf>
    <xf numFmtId="0" fontId="46" fillId="11" borderId="29" xfId="0" applyFont="1" applyFill="1" applyBorder="1" applyAlignment="1">
      <alignment horizontal="center"/>
    </xf>
    <xf numFmtId="0" fontId="78" fillId="8" borderId="29" xfId="0" applyFont="1" applyFill="1" applyBorder="1" applyAlignment="1">
      <alignment horizontal="center"/>
    </xf>
    <xf numFmtId="7" fontId="10" fillId="0" borderId="3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5" fillId="2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4" fillId="5" borderId="18" xfId="0" applyFont="1" applyFill="1" applyBorder="1" applyAlignment="1">
      <alignment horizontal="center"/>
    </xf>
    <xf numFmtId="0" fontId="75" fillId="8" borderId="18" xfId="0" applyFont="1" applyFill="1" applyBorder="1" applyAlignment="1">
      <alignment horizontal="center"/>
    </xf>
    <xf numFmtId="0" fontId="76" fillId="6" borderId="18" xfId="0" applyFont="1" applyFill="1" applyBorder="1" applyAlignment="1">
      <alignment horizontal="center"/>
    </xf>
    <xf numFmtId="0" fontId="36" fillId="2" borderId="36" xfId="0" applyFont="1" applyFill="1" applyBorder="1" applyAlignment="1">
      <alignment horizontal="center"/>
    </xf>
    <xf numFmtId="0" fontId="36" fillId="2" borderId="37" xfId="0" applyFont="1" applyFill="1" applyBorder="1" applyAlignment="1">
      <alignment horizontal="center"/>
    </xf>
    <xf numFmtId="0" fontId="77" fillId="10" borderId="36" xfId="0" applyFont="1" applyFill="1" applyBorder="1" applyAlignment="1">
      <alignment horizontal="center"/>
    </xf>
    <xf numFmtId="0" fontId="77" fillId="10" borderId="37" xfId="0" applyFont="1" applyFill="1" applyBorder="1" applyAlignment="1">
      <alignment horizontal="center"/>
    </xf>
    <xf numFmtId="0" fontId="46" fillId="11" borderId="18" xfId="0" applyFont="1" applyFill="1" applyBorder="1" applyAlignment="1">
      <alignment horizontal="center"/>
    </xf>
    <xf numFmtId="0" fontId="78" fillId="8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Border="1" applyAlignment="1" applyProtection="1" quotePrefix="1">
      <alignment horizontal="center"/>
      <protection locked="0"/>
    </xf>
    <xf numFmtId="174" fontId="35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4" fillId="5" borderId="2" xfId="0" applyNumberFormat="1" applyFont="1" applyFill="1" applyBorder="1" applyAlignment="1" applyProtection="1">
      <alignment horizontal="center"/>
      <protection/>
    </xf>
    <xf numFmtId="2" fontId="75" fillId="8" borderId="2" xfId="0" applyNumberFormat="1" applyFont="1" applyFill="1" applyBorder="1" applyAlignment="1">
      <alignment horizontal="center"/>
    </xf>
    <xf numFmtId="2" fontId="76" fillId="6" borderId="2" xfId="0" applyNumberFormat="1" applyFont="1" applyFill="1" applyBorder="1" applyAlignment="1">
      <alignment horizontal="center"/>
    </xf>
    <xf numFmtId="168" fontId="36" fillId="2" borderId="36" xfId="0" applyNumberFormat="1" applyFont="1" applyFill="1" applyBorder="1" applyAlignment="1" applyProtection="1" quotePrefix="1">
      <alignment horizontal="center"/>
      <protection/>
    </xf>
    <xf numFmtId="168" fontId="36" fillId="2" borderId="37" xfId="0" applyNumberFormat="1" applyFont="1" applyFill="1" applyBorder="1" applyAlignment="1" applyProtection="1" quotePrefix="1">
      <alignment horizontal="center"/>
      <protection/>
    </xf>
    <xf numFmtId="168" fontId="77" fillId="10" borderId="36" xfId="0" applyNumberFormat="1" applyFont="1" applyFill="1" applyBorder="1" applyAlignment="1" applyProtection="1" quotePrefix="1">
      <alignment horizontal="center"/>
      <protection/>
    </xf>
    <xf numFmtId="168" fontId="77" fillId="10" borderId="37" xfId="0" applyNumberFormat="1" applyFont="1" applyFill="1" applyBorder="1" applyAlignment="1" applyProtection="1" quotePrefix="1">
      <alignment horizontal="center"/>
      <protection/>
    </xf>
    <xf numFmtId="168" fontId="46" fillId="11" borderId="2" xfId="0" applyNumberFormat="1" applyFont="1" applyFill="1" applyBorder="1" applyAlignment="1" applyProtection="1" quotePrefix="1">
      <alignment horizontal="center"/>
      <protection/>
    </xf>
    <xf numFmtId="168" fontId="78" fillId="8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5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38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4" fillId="5" borderId="3" xfId="0" applyNumberFormat="1" applyFont="1" applyFill="1" applyBorder="1" applyAlignment="1" applyProtection="1">
      <alignment horizontal="center"/>
      <protection/>
    </xf>
    <xf numFmtId="2" fontId="75" fillId="8" borderId="3" xfId="0" applyNumberFormat="1" applyFont="1" applyFill="1" applyBorder="1" applyAlignment="1">
      <alignment horizontal="center"/>
    </xf>
    <xf numFmtId="2" fontId="76" fillId="6" borderId="3" xfId="0" applyNumberFormat="1" applyFont="1" applyFill="1" applyBorder="1" applyAlignment="1">
      <alignment horizontal="center"/>
    </xf>
    <xf numFmtId="168" fontId="36" fillId="2" borderId="39" xfId="0" applyNumberFormat="1" applyFont="1" applyFill="1" applyBorder="1" applyAlignment="1" applyProtection="1" quotePrefix="1">
      <alignment horizontal="center"/>
      <protection/>
    </xf>
    <xf numFmtId="168" fontId="36" fillId="2" borderId="40" xfId="0" applyNumberFormat="1" applyFont="1" applyFill="1" applyBorder="1" applyAlignment="1" applyProtection="1" quotePrefix="1">
      <alignment horizontal="center"/>
      <protection/>
    </xf>
    <xf numFmtId="168" fontId="77" fillId="10" borderId="24" xfId="0" applyNumberFormat="1" applyFont="1" applyFill="1" applyBorder="1" applyAlignment="1" applyProtection="1" quotePrefix="1">
      <alignment horizontal="center"/>
      <protection/>
    </xf>
    <xf numFmtId="168" fontId="77" fillId="10" borderId="26" xfId="0" applyNumberFormat="1" applyFont="1" applyFill="1" applyBorder="1" applyAlignment="1" applyProtection="1" quotePrefix="1">
      <alignment horizontal="center"/>
      <protection/>
    </xf>
    <xf numFmtId="168" fontId="46" fillId="11" borderId="3" xfId="0" applyNumberFormat="1" applyFont="1" applyFill="1" applyBorder="1" applyAlignment="1" applyProtection="1" quotePrefix="1">
      <alignment horizontal="center"/>
      <protection/>
    </xf>
    <xf numFmtId="168" fontId="78" fillId="8" borderId="3" xfId="0" applyNumberFormat="1" applyFont="1" applyFill="1" applyBorder="1" applyAlignment="1" applyProtection="1" quotePrefix="1">
      <alignment horizontal="center"/>
      <protection/>
    </xf>
    <xf numFmtId="168" fontId="65" fillId="0" borderId="19" xfId="0" applyNumberFormat="1" applyFont="1" applyFill="1" applyBorder="1" applyAlignment="1">
      <alignment horizontal="center"/>
    </xf>
    <xf numFmtId="168" fontId="28" fillId="0" borderId="41" xfId="0" applyNumberFormat="1" applyFont="1" applyFill="1" applyBorder="1" applyAlignment="1">
      <alignment horizontal="center"/>
    </xf>
    <xf numFmtId="4" fontId="75" fillId="8" borderId="14" xfId="0" applyNumberFormat="1" applyFont="1" applyFill="1" applyBorder="1" applyAlignment="1">
      <alignment horizontal="center"/>
    </xf>
    <xf numFmtId="4" fontId="76" fillId="6" borderId="14" xfId="0" applyNumberFormat="1" applyFont="1" applyFill="1" applyBorder="1" applyAlignment="1">
      <alignment horizontal="center"/>
    </xf>
    <xf numFmtId="4" fontId="36" fillId="2" borderId="42" xfId="0" applyNumberFormat="1" applyFont="1" applyFill="1" applyBorder="1" applyAlignment="1">
      <alignment horizontal="center"/>
    </xf>
    <xf numFmtId="4" fontId="36" fillId="2" borderId="9" xfId="0" applyNumberFormat="1" applyFont="1" applyFill="1" applyBorder="1" applyAlignment="1">
      <alignment horizontal="center"/>
    </xf>
    <xf numFmtId="4" fontId="77" fillId="10" borderId="42" xfId="0" applyNumberFormat="1" applyFont="1" applyFill="1" applyBorder="1" applyAlignment="1">
      <alignment horizontal="center"/>
    </xf>
    <xf numFmtId="4" fontId="77" fillId="10" borderId="43" xfId="0" applyNumberFormat="1" applyFont="1" applyFill="1" applyBorder="1" applyAlignment="1">
      <alignment horizontal="center"/>
    </xf>
    <xf numFmtId="4" fontId="46" fillId="11" borderId="14" xfId="0" applyNumberFormat="1" applyFont="1" applyFill="1" applyBorder="1" applyAlignment="1">
      <alignment horizontal="center"/>
    </xf>
    <xf numFmtId="4" fontId="78" fillId="8" borderId="14" xfId="0" applyNumberFormat="1" applyFont="1" applyFill="1" applyBorder="1" applyAlignment="1">
      <alignment horizontal="center"/>
    </xf>
    <xf numFmtId="7" fontId="79" fillId="0" borderId="14" xfId="0" applyNumberFormat="1" applyFont="1" applyFill="1" applyBorder="1" applyAlignment="1">
      <alignment horizontal="right"/>
    </xf>
    <xf numFmtId="0" fontId="35" fillId="2" borderId="44" xfId="0" applyFont="1" applyFill="1" applyBorder="1" applyAlignment="1">
      <alignment horizontal="center"/>
    </xf>
    <xf numFmtId="2" fontId="75" fillId="8" borderId="3" xfId="0" applyNumberFormat="1" applyFont="1" applyFill="1" applyBorder="1" applyAlignment="1" applyProtection="1">
      <alignment horizontal="center"/>
      <protection locked="0"/>
    </xf>
    <xf numFmtId="2" fontId="76" fillId="6" borderId="3" xfId="0" applyNumberFormat="1" applyFont="1" applyFill="1" applyBorder="1" applyAlignment="1" applyProtection="1">
      <alignment horizontal="center"/>
      <protection locked="0"/>
    </xf>
    <xf numFmtId="168" fontId="36" fillId="2" borderId="39" xfId="0" applyNumberFormat="1" applyFont="1" applyFill="1" applyBorder="1" applyAlignment="1" applyProtection="1" quotePrefix="1">
      <alignment horizontal="center"/>
      <protection locked="0"/>
    </xf>
    <xf numFmtId="168" fontId="36" fillId="2" borderId="40" xfId="0" applyNumberFormat="1" applyFont="1" applyFill="1" applyBorder="1" applyAlignment="1" applyProtection="1" quotePrefix="1">
      <alignment horizontal="center"/>
      <protection locked="0"/>
    </xf>
    <xf numFmtId="168" fontId="77" fillId="10" borderId="24" xfId="0" applyNumberFormat="1" applyFont="1" applyFill="1" applyBorder="1" applyAlignment="1" applyProtection="1" quotePrefix="1">
      <alignment horizontal="center"/>
      <protection locked="0"/>
    </xf>
    <xf numFmtId="168" fontId="77" fillId="10" borderId="26" xfId="0" applyNumberFormat="1" applyFont="1" applyFill="1" applyBorder="1" applyAlignment="1" applyProtection="1" quotePrefix="1">
      <alignment horizontal="center"/>
      <protection locked="0"/>
    </xf>
    <xf numFmtId="168" fontId="46" fillId="11" borderId="3" xfId="0" applyNumberFormat="1" applyFont="1" applyFill="1" applyBorder="1" applyAlignment="1" applyProtection="1" quotePrefix="1">
      <alignment horizontal="center"/>
      <protection locked="0"/>
    </xf>
    <xf numFmtId="168" fontId="78" fillId="8" borderId="3" xfId="0" applyNumberFormat="1" applyFont="1" applyFill="1" applyBorder="1" applyAlignment="1" applyProtection="1" quotePrefix="1">
      <alignment horizontal="center"/>
      <protection locked="0"/>
    </xf>
    <xf numFmtId="168" fontId="65" fillId="0" borderId="19" xfId="0" applyNumberFormat="1" applyFont="1" applyFill="1" applyBorder="1" applyAlignment="1" applyProtection="1">
      <alignment horizontal="center"/>
      <protection locked="0"/>
    </xf>
    <xf numFmtId="164" fontId="44" fillId="5" borderId="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39" fillId="10" borderId="14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4" fillId="4" borderId="17" xfId="0" applyFont="1" applyFill="1" applyBorder="1" applyAlignment="1" applyProtection="1">
      <alignment horizontal="center"/>
      <protection/>
    </xf>
    <xf numFmtId="0" fontId="77" fillId="10" borderId="17" xfId="0" applyFont="1" applyFill="1" applyBorder="1" applyAlignment="1" applyProtection="1">
      <alignment horizontal="center"/>
      <protection/>
    </xf>
    <xf numFmtId="168" fontId="64" fillId="6" borderId="31" xfId="0" applyNumberFormat="1" applyFont="1" applyFill="1" applyBorder="1" applyAlignment="1" applyProtection="1" quotePrefix="1">
      <alignment horizontal="center"/>
      <protection/>
    </xf>
    <xf numFmtId="168" fontId="64" fillId="6" borderId="32" xfId="0" applyNumberFormat="1" applyFont="1" applyFill="1" applyBorder="1" applyAlignment="1" applyProtection="1" quotePrefix="1">
      <alignment horizontal="center"/>
      <protection/>
    </xf>
    <xf numFmtId="168" fontId="43" fillId="3" borderId="17" xfId="0" applyNumberFormat="1" applyFont="1" applyFill="1" applyBorder="1" applyAlignment="1" applyProtection="1" quotePrefix="1">
      <alignment horizontal="center"/>
      <protection/>
    </xf>
    <xf numFmtId="7" fontId="80" fillId="0" borderId="2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35" fillId="2" borderId="20" xfId="0" applyFont="1" applyFill="1" applyBorder="1" applyAlignment="1" applyProtection="1">
      <alignment horizontal="center"/>
      <protection/>
    </xf>
    <xf numFmtId="0" fontId="44" fillId="4" borderId="2" xfId="0" applyFont="1" applyFill="1" applyBorder="1" applyAlignment="1" applyProtection="1">
      <alignment horizontal="center"/>
      <protection/>
    </xf>
    <xf numFmtId="0" fontId="77" fillId="10" borderId="2" xfId="0" applyFont="1" applyFill="1" applyBorder="1" applyAlignment="1" applyProtection="1">
      <alignment horizontal="center"/>
      <protection/>
    </xf>
    <xf numFmtId="168" fontId="64" fillId="6" borderId="45" xfId="0" applyNumberFormat="1" applyFont="1" applyFill="1" applyBorder="1" applyAlignment="1" applyProtection="1" quotePrefix="1">
      <alignment horizontal="center"/>
      <protection/>
    </xf>
    <xf numFmtId="168" fontId="43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4" fillId="4" borderId="3" xfId="0" applyNumberFormat="1" applyFont="1" applyFill="1" applyBorder="1" applyAlignment="1" applyProtection="1">
      <alignment horizontal="center"/>
      <protection locked="0"/>
    </xf>
    <xf numFmtId="2" fontId="77" fillId="10" borderId="3" xfId="0" applyNumberFormat="1" applyFont="1" applyFill="1" applyBorder="1" applyAlignment="1" applyProtection="1">
      <alignment horizontal="center"/>
      <protection locked="0"/>
    </xf>
    <xf numFmtId="168" fontId="64" fillId="6" borderId="24" xfId="0" applyNumberFormat="1" applyFont="1" applyFill="1" applyBorder="1" applyAlignment="1" applyProtection="1" quotePrefix="1">
      <alignment horizontal="center"/>
      <protection locked="0"/>
    </xf>
    <xf numFmtId="168" fontId="64" fillId="6" borderId="26" xfId="0" applyNumberFormat="1" applyFont="1" applyFill="1" applyBorder="1" applyAlignment="1" applyProtection="1" quotePrefix="1">
      <alignment horizontal="center"/>
      <protection locked="0"/>
    </xf>
    <xf numFmtId="7" fontId="28" fillId="0" borderId="27" xfId="0" applyNumberFormat="1" applyFont="1" applyFill="1" applyBorder="1" applyAlignment="1">
      <alignment horizontal="right"/>
    </xf>
    <xf numFmtId="4" fontId="77" fillId="10" borderId="14" xfId="0" applyNumberFormat="1" applyFont="1" applyFill="1" applyBorder="1" applyAlignment="1">
      <alignment horizontal="center"/>
    </xf>
    <xf numFmtId="4" fontId="64" fillId="6" borderId="42" xfId="0" applyNumberFormat="1" applyFont="1" applyFill="1" applyBorder="1" applyAlignment="1">
      <alignment horizontal="center"/>
    </xf>
    <xf numFmtId="4" fontId="64" fillId="6" borderId="43" xfId="0" applyNumberFormat="1" applyFont="1" applyFill="1" applyBorder="1" applyAlignment="1">
      <alignment horizontal="center"/>
    </xf>
    <xf numFmtId="4" fontId="43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8" borderId="14" xfId="0" applyFont="1" applyFill="1" applyBorder="1" applyAlignment="1">
      <alignment horizontal="center" vertical="center" wrapText="1"/>
    </xf>
    <xf numFmtId="0" fontId="45" fillId="12" borderId="8" xfId="0" applyFont="1" applyFill="1" applyBorder="1" applyAlignment="1" applyProtection="1">
      <alignment horizontal="centerContinuous" vertical="center" wrapText="1"/>
      <protection/>
    </xf>
    <xf numFmtId="0" fontId="45" fillId="12" borderId="9" xfId="0" applyFont="1" applyFill="1" applyBorder="1" applyAlignment="1">
      <alignment horizontal="centerContinuous" vertical="center"/>
    </xf>
    <xf numFmtId="0" fontId="48" fillId="6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81" fillId="8" borderId="29" xfId="0" applyFont="1" applyFill="1" applyBorder="1" applyAlignment="1">
      <alignment horizontal="center"/>
    </xf>
    <xf numFmtId="0" fontId="46" fillId="12" borderId="31" xfId="0" applyFont="1" applyFill="1" applyBorder="1" applyAlignment="1">
      <alignment horizontal="center"/>
    </xf>
    <xf numFmtId="0" fontId="46" fillId="12" borderId="32" xfId="0" applyFont="1" applyFill="1" applyBorder="1" applyAlignment="1">
      <alignment horizontal="center"/>
    </xf>
    <xf numFmtId="0" fontId="49" fillId="6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7" fontId="29" fillId="0" borderId="29" xfId="0" applyNumberFormat="1" applyFont="1" applyFill="1" applyBorder="1" applyAlignment="1">
      <alignment horizontal="center"/>
    </xf>
    <xf numFmtId="0" fontId="12" fillId="0" borderId="23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5" fillId="2" borderId="18" xfId="0" applyNumberFormat="1" applyFont="1" applyFill="1" applyBorder="1" applyAlignment="1" applyProtection="1">
      <alignment horizontal="center"/>
      <protection/>
    </xf>
    <xf numFmtId="22" fontId="7" fillId="0" borderId="36" xfId="0" applyNumberFormat="1" applyFont="1" applyBorder="1" applyAlignment="1">
      <alignment horizontal="center"/>
    </xf>
    <xf numFmtId="22" fontId="7" fillId="0" borderId="4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5" fillId="2" borderId="23" xfId="0" applyNumberFormat="1" applyFont="1" applyFill="1" applyBorder="1" applyAlignment="1" applyProtection="1">
      <alignment horizontal="center"/>
      <protection/>
    </xf>
    <xf numFmtId="2" fontId="81" fillId="8" borderId="18" xfId="0" applyNumberFormat="1" applyFont="1" applyFill="1" applyBorder="1" applyAlignment="1">
      <alignment horizontal="center"/>
    </xf>
    <xf numFmtId="168" fontId="46" fillId="12" borderId="36" xfId="0" applyNumberFormat="1" applyFont="1" applyFill="1" applyBorder="1" applyAlignment="1" applyProtection="1" quotePrefix="1">
      <alignment horizontal="center"/>
      <protection/>
    </xf>
    <xf numFmtId="168" fontId="46" fillId="12" borderId="37" xfId="0" applyNumberFormat="1" applyFont="1" applyFill="1" applyBorder="1" applyAlignment="1" applyProtection="1" quotePrefix="1">
      <alignment horizontal="center"/>
      <protection/>
    </xf>
    <xf numFmtId="168" fontId="49" fillId="6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5" fillId="2" borderId="49" xfId="0" applyNumberFormat="1" applyFont="1" applyFill="1" applyBorder="1" applyAlignment="1" applyProtection="1">
      <alignment horizontal="center"/>
      <protection locked="0"/>
    </xf>
    <xf numFmtId="2" fontId="7" fillId="0" borderId="50" xfId="0" applyNumberFormat="1" applyFont="1" applyFill="1" applyBorder="1" applyAlignment="1" applyProtection="1" quotePrefix="1">
      <alignment horizontal="center"/>
      <protection/>
    </xf>
    <xf numFmtId="0" fontId="12" fillId="0" borderId="3" xfId="0" applyFont="1" applyBorder="1" applyAlignment="1" applyProtection="1">
      <alignment horizontal="center"/>
      <protection locked="0"/>
    </xf>
    <xf numFmtId="164" fontId="35" fillId="2" borderId="51" xfId="0" applyNumberFormat="1" applyFont="1" applyFill="1" applyBorder="1" applyAlignment="1" applyProtection="1">
      <alignment horizontal="center"/>
      <protection locked="0"/>
    </xf>
    <xf numFmtId="2" fontId="81" fillId="8" borderId="3" xfId="0" applyNumberFormat="1" applyFont="1" applyFill="1" applyBorder="1" applyAlignment="1" applyProtection="1">
      <alignment horizontal="center"/>
      <protection locked="0"/>
    </xf>
    <xf numFmtId="168" fontId="46" fillId="12" borderId="39" xfId="0" applyNumberFormat="1" applyFont="1" applyFill="1" applyBorder="1" applyAlignment="1" applyProtection="1" quotePrefix="1">
      <alignment horizontal="center"/>
      <protection locked="0"/>
    </xf>
    <xf numFmtId="168" fontId="46" fillId="12" borderId="40" xfId="0" applyNumberFormat="1" applyFont="1" applyFill="1" applyBorder="1" applyAlignment="1" applyProtection="1" quotePrefix="1">
      <alignment horizontal="center"/>
      <protection locked="0"/>
    </xf>
    <xf numFmtId="168" fontId="49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7" xfId="0" applyNumberFormat="1" applyFont="1" applyFill="1" applyBorder="1" applyAlignment="1">
      <alignment horizontal="center"/>
    </xf>
    <xf numFmtId="4" fontId="81" fillId="8" borderId="14" xfId="0" applyNumberFormat="1" applyFont="1" applyFill="1" applyBorder="1" applyAlignment="1">
      <alignment horizontal="center"/>
    </xf>
    <xf numFmtId="4" fontId="46" fillId="12" borderId="42" xfId="0" applyNumberFormat="1" applyFont="1" applyFill="1" applyBorder="1" applyAlignment="1">
      <alignment horizontal="center"/>
    </xf>
    <xf numFmtId="4" fontId="46" fillId="12" borderId="9" xfId="0" applyNumberFormat="1" applyFont="1" applyFill="1" applyBorder="1" applyAlignment="1">
      <alignment horizontal="center"/>
    </xf>
    <xf numFmtId="4" fontId="49" fillId="6" borderId="14" xfId="0" applyNumberFormat="1" applyFont="1" applyFill="1" applyBorder="1" applyAlignment="1">
      <alignment horizontal="center"/>
    </xf>
    <xf numFmtId="0" fontId="7" fillId="0" borderId="52" xfId="0" applyFont="1" applyBorder="1" applyAlignment="1">
      <alignment/>
    </xf>
    <xf numFmtId="0" fontId="82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3" xfId="0" applyNumberFormat="1" applyFont="1" applyBorder="1" applyAlignment="1">
      <alignment horizontal="center"/>
    </xf>
    <xf numFmtId="0" fontId="85" fillId="0" borderId="0" xfId="0" applyFont="1" applyFill="1" applyAlignment="1">
      <alignment/>
    </xf>
    <xf numFmtId="0" fontId="86" fillId="0" borderId="0" xfId="0" applyFont="1" applyAlignment="1">
      <alignment horizontal="centerContinuous"/>
    </xf>
    <xf numFmtId="0" fontId="85" fillId="0" borderId="0" xfId="0" applyFont="1" applyAlignment="1">
      <alignment horizontal="centerContinuous"/>
    </xf>
    <xf numFmtId="0" fontId="85" fillId="0" borderId="0" xfId="0" applyFont="1" applyAlignment="1">
      <alignment/>
    </xf>
    <xf numFmtId="0" fontId="23" fillId="0" borderId="0" xfId="0" applyFont="1" applyAlignment="1">
      <alignment/>
    </xf>
    <xf numFmtId="0" fontId="87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8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7" fillId="13" borderId="14" xfId="0" applyFont="1" applyFill="1" applyBorder="1" applyAlignment="1">
      <alignment horizontal="center" vertical="center" wrapText="1"/>
    </xf>
    <xf numFmtId="0" fontId="89" fillId="3" borderId="8" xfId="0" applyFont="1" applyFill="1" applyBorder="1" applyAlignment="1" applyProtection="1">
      <alignment horizontal="centerContinuous" vertical="center" wrapText="1"/>
      <protection/>
    </xf>
    <xf numFmtId="0" fontId="90" fillId="3" borderId="15" xfId="0" applyFont="1" applyFill="1" applyBorder="1" applyAlignment="1">
      <alignment horizontal="centerContinuous"/>
    </xf>
    <xf numFmtId="0" fontId="89" fillId="3" borderId="9" xfId="0" applyFont="1" applyFill="1" applyBorder="1" applyAlignment="1">
      <alignment horizontal="centerContinuous" vertical="center"/>
    </xf>
    <xf numFmtId="0" fontId="41" fillId="14" borderId="8" xfId="0" applyFont="1" applyFill="1" applyBorder="1" applyAlignment="1">
      <alignment horizontal="centerContinuous" vertical="center" wrapText="1"/>
    </xf>
    <xf numFmtId="0" fontId="42" fillId="14" borderId="15" xfId="0" applyFont="1" applyFill="1" applyBorder="1" applyAlignment="1">
      <alignment horizontal="centerContinuous"/>
    </xf>
    <xf numFmtId="0" fontId="41" fillId="14" borderId="9" xfId="0" applyFont="1" applyFill="1" applyBorder="1" applyAlignment="1">
      <alignment horizontal="centerContinuous" vertical="center"/>
    </xf>
    <xf numFmtId="0" fontId="41" fillId="8" borderId="14" xfId="0" applyFont="1" applyFill="1" applyBorder="1" applyAlignment="1">
      <alignment horizontal="centerContinuous" vertical="center" wrapText="1"/>
    </xf>
    <xf numFmtId="0" fontId="41" fillId="15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91" fillId="2" borderId="17" xfId="0" applyNumberFormat="1" applyFont="1" applyFill="1" applyBorder="1" applyAlignment="1" applyProtection="1">
      <alignment horizontal="center"/>
      <protection/>
    </xf>
    <xf numFmtId="0" fontId="92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43" fillId="5" borderId="17" xfId="0" applyFont="1" applyFill="1" applyBorder="1" applyAlignment="1">
      <alignment horizontal="center"/>
    </xf>
    <xf numFmtId="0" fontId="81" fillId="13" borderId="17" xfId="0" applyFont="1" applyFill="1" applyBorder="1" applyAlignment="1">
      <alignment horizontal="center"/>
    </xf>
    <xf numFmtId="168" fontId="93" fillId="3" borderId="31" xfId="0" applyNumberFormat="1" applyFont="1" applyFill="1" applyBorder="1" applyAlignment="1" applyProtection="1" quotePrefix="1">
      <alignment horizontal="center"/>
      <protection/>
    </xf>
    <xf numFmtId="168" fontId="93" fillId="3" borderId="54" xfId="0" applyNumberFormat="1" applyFont="1" applyFill="1" applyBorder="1" applyAlignment="1" applyProtection="1" quotePrefix="1">
      <alignment horizontal="center"/>
      <protection/>
    </xf>
    <xf numFmtId="4" fontId="93" fillId="3" borderId="55" xfId="0" applyNumberFormat="1" applyFont="1" applyFill="1" applyBorder="1" applyAlignment="1" applyProtection="1">
      <alignment horizontal="center"/>
      <protection/>
    </xf>
    <xf numFmtId="168" fontId="43" fillId="14" borderId="31" xfId="0" applyNumberFormat="1" applyFont="1" applyFill="1" applyBorder="1" applyAlignment="1" applyProtection="1" quotePrefix="1">
      <alignment horizontal="center"/>
      <protection/>
    </xf>
    <xf numFmtId="168" fontId="43" fillId="14" borderId="54" xfId="0" applyNumberFormat="1" applyFont="1" applyFill="1" applyBorder="1" applyAlignment="1" applyProtection="1" quotePrefix="1">
      <alignment horizontal="center"/>
      <protection/>
    </xf>
    <xf numFmtId="4" fontId="43" fillId="14" borderId="55" xfId="0" applyNumberFormat="1" applyFont="1" applyFill="1" applyBorder="1" applyAlignment="1" applyProtection="1">
      <alignment horizontal="center"/>
      <protection/>
    </xf>
    <xf numFmtId="4" fontId="43" fillId="8" borderId="17" xfId="0" applyNumberFormat="1" applyFont="1" applyFill="1" applyBorder="1" applyAlignment="1" applyProtection="1">
      <alignment horizontal="center"/>
      <protection/>
    </xf>
    <xf numFmtId="4" fontId="43" fillId="15" borderId="17" xfId="0" applyNumberFormat="1" applyFont="1" applyFill="1" applyBorder="1" applyAlignment="1" applyProtection="1">
      <alignment horizontal="center"/>
      <protection/>
    </xf>
    <xf numFmtId="0" fontId="7" fillId="0" borderId="55" xfId="0" applyFont="1" applyBorder="1" applyAlignment="1">
      <alignment horizontal="left"/>
    </xf>
    <xf numFmtId="0" fontId="10" fillId="0" borderId="55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91" fillId="2" borderId="2" xfId="0" applyFont="1" applyFill="1" applyBorder="1" applyAlignment="1" applyProtection="1">
      <alignment horizontal="center"/>
      <protection/>
    </xf>
    <xf numFmtId="168" fontId="92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3" fillId="5" borderId="2" xfId="0" applyNumberFormat="1" applyFont="1" applyFill="1" applyBorder="1" applyAlignment="1" applyProtection="1">
      <alignment horizontal="center"/>
      <protection/>
    </xf>
    <xf numFmtId="2" fontId="81" fillId="13" borderId="2" xfId="0" applyNumberFormat="1" applyFont="1" applyFill="1" applyBorder="1" applyAlignment="1" applyProtection="1">
      <alignment horizontal="center"/>
      <protection/>
    </xf>
    <xf numFmtId="168" fontId="93" fillId="3" borderId="21" xfId="0" applyNumberFormat="1" applyFont="1" applyFill="1" applyBorder="1" applyAlignment="1" applyProtection="1" quotePrefix="1">
      <alignment horizontal="center"/>
      <protection/>
    </xf>
    <xf numFmtId="168" fontId="93" fillId="3" borderId="22" xfId="0" applyNumberFormat="1" applyFont="1" applyFill="1" applyBorder="1" applyAlignment="1" applyProtection="1" quotePrefix="1">
      <alignment horizontal="center"/>
      <protection/>
    </xf>
    <xf numFmtId="4" fontId="93" fillId="3" borderId="4" xfId="0" applyNumberFormat="1" applyFont="1" applyFill="1" applyBorder="1" applyAlignment="1" applyProtection="1">
      <alignment horizontal="center"/>
      <protection/>
    </xf>
    <xf numFmtId="168" fontId="43" fillId="14" borderId="21" xfId="0" applyNumberFormat="1" applyFont="1" applyFill="1" applyBorder="1" applyAlignment="1" applyProtection="1" quotePrefix="1">
      <alignment horizontal="center"/>
      <protection/>
    </xf>
    <xf numFmtId="168" fontId="43" fillId="14" borderId="22" xfId="0" applyNumberFormat="1" applyFont="1" applyFill="1" applyBorder="1" applyAlignment="1" applyProtection="1" quotePrefix="1">
      <alignment horizontal="center"/>
      <protection/>
    </xf>
    <xf numFmtId="4" fontId="43" fillId="14" borderId="4" xfId="0" applyNumberFormat="1" applyFont="1" applyFill="1" applyBorder="1" applyAlignment="1" applyProtection="1">
      <alignment horizontal="center"/>
      <protection/>
    </xf>
    <xf numFmtId="4" fontId="43" fillId="8" borderId="2" xfId="0" applyNumberFormat="1" applyFont="1" applyFill="1" applyBorder="1" applyAlignment="1" applyProtection="1">
      <alignment horizontal="center"/>
      <protection/>
    </xf>
    <xf numFmtId="4" fontId="43" fillId="15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94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91" fillId="2" borderId="3" xfId="0" applyNumberFormat="1" applyFont="1" applyFill="1" applyBorder="1" applyAlignment="1" applyProtection="1">
      <alignment horizontal="center"/>
      <protection/>
    </xf>
    <xf numFmtId="168" fontId="92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3" fillId="5" borderId="3" xfId="0" applyNumberFormat="1" applyFont="1" applyFill="1" applyBorder="1" applyAlignment="1" applyProtection="1">
      <alignment horizontal="center"/>
      <protection/>
    </xf>
    <xf numFmtId="2" fontId="81" fillId="13" borderId="3" xfId="0" applyNumberFormat="1" applyFont="1" applyFill="1" applyBorder="1" applyAlignment="1" applyProtection="1">
      <alignment horizontal="center"/>
      <protection/>
    </xf>
    <xf numFmtId="168" fontId="93" fillId="3" borderId="24" xfId="0" applyNumberFormat="1" applyFont="1" applyFill="1" applyBorder="1" applyAlignment="1" applyProtection="1" quotePrefix="1">
      <alignment horizontal="center"/>
      <protection/>
    </xf>
    <xf numFmtId="168" fontId="93" fillId="3" borderId="56" xfId="0" applyNumberFormat="1" applyFont="1" applyFill="1" applyBorder="1" applyAlignment="1" applyProtection="1" quotePrefix="1">
      <alignment horizontal="center"/>
      <protection/>
    </xf>
    <xf numFmtId="4" fontId="93" fillId="3" borderId="19" xfId="0" applyNumberFormat="1" applyFont="1" applyFill="1" applyBorder="1" applyAlignment="1" applyProtection="1">
      <alignment horizontal="center"/>
      <protection/>
    </xf>
    <xf numFmtId="168" fontId="43" fillId="14" borderId="24" xfId="0" applyNumberFormat="1" applyFont="1" applyFill="1" applyBorder="1" applyAlignment="1" applyProtection="1" quotePrefix="1">
      <alignment horizontal="center"/>
      <protection/>
    </xf>
    <xf numFmtId="168" fontId="43" fillId="14" borderId="56" xfId="0" applyNumberFormat="1" applyFont="1" applyFill="1" applyBorder="1" applyAlignment="1" applyProtection="1" quotePrefix="1">
      <alignment horizontal="center"/>
      <protection/>
    </xf>
    <xf numFmtId="4" fontId="43" fillId="14" borderId="19" xfId="0" applyNumberFormat="1" applyFont="1" applyFill="1" applyBorder="1" applyAlignment="1" applyProtection="1">
      <alignment horizontal="center"/>
      <protection/>
    </xf>
    <xf numFmtId="4" fontId="43" fillId="8" borderId="3" xfId="0" applyNumberFormat="1" applyFont="1" applyFill="1" applyBorder="1" applyAlignment="1" applyProtection="1">
      <alignment horizontal="center"/>
      <protection/>
    </xf>
    <xf numFmtId="4" fontId="43" fillId="15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94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2" fillId="5" borderId="14" xfId="0" applyNumberFormat="1" applyFont="1" applyFill="1" applyBorder="1" applyAlignment="1" applyProtection="1">
      <alignment horizontal="center"/>
      <protection/>
    </xf>
    <xf numFmtId="2" fontId="79" fillId="13" borderId="14" xfId="0" applyNumberFormat="1" applyFont="1" applyFill="1" applyBorder="1" applyAlignment="1" applyProtection="1">
      <alignment horizontal="center"/>
      <protection/>
    </xf>
    <xf numFmtId="2" fontId="95" fillId="3" borderId="14" xfId="0" applyNumberFormat="1" applyFont="1" applyFill="1" applyBorder="1" applyAlignment="1" applyProtection="1">
      <alignment horizontal="center"/>
      <protection/>
    </xf>
    <xf numFmtId="2" fontId="92" fillId="14" borderId="14" xfId="0" applyNumberFormat="1" applyFont="1" applyFill="1" applyBorder="1" applyAlignment="1" applyProtection="1">
      <alignment horizontal="center"/>
      <protection/>
    </xf>
    <xf numFmtId="2" fontId="92" fillId="8" borderId="14" xfId="0" applyNumberFormat="1" applyFont="1" applyFill="1" applyBorder="1" applyAlignment="1" applyProtection="1">
      <alignment horizontal="center"/>
      <protection/>
    </xf>
    <xf numFmtId="2" fontId="92" fillId="15" borderId="14" xfId="0" applyNumberFormat="1" applyFont="1" applyFill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2" fillId="0" borderId="15" xfId="0" applyNumberFormat="1" applyFont="1" applyFill="1" applyBorder="1" applyAlignment="1" applyProtection="1">
      <alignment horizontal="center"/>
      <protection/>
    </xf>
    <xf numFmtId="2" fontId="79" fillId="0" borderId="15" xfId="0" applyNumberFormat="1" applyFont="1" applyFill="1" applyBorder="1" applyAlignment="1" applyProtection="1">
      <alignment horizontal="center"/>
      <protection/>
    </xf>
    <xf numFmtId="2" fontId="95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4" fillId="16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41" fillId="17" borderId="14" xfId="0" applyFont="1" applyFill="1" applyBorder="1" applyAlignment="1">
      <alignment horizontal="center" vertical="center" wrapText="1"/>
    </xf>
    <xf numFmtId="0" fontId="41" fillId="18" borderId="8" xfId="0" applyFont="1" applyFill="1" applyBorder="1" applyAlignment="1" applyProtection="1">
      <alignment horizontal="centerContinuous" vertical="center" wrapText="1"/>
      <protection/>
    </xf>
    <xf numFmtId="0" fontId="41" fillId="18" borderId="9" xfId="0" applyFont="1" applyFill="1" applyBorder="1" applyAlignment="1">
      <alignment horizontal="centerContinuous" vertical="center"/>
    </xf>
    <xf numFmtId="0" fontId="41" fillId="3" borderId="14" xfId="0" applyFont="1" applyFill="1" applyBorder="1" applyAlignment="1">
      <alignment horizontal="centerContinuous" vertical="center" wrapText="1"/>
    </xf>
    <xf numFmtId="0" fontId="41" fillId="16" borderId="16" xfId="0" applyFont="1" applyFill="1" applyBorder="1" applyAlignment="1">
      <alignment vertical="center" wrapText="1"/>
    </xf>
    <xf numFmtId="0" fontId="41" fillId="16" borderId="30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6" fillId="2" borderId="2" xfId="0" applyFont="1" applyFill="1" applyBorder="1" applyAlignment="1">
      <alignment horizontal="center"/>
    </xf>
    <xf numFmtId="0" fontId="96" fillId="16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4" fillId="17" borderId="17" xfId="0" applyFont="1" applyFill="1" applyBorder="1" applyAlignment="1">
      <alignment horizontal="center"/>
    </xf>
    <xf numFmtId="0" fontId="44" fillId="18" borderId="31" xfId="0" applyFont="1" applyFill="1" applyBorder="1" applyAlignment="1">
      <alignment horizontal="center"/>
    </xf>
    <xf numFmtId="0" fontId="44" fillId="18" borderId="32" xfId="0" applyFont="1" applyFill="1" applyBorder="1" applyAlignment="1">
      <alignment horizontal="left"/>
    </xf>
    <xf numFmtId="0" fontId="44" fillId="3" borderId="17" xfId="0" applyFont="1" applyFill="1" applyBorder="1" applyAlignment="1">
      <alignment horizontal="left"/>
    </xf>
    <xf numFmtId="0" fontId="44" fillId="16" borderId="0" xfId="0" applyFont="1" applyFill="1" applyBorder="1" applyAlignment="1">
      <alignment horizontal="left"/>
    </xf>
    <xf numFmtId="0" fontId="44" fillId="16" borderId="4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" fontId="7" fillId="0" borderId="37" xfId="0" applyNumberFormat="1" applyFont="1" applyBorder="1" applyAlignment="1" applyProtection="1" quotePrefix="1">
      <alignment horizontal="center"/>
      <protection/>
    </xf>
    <xf numFmtId="168" fontId="96" fillId="2" borderId="2" xfId="0" applyNumberFormat="1" applyFont="1" applyFill="1" applyBorder="1" applyAlignment="1" applyProtection="1">
      <alignment horizontal="center"/>
      <protection/>
    </xf>
    <xf numFmtId="168" fontId="96" fillId="16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4" fontId="35" fillId="2" borderId="2" xfId="0" applyNumberFormat="1" applyFont="1" applyFill="1" applyBorder="1" applyAlignment="1" applyProtection="1">
      <alignment horizontal="center"/>
      <protection/>
    </xf>
    <xf numFmtId="2" fontId="43" fillId="17" borderId="2" xfId="0" applyNumberFormat="1" applyFont="1" applyFill="1" applyBorder="1" applyAlignment="1">
      <alignment horizontal="center"/>
    </xf>
    <xf numFmtId="168" fontId="43" fillId="18" borderId="36" xfId="0" applyNumberFormat="1" applyFont="1" applyFill="1" applyBorder="1" applyAlignment="1" applyProtection="1" quotePrefix="1">
      <alignment horizontal="center"/>
      <protection/>
    </xf>
    <xf numFmtId="168" fontId="43" fillId="18" borderId="37" xfId="0" applyNumberFormat="1" applyFont="1" applyFill="1" applyBorder="1" applyAlignment="1" applyProtection="1" quotePrefix="1">
      <alignment horizontal="center"/>
      <protection/>
    </xf>
    <xf numFmtId="168" fontId="43" fillId="16" borderId="0" xfId="0" applyNumberFormat="1" applyFont="1" applyFill="1" applyBorder="1" applyAlignment="1" applyProtection="1" quotePrefix="1">
      <alignment horizontal="center"/>
      <protection/>
    </xf>
    <xf numFmtId="168" fontId="43" fillId="16" borderId="46" xfId="0" applyNumberFormat="1" applyFont="1" applyFill="1" applyBorder="1" applyAlignment="1" applyProtection="1" quotePrefix="1">
      <alignment horizontal="center"/>
      <protection/>
    </xf>
    <xf numFmtId="22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164" fontId="7" fillId="0" borderId="38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 quotePrefix="1">
      <alignment horizontal="center"/>
      <protection/>
    </xf>
    <xf numFmtId="168" fontId="96" fillId="2" borderId="3" xfId="0" applyNumberFormat="1" applyFont="1" applyFill="1" applyBorder="1" applyAlignment="1" applyProtection="1">
      <alignment horizontal="center"/>
      <protection/>
    </xf>
    <xf numFmtId="168" fontId="96" fillId="16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4" fontId="35" fillId="2" borderId="3" xfId="0" applyNumberFormat="1" applyFont="1" applyFill="1" applyBorder="1" applyAlignment="1" applyProtection="1">
      <alignment horizontal="center"/>
      <protection/>
    </xf>
    <xf numFmtId="2" fontId="44" fillId="17" borderId="3" xfId="0" applyNumberFormat="1" applyFont="1" applyFill="1" applyBorder="1" applyAlignment="1">
      <alignment horizontal="center"/>
    </xf>
    <xf numFmtId="168" fontId="44" fillId="18" borderId="39" xfId="0" applyNumberFormat="1" applyFont="1" applyFill="1" applyBorder="1" applyAlignment="1" applyProtection="1" quotePrefix="1">
      <alignment horizontal="center"/>
      <protection/>
    </xf>
    <xf numFmtId="168" fontId="44" fillId="18" borderId="40" xfId="0" applyNumberFormat="1" applyFont="1" applyFill="1" applyBorder="1" applyAlignment="1" applyProtection="1" quotePrefix="1">
      <alignment horizontal="center"/>
      <protection/>
    </xf>
    <xf numFmtId="168" fontId="44" fillId="3" borderId="3" xfId="0" applyNumberFormat="1" applyFont="1" applyFill="1" applyBorder="1" applyAlignment="1" applyProtection="1" quotePrefix="1">
      <alignment horizontal="center"/>
      <protection/>
    </xf>
    <xf numFmtId="168" fontId="44" fillId="16" borderId="51" xfId="0" applyNumberFormat="1" applyFont="1" applyFill="1" applyBorder="1" applyAlignment="1" applyProtection="1" quotePrefix="1">
      <alignment horizontal="center"/>
      <protection/>
    </xf>
    <xf numFmtId="168" fontId="44" fillId="16" borderId="19" xfId="0" applyNumberFormat="1" applyFont="1" applyFill="1" applyBorder="1" applyAlignment="1" applyProtection="1" quotePrefix="1">
      <alignment horizontal="center"/>
      <protection/>
    </xf>
    <xf numFmtId="168" fontId="7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2" fillId="0" borderId="0" xfId="0" applyNumberFormat="1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65" fontId="52" fillId="0" borderId="0" xfId="0" applyNumberFormat="1" applyFont="1" applyBorder="1" applyAlignment="1" applyProtection="1">
      <alignment horizontal="center"/>
      <protection/>
    </xf>
    <xf numFmtId="173" fontId="52" fillId="0" borderId="0" xfId="0" applyNumberFormat="1" applyFont="1" applyBorder="1" applyAlignment="1" applyProtection="1" quotePrefix="1">
      <alignment horizontal="center"/>
      <protection/>
    </xf>
    <xf numFmtId="0" fontId="52" fillId="0" borderId="0" xfId="0" applyFont="1" applyAlignment="1">
      <alignment/>
    </xf>
    <xf numFmtId="2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7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8" fillId="0" borderId="0" xfId="0" applyNumberFormat="1" applyFont="1" applyBorder="1" applyAlignment="1" applyProtection="1">
      <alignment horizontal="center"/>
      <protection/>
    </xf>
    <xf numFmtId="168" fontId="94" fillId="0" borderId="0" xfId="0" applyNumberFormat="1" applyFont="1" applyBorder="1" applyAlignment="1" applyProtection="1" quotePrefix="1">
      <alignment horizontal="center"/>
      <protection/>
    </xf>
    <xf numFmtId="4" fontId="94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2" fillId="0" borderId="0" xfId="0" applyNumberFormat="1" applyFont="1" applyBorder="1" applyAlignment="1" applyProtection="1">
      <alignment horizontal="centerContinuous"/>
      <protection/>
    </xf>
    <xf numFmtId="168" fontId="52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2" fillId="0" borderId="0" xfId="0" applyNumberFormat="1" applyFont="1" applyBorder="1" applyAlignment="1" applyProtection="1" quotePrefix="1">
      <alignment horizontal="right"/>
      <protection/>
    </xf>
    <xf numFmtId="7" fontId="22" fillId="0" borderId="49" xfId="0" applyNumberFormat="1" applyFont="1" applyBorder="1" applyAlignment="1">
      <alignment horizontal="centerContinuous"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99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0" fillId="0" borderId="0" xfId="0" applyNumberFormat="1" applyFont="1" applyBorder="1" applyAlignment="1" applyProtection="1">
      <alignment horizontal="center" vertical="center"/>
      <protection/>
    </xf>
    <xf numFmtId="168" fontId="101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3" fillId="0" borderId="0" xfId="0" applyFont="1" applyAlignment="1">
      <alignment horizontal="right" vertical="top"/>
    </xf>
    <xf numFmtId="1" fontId="0" fillId="0" borderId="58" xfId="0" applyNumberFormat="1" applyBorder="1" applyAlignment="1">
      <alignment horizontal="center"/>
    </xf>
    <xf numFmtId="0" fontId="10" fillId="0" borderId="59" xfId="0" applyFont="1" applyBorder="1" applyAlignment="1">
      <alignment horizontal="centerContinuous"/>
    </xf>
    <xf numFmtId="0" fontId="10" fillId="0" borderId="60" xfId="0" applyFont="1" applyBorder="1" applyAlignment="1">
      <alignment horizontal="centerContinuous"/>
    </xf>
    <xf numFmtId="174" fontId="10" fillId="0" borderId="61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0" fontId="10" fillId="0" borderId="62" xfId="0" applyFont="1" applyBorder="1" applyAlignment="1">
      <alignment horizontal="centerContinuous"/>
    </xf>
    <xf numFmtId="0" fontId="10" fillId="0" borderId="63" xfId="0" applyFont="1" applyBorder="1" applyAlignment="1">
      <alignment horizontal="centerContinuous"/>
    </xf>
    <xf numFmtId="174" fontId="10" fillId="0" borderId="64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Continuous"/>
    </xf>
    <xf numFmtId="0" fontId="10" fillId="0" borderId="66" xfId="0" applyFont="1" applyBorder="1" applyAlignment="1">
      <alignment horizontal="centerContinuous"/>
    </xf>
    <xf numFmtId="174" fontId="10" fillId="0" borderId="67" xfId="0" applyNumberFormat="1" applyFont="1" applyFill="1" applyBorder="1" applyAlignment="1">
      <alignment horizontal="center"/>
    </xf>
    <xf numFmtId="1" fontId="10" fillId="0" borderId="67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92" fillId="0" borderId="51" xfId="0" applyNumberFormat="1" applyFont="1" applyFill="1" applyBorder="1" applyAlignment="1" applyProtection="1">
      <alignment horizontal="center"/>
      <protection/>
    </xf>
    <xf numFmtId="2" fontId="79" fillId="0" borderId="51" xfId="0" applyNumberFormat="1" applyFont="1" applyFill="1" applyBorder="1" applyAlignment="1" applyProtection="1">
      <alignment horizontal="center"/>
      <protection/>
    </xf>
    <xf numFmtId="2" fontId="95" fillId="0" borderId="51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1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4" fillId="4" borderId="2" xfId="0" applyNumberFormat="1" applyFont="1" applyFill="1" applyBorder="1" applyAlignment="1" applyProtection="1">
      <alignment horizontal="center"/>
      <protection/>
    </xf>
    <xf numFmtId="2" fontId="77" fillId="10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68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 quotePrefix="1">
      <alignment horizontal="center"/>
      <protection/>
    </xf>
    <xf numFmtId="168" fontId="35" fillId="2" borderId="38" xfId="0" applyNumberFormat="1" applyFont="1" applyFill="1" applyBorder="1" applyAlignment="1" applyProtection="1">
      <alignment horizontal="center"/>
      <protection/>
    </xf>
    <xf numFmtId="22" fontId="7" fillId="0" borderId="39" xfId="0" applyNumberFormat="1" applyFont="1" applyBorder="1" applyAlignment="1">
      <alignment horizontal="center"/>
    </xf>
    <xf numFmtId="22" fontId="7" fillId="0" borderId="38" xfId="0" applyNumberFormat="1" applyFont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164" fontId="7" fillId="0" borderId="38" xfId="0" applyNumberFormat="1" applyFont="1" applyFill="1" applyBorder="1" applyAlignment="1" applyProtection="1" quotePrefix="1">
      <alignment horizontal="center"/>
      <protection/>
    </xf>
    <xf numFmtId="168" fontId="7" fillId="0" borderId="69" xfId="0" applyNumberFormat="1" applyFont="1" applyBorder="1" applyAlignment="1" applyProtection="1">
      <alignment horizontal="center"/>
      <protection/>
    </xf>
    <xf numFmtId="164" fontId="44" fillId="4" borderId="38" xfId="0" applyNumberFormat="1" applyFont="1" applyFill="1" applyBorder="1" applyAlignment="1" applyProtection="1">
      <alignment horizontal="center"/>
      <protection/>
    </xf>
    <xf numFmtId="2" fontId="77" fillId="10" borderId="38" xfId="0" applyNumberFormat="1" applyFont="1" applyFill="1" applyBorder="1" applyAlignment="1">
      <alignment horizontal="center"/>
    </xf>
    <xf numFmtId="168" fontId="64" fillId="6" borderId="39" xfId="0" applyNumberFormat="1" applyFont="1" applyFill="1" applyBorder="1" applyAlignment="1" applyProtection="1" quotePrefix="1">
      <alignment horizontal="center"/>
      <protection/>
    </xf>
    <xf numFmtId="168" fontId="64" fillId="6" borderId="40" xfId="0" applyNumberFormat="1" applyFont="1" applyFill="1" applyBorder="1" applyAlignment="1" applyProtection="1" quotePrefix="1">
      <alignment horizontal="center"/>
      <protection/>
    </xf>
    <xf numFmtId="168" fontId="43" fillId="3" borderId="38" xfId="0" applyNumberFormat="1" applyFont="1" applyFill="1" applyBorder="1" applyAlignment="1" applyProtection="1" quotePrefix="1">
      <alignment horizontal="center"/>
      <protection/>
    </xf>
    <xf numFmtId="168" fontId="7" fillId="0" borderId="38" xfId="0" applyNumberFormat="1" applyFont="1" applyBorder="1" applyAlignment="1">
      <alignment horizontal="center"/>
    </xf>
    <xf numFmtId="4" fontId="29" fillId="0" borderId="38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3" fillId="19" borderId="14" xfId="0" applyNumberFormat="1" applyFont="1" applyFill="1" applyBorder="1" applyAlignment="1" applyProtection="1">
      <alignment horizontal="center" vertical="center"/>
      <protection/>
    </xf>
    <xf numFmtId="0" fontId="58" fillId="4" borderId="14" xfId="0" applyFont="1" applyFill="1" applyBorder="1" applyAlignment="1" applyProtection="1">
      <alignment horizontal="center" vertical="center"/>
      <protection/>
    </xf>
    <xf numFmtId="0" fontId="62" fillId="6" borderId="14" xfId="0" applyFont="1" applyFill="1" applyBorder="1" applyAlignment="1">
      <alignment horizontal="center" vertical="center" wrapText="1"/>
    </xf>
    <xf numFmtId="0" fontId="48" fillId="20" borderId="8" xfId="0" applyFont="1" applyFill="1" applyBorder="1" applyAlignment="1">
      <alignment horizontal="centerContinuous" vertical="center" wrapText="1"/>
    </xf>
    <xf numFmtId="0" fontId="102" fillId="20" borderId="15" xfId="0" applyFont="1" applyFill="1" applyBorder="1" applyAlignment="1">
      <alignment horizontal="centerContinuous"/>
    </xf>
    <xf numFmtId="0" fontId="48" fillId="20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4" fillId="19" borderId="2" xfId="0" applyFont="1" applyFill="1" applyBorder="1" applyAlignment="1">
      <alignment/>
    </xf>
    <xf numFmtId="0" fontId="59" fillId="4" borderId="2" xfId="0" applyFont="1" applyFill="1" applyBorder="1" applyAlignment="1">
      <alignment/>
    </xf>
    <xf numFmtId="0" fontId="103" fillId="3" borderId="2" xfId="0" applyFont="1" applyFill="1" applyBorder="1" applyAlignment="1">
      <alignment/>
    </xf>
    <xf numFmtId="0" fontId="63" fillId="6" borderId="4" xfId="0" applyFont="1" applyFill="1" applyBorder="1" applyAlignment="1">
      <alignment/>
    </xf>
    <xf numFmtId="168" fontId="9" fillId="2" borderId="21" xfId="0" applyNumberFormat="1" applyFont="1" applyFill="1" applyBorder="1" applyAlignment="1" applyProtection="1" quotePrefix="1">
      <alignment horizontal="center"/>
      <protection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4" fillId="20" borderId="21" xfId="0" applyNumberFormat="1" applyFont="1" applyFill="1" applyBorder="1" applyAlignment="1" applyProtection="1" quotePrefix="1">
      <alignment horizontal="center"/>
      <protection/>
    </xf>
    <xf numFmtId="168" fontId="104" fillId="20" borderId="22" xfId="0" applyNumberFormat="1" applyFont="1" applyFill="1" applyBorder="1" applyAlignment="1" applyProtection="1" quotePrefix="1">
      <alignment horizontal="center"/>
      <protection/>
    </xf>
    <xf numFmtId="4" fontId="104" fillId="20" borderId="4" xfId="0" applyNumberFormat="1" applyFont="1" applyFill="1" applyBorder="1" applyAlignment="1" applyProtection="1">
      <alignment horizontal="center"/>
      <protection/>
    </xf>
    <xf numFmtId="0" fontId="84" fillId="19" borderId="2" xfId="0" applyFont="1" applyFill="1" applyBorder="1" applyAlignment="1" applyProtection="1">
      <alignment horizontal="center"/>
      <protection/>
    </xf>
    <xf numFmtId="174" fontId="59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3" xfId="0" applyNumberFormat="1" applyFont="1" applyFill="1" applyBorder="1" applyAlignment="1" applyProtection="1">
      <alignment horizontal="center"/>
      <protection locked="0"/>
    </xf>
    <xf numFmtId="2" fontId="46" fillId="3" borderId="2" xfId="0" applyNumberFormat="1" applyFont="1" applyFill="1" applyBorder="1" applyAlignment="1" applyProtection="1">
      <alignment horizontal="center"/>
      <protection locked="0"/>
    </xf>
    <xf numFmtId="2" fontId="64" fillId="6" borderId="4" xfId="0" applyNumberFormat="1" applyFont="1" applyFill="1" applyBorder="1" applyAlignment="1" applyProtection="1">
      <alignment horizontal="center"/>
      <protection locked="0"/>
    </xf>
    <xf numFmtId="168" fontId="49" fillId="20" borderId="21" xfId="0" applyNumberFormat="1" applyFont="1" applyFill="1" applyBorder="1" applyAlignment="1" applyProtection="1" quotePrefix="1">
      <alignment horizontal="center"/>
      <protection locked="0"/>
    </xf>
    <xf numFmtId="168" fontId="49" fillId="20" borderId="22" xfId="0" applyNumberFormat="1" applyFont="1" applyFill="1" applyBorder="1" applyAlignment="1" applyProtection="1" quotePrefix="1">
      <alignment horizontal="center"/>
      <protection locked="0"/>
    </xf>
    <xf numFmtId="4" fontId="49" fillId="20" borderId="4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6" applyFont="1" applyFill="1" applyBorder="1" applyAlignment="1" applyProtection="1">
      <alignment horizontal="center"/>
      <protection locked="0"/>
    </xf>
    <xf numFmtId="164" fontId="7" fillId="0" borderId="2" xfId="26" applyNumberFormat="1" applyFont="1" applyFill="1" applyBorder="1" applyAlignment="1" applyProtection="1">
      <alignment horizontal="center"/>
      <protection locked="0"/>
    </xf>
    <xf numFmtId="22" fontId="7" fillId="0" borderId="4" xfId="26" applyNumberFormat="1" applyFont="1" applyFill="1" applyBorder="1" applyAlignment="1" applyProtection="1">
      <alignment horizontal="center"/>
      <protection locked="0"/>
    </xf>
    <xf numFmtId="22" fontId="7" fillId="0" borderId="20" xfId="26" applyNumberFormat="1" applyFont="1" applyFill="1" applyBorder="1" applyAlignment="1" applyProtection="1">
      <alignment horizontal="center"/>
      <protection locked="0"/>
    </xf>
    <xf numFmtId="0" fontId="84" fillId="19" borderId="3" xfId="0" applyFont="1" applyFill="1" applyBorder="1" applyAlignment="1" applyProtection="1">
      <alignment horizontal="center"/>
      <protection/>
    </xf>
    <xf numFmtId="174" fontId="59" fillId="4" borderId="3" xfId="0" applyNumberFormat="1" applyFont="1" applyFill="1" applyBorder="1" applyAlignment="1" applyProtection="1">
      <alignment horizontal="center"/>
      <protection/>
    </xf>
    <xf numFmtId="2" fontId="103" fillId="3" borderId="3" xfId="0" applyNumberFormat="1" applyFont="1" applyFill="1" applyBorder="1" applyAlignment="1" applyProtection="1">
      <alignment horizontal="center"/>
      <protection locked="0"/>
    </xf>
    <xf numFmtId="2" fontId="64" fillId="6" borderId="3" xfId="0" applyNumberFormat="1" applyFont="1" applyFill="1" applyBorder="1" applyAlignment="1" applyProtection="1">
      <alignment horizontal="center"/>
      <protection locked="0"/>
    </xf>
    <xf numFmtId="168" fontId="49" fillId="20" borderId="24" xfId="0" applyNumberFormat="1" applyFont="1" applyFill="1" applyBorder="1" applyAlignment="1" applyProtection="1" quotePrefix="1">
      <alignment horizontal="center"/>
      <protection locked="0"/>
    </xf>
    <xf numFmtId="168" fontId="49" fillId="20" borderId="25" xfId="0" applyNumberFormat="1" applyFont="1" applyFill="1" applyBorder="1" applyAlignment="1" applyProtection="1" quotePrefix="1">
      <alignment horizontal="center"/>
      <protection locked="0"/>
    </xf>
    <xf numFmtId="4" fontId="49" fillId="20" borderId="26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6" fillId="3" borderId="14" xfId="0" applyNumberFormat="1" applyFont="1" applyFill="1" applyBorder="1" applyAlignment="1" applyProtection="1">
      <alignment horizontal="center"/>
      <protection/>
    </xf>
    <xf numFmtId="2" fontId="64" fillId="6" borderId="14" xfId="0" applyNumberFormat="1" applyFont="1" applyFill="1" applyBorder="1" applyAlignment="1" applyProtection="1">
      <alignment horizontal="center"/>
      <protection/>
    </xf>
    <xf numFmtId="2" fontId="36" fillId="2" borderId="14" xfId="0" applyNumberFormat="1" applyFont="1" applyFill="1" applyBorder="1" applyAlignment="1" applyProtection="1">
      <alignment horizontal="center"/>
      <protection/>
    </xf>
    <xf numFmtId="2" fontId="49" fillId="20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4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103" fillId="0" borderId="17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04" fillId="0" borderId="31" xfId="0" applyFont="1" applyFill="1" applyBorder="1" applyAlignment="1">
      <alignment/>
    </xf>
    <xf numFmtId="0" fontId="104" fillId="0" borderId="70" xfId="0" applyFont="1" applyFill="1" applyBorder="1" applyAlignment="1">
      <alignment/>
    </xf>
    <xf numFmtId="0" fontId="104" fillId="0" borderId="32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69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6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0" fontId="72" fillId="0" borderId="0" xfId="0" applyFont="1" applyBorder="1" applyAlignment="1">
      <alignment/>
    </xf>
    <xf numFmtId="0" fontId="105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 applyProtection="1">
      <alignment horizontal="center"/>
      <protection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41" fillId="21" borderId="14" xfId="0" applyFont="1" applyFill="1" applyBorder="1" applyAlignment="1">
      <alignment vertical="center" wrapText="1"/>
    </xf>
    <xf numFmtId="2" fontId="43" fillId="21" borderId="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65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2" fontId="60" fillId="0" borderId="16" xfId="0" applyNumberFormat="1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Border="1" applyAlignment="1" applyProtection="1" quotePrefix="1">
      <alignment horizontal="center"/>
      <protection/>
    </xf>
    <xf numFmtId="4" fontId="9" fillId="0" borderId="2" xfId="0" applyNumberFormat="1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/>
    </xf>
    <xf numFmtId="2" fontId="46" fillId="3" borderId="2" xfId="0" applyNumberFormat="1" applyFont="1" applyFill="1" applyBorder="1" applyAlignment="1" applyProtection="1">
      <alignment horizontal="center"/>
      <protection/>
    </xf>
    <xf numFmtId="2" fontId="64" fillId="6" borderId="4" xfId="0" applyNumberFormat="1" applyFont="1" applyFill="1" applyBorder="1" applyAlignment="1" applyProtection="1">
      <alignment horizontal="center"/>
      <protection/>
    </xf>
    <xf numFmtId="168" fontId="49" fillId="20" borderId="21" xfId="0" applyNumberFormat="1" applyFont="1" applyFill="1" applyBorder="1" applyAlignment="1" applyProtection="1" quotePrefix="1">
      <alignment horizontal="center"/>
      <protection/>
    </xf>
    <xf numFmtId="168" fontId="49" fillId="20" borderId="22" xfId="0" applyNumberFormat="1" applyFont="1" applyFill="1" applyBorder="1" applyAlignment="1" applyProtection="1" quotePrefix="1">
      <alignment horizontal="center"/>
      <protection/>
    </xf>
    <xf numFmtId="4" fontId="49" fillId="20" borderId="4" xfId="0" applyNumberFormat="1" applyFont="1" applyFill="1" applyBorder="1" applyAlignment="1" applyProtection="1">
      <alignment horizontal="center"/>
      <protection/>
    </xf>
    <xf numFmtId="4" fontId="70" fillId="8" borderId="2" xfId="0" applyNumberFormat="1" applyFont="1" applyFill="1" applyBorder="1" applyAlignment="1" applyProtection="1">
      <alignment horizontal="center"/>
      <protection/>
    </xf>
    <xf numFmtId="4" fontId="71" fillId="9" borderId="2" xfId="0" applyNumberFormat="1" applyFont="1" applyFill="1" applyBorder="1" applyAlignment="1" applyProtection="1">
      <alignment horizontal="center"/>
      <protection/>
    </xf>
    <xf numFmtId="2" fontId="75" fillId="8" borderId="2" xfId="0" applyNumberFormat="1" applyFont="1" applyFill="1" applyBorder="1" applyAlignment="1" applyProtection="1">
      <alignment horizontal="center"/>
      <protection/>
    </xf>
    <xf numFmtId="2" fontId="76" fillId="6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7" fillId="10" borderId="2" xfId="0" applyNumberFormat="1" applyFont="1" applyFill="1" applyBorder="1" applyAlignment="1" applyProtection="1">
      <alignment horizontal="center"/>
      <protection/>
    </xf>
    <xf numFmtId="164" fontId="35" fillId="2" borderId="49" xfId="0" applyNumberFormat="1" applyFont="1" applyFill="1" applyBorder="1" applyAlignment="1" applyProtection="1">
      <alignment horizontal="center"/>
      <protection/>
    </xf>
    <xf numFmtId="2" fontId="81" fillId="8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168" fontId="44" fillId="16" borderId="0" xfId="0" applyNumberFormat="1" applyFont="1" applyFill="1" applyBorder="1" applyAlignment="1" applyProtection="1" quotePrefix="1">
      <alignment horizontal="center"/>
      <protection/>
    </xf>
    <xf numFmtId="0" fontId="106" fillId="0" borderId="63" xfId="0" applyFont="1" applyBorder="1" applyAlignment="1">
      <alignment/>
    </xf>
    <xf numFmtId="0" fontId="106" fillId="0" borderId="63" xfId="0" applyFont="1" applyFill="1" applyBorder="1" applyAlignment="1">
      <alignment/>
    </xf>
    <xf numFmtId="0" fontId="107" fillId="0" borderId="0" xfId="0" applyFont="1" applyFill="1" applyAlignment="1">
      <alignment/>
    </xf>
    <xf numFmtId="0" fontId="106" fillId="0" borderId="71" xfId="0" applyFont="1" applyBorder="1" applyAlignment="1">
      <alignment/>
    </xf>
    <xf numFmtId="0" fontId="106" fillId="0" borderId="71" xfId="0" applyFont="1" applyFill="1" applyBorder="1" applyAlignment="1">
      <alignment/>
    </xf>
    <xf numFmtId="0" fontId="108" fillId="0" borderId="63" xfId="0" applyFont="1" applyBorder="1" applyAlignment="1">
      <alignment/>
    </xf>
    <xf numFmtId="0" fontId="108" fillId="0" borderId="71" xfId="0" applyFont="1" applyBorder="1" applyAlignment="1">
      <alignment/>
    </xf>
    <xf numFmtId="0" fontId="108" fillId="0" borderId="63" xfId="0" applyFont="1" applyFill="1" applyBorder="1" applyAlignment="1">
      <alignment/>
    </xf>
    <xf numFmtId="0" fontId="108" fillId="0" borderId="71" xfId="0" applyFont="1" applyFill="1" applyBorder="1" applyAlignment="1">
      <alignment/>
    </xf>
    <xf numFmtId="0" fontId="109" fillId="0" borderId="63" xfId="0" applyFont="1" applyFill="1" applyBorder="1" applyAlignment="1">
      <alignment/>
    </xf>
    <xf numFmtId="0" fontId="109" fillId="0" borderId="71" xfId="0" applyFont="1" applyFill="1" applyBorder="1" applyAlignment="1">
      <alignment/>
    </xf>
    <xf numFmtId="0" fontId="109" fillId="22" borderId="63" xfId="0" applyFont="1" applyFill="1" applyBorder="1" applyAlignment="1">
      <alignment/>
    </xf>
    <xf numFmtId="0" fontId="107" fillId="2" borderId="63" xfId="0" applyFont="1" applyFill="1" applyBorder="1" applyAlignment="1">
      <alignment/>
    </xf>
    <xf numFmtId="0" fontId="107" fillId="0" borderId="0" xfId="0" applyFont="1" applyAlignment="1">
      <alignment/>
    </xf>
    <xf numFmtId="0" fontId="107" fillId="0" borderId="63" xfId="0" applyFont="1" applyBorder="1" applyAlignment="1">
      <alignment/>
    </xf>
    <xf numFmtId="0" fontId="107" fillId="0" borderId="63" xfId="0" applyFont="1" applyBorder="1" applyAlignment="1" quotePrefix="1">
      <alignment/>
    </xf>
    <xf numFmtId="0" fontId="110" fillId="0" borderId="0" xfId="22" applyFont="1" applyFill="1" applyAlignment="1">
      <alignment/>
      <protection/>
    </xf>
    <xf numFmtId="0" fontId="107" fillId="2" borderId="63" xfId="0" applyFont="1" applyFill="1" applyBorder="1" applyAlignment="1">
      <alignment horizontal="center"/>
    </xf>
    <xf numFmtId="0" fontId="107" fillId="23" borderId="0" xfId="0" applyFont="1" applyFill="1" applyAlignment="1">
      <alignment/>
    </xf>
    <xf numFmtId="0" fontId="107" fillId="23" borderId="0" xfId="0" applyNumberFormat="1" applyFont="1" applyFill="1" applyAlignment="1">
      <alignment/>
    </xf>
    <xf numFmtId="0" fontId="107" fillId="0" borderId="63" xfId="0" applyFont="1" applyFill="1" applyBorder="1" applyAlignment="1">
      <alignment horizontal="center"/>
    </xf>
    <xf numFmtId="0" fontId="107" fillId="23" borderId="0" xfId="22" applyFont="1" applyFill="1" applyAlignment="1">
      <alignment/>
      <protection/>
    </xf>
    <xf numFmtId="0" fontId="0" fillId="0" borderId="0" xfId="0" applyAlignment="1" quotePrefix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82" fontId="25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7" fontId="25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182" fontId="23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34" fillId="2" borderId="9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Alignment="1">
      <alignment/>
    </xf>
    <xf numFmtId="0" fontId="111" fillId="0" borderId="16" xfId="0" applyFont="1" applyBorder="1" applyAlignment="1">
      <alignment horizontal="left"/>
    </xf>
    <xf numFmtId="1" fontId="7" fillId="0" borderId="37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>
      <alignment horizontal="center"/>
      <protection/>
    </xf>
    <xf numFmtId="7" fontId="49" fillId="6" borderId="29" xfId="0" applyNumberFormat="1" applyFont="1" applyFill="1" applyBorder="1" applyAlignment="1">
      <alignment horizontal="center"/>
    </xf>
    <xf numFmtId="168" fontId="7" fillId="0" borderId="38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 locked="0"/>
    </xf>
    <xf numFmtId="173" fontId="7" fillId="0" borderId="35" xfId="0" applyNumberFormat="1" applyFont="1" applyBorder="1" applyAlignment="1" applyProtection="1" quotePrefix="1">
      <alignment horizontal="center"/>
      <protection/>
    </xf>
    <xf numFmtId="0" fontId="7" fillId="0" borderId="20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/>
    </xf>
    <xf numFmtId="0" fontId="61" fillId="0" borderId="0" xfId="25" applyNumberFormat="1" applyFont="1" applyBorder="1" applyAlignment="1">
      <alignment horizontal="left"/>
      <protection/>
    </xf>
    <xf numFmtId="0" fontId="111" fillId="0" borderId="16" xfId="0" applyFont="1" applyBorder="1" applyAlignment="1">
      <alignment horizontal="center"/>
    </xf>
    <xf numFmtId="164" fontId="7" fillId="0" borderId="2" xfId="0" applyNumberFormat="1" applyFont="1" applyBorder="1" applyAlignment="1" applyProtection="1" quotePrefix="1">
      <alignment horizontal="center"/>
      <protection/>
    </xf>
    <xf numFmtId="7" fontId="10" fillId="0" borderId="2" xfId="0" applyNumberFormat="1" applyFont="1" applyBorder="1" applyAlignment="1" applyProtection="1">
      <alignment/>
      <protection/>
    </xf>
    <xf numFmtId="0" fontId="44" fillId="0" borderId="0" xfId="0" applyFont="1" applyFill="1" applyBorder="1" applyAlignment="1">
      <alignment horizontal="center"/>
    </xf>
    <xf numFmtId="0" fontId="44" fillId="0" borderId="7" xfId="0" applyFont="1" applyBorder="1" applyAlignment="1">
      <alignment/>
    </xf>
    <xf numFmtId="0" fontId="113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4" fillId="0" borderId="0" xfId="0" applyFont="1" applyAlignment="1">
      <alignment/>
    </xf>
    <xf numFmtId="0" fontId="114" fillId="0" borderId="0" xfId="0" applyFont="1" applyAlignment="1">
      <alignment horizontal="centerContinuous"/>
    </xf>
    <xf numFmtId="0" fontId="115" fillId="0" borderId="0" xfId="0" applyFont="1" applyAlignment="1">
      <alignment horizontal="centerContinuous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6" fillId="0" borderId="7" xfId="0" applyFont="1" applyBorder="1" applyAlignment="1">
      <alignment vertical="center"/>
    </xf>
    <xf numFmtId="0" fontId="116" fillId="0" borderId="20" xfId="0" applyFont="1" applyBorder="1" applyAlignment="1">
      <alignment vertical="center"/>
    </xf>
    <xf numFmtId="0" fontId="116" fillId="0" borderId="2" xfId="0" applyFont="1" applyBorder="1" applyAlignment="1">
      <alignment vertical="center"/>
    </xf>
    <xf numFmtId="0" fontId="116" fillId="24" borderId="2" xfId="0" applyFont="1" applyFill="1" applyBorder="1" applyAlignment="1">
      <alignment vertical="center"/>
    </xf>
    <xf numFmtId="0" fontId="116" fillId="0" borderId="29" xfId="0" applyFont="1" applyBorder="1" applyAlignment="1">
      <alignment vertical="center"/>
    </xf>
    <xf numFmtId="0" fontId="116" fillId="0" borderId="1" xfId="0" applyFont="1" applyBorder="1" applyAlignment="1">
      <alignment vertical="center"/>
    </xf>
    <xf numFmtId="0" fontId="116" fillId="1" borderId="21" xfId="0" applyFont="1" applyFill="1" applyBorder="1" applyAlignment="1">
      <alignment horizontal="center" vertical="center"/>
    </xf>
    <xf numFmtId="0" fontId="116" fillId="1" borderId="2" xfId="0" applyFont="1" applyFill="1" applyBorder="1" applyAlignment="1">
      <alignment horizontal="center" vertical="center"/>
    </xf>
    <xf numFmtId="0" fontId="116" fillId="24" borderId="18" xfId="0" applyFont="1" applyFill="1" applyBorder="1" applyAlignment="1">
      <alignment horizontal="center" vertical="center"/>
    </xf>
    <xf numFmtId="0" fontId="116" fillId="0" borderId="44" xfId="0" applyFont="1" applyBorder="1" applyAlignment="1">
      <alignment vertical="center"/>
    </xf>
    <xf numFmtId="0" fontId="116" fillId="0" borderId="36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1" borderId="36" xfId="0" applyFont="1" applyFill="1" applyBorder="1" applyAlignment="1">
      <alignment horizontal="center" vertical="center"/>
    </xf>
    <xf numFmtId="0" fontId="116" fillId="1" borderId="18" xfId="0" applyFont="1" applyFill="1" applyBorder="1" applyAlignment="1">
      <alignment horizontal="center" vertical="center"/>
    </xf>
    <xf numFmtId="0" fontId="116" fillId="0" borderId="39" xfId="0" applyFont="1" applyBorder="1" applyAlignment="1">
      <alignment horizontal="center" vertical="center"/>
    </xf>
    <xf numFmtId="0" fontId="116" fillId="0" borderId="38" xfId="0" applyFont="1" applyBorder="1" applyAlignment="1">
      <alignment horizontal="center" vertical="center"/>
    </xf>
    <xf numFmtId="0" fontId="116" fillId="24" borderId="38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right" vertical="center"/>
    </xf>
    <xf numFmtId="170" fontId="117" fillId="0" borderId="14" xfId="0" applyNumberFormat="1" applyFont="1" applyFill="1" applyBorder="1" applyAlignment="1">
      <alignment horizontal="center" vertical="center"/>
    </xf>
    <xf numFmtId="0" fontId="116" fillId="0" borderId="8" xfId="0" applyFont="1" applyFill="1" applyBorder="1" applyAlignment="1">
      <alignment horizontal="center" vertical="center"/>
    </xf>
    <xf numFmtId="0" fontId="116" fillId="0" borderId="15" xfId="0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vertical="center"/>
    </xf>
    <xf numFmtId="0" fontId="116" fillId="0" borderId="0" xfId="0" applyFont="1" applyBorder="1" applyAlignment="1">
      <alignment horizontal="right" vertical="center"/>
    </xf>
    <xf numFmtId="0" fontId="117" fillId="0" borderId="0" xfId="0" applyFont="1" applyBorder="1" applyAlignment="1">
      <alignment horizontal="right" vertical="center"/>
    </xf>
    <xf numFmtId="0" fontId="116" fillId="0" borderId="14" xfId="0" applyFont="1" applyBorder="1" applyAlignment="1">
      <alignment horizontal="center" vertical="center"/>
    </xf>
    <xf numFmtId="2" fontId="117" fillId="24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8" fillId="24" borderId="58" xfId="0" applyFont="1" applyFill="1" applyBorder="1" applyAlignment="1" applyProtection="1">
      <alignment horizontal="right"/>
      <protection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6" fontId="10" fillId="0" borderId="0" xfId="19" applyFont="1" applyBorder="1" applyAlignment="1">
      <alignment horizontal="center"/>
    </xf>
    <xf numFmtId="0" fontId="22" fillId="0" borderId="0" xfId="0" applyFont="1" applyAlignment="1">
      <alignment horizontal="left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84" fillId="0" borderId="2" xfId="0" applyFont="1" applyFill="1" applyBorder="1" applyAlignment="1" applyProtection="1">
      <alignment horizontal="center"/>
      <protection/>
    </xf>
    <xf numFmtId="174" fontId="59" fillId="0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8" xfId="0" applyFont="1" applyBorder="1" applyAlignment="1" applyProtection="1" quotePrefix="1">
      <alignment horizontal="center" vertical="center" wrapText="1"/>
      <protection/>
    </xf>
    <xf numFmtId="0" fontId="27" fillId="0" borderId="9" xfId="0" applyFont="1" applyBorder="1" applyAlignment="1" applyProtection="1" quotePrefix="1">
      <alignment horizontal="center" vertical="center" wrapText="1"/>
      <protection/>
    </xf>
    <xf numFmtId="173" fontId="7" fillId="0" borderId="2" xfId="0" applyNumberFormat="1" applyFont="1" applyFill="1" applyBorder="1" applyAlignment="1" applyProtection="1" quotePrefix="1">
      <alignment horizontal="center"/>
      <protection/>
    </xf>
    <xf numFmtId="2" fontId="46" fillId="0" borderId="2" xfId="0" applyNumberFormat="1" applyFont="1" applyFill="1" applyBorder="1" applyAlignment="1" applyProtection="1">
      <alignment horizontal="center"/>
      <protection locked="0"/>
    </xf>
    <xf numFmtId="2" fontId="64" fillId="0" borderId="4" xfId="0" applyNumberFormat="1" applyFont="1" applyFill="1" applyBorder="1" applyAlignment="1" applyProtection="1">
      <alignment horizontal="center"/>
      <protection locked="0"/>
    </xf>
    <xf numFmtId="168" fontId="36" fillId="0" borderId="21" xfId="0" applyNumberFormat="1" applyFont="1" applyFill="1" applyBorder="1" applyAlignment="1" applyProtection="1" quotePrefix="1">
      <alignment horizontal="center"/>
      <protection locked="0"/>
    </xf>
    <xf numFmtId="168" fontId="36" fillId="0" borderId="22" xfId="0" applyNumberFormat="1" applyFont="1" applyFill="1" applyBorder="1" applyAlignment="1" applyProtection="1" quotePrefix="1">
      <alignment horizontal="center"/>
      <protection locked="0"/>
    </xf>
    <xf numFmtId="4" fontId="36" fillId="0" borderId="4" xfId="0" applyNumberFormat="1" applyFont="1" applyFill="1" applyBorder="1" applyAlignment="1" applyProtection="1">
      <alignment horizontal="center"/>
      <protection locked="0"/>
    </xf>
    <xf numFmtId="168" fontId="49" fillId="0" borderId="21" xfId="0" applyNumberFormat="1" applyFont="1" applyFill="1" applyBorder="1" applyAlignment="1" applyProtection="1" quotePrefix="1">
      <alignment horizontal="center"/>
      <protection locked="0"/>
    </xf>
    <xf numFmtId="168" fontId="49" fillId="0" borderId="22" xfId="0" applyNumberFormat="1" applyFont="1" applyFill="1" applyBorder="1" applyAlignment="1" applyProtection="1" quotePrefix="1">
      <alignment horizontal="center"/>
      <protection locked="0"/>
    </xf>
    <xf numFmtId="4" fontId="49" fillId="0" borderId="4" xfId="0" applyNumberFormat="1" applyFont="1" applyFill="1" applyBorder="1" applyAlignment="1" applyProtection="1">
      <alignment horizontal="center"/>
      <protection locked="0"/>
    </xf>
    <xf numFmtId="4" fontId="70" fillId="0" borderId="2" xfId="0" applyNumberFormat="1" applyFont="1" applyFill="1" applyBorder="1" applyAlignment="1" applyProtection="1">
      <alignment horizontal="center"/>
      <protection locked="0"/>
    </xf>
    <xf numFmtId="4" fontId="71" fillId="0" borderId="2" xfId="0" applyNumberFormat="1" applyFont="1" applyFill="1" applyBorder="1" applyAlignment="1" applyProtection="1">
      <alignment horizontal="center"/>
      <protection locked="0"/>
    </xf>
    <xf numFmtId="22" fontId="7" fillId="0" borderId="20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164" fontId="7" fillId="0" borderId="18" xfId="0" applyNumberFormat="1" applyFont="1" applyFill="1" applyBorder="1" applyAlignment="1" applyProtection="1">
      <alignment horizontal="center"/>
      <protection locked="0"/>
    </xf>
    <xf numFmtId="1" fontId="7" fillId="0" borderId="37" xfId="0" applyNumberFormat="1" applyFont="1" applyFill="1" applyBorder="1" applyAlignment="1" applyProtection="1">
      <alignment horizontal="center"/>
      <protection locked="0"/>
    </xf>
    <xf numFmtId="174" fontId="35" fillId="0" borderId="2" xfId="0" applyNumberFormat="1" applyFont="1" applyFill="1" applyBorder="1" applyAlignment="1" applyProtection="1">
      <alignment horizontal="center"/>
      <protection/>
    </xf>
    <xf numFmtId="165" fontId="7" fillId="0" borderId="35" xfId="0" applyNumberFormat="1" applyFont="1" applyBorder="1" applyAlignment="1" applyProtection="1">
      <alignment horizontal="center"/>
      <protection/>
    </xf>
    <xf numFmtId="168" fontId="7" fillId="0" borderId="68" xfId="0" applyNumberFormat="1" applyFont="1" applyBorder="1" applyAlignment="1" applyProtection="1">
      <alignment horizontal="center"/>
      <protection/>
    </xf>
    <xf numFmtId="168" fontId="7" fillId="0" borderId="69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" vertical="center"/>
      <protection/>
    </xf>
    <xf numFmtId="173" fontId="7" fillId="0" borderId="4" xfId="0" applyNumberFormat="1" applyFont="1" applyFill="1" applyBorder="1" applyAlignment="1" applyProtection="1" quotePrefix="1">
      <alignment horizontal="center"/>
      <protection/>
    </xf>
    <xf numFmtId="168" fontId="7" fillId="0" borderId="2" xfId="0" applyNumberFormat="1" applyFont="1" applyFill="1" applyBorder="1" applyAlignment="1" applyProtection="1" quotePrefix="1">
      <alignment horizontal="center"/>
      <protection/>
    </xf>
    <xf numFmtId="164" fontId="44" fillId="0" borderId="2" xfId="0" applyNumberFormat="1" applyFont="1" applyFill="1" applyBorder="1" applyAlignment="1" applyProtection="1">
      <alignment horizontal="center"/>
      <protection/>
    </xf>
    <xf numFmtId="2" fontId="75" fillId="0" borderId="2" xfId="0" applyNumberFormat="1" applyFont="1" applyFill="1" applyBorder="1" applyAlignment="1">
      <alignment horizontal="center"/>
    </xf>
    <xf numFmtId="2" fontId="76" fillId="0" borderId="2" xfId="0" applyNumberFormat="1" applyFont="1" applyFill="1" applyBorder="1" applyAlignment="1">
      <alignment horizontal="center"/>
    </xf>
    <xf numFmtId="168" fontId="36" fillId="0" borderId="36" xfId="0" applyNumberFormat="1" applyFont="1" applyFill="1" applyBorder="1" applyAlignment="1" applyProtection="1" quotePrefix="1">
      <alignment horizontal="center"/>
      <protection/>
    </xf>
    <xf numFmtId="168" fontId="36" fillId="0" borderId="37" xfId="0" applyNumberFormat="1" applyFont="1" applyFill="1" applyBorder="1" applyAlignment="1" applyProtection="1" quotePrefix="1">
      <alignment horizontal="center"/>
      <protection/>
    </xf>
    <xf numFmtId="168" fontId="77" fillId="0" borderId="36" xfId="0" applyNumberFormat="1" applyFont="1" applyFill="1" applyBorder="1" applyAlignment="1" applyProtection="1" quotePrefix="1">
      <alignment horizontal="center"/>
      <protection/>
    </xf>
    <xf numFmtId="168" fontId="77" fillId="0" borderId="37" xfId="0" applyNumberFormat="1" applyFont="1" applyFill="1" applyBorder="1" applyAlignment="1" applyProtection="1" quotePrefix="1">
      <alignment horizontal="center"/>
      <protection/>
    </xf>
    <xf numFmtId="168" fontId="46" fillId="0" borderId="2" xfId="0" applyNumberFormat="1" applyFont="1" applyFill="1" applyBorder="1" applyAlignment="1" applyProtection="1" quotePrefix="1">
      <alignment horizontal="center"/>
      <protection/>
    </xf>
    <xf numFmtId="168" fontId="78" fillId="0" borderId="18" xfId="0" applyNumberFormat="1" applyFont="1" applyFill="1" applyBorder="1" applyAlignment="1" applyProtection="1" quotePrefix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 locked="0"/>
    </xf>
    <xf numFmtId="1" fontId="7" fillId="0" borderId="37" xfId="0" applyNumberFormat="1" applyFont="1" applyFill="1" applyBorder="1" applyAlignment="1" applyProtection="1" quotePrefix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 quotePrefix="1">
      <alignment horizontal="center"/>
      <protection locked="0"/>
    </xf>
    <xf numFmtId="168" fontId="35" fillId="0" borderId="2" xfId="0" applyNumberFormat="1" applyFont="1" applyFill="1" applyBorder="1" applyAlignment="1" applyProtection="1">
      <alignment horizontal="center"/>
      <protection/>
    </xf>
    <xf numFmtId="22" fontId="7" fillId="0" borderId="21" xfId="0" applyNumberFormat="1" applyFont="1" applyFill="1" applyBorder="1" applyAlignment="1" applyProtection="1">
      <alignment horizontal="center"/>
      <protection locked="0"/>
    </xf>
    <xf numFmtId="2" fontId="77" fillId="0" borderId="2" xfId="0" applyNumberFormat="1" applyFont="1" applyFill="1" applyBorder="1" applyAlignment="1" applyProtection="1">
      <alignment horizontal="center"/>
      <protection/>
    </xf>
    <xf numFmtId="168" fontId="64" fillId="0" borderId="21" xfId="0" applyNumberFormat="1" applyFont="1" applyFill="1" applyBorder="1" applyAlignment="1" applyProtection="1" quotePrefix="1">
      <alignment horizontal="center"/>
      <protection/>
    </xf>
    <xf numFmtId="168" fontId="64" fillId="0" borderId="45" xfId="0" applyNumberFormat="1" applyFont="1" applyFill="1" applyBorder="1" applyAlignment="1" applyProtection="1" quotePrefix="1">
      <alignment horizontal="center"/>
      <protection/>
    </xf>
    <xf numFmtId="168" fontId="43" fillId="0" borderId="2" xfId="0" applyNumberFormat="1" applyFont="1" applyFill="1" applyBorder="1" applyAlignment="1" applyProtection="1" quotePrefix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164" fontId="9" fillId="0" borderId="2" xfId="0" applyNumberFormat="1" applyFont="1" applyFill="1" applyBorder="1" applyAlignment="1" applyProtection="1" quotePrefix="1">
      <alignment horizontal="center"/>
      <protection locked="0"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164" fontId="7" fillId="0" borderId="48" xfId="0" applyNumberFormat="1" applyFont="1" applyBorder="1" applyAlignment="1" applyProtection="1">
      <alignment horizontal="center"/>
      <protection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68" xfId="0" applyNumberFormat="1" applyFont="1" applyBorder="1" applyAlignment="1" applyProtection="1">
      <alignment horizontal="center"/>
      <protection/>
    </xf>
    <xf numFmtId="164" fontId="7" fillId="0" borderId="69" xfId="0" applyNumberFormat="1" applyFont="1" applyBorder="1" applyAlignment="1" applyProtection="1">
      <alignment horizontal="center"/>
      <protection/>
    </xf>
    <xf numFmtId="165" fontId="7" fillId="0" borderId="48" xfId="0" applyNumberFormat="1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7" fontId="10" fillId="0" borderId="49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2" fillId="0" borderId="68" xfId="0" applyFont="1" applyBorder="1" applyAlignment="1" applyProtection="1">
      <alignment horizontal="center"/>
      <protection/>
    </xf>
    <xf numFmtId="0" fontId="12" fillId="0" borderId="69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168" fontId="7" fillId="0" borderId="48" xfId="0" applyNumberFormat="1" applyFont="1" applyBorder="1" applyAlignment="1" applyProtection="1">
      <alignment horizontal="center"/>
      <protection/>
    </xf>
    <xf numFmtId="168" fontId="7" fillId="0" borderId="35" xfId="0" applyNumberFormat="1" applyFont="1" applyBorder="1" applyAlignment="1" applyProtection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EDENOR9604" xfId="23"/>
    <cellStyle name="Normal_líneas" xfId="24"/>
    <cellStyle name="Normal_PAFTT Anexo 28" xfId="25"/>
    <cellStyle name="Normal_TRAN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257175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267075"/>
          <a:ext cx="2695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247650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228600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3</xdr:col>
      <xdr:colOff>238125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276225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228600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266700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3</xdr:col>
      <xdr:colOff>285750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GT20">
            <v>1</v>
          </cell>
          <cell r="GZ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GQ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S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  <cell r="GV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  <cell r="GQ30">
            <v>1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Q43">
            <v>2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Z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GQ46" t="str">
            <v>XXXX</v>
          </cell>
          <cell r="GR46" t="str">
            <v>XXXX</v>
          </cell>
          <cell r="GS46" t="str">
            <v>XXXX</v>
          </cell>
          <cell r="GT46" t="str">
            <v>XXXX</v>
          </cell>
          <cell r="GU46" t="str">
            <v>XXXX</v>
          </cell>
          <cell r="GV46" t="str">
            <v>XXXX</v>
          </cell>
          <cell r="GW46" t="str">
            <v>XXXX</v>
          </cell>
          <cell r="GX46" t="str">
            <v>XXXX</v>
          </cell>
          <cell r="GY46" t="str">
            <v>XXXX</v>
          </cell>
          <cell r="GZ46" t="str">
            <v>XXXX</v>
          </cell>
          <cell r="HA46" t="str">
            <v>XXXX</v>
          </cell>
          <cell r="HB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GQ47">
            <v>1</v>
          </cell>
          <cell r="GZ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GZ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GQ54" t="str">
            <v>XXXX</v>
          </cell>
          <cell r="GR54" t="str">
            <v>XXXX</v>
          </cell>
          <cell r="GS54" t="str">
            <v>XXXX</v>
          </cell>
          <cell r="GT54" t="str">
            <v>XXXX</v>
          </cell>
          <cell r="GU54" t="str">
            <v>XXXX</v>
          </cell>
          <cell r="GV54" t="str">
            <v>XXXX</v>
          </cell>
          <cell r="GW54" t="str">
            <v>XXXX</v>
          </cell>
          <cell r="GX54" t="str">
            <v>XXXX</v>
          </cell>
          <cell r="GY54" t="str">
            <v>XXXX</v>
          </cell>
          <cell r="GZ54" t="str">
            <v>XXXX</v>
          </cell>
          <cell r="HA54" t="str">
            <v>XXXX</v>
          </cell>
          <cell r="HB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GQ57" t="str">
            <v>XXXX</v>
          </cell>
          <cell r="GR57" t="str">
            <v>XXXX</v>
          </cell>
          <cell r="GS57" t="str">
            <v>XXXX</v>
          </cell>
          <cell r="GT57" t="str">
            <v>XXXX</v>
          </cell>
          <cell r="GU57" t="str">
            <v>XXXX</v>
          </cell>
          <cell r="GV57" t="str">
            <v>XXXX</v>
          </cell>
          <cell r="GW57" t="str">
            <v>XXXX</v>
          </cell>
          <cell r="GX57" t="str">
            <v>XXXX</v>
          </cell>
          <cell r="GY57" t="str">
            <v>XXXX</v>
          </cell>
          <cell r="GZ57" t="str">
            <v>XXXX</v>
          </cell>
          <cell r="HA57" t="str">
            <v>XXXX</v>
          </cell>
          <cell r="HB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Q60">
            <v>2</v>
          </cell>
          <cell r="GZ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GQ61">
            <v>1</v>
          </cell>
          <cell r="GR61" t="str">
            <v>XXXX</v>
          </cell>
          <cell r="GS61" t="str">
            <v>XXXX</v>
          </cell>
          <cell r="GT61" t="str">
            <v>XXXX</v>
          </cell>
          <cell r="GU61" t="str">
            <v>XXXX</v>
          </cell>
          <cell r="GV61" t="str">
            <v>XXXX</v>
          </cell>
          <cell r="GW61" t="str">
            <v>XXXX</v>
          </cell>
          <cell r="GX61" t="str">
            <v>XXXX</v>
          </cell>
          <cell r="GY61" t="str">
            <v>XXXX</v>
          </cell>
          <cell r="GZ61" t="str">
            <v>XXXX</v>
          </cell>
          <cell r="HA61" t="str">
            <v>XXXX</v>
          </cell>
          <cell r="HB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G62" t="str">
            <v>B</v>
          </cell>
          <cell r="GQ62" t="str">
            <v>XXXX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G63" t="str">
            <v>C</v>
          </cell>
          <cell r="GQ63" t="str">
            <v>XXXX</v>
          </cell>
          <cell r="GU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G64" t="str">
            <v>C</v>
          </cell>
          <cell r="GQ64">
            <v>2</v>
          </cell>
          <cell r="GS64">
            <v>1</v>
          </cell>
          <cell r="GU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G65" t="str">
            <v>A</v>
          </cell>
          <cell r="GQ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G67" t="str">
            <v>C</v>
          </cell>
          <cell r="GZ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  <cell r="G68" t="str">
            <v>C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  <cell r="G69" t="str">
            <v>C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  <cell r="G70" t="str">
            <v>C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G71" t="str">
            <v>C</v>
          </cell>
          <cell r="GQ71">
            <v>1</v>
          </cell>
          <cell r="GS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G72" t="str">
            <v>C</v>
          </cell>
          <cell r="GT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G73" t="str">
            <v>C</v>
          </cell>
          <cell r="GS73">
            <v>1</v>
          </cell>
          <cell r="GT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G74" t="str">
            <v>C</v>
          </cell>
          <cell r="GQ74">
            <v>1</v>
          </cell>
          <cell r="GS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G75" t="str">
            <v>C</v>
          </cell>
          <cell r="GX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G76" t="str">
            <v>C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G78" t="str">
            <v>C</v>
          </cell>
          <cell r="GQ78">
            <v>1</v>
          </cell>
          <cell r="GS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G79" t="str">
            <v>C</v>
          </cell>
          <cell r="GS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  <cell r="G80" t="str">
            <v>A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  <cell r="G81" t="str">
            <v>A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  <cell r="G85" t="str">
            <v>B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  <cell r="G86" t="str">
            <v>B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  <cell r="G87" t="str">
            <v>A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  <cell r="G88" t="str">
            <v>C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G89" t="str">
            <v>B</v>
          </cell>
          <cell r="GQ89" t="str">
            <v>XXXX</v>
          </cell>
          <cell r="GR89" t="str">
            <v>XXXX</v>
          </cell>
          <cell r="GS89" t="str">
            <v>XXXX</v>
          </cell>
          <cell r="GT89" t="str">
            <v>XXXX</v>
          </cell>
          <cell r="GU89" t="str">
            <v>XXXX</v>
          </cell>
          <cell r="GV89" t="str">
            <v>XXXX</v>
          </cell>
          <cell r="GW89" t="str">
            <v>XXXX</v>
          </cell>
          <cell r="GX89" t="str">
            <v>XXXX</v>
          </cell>
          <cell r="GY89" t="str">
            <v>XXXX</v>
          </cell>
          <cell r="GZ89" t="str">
            <v>XXXX</v>
          </cell>
          <cell r="HA89" t="str">
            <v>XXXX</v>
          </cell>
          <cell r="HB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G91" t="str">
            <v>A</v>
          </cell>
        </row>
        <row r="101">
          <cell r="GQ101">
            <v>14</v>
          </cell>
          <cell r="GR101">
            <v>0</v>
          </cell>
          <cell r="GS101">
            <v>7</v>
          </cell>
          <cell r="GT101">
            <v>3</v>
          </cell>
          <cell r="GU101">
            <v>3</v>
          </cell>
          <cell r="GV101">
            <v>1</v>
          </cell>
          <cell r="GW101">
            <v>0</v>
          </cell>
          <cell r="GX101">
            <v>1</v>
          </cell>
          <cell r="GY101">
            <v>0</v>
          </cell>
          <cell r="GZ101">
            <v>7</v>
          </cell>
          <cell r="HA101">
            <v>0</v>
          </cell>
          <cell r="HB101">
            <v>0</v>
          </cell>
          <cell r="HC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1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19.8515625" style="5" customWidth="1"/>
    <col min="2" max="2" width="5.4218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23.0039062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797"/>
      <c r="B1" s="19"/>
      <c r="E1" s="54"/>
      <c r="K1" s="144"/>
    </row>
    <row r="2" spans="2:10" s="18" customFormat="1" ht="26.25">
      <c r="B2" s="19" t="s">
        <v>413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61</v>
      </c>
      <c r="C7" s="166"/>
      <c r="D7" s="167"/>
      <c r="E7" s="167"/>
      <c r="F7" s="168"/>
      <c r="G7" s="168"/>
      <c r="H7" s="168"/>
      <c r="I7" s="168"/>
      <c r="J7" s="168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60</v>
      </c>
      <c r="C9" s="166"/>
      <c r="D9" s="167"/>
      <c r="E9" s="167"/>
      <c r="F9" s="167"/>
      <c r="G9" s="167"/>
      <c r="H9" s="167"/>
      <c r="I9" s="168"/>
      <c r="J9" s="168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409</v>
      </c>
      <c r="C11" s="169"/>
      <c r="D11" s="170"/>
      <c r="E11" s="170"/>
      <c r="F11" s="167"/>
      <c r="G11" s="167"/>
      <c r="H11" s="167"/>
      <c r="I11" s="168"/>
      <c r="J11" s="168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776"/>
      <c r="C13" s="34"/>
      <c r="D13" s="34"/>
      <c r="E13" s="777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282</v>
      </c>
      <c r="C14" s="38"/>
      <c r="D14" s="39"/>
      <c r="E14" s="77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0"/>
      <c r="E15" s="164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60" t="s">
        <v>0</v>
      </c>
      <c r="E16" s="164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0">
        <v>11</v>
      </c>
      <c r="E17" s="161" t="s">
        <v>4</v>
      </c>
      <c r="F17" s="46"/>
      <c r="G17" s="46"/>
      <c r="H17" s="46"/>
      <c r="I17" s="49">
        <f>'LI-11 (1)'!AE43</f>
        <v>63236.33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0">
        <v>12</v>
      </c>
      <c r="E18" s="161" t="s">
        <v>62</v>
      </c>
      <c r="F18" s="46"/>
      <c r="G18" s="46"/>
      <c r="H18" s="46"/>
      <c r="I18" s="49">
        <f>'LI-YACY-11 (1)'!AE41</f>
        <v>186.08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60"/>
      <c r="E19" s="911"/>
      <c r="F19" s="912"/>
      <c r="G19" s="912"/>
      <c r="H19" s="912"/>
      <c r="I19" s="913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5</v>
      </c>
      <c r="D20" s="163" t="s">
        <v>6</v>
      </c>
      <c r="E20" s="914"/>
      <c r="F20" s="909"/>
      <c r="G20" s="909"/>
      <c r="H20" s="909"/>
      <c r="I20" s="910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0">
        <v>21</v>
      </c>
      <c r="E21" s="908" t="s">
        <v>7</v>
      </c>
      <c r="F21" s="909"/>
      <c r="G21" s="909"/>
      <c r="H21" s="909"/>
      <c r="I21" s="910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0"/>
      <c r="E22" s="915">
        <v>211</v>
      </c>
      <c r="F22" s="916" t="s">
        <v>4</v>
      </c>
      <c r="G22" s="909"/>
      <c r="H22" s="909"/>
      <c r="I22" s="910">
        <f>'TR-11 (2)'!AC43</f>
        <v>47181.6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0"/>
      <c r="E23" s="915">
        <v>212</v>
      </c>
      <c r="F23" s="916" t="s">
        <v>66</v>
      </c>
      <c r="G23" s="909"/>
      <c r="H23" s="909"/>
      <c r="I23" s="910">
        <f>'TR-TIBA-11 (1)'!AC41</f>
        <v>13230.86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0">
        <v>22</v>
      </c>
      <c r="E24" s="161" t="s">
        <v>8</v>
      </c>
      <c r="F24" s="46"/>
      <c r="G24" s="46"/>
      <c r="H24" s="46"/>
      <c r="I24" s="49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0"/>
      <c r="E25" s="162">
        <v>221</v>
      </c>
      <c r="F25" s="54" t="s">
        <v>4</v>
      </c>
      <c r="G25" s="46"/>
      <c r="H25" s="46"/>
      <c r="I25" s="49">
        <f>'SA-11 (2)'!V45</f>
        <v>197887.66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0"/>
      <c r="E26" s="162">
        <v>222</v>
      </c>
      <c r="F26" s="54" t="s">
        <v>66</v>
      </c>
      <c r="G26" s="46"/>
      <c r="H26" s="46"/>
      <c r="I26" s="49">
        <f>'SA-TIBA-11 (1)'!V43</f>
        <v>8607.76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ht="12.75" customHeight="1">
      <c r="B27" s="50"/>
      <c r="C27" s="51"/>
      <c r="D27" s="160"/>
      <c r="E27" s="779"/>
      <c r="F27" s="52"/>
      <c r="G27" s="52"/>
      <c r="H27" s="52"/>
      <c r="I27" s="53"/>
      <c r="J27" s="6"/>
      <c r="K27" s="43"/>
      <c r="L27" s="4"/>
      <c r="M27" s="4"/>
      <c r="N27" s="4"/>
      <c r="O27" s="4"/>
      <c r="P27" s="4"/>
      <c r="Q27" s="4"/>
      <c r="R27" s="4"/>
      <c r="S27" s="4"/>
    </row>
    <row r="28" spans="2:19" s="36" customFormat="1" ht="19.5">
      <c r="B28" s="44"/>
      <c r="C28" s="48" t="s">
        <v>9</v>
      </c>
      <c r="D28" s="163" t="s">
        <v>63</v>
      </c>
      <c r="E28" s="164"/>
      <c r="F28" s="46"/>
      <c r="G28" s="46"/>
      <c r="H28" s="46"/>
      <c r="I28" s="49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60">
        <v>31</v>
      </c>
      <c r="E29" s="161" t="s">
        <v>4</v>
      </c>
      <c r="F29" s="46"/>
      <c r="G29" s="46"/>
      <c r="H29" s="46"/>
      <c r="I29" s="49">
        <f>'RE-11 (2)'!Z42</f>
        <v>215515.76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2.75" customHeight="1">
      <c r="B30" s="44"/>
      <c r="C30" s="48"/>
      <c r="D30" s="160"/>
      <c r="E30" s="161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 t="s">
        <v>64</v>
      </c>
      <c r="D31" s="163" t="s">
        <v>65</v>
      </c>
      <c r="E31" s="164"/>
      <c r="F31" s="46"/>
      <c r="G31" s="46"/>
      <c r="H31" s="46"/>
      <c r="I31" s="49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0">
        <v>41</v>
      </c>
      <c r="E32" s="161" t="s">
        <v>62</v>
      </c>
      <c r="F32" s="46"/>
      <c r="G32" s="46"/>
      <c r="H32" s="46"/>
      <c r="I32" s="49">
        <f>'SUP-YACYLEC'!K70</f>
        <v>17.0478152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60">
        <v>42</v>
      </c>
      <c r="E33" s="161" t="s">
        <v>66</v>
      </c>
      <c r="F33" s="46"/>
      <c r="G33" s="46"/>
      <c r="H33" s="46"/>
      <c r="I33" s="49">
        <f>'SUP-TIBA'!J75</f>
        <v>4361.977046681213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1.25" customHeight="1">
      <c r="B34" s="44"/>
      <c r="C34" s="48"/>
      <c r="D34" s="160"/>
      <c r="E34" s="161"/>
      <c r="F34" s="46"/>
      <c r="G34" s="46"/>
      <c r="H34" s="808"/>
      <c r="I34" s="49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20.25" thickBot="1">
      <c r="B35" s="44"/>
      <c r="C35" s="45"/>
      <c r="D35" s="160"/>
      <c r="E35" s="164"/>
      <c r="F35" s="46"/>
      <c r="G35" s="46"/>
      <c r="H35" s="46"/>
      <c r="I35" s="43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20.25" thickBot="1" thickTop="1">
      <c r="B36" s="44"/>
      <c r="C36" s="48"/>
      <c r="D36" s="48"/>
      <c r="F36" s="55" t="s">
        <v>10</v>
      </c>
      <c r="G36" s="56">
        <f>SUM(I17:I33)</f>
        <v>550225.0748618813</v>
      </c>
      <c r="H36" s="125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9.75" customHeight="1" thickTop="1">
      <c r="B37" s="44"/>
      <c r="C37" s="48"/>
      <c r="D37" s="48"/>
      <c r="F37" s="159"/>
      <c r="G37" s="125"/>
      <c r="H37" s="125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8.75">
      <c r="B38" s="44"/>
      <c r="C38" s="932" t="s">
        <v>408</v>
      </c>
      <c r="D38" s="48"/>
      <c r="F38" s="159"/>
      <c r="G38" s="125"/>
      <c r="H38" s="125"/>
      <c r="I38" s="809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8.75">
      <c r="B39" s="44"/>
      <c r="C39" s="165" t="s">
        <v>407</v>
      </c>
      <c r="D39" s="48"/>
      <c r="F39" s="159"/>
      <c r="G39" s="125"/>
      <c r="H39" s="125"/>
      <c r="I39" s="809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2" customFormat="1" ht="10.5" customHeight="1" thickBot="1">
      <c r="B40" s="57"/>
      <c r="C40" s="58"/>
      <c r="D40" s="58"/>
      <c r="E40" s="59"/>
      <c r="F40" s="59"/>
      <c r="G40" s="59"/>
      <c r="H40" s="59"/>
      <c r="I40" s="59"/>
      <c r="J40" s="60"/>
      <c r="K40" s="33"/>
      <c r="L40" s="33"/>
      <c r="M40" s="61"/>
      <c r="N40" s="62"/>
      <c r="O40" s="62"/>
      <c r="P40" s="63"/>
      <c r="Q40" s="64"/>
      <c r="R40" s="33"/>
      <c r="S40" s="33"/>
    </row>
    <row r="41" spans="4:19" ht="13.5" thickTop="1">
      <c r="D41" s="4"/>
      <c r="F41" s="4"/>
      <c r="G41" s="4"/>
      <c r="H41" s="4"/>
      <c r="I41" s="4"/>
      <c r="J41" s="4"/>
      <c r="K41" s="4"/>
      <c r="L41" s="4"/>
      <c r="M41" s="15"/>
      <c r="N41" s="65"/>
      <c r="O41" s="65"/>
      <c r="P41" s="4"/>
      <c r="Q41" s="66"/>
      <c r="R41" s="4"/>
      <c r="S41" s="4"/>
    </row>
    <row r="42" spans="4:19" ht="12.75">
      <c r="D42" s="4"/>
      <c r="F42" s="4"/>
      <c r="G42" s="4"/>
      <c r="H42" s="4"/>
      <c r="I42" s="4"/>
      <c r="J42" s="4"/>
      <c r="K42" s="4"/>
      <c r="L42" s="4"/>
      <c r="M42" s="4"/>
      <c r="N42" s="67"/>
      <c r="O42" s="67"/>
      <c r="P42" s="68"/>
      <c r="Q42" s="66"/>
      <c r="R42" s="4"/>
      <c r="S42" s="4"/>
    </row>
    <row r="43" spans="4:19" ht="12.75">
      <c r="D43" s="4"/>
      <c r="E43" s="4"/>
      <c r="F43" s="4"/>
      <c r="G43" s="4"/>
      <c r="H43" s="4"/>
      <c r="I43" s="4"/>
      <c r="J43" s="4"/>
      <c r="K43" s="4"/>
      <c r="L43" s="4"/>
      <c r="M43" s="4"/>
      <c r="N43" s="67"/>
      <c r="O43" s="67"/>
      <c r="P43" s="68"/>
      <c r="Q43" s="66"/>
      <c r="R43" s="4"/>
      <c r="S43" s="4"/>
    </row>
    <row r="44" spans="4:19" ht="12.75">
      <c r="D44" s="4"/>
      <c r="E44" s="4"/>
      <c r="L44" s="4"/>
      <c r="M44" s="4"/>
      <c r="N44" s="4"/>
      <c r="O44" s="4"/>
      <c r="P44" s="4"/>
      <c r="Q44" s="4"/>
      <c r="R44" s="4"/>
      <c r="S44" s="4"/>
    </row>
    <row r="45" spans="4:19" ht="12.75">
      <c r="D45" s="4"/>
      <c r="E45" s="4"/>
      <c r="P45" s="4"/>
      <c r="Q45" s="4"/>
      <c r="R45" s="4"/>
      <c r="S45" s="4"/>
    </row>
    <row r="46" spans="4:19" ht="12.75">
      <c r="D46" s="4"/>
      <c r="E46" s="4"/>
      <c r="P46" s="4"/>
      <c r="Q46" s="4"/>
      <c r="R46" s="4"/>
      <c r="S46" s="4"/>
    </row>
    <row r="47" spans="4:19" ht="12.75">
      <c r="D47" s="4"/>
      <c r="E47" s="4"/>
      <c r="P47" s="4"/>
      <c r="Q47" s="4"/>
      <c r="R47" s="4"/>
      <c r="S47" s="4"/>
    </row>
    <row r="48" spans="4:19" ht="12.75">
      <c r="D48" s="4"/>
      <c r="E48" s="4"/>
      <c r="P48" s="4"/>
      <c r="Q48" s="4"/>
      <c r="R48" s="4"/>
      <c r="S48" s="4"/>
    </row>
    <row r="49" spans="4:19" ht="12.75">
      <c r="D49" s="4"/>
      <c r="E49" s="4"/>
      <c r="P49" s="4"/>
      <c r="Q49" s="4"/>
      <c r="R49" s="4"/>
      <c r="S49" s="4"/>
    </row>
    <row r="50" spans="16:19" ht="12.75">
      <c r="P50" s="4"/>
      <c r="Q50" s="4"/>
      <c r="R50" s="4"/>
      <c r="S50" s="4"/>
    </row>
    <row r="51" spans="16:19" ht="12.75">
      <c r="P51" s="4"/>
      <c r="Q51" s="4"/>
      <c r="R51" s="4"/>
      <c r="S51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C149"/>
  <sheetViews>
    <sheetView zoomScale="70" zoomScaleNormal="70" workbookViewId="0" topLeftCell="A1">
      <selection activeCell="Z33" sqref="Z3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95" t="str">
        <f>+'TOT-1110'!B2</f>
        <v>ANEXO  VI al Memorandum  D.T.E.E.  N°     381 /2012 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="5" customFormat="1" ht="1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1" t="s">
        <v>83</v>
      </c>
      <c r="G8" s="396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397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84</v>
      </c>
      <c r="H10" s="398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85</v>
      </c>
      <c r="H12" s="398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'TOT-1110'!B14</f>
        <v>Desde el 01 al 30 de noviembre de 2010</v>
      </c>
      <c r="C14" s="40"/>
      <c r="D14" s="40"/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399"/>
      <c r="S14" s="399"/>
      <c r="T14" s="399"/>
      <c r="U14" s="399"/>
      <c r="V14" s="399"/>
      <c r="W14" s="399"/>
      <c r="X14" s="399"/>
      <c r="Y14" s="399"/>
      <c r="Z14" s="399"/>
      <c r="AA14" s="401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75</v>
      </c>
      <c r="G16" s="402"/>
      <c r="H16" s="252">
        <v>0.45</v>
      </c>
      <c r="I16" s="350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03" t="s">
        <v>24</v>
      </c>
      <c r="G17" s="404"/>
      <c r="H17" s="807">
        <v>20</v>
      </c>
      <c r="I17" s="350"/>
      <c r="J17"/>
      <c r="K17" s="199"/>
      <c r="L17" s="200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06">
        <v>3</v>
      </c>
      <c r="D18" s="906">
        <v>4</v>
      </c>
      <c r="E18" s="906">
        <v>5</v>
      </c>
      <c r="F18" s="906">
        <v>6</v>
      </c>
      <c r="G18" s="906">
        <v>7</v>
      </c>
      <c r="H18" s="906">
        <v>8</v>
      </c>
      <c r="I18" s="906">
        <v>9</v>
      </c>
      <c r="J18" s="906">
        <v>10</v>
      </c>
      <c r="K18" s="906">
        <v>11</v>
      </c>
      <c r="L18" s="906">
        <v>12</v>
      </c>
      <c r="M18" s="906">
        <v>13</v>
      </c>
      <c r="N18" s="906">
        <v>14</v>
      </c>
      <c r="O18" s="906">
        <v>15</v>
      </c>
      <c r="P18" s="906">
        <v>16</v>
      </c>
      <c r="Q18" s="906">
        <v>17</v>
      </c>
      <c r="R18" s="906">
        <v>18</v>
      </c>
      <c r="S18" s="906">
        <v>19</v>
      </c>
      <c r="T18" s="906">
        <v>20</v>
      </c>
      <c r="U18" s="906">
        <v>21</v>
      </c>
      <c r="V18" s="906">
        <v>22</v>
      </c>
      <c r="W18" s="906">
        <v>23</v>
      </c>
      <c r="X18" s="906">
        <v>24</v>
      </c>
      <c r="Y18" s="906">
        <v>25</v>
      </c>
      <c r="Z18" s="906">
        <v>26</v>
      </c>
      <c r="AA18" s="6"/>
    </row>
    <row r="19" spans="2:27" s="5" customFormat="1" ht="33.75" customHeight="1" thickBot="1" thickTop="1">
      <c r="B19" s="50"/>
      <c r="C19" s="123" t="s">
        <v>12</v>
      </c>
      <c r="D19" s="84" t="s">
        <v>223</v>
      </c>
      <c r="E19" s="84" t="s">
        <v>224</v>
      </c>
      <c r="F19" s="86" t="s">
        <v>25</v>
      </c>
      <c r="G19" s="85" t="s">
        <v>26</v>
      </c>
      <c r="H19" s="406" t="s">
        <v>222</v>
      </c>
      <c r="I19" s="129" t="s">
        <v>15</v>
      </c>
      <c r="J19" s="85" t="s">
        <v>16</v>
      </c>
      <c r="K19" s="85" t="s">
        <v>17</v>
      </c>
      <c r="L19" s="86" t="s">
        <v>34</v>
      </c>
      <c r="M19" s="86" t="s">
        <v>29</v>
      </c>
      <c r="N19" s="88" t="s">
        <v>18</v>
      </c>
      <c r="O19" s="88" t="s">
        <v>56</v>
      </c>
      <c r="P19" s="85" t="s">
        <v>30</v>
      </c>
      <c r="Q19" s="129" t="s">
        <v>35</v>
      </c>
      <c r="R19" s="407" t="s">
        <v>69</v>
      </c>
      <c r="S19" s="408" t="s">
        <v>217</v>
      </c>
      <c r="T19" s="409"/>
      <c r="U19" s="256" t="s">
        <v>218</v>
      </c>
      <c r="V19" s="257"/>
      <c r="W19" s="410" t="s">
        <v>21</v>
      </c>
      <c r="X19" s="255" t="s">
        <v>20</v>
      </c>
      <c r="Y19" s="132" t="s">
        <v>73</v>
      </c>
      <c r="Z19" s="411" t="s">
        <v>23</v>
      </c>
      <c r="AA19" s="6"/>
    </row>
    <row r="20" spans="2:27" s="5" customFormat="1" ht="16.5" customHeight="1" thickTop="1">
      <c r="B20" s="50"/>
      <c r="C20" s="260"/>
      <c r="D20" s="260"/>
      <c r="E20" s="260"/>
      <c r="F20" s="413"/>
      <c r="G20" s="413"/>
      <c r="H20" s="413"/>
      <c r="I20" s="331"/>
      <c r="J20" s="414"/>
      <c r="K20" s="414"/>
      <c r="L20" s="412"/>
      <c r="M20" s="412"/>
      <c r="N20" s="413"/>
      <c r="O20" s="180"/>
      <c r="P20" s="412"/>
      <c r="Q20" s="415"/>
      <c r="R20" s="416"/>
      <c r="S20" s="417"/>
      <c r="T20" s="418"/>
      <c r="U20" s="269"/>
      <c r="V20" s="270"/>
      <c r="W20" s="419"/>
      <c r="X20" s="419"/>
      <c r="Y20" s="420"/>
      <c r="Z20" s="421"/>
      <c r="AA20" s="6"/>
    </row>
    <row r="21" spans="2:27" s="5" customFormat="1" ht="16.5" customHeight="1">
      <c r="B21" s="50"/>
      <c r="C21" s="274"/>
      <c r="D21" s="274"/>
      <c r="E21" s="274"/>
      <c r="F21" s="422"/>
      <c r="G21" s="423"/>
      <c r="H21" s="424"/>
      <c r="I21" s="425"/>
      <c r="J21" s="426"/>
      <c r="K21" s="427"/>
      <c r="L21" s="428"/>
      <c r="M21" s="429"/>
      <c r="N21" s="430"/>
      <c r="O21" s="181"/>
      <c r="P21" s="431"/>
      <c r="Q21" s="432"/>
      <c r="R21" s="433"/>
      <c r="S21" s="434"/>
      <c r="T21" s="435"/>
      <c r="U21" s="283"/>
      <c r="V21" s="284"/>
      <c r="W21" s="436"/>
      <c r="X21" s="436"/>
      <c r="Y21" s="431"/>
      <c r="Z21" s="437"/>
      <c r="AA21" s="6"/>
    </row>
    <row r="22" spans="2:27" s="5" customFormat="1" ht="16.5" customHeight="1">
      <c r="B22" s="50"/>
      <c r="C22" s="274">
        <v>91</v>
      </c>
      <c r="D22" s="274">
        <v>225675</v>
      </c>
      <c r="E22" s="152">
        <v>589</v>
      </c>
      <c r="F22" s="930" t="s">
        <v>361</v>
      </c>
      <c r="G22" s="928" t="s">
        <v>362</v>
      </c>
      <c r="H22" s="146">
        <v>245</v>
      </c>
      <c r="I22" s="291">
        <f aca="true" t="shared" si="0" ref="I22:I33">H22*$H$16</f>
        <v>110.25</v>
      </c>
      <c r="J22" s="378">
        <v>40483</v>
      </c>
      <c r="K22" s="185">
        <v>40513</v>
      </c>
      <c r="L22" s="379">
        <f aca="true" t="shared" si="1" ref="L22:L33">IF(F22="","",(K22-J22)*24)</f>
        <v>720</v>
      </c>
      <c r="M22" s="380">
        <f aca="true" t="shared" si="2" ref="M22:M33">IF(F22="","",ROUND((K22-J22)*24*60,0))</f>
        <v>43200</v>
      </c>
      <c r="N22" s="220" t="s">
        <v>283</v>
      </c>
      <c r="O22" s="923" t="s">
        <v>363</v>
      </c>
      <c r="P22" s="221" t="str">
        <f aca="true" t="shared" si="3" ref="P22:P33">IF(F22="","",IF(OR(N22="P",N22="RP"),"--","NO"))</f>
        <v>--</v>
      </c>
      <c r="Q22" s="879">
        <f aca="true" t="shared" si="4" ref="Q22:Q33">IF(OR(N22="P",N22="RP"),$H$17/10,$H$17)</f>
        <v>2</v>
      </c>
      <c r="R22" s="880">
        <f aca="true" t="shared" si="5" ref="R22:R33">IF(N22="P",I22*Q22*ROUND(M22/60,2),"--")</f>
        <v>158760</v>
      </c>
      <c r="S22" s="434" t="str">
        <f aca="true" t="shared" si="6" ref="S22:S33">IF(AND(N22="F",P22="NO"),I22*Q22,"--")</f>
        <v>--</v>
      </c>
      <c r="T22" s="435" t="str">
        <f aca="true" t="shared" si="7" ref="T22:T33">IF(N22="F",I22*Q22*ROUND(M22/60,2),"--")</f>
        <v>--</v>
      </c>
      <c r="U22" s="298" t="str">
        <f aca="true" t="shared" si="8" ref="U22:U33">IF(AND(N22="R",P22="NO"),I22*Q22*O22/100,"--")</f>
        <v>--</v>
      </c>
      <c r="V22" s="299" t="str">
        <f aca="true" t="shared" si="9" ref="V22:V33">IF(N22="R",I22*Q22*O22/100*ROUND(M22/60,2),"--")</f>
        <v>--</v>
      </c>
      <c r="W22" s="436" t="str">
        <f aca="true" t="shared" si="10" ref="W22:W33">IF(N22="RF",I22*Q22*ROUND(M22/60,2),"--")</f>
        <v>--</v>
      </c>
      <c r="X22" s="876" t="str">
        <f aca="true" t="shared" si="11" ref="X22:X33">IF(N22="RP",I22*Q22*O22/100*ROUND(M22/60,2),"--")</f>
        <v>--</v>
      </c>
      <c r="Y22" s="221" t="s">
        <v>202</v>
      </c>
      <c r="Z22" s="381">
        <f aca="true" t="shared" si="12" ref="Z22:Z33">IF(F22="","",SUM(R22:X22)*IF(Y22="SI",1,2)*IF(AND(O22&lt;&gt;"--",N22="RF"),O22/100,1))</f>
        <v>158760</v>
      </c>
      <c r="AA22" s="6"/>
    </row>
    <row r="23" spans="2:27" s="5" customFormat="1" ht="16.5" customHeight="1">
      <c r="B23" s="50"/>
      <c r="C23" s="274">
        <v>92</v>
      </c>
      <c r="D23" s="274">
        <v>227649</v>
      </c>
      <c r="E23" s="274">
        <v>651</v>
      </c>
      <c r="F23" s="930" t="s">
        <v>387</v>
      </c>
      <c r="G23" s="928" t="s">
        <v>388</v>
      </c>
      <c r="H23" s="146">
        <v>120</v>
      </c>
      <c r="I23" s="291">
        <f t="shared" si="0"/>
        <v>54</v>
      </c>
      <c r="J23" s="378">
        <v>40489.31319444445</v>
      </c>
      <c r="K23" s="185">
        <v>40491.520833333336</v>
      </c>
      <c r="L23" s="379">
        <f t="shared" si="1"/>
        <v>52.983333333337214</v>
      </c>
      <c r="M23" s="380">
        <f t="shared" si="2"/>
        <v>3179</v>
      </c>
      <c r="N23" s="220" t="s">
        <v>283</v>
      </c>
      <c r="O23" s="923" t="s">
        <v>363</v>
      </c>
      <c r="P23" s="221" t="str">
        <f t="shared" si="3"/>
        <v>--</v>
      </c>
      <c r="Q23" s="879">
        <f t="shared" si="4"/>
        <v>2</v>
      </c>
      <c r="R23" s="880">
        <f t="shared" si="5"/>
        <v>5721.839999999999</v>
      </c>
      <c r="S23" s="434" t="str">
        <f t="shared" si="6"/>
        <v>--</v>
      </c>
      <c r="T23" s="435" t="str">
        <f t="shared" si="7"/>
        <v>--</v>
      </c>
      <c r="U23" s="298" t="str">
        <f t="shared" si="8"/>
        <v>--</v>
      </c>
      <c r="V23" s="299" t="str">
        <f t="shared" si="9"/>
        <v>--</v>
      </c>
      <c r="W23" s="436" t="str">
        <f t="shared" si="10"/>
        <v>--</v>
      </c>
      <c r="X23" s="876" t="str">
        <f t="shared" si="11"/>
        <v>--</v>
      </c>
      <c r="Y23" s="221" t="s">
        <v>202</v>
      </c>
      <c r="Z23" s="381">
        <f t="shared" si="12"/>
        <v>5721.839999999999</v>
      </c>
      <c r="AA23" s="6"/>
    </row>
    <row r="24" spans="2:27" s="5" customFormat="1" ht="16.5" customHeight="1">
      <c r="B24" s="50"/>
      <c r="C24" s="274">
        <v>93</v>
      </c>
      <c r="D24" s="274">
        <v>227997</v>
      </c>
      <c r="E24" s="152">
        <v>613</v>
      </c>
      <c r="F24" s="930" t="s">
        <v>364</v>
      </c>
      <c r="G24" s="928" t="s">
        <v>365</v>
      </c>
      <c r="H24" s="146">
        <v>150</v>
      </c>
      <c r="I24" s="291">
        <f t="shared" si="0"/>
        <v>67.5</v>
      </c>
      <c r="J24" s="378">
        <v>40493.3625</v>
      </c>
      <c r="K24" s="185">
        <v>40502.72986111111</v>
      </c>
      <c r="L24" s="379">
        <f t="shared" si="1"/>
        <v>224.81666666659294</v>
      </c>
      <c r="M24" s="380">
        <f t="shared" si="2"/>
        <v>13489</v>
      </c>
      <c r="N24" s="220" t="s">
        <v>283</v>
      </c>
      <c r="O24" s="923" t="s">
        <v>363</v>
      </c>
      <c r="P24" s="221" t="str">
        <f t="shared" si="3"/>
        <v>--</v>
      </c>
      <c r="Q24" s="879">
        <f t="shared" si="4"/>
        <v>2</v>
      </c>
      <c r="R24" s="880">
        <f t="shared" si="5"/>
        <v>30350.7</v>
      </c>
      <c r="S24" s="434" t="str">
        <f t="shared" si="6"/>
        <v>--</v>
      </c>
      <c r="T24" s="435" t="str">
        <f t="shared" si="7"/>
        <v>--</v>
      </c>
      <c r="U24" s="298" t="str">
        <f t="shared" si="8"/>
        <v>--</v>
      </c>
      <c r="V24" s="299" t="str">
        <f t="shared" si="9"/>
        <v>--</v>
      </c>
      <c r="W24" s="436" t="str">
        <f t="shared" si="10"/>
        <v>--</v>
      </c>
      <c r="X24" s="876" t="str">
        <f t="shared" si="11"/>
        <v>--</v>
      </c>
      <c r="Y24" s="221" t="s">
        <v>202</v>
      </c>
      <c r="Z24" s="381">
        <f t="shared" si="12"/>
        <v>30350.7</v>
      </c>
      <c r="AA24" s="6"/>
    </row>
    <row r="25" spans="2:27" s="5" customFormat="1" ht="16.5" customHeight="1">
      <c r="B25" s="50"/>
      <c r="C25" s="274">
        <v>94</v>
      </c>
      <c r="D25" s="274">
        <v>228251</v>
      </c>
      <c r="E25" s="152">
        <v>630</v>
      </c>
      <c r="F25" s="930" t="s">
        <v>366</v>
      </c>
      <c r="G25" s="928" t="s">
        <v>367</v>
      </c>
      <c r="H25" s="146">
        <v>25</v>
      </c>
      <c r="I25" s="291">
        <f t="shared" si="0"/>
        <v>11.25</v>
      </c>
      <c r="J25" s="378">
        <v>40499.63680555556</v>
      </c>
      <c r="K25" s="185">
        <v>40507.47638888889</v>
      </c>
      <c r="L25" s="379">
        <f t="shared" si="1"/>
        <v>188.15000000002328</v>
      </c>
      <c r="M25" s="380">
        <f t="shared" si="2"/>
        <v>11289</v>
      </c>
      <c r="N25" s="220" t="s">
        <v>283</v>
      </c>
      <c r="O25" s="923" t="s">
        <v>363</v>
      </c>
      <c r="P25" s="221" t="str">
        <f t="shared" si="3"/>
        <v>--</v>
      </c>
      <c r="Q25" s="879">
        <f t="shared" si="4"/>
        <v>2</v>
      </c>
      <c r="R25" s="880">
        <f t="shared" si="5"/>
        <v>4233.375</v>
      </c>
      <c r="S25" s="434" t="str">
        <f t="shared" si="6"/>
        <v>--</v>
      </c>
      <c r="T25" s="435" t="str">
        <f t="shared" si="7"/>
        <v>--</v>
      </c>
      <c r="U25" s="298" t="str">
        <f t="shared" si="8"/>
        <v>--</v>
      </c>
      <c r="V25" s="299" t="str">
        <f t="shared" si="9"/>
        <v>--</v>
      </c>
      <c r="W25" s="436" t="str">
        <f t="shared" si="10"/>
        <v>--</v>
      </c>
      <c r="X25" s="876" t="str">
        <f t="shared" si="11"/>
        <v>--</v>
      </c>
      <c r="Y25" s="221" t="s">
        <v>202</v>
      </c>
      <c r="Z25" s="381">
        <f t="shared" si="12"/>
        <v>4233.375</v>
      </c>
      <c r="AA25" s="441"/>
    </row>
    <row r="26" spans="2:27" s="5" customFormat="1" ht="16.5" customHeight="1">
      <c r="B26" s="50"/>
      <c r="C26" s="274">
        <v>95</v>
      </c>
      <c r="D26" s="274">
        <v>228264</v>
      </c>
      <c r="E26" s="274">
        <v>590</v>
      </c>
      <c r="F26" s="930" t="s">
        <v>361</v>
      </c>
      <c r="G26" s="928" t="s">
        <v>368</v>
      </c>
      <c r="H26" s="146">
        <v>245</v>
      </c>
      <c r="I26" s="291">
        <f t="shared" si="0"/>
        <v>110.25</v>
      </c>
      <c r="J26" s="378">
        <v>40502.350694444445</v>
      </c>
      <c r="K26" s="185">
        <v>40503.89236111111</v>
      </c>
      <c r="L26" s="379">
        <f t="shared" si="1"/>
        <v>36.99999999994179</v>
      </c>
      <c r="M26" s="380">
        <f t="shared" si="2"/>
        <v>2220</v>
      </c>
      <c r="N26" s="220" t="s">
        <v>283</v>
      </c>
      <c r="O26" s="923" t="s">
        <v>363</v>
      </c>
      <c r="P26" s="221" t="str">
        <f t="shared" si="3"/>
        <v>--</v>
      </c>
      <c r="Q26" s="879">
        <f t="shared" si="4"/>
        <v>2</v>
      </c>
      <c r="R26" s="880">
        <f t="shared" si="5"/>
        <v>8158.5</v>
      </c>
      <c r="S26" s="434" t="str">
        <f t="shared" si="6"/>
        <v>--</v>
      </c>
      <c r="T26" s="435" t="str">
        <f t="shared" si="7"/>
        <v>--</v>
      </c>
      <c r="U26" s="298" t="str">
        <f t="shared" si="8"/>
        <v>--</v>
      </c>
      <c r="V26" s="299" t="str">
        <f t="shared" si="9"/>
        <v>--</v>
      </c>
      <c r="W26" s="436" t="str">
        <f t="shared" si="10"/>
        <v>--</v>
      </c>
      <c r="X26" s="876" t="str">
        <f t="shared" si="11"/>
        <v>--</v>
      </c>
      <c r="Y26" s="221" t="s">
        <v>202</v>
      </c>
      <c r="Z26" s="381">
        <f t="shared" si="12"/>
        <v>8158.5</v>
      </c>
      <c r="AA26" s="441"/>
    </row>
    <row r="27" spans="2:27" s="5" customFormat="1" ht="16.5" customHeight="1">
      <c r="B27" s="50"/>
      <c r="C27" s="274">
        <v>96</v>
      </c>
      <c r="D27" s="274">
        <v>228278</v>
      </c>
      <c r="E27" s="274">
        <v>590</v>
      </c>
      <c r="F27" s="930" t="s">
        <v>361</v>
      </c>
      <c r="G27" s="928" t="s">
        <v>368</v>
      </c>
      <c r="H27" s="146">
        <v>245</v>
      </c>
      <c r="I27" s="291">
        <f t="shared" si="0"/>
        <v>110.25</v>
      </c>
      <c r="J27" s="378">
        <v>40503.97777777778</v>
      </c>
      <c r="K27" s="185">
        <v>40503.99652777778</v>
      </c>
      <c r="L27" s="379">
        <f t="shared" si="1"/>
        <v>0.4500000000698492</v>
      </c>
      <c r="M27" s="380">
        <f t="shared" si="2"/>
        <v>27</v>
      </c>
      <c r="N27" s="220" t="s">
        <v>296</v>
      </c>
      <c r="O27" s="923" t="s">
        <v>363</v>
      </c>
      <c r="P27" s="221" t="s">
        <v>202</v>
      </c>
      <c r="Q27" s="879">
        <f t="shared" si="4"/>
        <v>20</v>
      </c>
      <c r="R27" s="880" t="str">
        <f t="shared" si="5"/>
        <v>--</v>
      </c>
      <c r="S27" s="434" t="str">
        <f t="shared" si="6"/>
        <v>--</v>
      </c>
      <c r="T27" s="435">
        <f t="shared" si="7"/>
        <v>992.25</v>
      </c>
      <c r="U27" s="298" t="str">
        <f t="shared" si="8"/>
        <v>--</v>
      </c>
      <c r="V27" s="299" t="str">
        <f t="shared" si="9"/>
        <v>--</v>
      </c>
      <c r="W27" s="436" t="str">
        <f t="shared" si="10"/>
        <v>--</v>
      </c>
      <c r="X27" s="876" t="str">
        <f t="shared" si="11"/>
        <v>--</v>
      </c>
      <c r="Y27" s="221" t="s">
        <v>202</v>
      </c>
      <c r="Z27" s="381">
        <f t="shared" si="12"/>
        <v>992.25</v>
      </c>
      <c r="AA27" s="441"/>
    </row>
    <row r="28" spans="2:27" s="5" customFormat="1" ht="16.5" customHeight="1">
      <c r="B28" s="50"/>
      <c r="C28" s="274">
        <v>97</v>
      </c>
      <c r="D28" s="274">
        <v>228518</v>
      </c>
      <c r="E28" s="152">
        <v>631</v>
      </c>
      <c r="F28" s="930" t="s">
        <v>366</v>
      </c>
      <c r="G28" s="928" t="s">
        <v>369</v>
      </c>
      <c r="H28" s="146">
        <v>25</v>
      </c>
      <c r="I28" s="291">
        <f t="shared" si="0"/>
        <v>11.25</v>
      </c>
      <c r="J28" s="378">
        <v>40507.52222222222</v>
      </c>
      <c r="K28" s="185">
        <v>40512.99930555555</v>
      </c>
      <c r="L28" s="379">
        <f t="shared" si="1"/>
        <v>131.44999999995343</v>
      </c>
      <c r="M28" s="380">
        <f t="shared" si="2"/>
        <v>7887</v>
      </c>
      <c r="N28" s="220" t="s">
        <v>283</v>
      </c>
      <c r="O28" s="923" t="s">
        <v>363</v>
      </c>
      <c r="P28" s="221" t="str">
        <f t="shared" si="3"/>
        <v>--</v>
      </c>
      <c r="Q28" s="879">
        <f t="shared" si="4"/>
        <v>2</v>
      </c>
      <c r="R28" s="880">
        <f t="shared" si="5"/>
        <v>2957.6249999999995</v>
      </c>
      <c r="S28" s="434" t="str">
        <f t="shared" si="6"/>
        <v>--</v>
      </c>
      <c r="T28" s="435" t="str">
        <f t="shared" si="7"/>
        <v>--</v>
      </c>
      <c r="U28" s="298" t="str">
        <f t="shared" si="8"/>
        <v>--</v>
      </c>
      <c r="V28" s="299" t="str">
        <f t="shared" si="9"/>
        <v>--</v>
      </c>
      <c r="W28" s="436" t="str">
        <f t="shared" si="10"/>
        <v>--</v>
      </c>
      <c r="X28" s="876" t="str">
        <f t="shared" si="11"/>
        <v>--</v>
      </c>
      <c r="Y28" s="221" t="s">
        <v>202</v>
      </c>
      <c r="Z28" s="381">
        <f t="shared" si="12"/>
        <v>2957.6249999999995</v>
      </c>
      <c r="AA28" s="6"/>
    </row>
    <row r="29" spans="2:27" s="5" customFormat="1" ht="16.5" customHeight="1">
      <c r="B29" s="50"/>
      <c r="C29" s="274">
        <v>98</v>
      </c>
      <c r="D29" s="274">
        <v>228532</v>
      </c>
      <c r="E29" s="152">
        <v>587</v>
      </c>
      <c r="F29" s="930" t="s">
        <v>361</v>
      </c>
      <c r="G29" s="928" t="s">
        <v>370</v>
      </c>
      <c r="H29" s="146">
        <v>245</v>
      </c>
      <c r="I29" s="291">
        <f t="shared" si="0"/>
        <v>110.25</v>
      </c>
      <c r="J29" s="378">
        <v>40509.15902777778</v>
      </c>
      <c r="K29" s="185">
        <v>40509.73611111111</v>
      </c>
      <c r="L29" s="379">
        <f t="shared" si="1"/>
        <v>13.84999999991851</v>
      </c>
      <c r="M29" s="380">
        <f t="shared" si="2"/>
        <v>831</v>
      </c>
      <c r="N29" s="220" t="s">
        <v>283</v>
      </c>
      <c r="O29" s="923" t="s">
        <v>363</v>
      </c>
      <c r="P29" s="221" t="str">
        <f t="shared" si="3"/>
        <v>--</v>
      </c>
      <c r="Q29" s="879">
        <f t="shared" si="4"/>
        <v>2</v>
      </c>
      <c r="R29" s="880">
        <f t="shared" si="5"/>
        <v>3053.9249999999997</v>
      </c>
      <c r="S29" s="434" t="str">
        <f t="shared" si="6"/>
        <v>--</v>
      </c>
      <c r="T29" s="435" t="str">
        <f t="shared" si="7"/>
        <v>--</v>
      </c>
      <c r="U29" s="298" t="str">
        <f t="shared" si="8"/>
        <v>--</v>
      </c>
      <c r="V29" s="299" t="str">
        <f t="shared" si="9"/>
        <v>--</v>
      </c>
      <c r="W29" s="436" t="str">
        <f t="shared" si="10"/>
        <v>--</v>
      </c>
      <c r="X29" s="876" t="str">
        <f t="shared" si="11"/>
        <v>--</v>
      </c>
      <c r="Y29" s="221" t="s">
        <v>202</v>
      </c>
      <c r="Z29" s="381">
        <v>0</v>
      </c>
      <c r="AA29" s="6"/>
    </row>
    <row r="30" spans="2:27" s="5" customFormat="1" ht="16.5" customHeight="1">
      <c r="B30" s="50"/>
      <c r="C30" s="274">
        <v>99</v>
      </c>
      <c r="D30" s="274">
        <v>228533</v>
      </c>
      <c r="E30" s="274">
        <v>588</v>
      </c>
      <c r="F30" s="930" t="s">
        <v>361</v>
      </c>
      <c r="G30" s="928" t="s">
        <v>371</v>
      </c>
      <c r="H30" s="146">
        <v>245</v>
      </c>
      <c r="I30" s="291">
        <f t="shared" si="0"/>
        <v>110.25</v>
      </c>
      <c r="J30" s="378">
        <v>40509.15902777778</v>
      </c>
      <c r="K30" s="185">
        <v>40509.7375</v>
      </c>
      <c r="L30" s="379">
        <f t="shared" si="1"/>
        <v>13.883333333360497</v>
      </c>
      <c r="M30" s="380">
        <f t="shared" si="2"/>
        <v>833</v>
      </c>
      <c r="N30" s="220" t="s">
        <v>283</v>
      </c>
      <c r="O30" s="923" t="s">
        <v>363</v>
      </c>
      <c r="P30" s="221" t="str">
        <f t="shared" si="3"/>
        <v>--</v>
      </c>
      <c r="Q30" s="879">
        <f t="shared" si="4"/>
        <v>2</v>
      </c>
      <c r="R30" s="880">
        <f t="shared" si="5"/>
        <v>3060.54</v>
      </c>
      <c r="S30" s="434" t="str">
        <f t="shared" si="6"/>
        <v>--</v>
      </c>
      <c r="T30" s="435" t="str">
        <f t="shared" si="7"/>
        <v>--</v>
      </c>
      <c r="U30" s="298" t="str">
        <f t="shared" si="8"/>
        <v>--</v>
      </c>
      <c r="V30" s="299" t="str">
        <f t="shared" si="9"/>
        <v>--</v>
      </c>
      <c r="W30" s="436" t="str">
        <f t="shared" si="10"/>
        <v>--</v>
      </c>
      <c r="X30" s="876" t="str">
        <f t="shared" si="11"/>
        <v>--</v>
      </c>
      <c r="Y30" s="221" t="s">
        <v>202</v>
      </c>
      <c r="Z30" s="381">
        <v>0</v>
      </c>
      <c r="AA30" s="6"/>
    </row>
    <row r="31" spans="2:27" s="5" customFormat="1" ht="16.5" customHeight="1">
      <c r="B31" s="50"/>
      <c r="C31" s="274">
        <v>100</v>
      </c>
      <c r="D31" s="274">
        <v>228535</v>
      </c>
      <c r="E31" s="274">
        <v>587</v>
      </c>
      <c r="F31" s="930" t="s">
        <v>361</v>
      </c>
      <c r="G31" s="928" t="s">
        <v>370</v>
      </c>
      <c r="H31" s="146">
        <v>245</v>
      </c>
      <c r="I31" s="291">
        <f t="shared" si="0"/>
        <v>110.25</v>
      </c>
      <c r="J31" s="378">
        <v>40510.33611111111</v>
      </c>
      <c r="K31" s="185">
        <v>40510.808333333334</v>
      </c>
      <c r="L31" s="379">
        <f t="shared" si="1"/>
        <v>11.333333333430346</v>
      </c>
      <c r="M31" s="380">
        <f t="shared" si="2"/>
        <v>680</v>
      </c>
      <c r="N31" s="220" t="s">
        <v>283</v>
      </c>
      <c r="O31" s="923" t="s">
        <v>363</v>
      </c>
      <c r="P31" s="221" t="str">
        <f t="shared" si="3"/>
        <v>--</v>
      </c>
      <c r="Q31" s="879">
        <f t="shared" si="4"/>
        <v>2</v>
      </c>
      <c r="R31" s="880">
        <f t="shared" si="5"/>
        <v>2498.265</v>
      </c>
      <c r="S31" s="434" t="str">
        <f t="shared" si="6"/>
        <v>--</v>
      </c>
      <c r="T31" s="435" t="str">
        <f t="shared" si="7"/>
        <v>--</v>
      </c>
      <c r="U31" s="298" t="str">
        <f t="shared" si="8"/>
        <v>--</v>
      </c>
      <c r="V31" s="299" t="str">
        <f t="shared" si="9"/>
        <v>--</v>
      </c>
      <c r="W31" s="436" t="str">
        <f t="shared" si="10"/>
        <v>--</v>
      </c>
      <c r="X31" s="876" t="str">
        <f t="shared" si="11"/>
        <v>--</v>
      </c>
      <c r="Y31" s="221" t="s">
        <v>202</v>
      </c>
      <c r="Z31" s="381">
        <v>0</v>
      </c>
      <c r="AA31" s="6"/>
    </row>
    <row r="32" spans="2:27" s="5" customFormat="1" ht="16.5" customHeight="1">
      <c r="B32" s="50"/>
      <c r="C32" s="274">
        <v>101</v>
      </c>
      <c r="D32" s="274">
        <v>228536</v>
      </c>
      <c r="E32" s="152">
        <v>588</v>
      </c>
      <c r="F32" s="930" t="s">
        <v>361</v>
      </c>
      <c r="G32" s="928" t="s">
        <v>371</v>
      </c>
      <c r="H32" s="146">
        <v>245</v>
      </c>
      <c r="I32" s="291">
        <f t="shared" si="0"/>
        <v>110.25</v>
      </c>
      <c r="J32" s="378">
        <v>40510.33611111111</v>
      </c>
      <c r="K32" s="185">
        <v>40510.88333333333</v>
      </c>
      <c r="L32" s="379">
        <f t="shared" si="1"/>
        <v>13.133333333360497</v>
      </c>
      <c r="M32" s="380">
        <f t="shared" si="2"/>
        <v>788</v>
      </c>
      <c r="N32" s="220" t="s">
        <v>283</v>
      </c>
      <c r="O32" s="923" t="s">
        <v>363</v>
      </c>
      <c r="P32" s="221" t="str">
        <f t="shared" si="3"/>
        <v>--</v>
      </c>
      <c r="Q32" s="879">
        <f t="shared" si="4"/>
        <v>2</v>
      </c>
      <c r="R32" s="880">
        <f t="shared" si="5"/>
        <v>2895.165</v>
      </c>
      <c r="S32" s="434" t="str">
        <f t="shared" si="6"/>
        <v>--</v>
      </c>
      <c r="T32" s="435" t="str">
        <f t="shared" si="7"/>
        <v>--</v>
      </c>
      <c r="U32" s="298" t="str">
        <f t="shared" si="8"/>
        <v>--</v>
      </c>
      <c r="V32" s="299" t="str">
        <f t="shared" si="9"/>
        <v>--</v>
      </c>
      <c r="W32" s="436" t="str">
        <f t="shared" si="10"/>
        <v>--</v>
      </c>
      <c r="X32" s="876" t="str">
        <f t="shared" si="11"/>
        <v>--</v>
      </c>
      <c r="Y32" s="221" t="s">
        <v>202</v>
      </c>
      <c r="Z32" s="381">
        <v>0</v>
      </c>
      <c r="AA32" s="6"/>
    </row>
    <row r="33" spans="2:27" s="5" customFormat="1" ht="16.5" customHeight="1">
      <c r="B33" s="50"/>
      <c r="C33" s="274"/>
      <c r="D33" s="274"/>
      <c r="E33" s="274"/>
      <c r="F33" s="438"/>
      <c r="G33" s="376"/>
      <c r="H33" s="439"/>
      <c r="I33" s="291">
        <f t="shared" si="0"/>
        <v>0</v>
      </c>
      <c r="J33" s="378"/>
      <c r="K33" s="185"/>
      <c r="L33" s="379">
        <f t="shared" si="1"/>
      </c>
      <c r="M33" s="380">
        <f t="shared" si="2"/>
      </c>
      <c r="N33" s="220"/>
      <c r="O33" s="515">
        <f>IF(F33="","","--")</f>
      </c>
      <c r="P33" s="221">
        <f t="shared" si="3"/>
      </c>
      <c r="Q33" s="879">
        <f t="shared" si="4"/>
        <v>20</v>
      </c>
      <c r="R33" s="880" t="str">
        <f t="shared" si="5"/>
        <v>--</v>
      </c>
      <c r="S33" s="434" t="str">
        <f t="shared" si="6"/>
        <v>--</v>
      </c>
      <c r="T33" s="435" t="str">
        <f t="shared" si="7"/>
        <v>--</v>
      </c>
      <c r="U33" s="298" t="str">
        <f t="shared" si="8"/>
        <v>--</v>
      </c>
      <c r="V33" s="299" t="str">
        <f t="shared" si="9"/>
        <v>--</v>
      </c>
      <c r="W33" s="436" t="str">
        <f t="shared" si="10"/>
        <v>--</v>
      </c>
      <c r="X33" s="876" t="str">
        <f t="shared" si="11"/>
        <v>--</v>
      </c>
      <c r="Y33" s="221">
        <f>IF(F33="","","SI")</f>
      </c>
      <c r="Z33" s="381">
        <f t="shared" si="12"/>
      </c>
      <c r="AA33" s="6"/>
    </row>
    <row r="34" spans="2:27" s="5" customFormat="1" ht="16.5" customHeight="1" thickBot="1">
      <c r="B34" s="50"/>
      <c r="C34" s="442"/>
      <c r="D34" s="442"/>
      <c r="E34" s="442"/>
      <c r="F34" s="442"/>
      <c r="G34" s="442"/>
      <c r="H34" s="442"/>
      <c r="I34" s="131"/>
      <c r="J34" s="382"/>
      <c r="K34" s="382"/>
      <c r="L34" s="383"/>
      <c r="M34" s="383"/>
      <c r="N34" s="382"/>
      <c r="O34" s="189"/>
      <c r="P34" s="151"/>
      <c r="Q34" s="443"/>
      <c r="R34" s="444"/>
      <c r="S34" s="445"/>
      <c r="T34" s="446"/>
      <c r="U34" s="316"/>
      <c r="V34" s="317"/>
      <c r="W34" s="447"/>
      <c r="X34" s="447"/>
      <c r="Y34" s="151"/>
      <c r="Z34" s="448"/>
      <c r="AA34" s="6"/>
    </row>
    <row r="35" spans="2:27" s="5" customFormat="1" ht="16.5" customHeight="1" thickBot="1" thickTop="1">
      <c r="B35" s="50"/>
      <c r="C35" s="933" t="s">
        <v>391</v>
      </c>
      <c r="D35" t="s">
        <v>390</v>
      </c>
      <c r="E35" s="127"/>
      <c r="F35" s="128"/>
      <c r="I35" s="4"/>
      <c r="J35" s="4"/>
      <c r="K35" s="4"/>
      <c r="L35" s="4"/>
      <c r="M35" s="4"/>
      <c r="N35" s="4"/>
      <c r="O35" s="4"/>
      <c r="P35" s="4"/>
      <c r="Q35" s="4"/>
      <c r="R35" s="449">
        <f aca="true" t="shared" si="13" ref="R35:X35">SUM(R20:R34)</f>
        <v>221689.93500000003</v>
      </c>
      <c r="S35" s="450">
        <f t="shared" si="13"/>
        <v>0</v>
      </c>
      <c r="T35" s="451">
        <f t="shared" si="13"/>
        <v>992.25</v>
      </c>
      <c r="U35" s="326">
        <f t="shared" si="13"/>
        <v>0</v>
      </c>
      <c r="V35" s="327">
        <f t="shared" si="13"/>
        <v>0</v>
      </c>
      <c r="W35" s="452">
        <f t="shared" si="13"/>
        <v>0</v>
      </c>
      <c r="X35" s="452">
        <f t="shared" si="13"/>
        <v>0</v>
      </c>
      <c r="Z35" s="100">
        <f>ROUND(SUM(Z20:Z34),2)</f>
        <v>211174.29</v>
      </c>
      <c r="AA35" s="453"/>
    </row>
    <row r="36" spans="2:27" s="5" customFormat="1" ht="16.5" customHeight="1" thickBot="1" thickTop="1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</row>
    <row r="37" spans="6:29" ht="16.5" customHeight="1" thickTop="1">
      <c r="F37" s="174"/>
      <c r="G37" s="174"/>
      <c r="H37" s="174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</row>
    <row r="38" spans="6:29" ht="16.5" customHeight="1">
      <c r="F38" s="174"/>
      <c r="G38" s="174"/>
      <c r="H38" s="174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</row>
    <row r="39" spans="6:29" ht="16.5" customHeight="1">
      <c r="F39" s="174"/>
      <c r="G39" s="174"/>
      <c r="H39" s="174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</row>
    <row r="40" spans="6:29" ht="16.5" customHeight="1">
      <c r="F40" s="174"/>
      <c r="G40" s="174"/>
      <c r="H40" s="174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</row>
    <row r="41" spans="6:29" ht="16.5" customHeight="1">
      <c r="F41" s="174"/>
      <c r="G41" s="174"/>
      <c r="H41" s="174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</row>
    <row r="42" spans="6:29" ht="16.5" customHeight="1">
      <c r="F42" s="174"/>
      <c r="G42" s="174"/>
      <c r="H42" s="174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</row>
    <row r="43" spans="6:29" ht="16.5" customHeight="1"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</row>
    <row r="44" spans="6:29" ht="16.5" customHeight="1"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</row>
    <row r="45" spans="6:29" ht="16.5" customHeight="1"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6:29" ht="16.5" customHeight="1"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6:29" ht="16.5" customHeight="1"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6:29" ht="16.5" customHeight="1"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6:29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6:29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6:29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6:29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6:29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6:29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6:29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</row>
    <row r="56" spans="6:29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6:29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6:29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6:29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6:29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</row>
    <row r="61" spans="6:29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6:29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6:29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</row>
    <row r="64" spans="6:29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</row>
    <row r="65" spans="6:29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</row>
    <row r="66" spans="6:29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6:29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6:29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6:29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6:29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6:29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6:29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6:29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6:29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6:29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</row>
    <row r="76" spans="6:29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</row>
    <row r="77" spans="6:29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</row>
    <row r="78" spans="6:29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</row>
    <row r="79" spans="6:29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</row>
    <row r="80" spans="6:29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</row>
    <row r="81" spans="6:29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6:29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</row>
    <row r="83" spans="6:29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</row>
    <row r="84" spans="6:29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</row>
    <row r="85" spans="6:29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6:29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6:29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6:29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6:29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6:29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6:29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6:29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6:29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</row>
    <row r="94" spans="6:29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</row>
    <row r="95" spans="6:29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</row>
    <row r="96" spans="6:29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</row>
    <row r="97" spans="6:29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6:29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6:29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6:29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6:29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6:29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</row>
    <row r="103" spans="6:29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6:29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6:29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6:29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6:29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6:29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6:29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6:29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6:29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6:29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6:29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6:29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6:29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6:29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6:29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6:29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6:29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6:29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6:29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6:29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6:29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6:29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6:29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6:29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6:29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6:29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6:29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6:29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6:29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6:29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6:29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6:29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6:29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6:29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6:29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6:29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6:29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6:29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6:29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6:29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6:29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6:29" ht="16.5" customHeight="1">
      <c r="F144" s="172"/>
      <c r="G144" s="172"/>
      <c r="H144" s="172"/>
      <c r="AB144" s="172"/>
      <c r="AC144" s="172"/>
    </row>
    <row r="145" spans="6:8" ht="16.5" customHeight="1">
      <c r="F145" s="172"/>
      <c r="G145" s="172"/>
      <c r="H145" s="172"/>
    </row>
    <row r="146" spans="6:8" ht="16.5" customHeight="1">
      <c r="F146" s="172"/>
      <c r="G146" s="172"/>
      <c r="H146" s="172"/>
    </row>
    <row r="147" spans="6:8" ht="16.5" customHeight="1">
      <c r="F147" s="172"/>
      <c r="G147" s="172"/>
      <c r="H147" s="172"/>
    </row>
    <row r="148" spans="6:8" ht="16.5" customHeight="1">
      <c r="F148" s="172"/>
      <c r="G148" s="172"/>
      <c r="H148" s="172"/>
    </row>
    <row r="149" spans="6:8" ht="16.5" customHeight="1">
      <c r="F149" s="172"/>
      <c r="G149" s="172"/>
      <c r="H149" s="172"/>
    </row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AC156"/>
  <sheetViews>
    <sheetView zoomScale="70" zoomScaleNormal="70" workbookViewId="0" topLeftCell="A1">
      <selection activeCell="N39" sqref="N39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95" t="str">
        <f>+'TOT-1110'!B2</f>
        <v>ANEXO  VI al Memorandum  D.T.E.E.  N°     381 /2012 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="5" customFormat="1" ht="1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1" t="s">
        <v>83</v>
      </c>
      <c r="G8" s="396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397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84</v>
      </c>
      <c r="H10" s="398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85</v>
      </c>
      <c r="H12" s="398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'TOT-1110'!B14</f>
        <v>Desde el 01 al 30 de noviembre de 2010</v>
      </c>
      <c r="C14" s="40"/>
      <c r="D14" s="40"/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399"/>
      <c r="S14" s="399"/>
      <c r="T14" s="399"/>
      <c r="U14" s="399"/>
      <c r="V14" s="399"/>
      <c r="W14" s="399"/>
      <c r="X14" s="399"/>
      <c r="Y14" s="399"/>
      <c r="Z14" s="399"/>
      <c r="AA14" s="401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75</v>
      </c>
      <c r="G16" s="402"/>
      <c r="H16" s="252">
        <v>0.45</v>
      </c>
      <c r="I16" s="350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03" t="s">
        <v>24</v>
      </c>
      <c r="G17" s="404"/>
      <c r="H17" s="807">
        <v>20</v>
      </c>
      <c r="I17" s="350"/>
      <c r="J17"/>
      <c r="K17" s="199"/>
      <c r="L17" s="200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06">
        <v>3</v>
      </c>
      <c r="D18" s="906">
        <v>4</v>
      </c>
      <c r="E18" s="906">
        <v>5</v>
      </c>
      <c r="F18" s="906">
        <v>6</v>
      </c>
      <c r="G18" s="906">
        <v>7</v>
      </c>
      <c r="H18" s="906">
        <v>8</v>
      </c>
      <c r="I18" s="906">
        <v>9</v>
      </c>
      <c r="J18" s="906">
        <v>10</v>
      </c>
      <c r="K18" s="906">
        <v>11</v>
      </c>
      <c r="L18" s="906">
        <v>12</v>
      </c>
      <c r="M18" s="906">
        <v>13</v>
      </c>
      <c r="N18" s="906">
        <v>14</v>
      </c>
      <c r="O18" s="906">
        <v>15</v>
      </c>
      <c r="P18" s="906">
        <v>16</v>
      </c>
      <c r="Q18" s="906">
        <v>17</v>
      </c>
      <c r="R18" s="906">
        <v>18</v>
      </c>
      <c r="S18" s="906">
        <v>19</v>
      </c>
      <c r="T18" s="906">
        <v>20</v>
      </c>
      <c r="U18" s="906">
        <v>21</v>
      </c>
      <c r="V18" s="906">
        <v>22</v>
      </c>
      <c r="W18" s="906">
        <v>23</v>
      </c>
      <c r="X18" s="906">
        <v>24</v>
      </c>
      <c r="Y18" s="906">
        <v>25</v>
      </c>
      <c r="Z18" s="906">
        <v>26</v>
      </c>
      <c r="AA18" s="6"/>
    </row>
    <row r="19" spans="2:27" s="5" customFormat="1" ht="33.75" customHeight="1" thickBot="1" thickTop="1">
      <c r="B19" s="50"/>
      <c r="C19" s="123" t="s">
        <v>12</v>
      </c>
      <c r="D19" s="84" t="s">
        <v>223</v>
      </c>
      <c r="E19" s="84" t="s">
        <v>224</v>
      </c>
      <c r="F19" s="86" t="s">
        <v>25</v>
      </c>
      <c r="G19" s="85" t="s">
        <v>26</v>
      </c>
      <c r="H19" s="406" t="s">
        <v>222</v>
      </c>
      <c r="I19" s="129" t="s">
        <v>15</v>
      </c>
      <c r="J19" s="85" t="s">
        <v>16</v>
      </c>
      <c r="K19" s="85" t="s">
        <v>17</v>
      </c>
      <c r="L19" s="86" t="s">
        <v>34</v>
      </c>
      <c r="M19" s="86" t="s">
        <v>29</v>
      </c>
      <c r="N19" s="88" t="s">
        <v>18</v>
      </c>
      <c r="O19" s="88" t="s">
        <v>56</v>
      </c>
      <c r="P19" s="85" t="s">
        <v>30</v>
      </c>
      <c r="Q19" s="129" t="s">
        <v>35</v>
      </c>
      <c r="R19" s="407" t="s">
        <v>69</v>
      </c>
      <c r="S19" s="408" t="s">
        <v>217</v>
      </c>
      <c r="T19" s="409"/>
      <c r="U19" s="256" t="s">
        <v>218</v>
      </c>
      <c r="V19" s="257"/>
      <c r="W19" s="410" t="s">
        <v>21</v>
      </c>
      <c r="X19" s="255" t="s">
        <v>20</v>
      </c>
      <c r="Y19" s="132" t="s">
        <v>73</v>
      </c>
      <c r="Z19" s="411" t="s">
        <v>23</v>
      </c>
      <c r="AA19" s="6"/>
    </row>
    <row r="20" spans="2:27" s="5" customFormat="1" ht="16.5" customHeight="1" thickTop="1">
      <c r="B20" s="50"/>
      <c r="C20" s="260"/>
      <c r="D20" s="260"/>
      <c r="E20" s="260"/>
      <c r="F20" s="413"/>
      <c r="G20" s="413"/>
      <c r="H20" s="413"/>
      <c r="I20" s="331"/>
      <c r="J20" s="414"/>
      <c r="K20" s="414"/>
      <c r="L20" s="412"/>
      <c r="M20" s="412"/>
      <c r="N20" s="413"/>
      <c r="O20" s="180"/>
      <c r="P20" s="412"/>
      <c r="Q20" s="415"/>
      <c r="R20" s="416"/>
      <c r="S20" s="417"/>
      <c r="T20" s="418"/>
      <c r="U20" s="269"/>
      <c r="V20" s="270"/>
      <c r="W20" s="924">
        <f>'RE-11 (1)'!Z35</f>
        <v>211174.29</v>
      </c>
      <c r="X20" s="419"/>
      <c r="Y20" s="420"/>
      <c r="Z20" s="421">
        <f>'RE-11 (1)'!Z35</f>
        <v>211174.29</v>
      </c>
      <c r="AA20" s="6"/>
    </row>
    <row r="21" spans="2:27" s="5" customFormat="1" ht="16.5" customHeight="1">
      <c r="B21" s="50"/>
      <c r="C21" s="274"/>
      <c r="D21" s="274"/>
      <c r="E21" s="274"/>
      <c r="F21" s="422"/>
      <c r="G21" s="423"/>
      <c r="H21" s="424"/>
      <c r="I21" s="425"/>
      <c r="J21" s="426"/>
      <c r="K21" s="427"/>
      <c r="L21" s="428"/>
      <c r="M21" s="429"/>
      <c r="N21" s="430"/>
      <c r="O21" s="181"/>
      <c r="P21" s="431"/>
      <c r="Q21" s="432"/>
      <c r="R21" s="433"/>
      <c r="S21" s="434"/>
      <c r="T21" s="435"/>
      <c r="U21" s="283"/>
      <c r="V21" s="284"/>
      <c r="W21" s="436"/>
      <c r="X21" s="436"/>
      <c r="Y21" s="431"/>
      <c r="Z21" s="437"/>
      <c r="AA21" s="6"/>
    </row>
    <row r="22" spans="2:27" s="5" customFormat="1" ht="16.5" customHeight="1">
      <c r="B22" s="50"/>
      <c r="C22" s="274">
        <v>102</v>
      </c>
      <c r="D22" s="274">
        <v>228815</v>
      </c>
      <c r="E22" s="274">
        <v>588</v>
      </c>
      <c r="F22" s="930" t="s">
        <v>361</v>
      </c>
      <c r="G22" s="928" t="s">
        <v>371</v>
      </c>
      <c r="H22" s="146">
        <v>245</v>
      </c>
      <c r="I22" s="291">
        <f aca="true" t="shared" si="0" ref="I22:I40">H22*$H$16</f>
        <v>110.25</v>
      </c>
      <c r="J22" s="378">
        <v>40511.24513888889</v>
      </c>
      <c r="K22" s="185">
        <v>40511.55625</v>
      </c>
      <c r="L22" s="379">
        <f aca="true" t="shared" si="1" ref="L22:L40">IF(F22="","",(K22-J22)*24)</f>
        <v>7.466666666732635</v>
      </c>
      <c r="M22" s="380">
        <f aca="true" t="shared" si="2" ref="M22:M40">IF(F22="","",ROUND((K22-J22)*24*60,0))</f>
        <v>448</v>
      </c>
      <c r="N22" s="220" t="s">
        <v>283</v>
      </c>
      <c r="O22" s="923" t="s">
        <v>363</v>
      </c>
      <c r="P22" s="221" t="str">
        <f aca="true" t="shared" si="3" ref="P22:P40">IF(F22="","",IF(OR(N22="P",N22="RP"),"--","NO"))</f>
        <v>--</v>
      </c>
      <c r="Q22" s="879">
        <f aca="true" t="shared" si="4" ref="Q22:Q40">IF(OR(N22="P",N22="RP"),$H$17/10,$H$17)</f>
        <v>2</v>
      </c>
      <c r="R22" s="880">
        <f aca="true" t="shared" si="5" ref="R22:R40">IF(N22="P",I22*Q22*ROUND(M22/60,2),"--")</f>
        <v>1647.135</v>
      </c>
      <c r="S22" s="434" t="str">
        <f aca="true" t="shared" si="6" ref="S22:S40">IF(AND(N22="F",P22="NO"),I22*Q22,"--")</f>
        <v>--</v>
      </c>
      <c r="T22" s="435" t="str">
        <f aca="true" t="shared" si="7" ref="T22:T40">IF(N22="F",I22*Q22*ROUND(M22/60,2),"--")</f>
        <v>--</v>
      </c>
      <c r="U22" s="298" t="str">
        <f aca="true" t="shared" si="8" ref="U22:U40">IF(AND(N22="R",P22="NO"),I22*Q22*O22/100,"--")</f>
        <v>--</v>
      </c>
      <c r="V22" s="299" t="str">
        <f aca="true" t="shared" si="9" ref="V22:V40">IF(N22="R",I22*Q22*O22/100*ROUND(M22/60,2),"--")</f>
        <v>--</v>
      </c>
      <c r="W22" s="436" t="str">
        <f aca="true" t="shared" si="10" ref="W22:W40">IF(N22="RF",I22*Q22*ROUND(M22/60,2),"--")</f>
        <v>--</v>
      </c>
      <c r="X22" s="876" t="str">
        <f aca="true" t="shared" si="11" ref="X22:X40">IF(N22="RP",I22*Q22*O22/100*ROUND(M22/60,2),"--")</f>
        <v>--</v>
      </c>
      <c r="Y22" s="221" t="s">
        <v>202</v>
      </c>
      <c r="Z22" s="381">
        <f aca="true" t="shared" si="12" ref="Z22:Z40">IF(F22="","",SUM(R22:X22)*IF(Y22="SI",1,2)*IF(AND(O22&lt;&gt;"--",N22="RF"),O22/100,1))</f>
        <v>1647.135</v>
      </c>
      <c r="AA22" s="6"/>
    </row>
    <row r="23" spans="2:27" s="5" customFormat="1" ht="16.5" customHeight="1">
      <c r="B23" s="50"/>
      <c r="C23" s="274">
        <v>103</v>
      </c>
      <c r="D23" s="274">
        <v>228816</v>
      </c>
      <c r="E23" s="152">
        <v>590</v>
      </c>
      <c r="F23" s="930" t="s">
        <v>361</v>
      </c>
      <c r="G23" s="928" t="s">
        <v>368</v>
      </c>
      <c r="H23" s="146">
        <v>245</v>
      </c>
      <c r="I23" s="291">
        <f t="shared" si="0"/>
        <v>110.25</v>
      </c>
      <c r="J23" s="378">
        <v>40512.24652777778</v>
      </c>
      <c r="K23" s="185">
        <v>40512.55416666667</v>
      </c>
      <c r="L23" s="379">
        <f t="shared" si="1"/>
        <v>7.383333333302289</v>
      </c>
      <c r="M23" s="380">
        <f t="shared" si="2"/>
        <v>443</v>
      </c>
      <c r="N23" s="220" t="s">
        <v>283</v>
      </c>
      <c r="O23" s="923" t="s">
        <v>363</v>
      </c>
      <c r="P23" s="221" t="str">
        <f t="shared" si="3"/>
        <v>--</v>
      </c>
      <c r="Q23" s="879">
        <f t="shared" si="4"/>
        <v>2</v>
      </c>
      <c r="R23" s="880">
        <f t="shared" si="5"/>
        <v>1627.29</v>
      </c>
      <c r="S23" s="434" t="str">
        <f t="shared" si="6"/>
        <v>--</v>
      </c>
      <c r="T23" s="435" t="str">
        <f t="shared" si="7"/>
        <v>--</v>
      </c>
      <c r="U23" s="298" t="str">
        <f t="shared" si="8"/>
        <v>--</v>
      </c>
      <c r="V23" s="299" t="str">
        <f t="shared" si="9"/>
        <v>--</v>
      </c>
      <c r="W23" s="436" t="str">
        <f t="shared" si="10"/>
        <v>--</v>
      </c>
      <c r="X23" s="876" t="str">
        <f t="shared" si="11"/>
        <v>--</v>
      </c>
      <c r="Y23" s="221" t="s">
        <v>202</v>
      </c>
      <c r="Z23" s="381">
        <f t="shared" si="12"/>
        <v>1627.29</v>
      </c>
      <c r="AA23" s="6"/>
    </row>
    <row r="24" spans="2:27" s="5" customFormat="1" ht="16.5" customHeight="1">
      <c r="B24" s="50"/>
      <c r="C24" s="274">
        <v>104</v>
      </c>
      <c r="D24" s="274">
        <v>228817</v>
      </c>
      <c r="E24" s="274">
        <v>651</v>
      </c>
      <c r="F24" s="930" t="s">
        <v>387</v>
      </c>
      <c r="G24" s="928" t="s">
        <v>388</v>
      </c>
      <c r="H24" s="146">
        <v>120</v>
      </c>
      <c r="I24" s="291">
        <f t="shared" si="0"/>
        <v>54</v>
      </c>
      <c r="J24" s="378">
        <v>40512.35</v>
      </c>
      <c r="K24" s="185">
        <v>40512.76180555556</v>
      </c>
      <c r="L24" s="379">
        <f t="shared" si="1"/>
        <v>9.883333333418705</v>
      </c>
      <c r="M24" s="380">
        <f t="shared" si="2"/>
        <v>593</v>
      </c>
      <c r="N24" s="220" t="s">
        <v>283</v>
      </c>
      <c r="O24" s="923" t="s">
        <v>363</v>
      </c>
      <c r="P24" s="221" t="str">
        <f t="shared" si="3"/>
        <v>--</v>
      </c>
      <c r="Q24" s="879">
        <f t="shared" si="4"/>
        <v>2</v>
      </c>
      <c r="R24" s="880">
        <f t="shared" si="5"/>
        <v>1067.0400000000002</v>
      </c>
      <c r="S24" s="434" t="str">
        <f t="shared" si="6"/>
        <v>--</v>
      </c>
      <c r="T24" s="435" t="str">
        <f t="shared" si="7"/>
        <v>--</v>
      </c>
      <c r="U24" s="298" t="str">
        <f t="shared" si="8"/>
        <v>--</v>
      </c>
      <c r="V24" s="299" t="str">
        <f t="shared" si="9"/>
        <v>--</v>
      </c>
      <c r="W24" s="436" t="str">
        <f t="shared" si="10"/>
        <v>--</v>
      </c>
      <c r="X24" s="876" t="str">
        <f t="shared" si="11"/>
        <v>--</v>
      </c>
      <c r="Y24" s="221" t="s">
        <v>202</v>
      </c>
      <c r="Z24" s="381">
        <f t="shared" si="12"/>
        <v>1067.0400000000002</v>
      </c>
      <c r="AA24" s="441"/>
    </row>
    <row r="25" spans="2:27" s="5" customFormat="1" ht="16.5" customHeight="1">
      <c r="B25" s="50"/>
      <c r="C25" s="274"/>
      <c r="D25" s="274"/>
      <c r="E25" s="152"/>
      <c r="F25" s="438"/>
      <c r="G25" s="376"/>
      <c r="H25" s="439"/>
      <c r="I25" s="291">
        <f t="shared" si="0"/>
        <v>0</v>
      </c>
      <c r="J25" s="378"/>
      <c r="K25" s="185"/>
      <c r="L25" s="379">
        <f t="shared" si="1"/>
      </c>
      <c r="M25" s="380">
        <f t="shared" si="2"/>
      </c>
      <c r="N25" s="220"/>
      <c r="O25" s="515">
        <f aca="true" t="shared" si="13" ref="O25:O40">IF(F25="","","--")</f>
      </c>
      <c r="P25" s="221">
        <f t="shared" si="3"/>
      </c>
      <c r="Q25" s="879">
        <f t="shared" si="4"/>
        <v>20</v>
      </c>
      <c r="R25" s="880" t="str">
        <f t="shared" si="5"/>
        <v>--</v>
      </c>
      <c r="S25" s="434" t="str">
        <f t="shared" si="6"/>
        <v>--</v>
      </c>
      <c r="T25" s="435" t="str">
        <f t="shared" si="7"/>
        <v>--</v>
      </c>
      <c r="U25" s="298" t="str">
        <f t="shared" si="8"/>
        <v>--</v>
      </c>
      <c r="V25" s="299" t="str">
        <f t="shared" si="9"/>
        <v>--</v>
      </c>
      <c r="W25" s="436" t="str">
        <f t="shared" si="10"/>
        <v>--</v>
      </c>
      <c r="X25" s="876" t="str">
        <f t="shared" si="11"/>
        <v>--</v>
      </c>
      <c r="Y25" s="221">
        <f aca="true" t="shared" si="14" ref="Y25:Y40">IF(F25="","","SI")</f>
      </c>
      <c r="Z25" s="381">
        <f t="shared" si="12"/>
      </c>
      <c r="AA25" s="441"/>
    </row>
    <row r="26" spans="2:27" s="5" customFormat="1" ht="16.5" customHeight="1">
      <c r="B26" s="50"/>
      <c r="C26" s="274"/>
      <c r="D26" s="274"/>
      <c r="E26" s="274"/>
      <c r="F26" s="438"/>
      <c r="G26" s="376"/>
      <c r="H26" s="439"/>
      <c r="I26" s="291">
        <f t="shared" si="0"/>
        <v>0</v>
      </c>
      <c r="J26" s="378"/>
      <c r="K26" s="185"/>
      <c r="L26" s="379">
        <f t="shared" si="1"/>
      </c>
      <c r="M26" s="380">
        <f t="shared" si="2"/>
      </c>
      <c r="N26" s="220"/>
      <c r="O26" s="515">
        <f t="shared" si="13"/>
      </c>
      <c r="P26" s="221">
        <f t="shared" si="3"/>
      </c>
      <c r="Q26" s="879">
        <f t="shared" si="4"/>
        <v>20</v>
      </c>
      <c r="R26" s="880" t="str">
        <f t="shared" si="5"/>
        <v>--</v>
      </c>
      <c r="S26" s="434" t="str">
        <f t="shared" si="6"/>
        <v>--</v>
      </c>
      <c r="T26" s="435" t="str">
        <f t="shared" si="7"/>
        <v>--</v>
      </c>
      <c r="U26" s="298" t="str">
        <f t="shared" si="8"/>
        <v>--</v>
      </c>
      <c r="V26" s="299" t="str">
        <f t="shared" si="9"/>
        <v>--</v>
      </c>
      <c r="W26" s="436" t="str">
        <f t="shared" si="10"/>
        <v>--</v>
      </c>
      <c r="X26" s="876" t="str">
        <f t="shared" si="11"/>
        <v>--</v>
      </c>
      <c r="Y26" s="221">
        <f t="shared" si="14"/>
      </c>
      <c r="Z26" s="381">
        <f t="shared" si="12"/>
      </c>
      <c r="AA26" s="441"/>
    </row>
    <row r="27" spans="2:27" s="5" customFormat="1" ht="16.5" customHeight="1">
      <c r="B27" s="50"/>
      <c r="C27" s="274"/>
      <c r="D27" s="274"/>
      <c r="E27" s="152"/>
      <c r="F27" s="438"/>
      <c r="G27" s="376"/>
      <c r="H27" s="439"/>
      <c r="I27" s="291">
        <f t="shared" si="0"/>
        <v>0</v>
      </c>
      <c r="J27" s="378"/>
      <c r="K27" s="185"/>
      <c r="L27" s="379">
        <f t="shared" si="1"/>
      </c>
      <c r="M27" s="380">
        <f t="shared" si="2"/>
      </c>
      <c r="N27" s="220"/>
      <c r="O27" s="515">
        <f t="shared" si="13"/>
      </c>
      <c r="P27" s="221">
        <f t="shared" si="3"/>
      </c>
      <c r="Q27" s="879">
        <f t="shared" si="4"/>
        <v>20</v>
      </c>
      <c r="R27" s="880" t="str">
        <f t="shared" si="5"/>
        <v>--</v>
      </c>
      <c r="S27" s="434" t="str">
        <f t="shared" si="6"/>
        <v>--</v>
      </c>
      <c r="T27" s="435" t="str">
        <f t="shared" si="7"/>
        <v>--</v>
      </c>
      <c r="U27" s="298" t="str">
        <f t="shared" si="8"/>
        <v>--</v>
      </c>
      <c r="V27" s="299" t="str">
        <f t="shared" si="9"/>
        <v>--</v>
      </c>
      <c r="W27" s="436" t="str">
        <f t="shared" si="10"/>
        <v>--</v>
      </c>
      <c r="X27" s="876" t="str">
        <f t="shared" si="11"/>
        <v>--</v>
      </c>
      <c r="Y27" s="221">
        <f t="shared" si="14"/>
      </c>
      <c r="Z27" s="381">
        <f t="shared" si="12"/>
      </c>
      <c r="AA27" s="441"/>
    </row>
    <row r="28" spans="2:27" s="5" customFormat="1" ht="16.5" customHeight="1">
      <c r="B28" s="50"/>
      <c r="C28" s="274"/>
      <c r="D28" s="274"/>
      <c r="E28" s="274"/>
      <c r="F28" s="438"/>
      <c r="G28" s="376"/>
      <c r="H28" s="439"/>
      <c r="I28" s="291">
        <f t="shared" si="0"/>
        <v>0</v>
      </c>
      <c r="J28" s="378"/>
      <c r="K28" s="185"/>
      <c r="L28" s="379">
        <f t="shared" si="1"/>
      </c>
      <c r="M28" s="380">
        <f t="shared" si="2"/>
      </c>
      <c r="N28" s="220"/>
      <c r="O28" s="515">
        <f t="shared" si="13"/>
      </c>
      <c r="P28" s="221">
        <f t="shared" si="3"/>
      </c>
      <c r="Q28" s="879">
        <f t="shared" si="4"/>
        <v>20</v>
      </c>
      <c r="R28" s="880" t="str">
        <f t="shared" si="5"/>
        <v>--</v>
      </c>
      <c r="S28" s="434" t="str">
        <f t="shared" si="6"/>
        <v>--</v>
      </c>
      <c r="T28" s="435" t="str">
        <f t="shared" si="7"/>
        <v>--</v>
      </c>
      <c r="U28" s="298" t="str">
        <f t="shared" si="8"/>
        <v>--</v>
      </c>
      <c r="V28" s="299" t="str">
        <f t="shared" si="9"/>
        <v>--</v>
      </c>
      <c r="W28" s="436" t="str">
        <f t="shared" si="10"/>
        <v>--</v>
      </c>
      <c r="X28" s="876" t="str">
        <f t="shared" si="11"/>
        <v>--</v>
      </c>
      <c r="Y28" s="221">
        <f t="shared" si="14"/>
      </c>
      <c r="Z28" s="381">
        <f t="shared" si="12"/>
      </c>
      <c r="AA28" s="441"/>
    </row>
    <row r="29" spans="2:27" s="5" customFormat="1" ht="16.5" customHeight="1">
      <c r="B29" s="50"/>
      <c r="C29" s="274"/>
      <c r="D29" s="274"/>
      <c r="E29" s="152"/>
      <c r="F29" s="438"/>
      <c r="G29" s="376"/>
      <c r="H29" s="439"/>
      <c r="I29" s="291">
        <f t="shared" si="0"/>
        <v>0</v>
      </c>
      <c r="J29" s="378"/>
      <c r="K29" s="185"/>
      <c r="L29" s="379">
        <f t="shared" si="1"/>
      </c>
      <c r="M29" s="380">
        <f t="shared" si="2"/>
      </c>
      <c r="N29" s="220"/>
      <c r="O29" s="515">
        <f t="shared" si="13"/>
      </c>
      <c r="P29" s="221">
        <f t="shared" si="3"/>
      </c>
      <c r="Q29" s="879">
        <f t="shared" si="4"/>
        <v>20</v>
      </c>
      <c r="R29" s="880" t="str">
        <f t="shared" si="5"/>
        <v>--</v>
      </c>
      <c r="S29" s="434" t="str">
        <f t="shared" si="6"/>
        <v>--</v>
      </c>
      <c r="T29" s="435" t="str">
        <f t="shared" si="7"/>
        <v>--</v>
      </c>
      <c r="U29" s="298" t="str">
        <f t="shared" si="8"/>
        <v>--</v>
      </c>
      <c r="V29" s="299" t="str">
        <f t="shared" si="9"/>
        <v>--</v>
      </c>
      <c r="W29" s="436" t="str">
        <f t="shared" si="10"/>
        <v>--</v>
      </c>
      <c r="X29" s="876" t="str">
        <f t="shared" si="11"/>
        <v>--</v>
      </c>
      <c r="Y29" s="221">
        <f t="shared" si="14"/>
      </c>
      <c r="Z29" s="381">
        <f t="shared" si="12"/>
      </c>
      <c r="AA29" s="441"/>
    </row>
    <row r="30" spans="2:27" s="5" customFormat="1" ht="16.5" customHeight="1">
      <c r="B30" s="50"/>
      <c r="C30" s="274"/>
      <c r="D30" s="274"/>
      <c r="E30" s="274"/>
      <c r="F30" s="438"/>
      <c r="G30" s="376"/>
      <c r="H30" s="439"/>
      <c r="I30" s="291">
        <f t="shared" si="0"/>
        <v>0</v>
      </c>
      <c r="J30" s="378"/>
      <c r="K30" s="185"/>
      <c r="L30" s="379">
        <f t="shared" si="1"/>
      </c>
      <c r="M30" s="380">
        <f t="shared" si="2"/>
      </c>
      <c r="N30" s="220"/>
      <c r="O30" s="515">
        <f t="shared" si="13"/>
      </c>
      <c r="P30" s="221">
        <f t="shared" si="3"/>
      </c>
      <c r="Q30" s="879">
        <f t="shared" si="4"/>
        <v>20</v>
      </c>
      <c r="R30" s="880" t="str">
        <f t="shared" si="5"/>
        <v>--</v>
      </c>
      <c r="S30" s="434" t="str">
        <f t="shared" si="6"/>
        <v>--</v>
      </c>
      <c r="T30" s="435" t="str">
        <f t="shared" si="7"/>
        <v>--</v>
      </c>
      <c r="U30" s="298" t="str">
        <f t="shared" si="8"/>
        <v>--</v>
      </c>
      <c r="V30" s="299" t="str">
        <f t="shared" si="9"/>
        <v>--</v>
      </c>
      <c r="W30" s="436" t="str">
        <f t="shared" si="10"/>
        <v>--</v>
      </c>
      <c r="X30" s="876" t="str">
        <f t="shared" si="11"/>
        <v>--</v>
      </c>
      <c r="Y30" s="221">
        <f t="shared" si="14"/>
      </c>
      <c r="Z30" s="381">
        <f t="shared" si="12"/>
      </c>
      <c r="AA30" s="6"/>
    </row>
    <row r="31" spans="2:27" s="5" customFormat="1" ht="16.5" customHeight="1">
      <c r="B31" s="50"/>
      <c r="C31" s="274"/>
      <c r="D31" s="274"/>
      <c r="E31" s="152"/>
      <c r="F31" s="438"/>
      <c r="G31" s="376"/>
      <c r="H31" s="439"/>
      <c r="I31" s="291">
        <f t="shared" si="0"/>
        <v>0</v>
      </c>
      <c r="J31" s="378"/>
      <c r="K31" s="185"/>
      <c r="L31" s="379">
        <f t="shared" si="1"/>
      </c>
      <c r="M31" s="380">
        <f t="shared" si="2"/>
      </c>
      <c r="N31" s="220"/>
      <c r="O31" s="515">
        <f t="shared" si="13"/>
      </c>
      <c r="P31" s="221">
        <f t="shared" si="3"/>
      </c>
      <c r="Q31" s="879">
        <f t="shared" si="4"/>
        <v>20</v>
      </c>
      <c r="R31" s="880" t="str">
        <f t="shared" si="5"/>
        <v>--</v>
      </c>
      <c r="S31" s="434" t="str">
        <f t="shared" si="6"/>
        <v>--</v>
      </c>
      <c r="T31" s="435" t="str">
        <f t="shared" si="7"/>
        <v>--</v>
      </c>
      <c r="U31" s="298" t="str">
        <f t="shared" si="8"/>
        <v>--</v>
      </c>
      <c r="V31" s="299" t="str">
        <f t="shared" si="9"/>
        <v>--</v>
      </c>
      <c r="W31" s="436" t="str">
        <f t="shared" si="10"/>
        <v>--</v>
      </c>
      <c r="X31" s="876" t="str">
        <f t="shared" si="11"/>
        <v>--</v>
      </c>
      <c r="Y31" s="221">
        <f t="shared" si="14"/>
      </c>
      <c r="Z31" s="381">
        <f t="shared" si="12"/>
      </c>
      <c r="AA31" s="6"/>
    </row>
    <row r="32" spans="2:27" s="5" customFormat="1" ht="16.5" customHeight="1">
      <c r="B32" s="50"/>
      <c r="C32" s="274"/>
      <c r="D32" s="274"/>
      <c r="E32" s="274"/>
      <c r="F32" s="438"/>
      <c r="G32" s="376"/>
      <c r="H32" s="439"/>
      <c r="I32" s="291">
        <f t="shared" si="0"/>
        <v>0</v>
      </c>
      <c r="J32" s="378"/>
      <c r="K32" s="185"/>
      <c r="L32" s="379">
        <f t="shared" si="1"/>
      </c>
      <c r="M32" s="380">
        <f t="shared" si="2"/>
      </c>
      <c r="N32" s="220"/>
      <c r="O32" s="515">
        <f t="shared" si="13"/>
      </c>
      <c r="P32" s="221">
        <f t="shared" si="3"/>
      </c>
      <c r="Q32" s="879">
        <f t="shared" si="4"/>
        <v>20</v>
      </c>
      <c r="R32" s="880" t="str">
        <f t="shared" si="5"/>
        <v>--</v>
      </c>
      <c r="S32" s="434" t="str">
        <f t="shared" si="6"/>
        <v>--</v>
      </c>
      <c r="T32" s="435" t="str">
        <f t="shared" si="7"/>
        <v>--</v>
      </c>
      <c r="U32" s="298" t="str">
        <f t="shared" si="8"/>
        <v>--</v>
      </c>
      <c r="V32" s="299" t="str">
        <f t="shared" si="9"/>
        <v>--</v>
      </c>
      <c r="W32" s="436" t="str">
        <f t="shared" si="10"/>
        <v>--</v>
      </c>
      <c r="X32" s="876" t="str">
        <f t="shared" si="11"/>
        <v>--</v>
      </c>
      <c r="Y32" s="221">
        <f t="shared" si="14"/>
      </c>
      <c r="Z32" s="381">
        <f t="shared" si="12"/>
      </c>
      <c r="AA32" s="6"/>
    </row>
    <row r="33" spans="2:27" s="5" customFormat="1" ht="16.5" customHeight="1">
      <c r="B33" s="50"/>
      <c r="C33" s="274"/>
      <c r="D33" s="274"/>
      <c r="E33" s="152"/>
      <c r="F33" s="438"/>
      <c r="G33" s="376"/>
      <c r="H33" s="439"/>
      <c r="I33" s="291">
        <f t="shared" si="0"/>
        <v>0</v>
      </c>
      <c r="J33" s="378"/>
      <c r="K33" s="185"/>
      <c r="L33" s="379">
        <f t="shared" si="1"/>
      </c>
      <c r="M33" s="380">
        <f t="shared" si="2"/>
      </c>
      <c r="N33" s="220"/>
      <c r="O33" s="515">
        <f t="shared" si="13"/>
      </c>
      <c r="P33" s="221">
        <f t="shared" si="3"/>
      </c>
      <c r="Q33" s="879">
        <f t="shared" si="4"/>
        <v>20</v>
      </c>
      <c r="R33" s="880" t="str">
        <f t="shared" si="5"/>
        <v>--</v>
      </c>
      <c r="S33" s="434" t="str">
        <f t="shared" si="6"/>
        <v>--</v>
      </c>
      <c r="T33" s="435" t="str">
        <f t="shared" si="7"/>
        <v>--</v>
      </c>
      <c r="U33" s="298" t="str">
        <f t="shared" si="8"/>
        <v>--</v>
      </c>
      <c r="V33" s="299" t="str">
        <f t="shared" si="9"/>
        <v>--</v>
      </c>
      <c r="W33" s="436" t="str">
        <f t="shared" si="10"/>
        <v>--</v>
      </c>
      <c r="X33" s="876" t="str">
        <f t="shared" si="11"/>
        <v>--</v>
      </c>
      <c r="Y33" s="221">
        <f t="shared" si="14"/>
      </c>
      <c r="Z33" s="381">
        <f t="shared" si="12"/>
      </c>
      <c r="AA33" s="6"/>
    </row>
    <row r="34" spans="2:27" s="5" customFormat="1" ht="16.5" customHeight="1">
      <c r="B34" s="50"/>
      <c r="C34" s="274"/>
      <c r="D34" s="274"/>
      <c r="E34" s="274"/>
      <c r="F34" s="438"/>
      <c r="G34" s="376"/>
      <c r="H34" s="439"/>
      <c r="I34" s="291">
        <f t="shared" si="0"/>
        <v>0</v>
      </c>
      <c r="J34" s="378"/>
      <c r="K34" s="185"/>
      <c r="L34" s="379">
        <f t="shared" si="1"/>
      </c>
      <c r="M34" s="380">
        <f t="shared" si="2"/>
      </c>
      <c r="N34" s="220"/>
      <c r="O34" s="515">
        <f t="shared" si="13"/>
      </c>
      <c r="P34" s="221">
        <f t="shared" si="3"/>
      </c>
      <c r="Q34" s="879">
        <f t="shared" si="4"/>
        <v>20</v>
      </c>
      <c r="R34" s="880" t="str">
        <f t="shared" si="5"/>
        <v>--</v>
      </c>
      <c r="S34" s="434" t="str">
        <f t="shared" si="6"/>
        <v>--</v>
      </c>
      <c r="T34" s="435" t="str">
        <f t="shared" si="7"/>
        <v>--</v>
      </c>
      <c r="U34" s="298" t="str">
        <f t="shared" si="8"/>
        <v>--</v>
      </c>
      <c r="V34" s="299" t="str">
        <f t="shared" si="9"/>
        <v>--</v>
      </c>
      <c r="W34" s="436" t="str">
        <f t="shared" si="10"/>
        <v>--</v>
      </c>
      <c r="X34" s="876" t="str">
        <f t="shared" si="11"/>
        <v>--</v>
      </c>
      <c r="Y34" s="221">
        <f t="shared" si="14"/>
      </c>
      <c r="Z34" s="381">
        <f t="shared" si="12"/>
      </c>
      <c r="AA34" s="6"/>
    </row>
    <row r="35" spans="2:27" s="5" customFormat="1" ht="16.5" customHeight="1">
      <c r="B35" s="50"/>
      <c r="C35" s="274"/>
      <c r="D35" s="274"/>
      <c r="E35" s="152"/>
      <c r="F35" s="438"/>
      <c r="G35" s="376"/>
      <c r="H35" s="439"/>
      <c r="I35" s="291">
        <f t="shared" si="0"/>
        <v>0</v>
      </c>
      <c r="J35" s="378"/>
      <c r="K35" s="185"/>
      <c r="L35" s="379">
        <f t="shared" si="1"/>
      </c>
      <c r="M35" s="380">
        <f t="shared" si="2"/>
      </c>
      <c r="N35" s="220"/>
      <c r="O35" s="515">
        <f t="shared" si="13"/>
      </c>
      <c r="P35" s="221">
        <f t="shared" si="3"/>
      </c>
      <c r="Q35" s="879">
        <f t="shared" si="4"/>
        <v>20</v>
      </c>
      <c r="R35" s="880" t="str">
        <f t="shared" si="5"/>
        <v>--</v>
      </c>
      <c r="S35" s="434" t="str">
        <f t="shared" si="6"/>
        <v>--</v>
      </c>
      <c r="T35" s="435" t="str">
        <f t="shared" si="7"/>
        <v>--</v>
      </c>
      <c r="U35" s="298" t="str">
        <f t="shared" si="8"/>
        <v>--</v>
      </c>
      <c r="V35" s="299" t="str">
        <f t="shared" si="9"/>
        <v>--</v>
      </c>
      <c r="W35" s="436" t="str">
        <f t="shared" si="10"/>
        <v>--</v>
      </c>
      <c r="X35" s="876" t="str">
        <f t="shared" si="11"/>
        <v>--</v>
      </c>
      <c r="Y35" s="221">
        <f t="shared" si="14"/>
      </c>
      <c r="Z35" s="381">
        <f t="shared" si="12"/>
      </c>
      <c r="AA35" s="6"/>
    </row>
    <row r="36" spans="2:27" s="5" customFormat="1" ht="16.5" customHeight="1">
      <c r="B36" s="50"/>
      <c r="C36" s="274"/>
      <c r="D36" s="274"/>
      <c r="E36" s="274"/>
      <c r="F36" s="438"/>
      <c r="G36" s="376"/>
      <c r="H36" s="439"/>
      <c r="I36" s="291">
        <f t="shared" si="0"/>
        <v>0</v>
      </c>
      <c r="J36" s="378"/>
      <c r="K36" s="185"/>
      <c r="L36" s="379">
        <f t="shared" si="1"/>
      </c>
      <c r="M36" s="380">
        <f t="shared" si="2"/>
      </c>
      <c r="N36" s="220"/>
      <c r="O36" s="515">
        <f t="shared" si="13"/>
      </c>
      <c r="P36" s="221">
        <f t="shared" si="3"/>
      </c>
      <c r="Q36" s="879">
        <f t="shared" si="4"/>
        <v>20</v>
      </c>
      <c r="R36" s="880" t="str">
        <f t="shared" si="5"/>
        <v>--</v>
      </c>
      <c r="S36" s="434" t="str">
        <f t="shared" si="6"/>
        <v>--</v>
      </c>
      <c r="T36" s="435" t="str">
        <f t="shared" si="7"/>
        <v>--</v>
      </c>
      <c r="U36" s="298" t="str">
        <f t="shared" si="8"/>
        <v>--</v>
      </c>
      <c r="V36" s="299" t="str">
        <f t="shared" si="9"/>
        <v>--</v>
      </c>
      <c r="W36" s="436" t="str">
        <f t="shared" si="10"/>
        <v>--</v>
      </c>
      <c r="X36" s="876" t="str">
        <f t="shared" si="11"/>
        <v>--</v>
      </c>
      <c r="Y36" s="221">
        <f t="shared" si="14"/>
      </c>
      <c r="Z36" s="381">
        <f t="shared" si="12"/>
      </c>
      <c r="AA36" s="6"/>
    </row>
    <row r="37" spans="2:27" s="5" customFormat="1" ht="16.5" customHeight="1">
      <c r="B37" s="50"/>
      <c r="C37" s="274"/>
      <c r="D37" s="274"/>
      <c r="E37" s="152"/>
      <c r="F37" s="438"/>
      <c r="G37" s="376"/>
      <c r="H37" s="439"/>
      <c r="I37" s="291">
        <f t="shared" si="0"/>
        <v>0</v>
      </c>
      <c r="J37" s="378"/>
      <c r="K37" s="185"/>
      <c r="L37" s="379">
        <f t="shared" si="1"/>
      </c>
      <c r="M37" s="380">
        <f t="shared" si="2"/>
      </c>
      <c r="N37" s="220"/>
      <c r="O37" s="515">
        <f t="shared" si="13"/>
      </c>
      <c r="P37" s="221">
        <f t="shared" si="3"/>
      </c>
      <c r="Q37" s="879">
        <f t="shared" si="4"/>
        <v>20</v>
      </c>
      <c r="R37" s="880" t="str">
        <f t="shared" si="5"/>
        <v>--</v>
      </c>
      <c r="S37" s="434" t="str">
        <f t="shared" si="6"/>
        <v>--</v>
      </c>
      <c r="T37" s="435" t="str">
        <f t="shared" si="7"/>
        <v>--</v>
      </c>
      <c r="U37" s="298" t="str">
        <f t="shared" si="8"/>
        <v>--</v>
      </c>
      <c r="V37" s="299" t="str">
        <f t="shared" si="9"/>
        <v>--</v>
      </c>
      <c r="W37" s="436" t="str">
        <f t="shared" si="10"/>
        <v>--</v>
      </c>
      <c r="X37" s="876" t="str">
        <f t="shared" si="11"/>
        <v>--</v>
      </c>
      <c r="Y37" s="221">
        <f t="shared" si="14"/>
      </c>
      <c r="Z37" s="381">
        <f t="shared" si="12"/>
      </c>
      <c r="AA37" s="6"/>
    </row>
    <row r="38" spans="2:27" s="5" customFormat="1" ht="16.5" customHeight="1">
      <c r="B38" s="50"/>
      <c r="C38" s="274"/>
      <c r="D38" s="274"/>
      <c r="E38" s="274"/>
      <c r="F38" s="438"/>
      <c r="G38" s="376"/>
      <c r="H38" s="439"/>
      <c r="I38" s="291">
        <f t="shared" si="0"/>
        <v>0</v>
      </c>
      <c r="J38" s="378"/>
      <c r="K38" s="185"/>
      <c r="L38" s="379">
        <f t="shared" si="1"/>
      </c>
      <c r="M38" s="380">
        <f t="shared" si="2"/>
      </c>
      <c r="N38" s="220"/>
      <c r="O38" s="515">
        <f t="shared" si="13"/>
      </c>
      <c r="P38" s="221">
        <f t="shared" si="3"/>
      </c>
      <c r="Q38" s="879">
        <f t="shared" si="4"/>
        <v>20</v>
      </c>
      <c r="R38" s="880" t="str">
        <f t="shared" si="5"/>
        <v>--</v>
      </c>
      <c r="S38" s="434" t="str">
        <f t="shared" si="6"/>
        <v>--</v>
      </c>
      <c r="T38" s="435" t="str">
        <f t="shared" si="7"/>
        <v>--</v>
      </c>
      <c r="U38" s="298" t="str">
        <f t="shared" si="8"/>
        <v>--</v>
      </c>
      <c r="V38" s="299" t="str">
        <f t="shared" si="9"/>
        <v>--</v>
      </c>
      <c r="W38" s="436" t="str">
        <f t="shared" si="10"/>
        <v>--</v>
      </c>
      <c r="X38" s="876" t="str">
        <f t="shared" si="11"/>
        <v>--</v>
      </c>
      <c r="Y38" s="221">
        <f t="shared" si="14"/>
      </c>
      <c r="Z38" s="381">
        <f t="shared" si="12"/>
      </c>
      <c r="AA38" s="6"/>
    </row>
    <row r="39" spans="2:27" s="5" customFormat="1" ht="16.5" customHeight="1">
      <c r="B39" s="50"/>
      <c r="C39" s="274"/>
      <c r="D39" s="274"/>
      <c r="E39" s="152"/>
      <c r="F39" s="438"/>
      <c r="G39" s="376"/>
      <c r="H39" s="439"/>
      <c r="I39" s="291">
        <f t="shared" si="0"/>
        <v>0</v>
      </c>
      <c r="J39" s="378"/>
      <c r="K39" s="185"/>
      <c r="L39" s="379">
        <f t="shared" si="1"/>
      </c>
      <c r="M39" s="380">
        <f t="shared" si="2"/>
      </c>
      <c r="N39" s="220"/>
      <c r="O39" s="515">
        <f t="shared" si="13"/>
      </c>
      <c r="P39" s="221">
        <f t="shared" si="3"/>
      </c>
      <c r="Q39" s="879">
        <f t="shared" si="4"/>
        <v>20</v>
      </c>
      <c r="R39" s="880" t="str">
        <f t="shared" si="5"/>
        <v>--</v>
      </c>
      <c r="S39" s="434" t="str">
        <f t="shared" si="6"/>
        <v>--</v>
      </c>
      <c r="T39" s="435" t="str">
        <f t="shared" si="7"/>
        <v>--</v>
      </c>
      <c r="U39" s="298" t="str">
        <f t="shared" si="8"/>
        <v>--</v>
      </c>
      <c r="V39" s="299" t="str">
        <f t="shared" si="9"/>
        <v>--</v>
      </c>
      <c r="W39" s="436" t="str">
        <f t="shared" si="10"/>
        <v>--</v>
      </c>
      <c r="X39" s="876" t="str">
        <f t="shared" si="11"/>
        <v>--</v>
      </c>
      <c r="Y39" s="221">
        <f t="shared" si="14"/>
      </c>
      <c r="Z39" s="381">
        <f t="shared" si="12"/>
      </c>
      <c r="AA39" s="6"/>
    </row>
    <row r="40" spans="2:27" s="5" customFormat="1" ht="16.5" customHeight="1">
      <c r="B40" s="50"/>
      <c r="C40" s="274"/>
      <c r="D40" s="274"/>
      <c r="E40" s="274"/>
      <c r="F40" s="438"/>
      <c r="G40" s="376"/>
      <c r="H40" s="439"/>
      <c r="I40" s="291">
        <f t="shared" si="0"/>
        <v>0</v>
      </c>
      <c r="J40" s="378"/>
      <c r="K40" s="185"/>
      <c r="L40" s="379">
        <f t="shared" si="1"/>
      </c>
      <c r="M40" s="380">
        <f t="shared" si="2"/>
      </c>
      <c r="N40" s="220"/>
      <c r="O40" s="515">
        <f t="shared" si="13"/>
      </c>
      <c r="P40" s="221">
        <f t="shared" si="3"/>
      </c>
      <c r="Q40" s="879">
        <f t="shared" si="4"/>
        <v>20</v>
      </c>
      <c r="R40" s="880" t="str">
        <f t="shared" si="5"/>
        <v>--</v>
      </c>
      <c r="S40" s="434" t="str">
        <f t="shared" si="6"/>
        <v>--</v>
      </c>
      <c r="T40" s="435" t="str">
        <f t="shared" si="7"/>
        <v>--</v>
      </c>
      <c r="U40" s="298" t="str">
        <f t="shared" si="8"/>
        <v>--</v>
      </c>
      <c r="V40" s="299" t="str">
        <f t="shared" si="9"/>
        <v>--</v>
      </c>
      <c r="W40" s="436" t="str">
        <f t="shared" si="10"/>
        <v>--</v>
      </c>
      <c r="X40" s="876" t="str">
        <f t="shared" si="11"/>
        <v>--</v>
      </c>
      <c r="Y40" s="221">
        <f t="shared" si="14"/>
      </c>
      <c r="Z40" s="381">
        <f t="shared" si="12"/>
      </c>
      <c r="AA40" s="6"/>
    </row>
    <row r="41" spans="2:27" s="5" customFormat="1" ht="16.5" customHeight="1" thickBot="1">
      <c r="B41" s="50"/>
      <c r="C41" s="442"/>
      <c r="D41" s="442"/>
      <c r="E41" s="442"/>
      <c r="F41" s="442"/>
      <c r="G41" s="442"/>
      <c r="H41" s="442"/>
      <c r="I41" s="131"/>
      <c r="J41" s="382"/>
      <c r="K41" s="382"/>
      <c r="L41" s="383"/>
      <c r="M41" s="383"/>
      <c r="N41" s="382"/>
      <c r="O41" s="189"/>
      <c r="P41" s="151"/>
      <c r="Q41" s="443"/>
      <c r="R41" s="444"/>
      <c r="S41" s="445"/>
      <c r="T41" s="446"/>
      <c r="U41" s="316"/>
      <c r="V41" s="317"/>
      <c r="W41" s="447"/>
      <c r="X41" s="447"/>
      <c r="Y41" s="151"/>
      <c r="Z41" s="448"/>
      <c r="AA41" s="6"/>
    </row>
    <row r="42" spans="2:27" s="5" customFormat="1" ht="16.5" customHeight="1" thickBot="1" thickTop="1">
      <c r="B42" s="50"/>
      <c r="C42" s="933" t="s">
        <v>391</v>
      </c>
      <c r="D42" s="73" t="s">
        <v>392</v>
      </c>
      <c r="E42" s="127"/>
      <c r="F42" s="128"/>
      <c r="I42" s="4"/>
      <c r="J42" s="4"/>
      <c r="K42" s="4"/>
      <c r="L42" s="4"/>
      <c r="M42" s="4"/>
      <c r="N42" s="4"/>
      <c r="O42" s="4"/>
      <c r="P42" s="4"/>
      <c r="Q42" s="4"/>
      <c r="R42" s="449">
        <f aca="true" t="shared" si="15" ref="R42:X42">SUM(R20:R41)</f>
        <v>4341.465</v>
      </c>
      <c r="S42" s="450">
        <f t="shared" si="15"/>
        <v>0</v>
      </c>
      <c r="T42" s="451">
        <f t="shared" si="15"/>
        <v>0</v>
      </c>
      <c r="U42" s="326">
        <f t="shared" si="15"/>
        <v>0</v>
      </c>
      <c r="V42" s="327">
        <f t="shared" si="15"/>
        <v>0</v>
      </c>
      <c r="W42" s="452">
        <f t="shared" si="15"/>
        <v>211174.29</v>
      </c>
      <c r="X42" s="452">
        <f t="shared" si="15"/>
        <v>0</v>
      </c>
      <c r="Z42" s="100">
        <f>ROUND(SUM(Z20:Z41),2)</f>
        <v>215515.76</v>
      </c>
      <c r="AA42" s="453"/>
    </row>
    <row r="43" spans="2:27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</row>
    <row r="44" spans="6:29" ht="16.5" customHeight="1" thickTop="1">
      <c r="F44" s="174"/>
      <c r="G44" s="174"/>
      <c r="H44" s="174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</row>
    <row r="45" spans="6:29" ht="16.5" customHeight="1"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6:29" ht="16.5" customHeight="1">
      <c r="F46" s="174"/>
      <c r="G46" s="174"/>
      <c r="H46" s="174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6:29" ht="16.5" customHeight="1">
      <c r="F47" s="174"/>
      <c r="G47" s="174"/>
      <c r="H47" s="174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6:29" ht="16.5" customHeight="1">
      <c r="F48" s="174"/>
      <c r="G48" s="174"/>
      <c r="H48" s="174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6:29" ht="16.5" customHeight="1">
      <c r="F49" s="174"/>
      <c r="G49" s="174"/>
      <c r="H49" s="174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6:29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6:29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6:29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6:29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6:29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6:29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</row>
    <row r="56" spans="6:29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6:29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6:29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6:29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6:29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</row>
    <row r="61" spans="6:29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6:29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6:29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</row>
    <row r="64" spans="6:29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</row>
    <row r="65" spans="6:29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</row>
    <row r="66" spans="6:29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6:29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6:29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6:29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6:29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6:29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6:29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6:29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6:29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6:29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</row>
    <row r="76" spans="6:29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</row>
    <row r="77" spans="6:29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</row>
    <row r="78" spans="6:29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</row>
    <row r="79" spans="6:29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</row>
    <row r="80" spans="6:29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</row>
    <row r="81" spans="6:29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6:29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</row>
    <row r="83" spans="6:29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</row>
    <row r="84" spans="6:29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</row>
    <row r="85" spans="6:29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6:29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6:29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6:29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6:29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6:29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6:29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6:29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6:29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</row>
    <row r="94" spans="6:29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</row>
    <row r="95" spans="6:29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</row>
    <row r="96" spans="6:29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</row>
    <row r="97" spans="6:29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6:29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6:29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6:29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6:29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6:29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</row>
    <row r="103" spans="6:29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6:29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6:29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6:29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6:29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6:29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6:29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6:29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6:29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6:29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6:29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6:29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6:29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6:29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6:29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6:29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6:29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6:29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6:29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6:29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6:29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6:29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6:29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6:29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6:29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6:29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6:29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6:29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6:29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6:29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6:29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6:29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6:29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6:29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6:29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6:29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6:29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6:29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6:29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6:29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6:29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6:29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6:29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</row>
    <row r="146" spans="6:29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</row>
    <row r="147" spans="6:29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</row>
    <row r="148" spans="6:29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</row>
    <row r="149" spans="6:29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</row>
    <row r="150" spans="6:29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</row>
    <row r="151" spans="6:29" ht="16.5" customHeight="1">
      <c r="F151" s="172"/>
      <c r="G151" s="172"/>
      <c r="H151" s="172"/>
      <c r="AB151" s="172"/>
      <c r="AC151" s="172"/>
    </row>
    <row r="152" spans="6:8" ht="16.5" customHeight="1">
      <c r="F152" s="172"/>
      <c r="G152" s="172"/>
      <c r="H152" s="172"/>
    </row>
    <row r="153" spans="6:8" ht="16.5" customHeight="1">
      <c r="F153" s="172"/>
      <c r="G153" s="172"/>
      <c r="H153" s="172"/>
    </row>
    <row r="154" spans="6:8" ht="16.5" customHeight="1">
      <c r="F154" s="172"/>
      <c r="G154" s="172"/>
      <c r="H154" s="172"/>
    </row>
    <row r="155" spans="6:8" ht="16.5" customHeight="1">
      <c r="F155" s="172"/>
      <c r="G155" s="172"/>
      <c r="H155" s="172"/>
    </row>
    <row r="156" spans="6:8" ht="16.5" customHeight="1">
      <c r="F156" s="172"/>
      <c r="G156" s="172"/>
      <c r="H156" s="172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G71"/>
  <sheetViews>
    <sheetView zoomScale="50" zoomScaleNormal="50" workbookViewId="0" topLeftCell="A13">
      <selection activeCell="AH46" sqref="AH46"/>
    </sheetView>
  </sheetViews>
  <sheetFormatPr defaultColWidth="11.421875" defaultRowHeight="12.75"/>
  <cols>
    <col min="1" max="1" width="15.7109375" style="0" customWidth="1"/>
    <col min="2" max="2" width="18.281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3.00390625" style="0" customWidth="1"/>
    <col min="8" max="8" width="15.574218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421875" style="0" customWidth="1"/>
    <col min="18" max="19" width="12.140625" style="0" hidden="1" customWidth="1"/>
    <col min="20" max="20" width="11.57421875" style="0" hidden="1" customWidth="1"/>
    <col min="21" max="21" width="13.00390625" style="0" hidden="1" customWidth="1"/>
    <col min="22" max="22" width="8.421875" style="0" hidden="1" customWidth="1"/>
    <col min="23" max="23" width="15.71093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18.281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0" customFormat="1" ht="30.75">
      <c r="A3" s="457"/>
      <c r="B3" s="458" t="str">
        <f>+'TOT-1110'!B2</f>
        <v>ANEXO  VI al Memorandum  D.T.E.E.  N°     381 /2012 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AB3" s="459"/>
      <c r="AC3" s="459"/>
      <c r="AD3" s="459"/>
    </row>
    <row r="4" spans="1:2" s="25" customFormat="1" ht="11.25">
      <c r="A4" s="23" t="s">
        <v>1</v>
      </c>
      <c r="B4" s="23"/>
    </row>
    <row r="5" spans="1:2" s="25" customFormat="1" ht="11.25">
      <c r="A5" s="23" t="s">
        <v>2</v>
      </c>
      <c r="B5" s="23"/>
    </row>
    <row r="6" s="25" customFormat="1" ht="12" thickBot="1">
      <c r="A6" s="23"/>
    </row>
    <row r="7" spans="1:30" ht="16.5" customHeight="1" thickTop="1">
      <c r="A7" s="5"/>
      <c r="B7" s="69"/>
      <c r="C7" s="70"/>
      <c r="D7" s="70"/>
      <c r="E7" s="193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73"/>
      <c r="X7" s="173"/>
      <c r="Y7" s="173"/>
      <c r="Z7" s="173"/>
      <c r="AA7" s="173"/>
      <c r="AB7" s="173"/>
      <c r="AC7" s="173"/>
      <c r="AD7" s="94"/>
    </row>
    <row r="8" spans="1:30" ht="20.25">
      <c r="A8" s="5"/>
      <c r="B8" s="50"/>
      <c r="C8" s="4"/>
      <c r="D8" s="171" t="s">
        <v>88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7"/>
      <c r="Q8" s="77"/>
      <c r="R8" s="4"/>
      <c r="S8" s="4"/>
      <c r="T8" s="4"/>
      <c r="U8" s="4"/>
      <c r="V8" s="4"/>
      <c r="AD8" s="17"/>
    </row>
    <row r="9" spans="1:30" ht="16.5" customHeight="1">
      <c r="A9" s="5"/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D9" s="17"/>
    </row>
    <row r="10" spans="2:30" s="36" customFormat="1" ht="20.25">
      <c r="B10" s="44"/>
      <c r="C10" s="43"/>
      <c r="D10" s="171" t="s">
        <v>89</v>
      </c>
      <c r="E10" s="43"/>
      <c r="F10" s="43"/>
      <c r="G10" s="43"/>
      <c r="H10" s="43"/>
      <c r="N10" s="43"/>
      <c r="O10" s="43"/>
      <c r="P10" s="194"/>
      <c r="Q10" s="194"/>
      <c r="R10" s="43"/>
      <c r="S10" s="43"/>
      <c r="T10" s="43"/>
      <c r="U10" s="43"/>
      <c r="V10" s="43"/>
      <c r="W10"/>
      <c r="X10" s="43"/>
      <c r="Y10" s="43"/>
      <c r="Z10" s="43"/>
      <c r="AA10" s="43"/>
      <c r="AB10" s="43"/>
      <c r="AC10"/>
      <c r="AD10" s="195"/>
    </row>
    <row r="11" spans="1:30" ht="16.5" customHeight="1">
      <c r="A11" s="5"/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D11" s="17"/>
    </row>
    <row r="12" spans="2:30" s="36" customFormat="1" ht="20.25">
      <c r="B12" s="44"/>
      <c r="C12" s="43"/>
      <c r="D12" s="171" t="s">
        <v>90</v>
      </c>
      <c r="E12" s="43"/>
      <c r="F12" s="43"/>
      <c r="G12" s="43"/>
      <c r="H12" s="43"/>
      <c r="N12" s="43"/>
      <c r="O12" s="43"/>
      <c r="P12" s="194"/>
      <c r="Q12" s="194"/>
      <c r="R12" s="43"/>
      <c r="S12" s="43"/>
      <c r="T12" s="43"/>
      <c r="U12" s="43"/>
      <c r="V12" s="43"/>
      <c r="W12"/>
      <c r="X12" s="43"/>
      <c r="Y12" s="43"/>
      <c r="Z12" s="43"/>
      <c r="AA12" s="43"/>
      <c r="AB12" s="43"/>
      <c r="AC12"/>
      <c r="AD12" s="195"/>
    </row>
    <row r="13" spans="1:30" ht="16.5" customHeight="1">
      <c r="A13" s="5"/>
      <c r="B13" s="50"/>
      <c r="C13" s="4"/>
      <c r="D13" s="4"/>
      <c r="E13" s="5"/>
      <c r="F13" s="5"/>
      <c r="G13" s="5"/>
      <c r="H13" s="5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AD13" s="17"/>
    </row>
    <row r="14" spans="2:30" s="36" customFormat="1" ht="19.5">
      <c r="B14" s="37" t="str">
        <f>'TOT-1110'!B14</f>
        <v>Desde el 01 al 30 de noviembre de 2010</v>
      </c>
      <c r="C14" s="38"/>
      <c r="D14" s="40"/>
      <c r="E14" s="40"/>
      <c r="F14" s="40"/>
      <c r="G14" s="40"/>
      <c r="H14" s="40"/>
      <c r="I14" s="41"/>
      <c r="J14" s="169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126"/>
      <c r="V14" s="126"/>
      <c r="W14"/>
      <c r="X14" s="461"/>
      <c r="Y14" s="461"/>
      <c r="Z14" s="461"/>
      <c r="AA14" s="461"/>
      <c r="AB14" s="126"/>
      <c r="AC14" s="169"/>
      <c r="AD14" s="42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4"/>
      <c r="J15" s="462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4"/>
      <c r="D17" s="4"/>
      <c r="E17" s="66"/>
      <c r="F17" s="66"/>
      <c r="G17" s="4"/>
      <c r="H17" s="4"/>
      <c r="I17" s="140"/>
      <c r="J17" s="4"/>
      <c r="K17" s="1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1:30" ht="16.5" customHeight="1">
      <c r="A18" s="5"/>
      <c r="B18" s="50"/>
      <c r="C18" s="159" t="s">
        <v>91</v>
      </c>
      <c r="D18" s="54" t="s">
        <v>92</v>
      </c>
      <c r="E18" s="66"/>
      <c r="F18" s="66"/>
      <c r="G18" s="4"/>
      <c r="H18" s="4"/>
      <c r="I18" s="4"/>
      <c r="J18" s="462"/>
      <c r="K18" s="4"/>
      <c r="L18" s="4"/>
      <c r="M18" s="4"/>
      <c r="N18" s="5"/>
      <c r="O18" s="5"/>
      <c r="P18" s="4"/>
      <c r="Q18" s="4"/>
      <c r="R18" s="4"/>
      <c r="S18" s="4"/>
      <c r="T18" s="4"/>
      <c r="U18" s="4"/>
      <c r="V18" s="4"/>
      <c r="AD18" s="17"/>
    </row>
    <row r="19" spans="2:30" s="32" customFormat="1" ht="16.5" customHeight="1">
      <c r="B19" s="463"/>
      <c r="C19" s="33"/>
      <c r="D19" s="464"/>
      <c r="E19" s="465"/>
      <c r="F19" s="466"/>
      <c r="G19" s="33"/>
      <c r="H19" s="33"/>
      <c r="I19" s="33"/>
      <c r="J19" s="467"/>
      <c r="K19" s="33"/>
      <c r="L19" s="33"/>
      <c r="M19" s="33"/>
      <c r="P19" s="33"/>
      <c r="Q19" s="33"/>
      <c r="R19" s="33"/>
      <c r="S19" s="33"/>
      <c r="T19" s="33"/>
      <c r="U19" s="33"/>
      <c r="V19" s="33"/>
      <c r="W19"/>
      <c r="AD19" s="468"/>
    </row>
    <row r="20" spans="2:30" s="32" customFormat="1" ht="16.5" customHeight="1">
      <c r="B20" s="463"/>
      <c r="C20" s="33"/>
      <c r="D20" s="469" t="s">
        <v>93</v>
      </c>
      <c r="F20" s="470">
        <v>165.16</v>
      </c>
      <c r="G20" s="469" t="s">
        <v>94</v>
      </c>
      <c r="H20" s="33"/>
      <c r="I20" s="33"/>
      <c r="J20" s="471"/>
      <c r="K20" s="472" t="s">
        <v>38</v>
      </c>
      <c r="L20" s="473">
        <v>0.0065</v>
      </c>
      <c r="R20" s="33"/>
      <c r="S20" s="33"/>
      <c r="T20" s="33"/>
      <c r="U20" s="33"/>
      <c r="V20" s="33"/>
      <c r="W20"/>
      <c r="AD20" s="468"/>
    </row>
    <row r="21" spans="2:30" s="32" customFormat="1" ht="16.5" customHeight="1">
      <c r="B21" s="463"/>
      <c r="C21" s="33"/>
      <c r="D21" s="469" t="s">
        <v>109</v>
      </c>
      <c r="E21" s="474"/>
      <c r="F21" s="853">
        <v>0.45</v>
      </c>
      <c r="G21" s="475" t="s">
        <v>110</v>
      </c>
      <c r="H21" s="33"/>
      <c r="I21" s="33"/>
      <c r="J21" s="33"/>
      <c r="K21" s="464" t="s">
        <v>36</v>
      </c>
      <c r="L21" s="33">
        <f>MID(B14,16,2)*24</f>
        <v>720</v>
      </c>
      <c r="M21" s="33" t="s">
        <v>37</v>
      </c>
      <c r="N21" s="33"/>
      <c r="O21" s="199"/>
      <c r="P21" s="200"/>
      <c r="Q21" s="4"/>
      <c r="R21" s="33"/>
      <c r="S21" s="33"/>
      <c r="T21" s="33"/>
      <c r="U21" s="33"/>
      <c r="V21" s="33"/>
      <c r="W21"/>
      <c r="AD21" s="468"/>
    </row>
    <row r="22" spans="2:30" s="32" customFormat="1" ht="16.5" customHeight="1">
      <c r="B22" s="463"/>
      <c r="C22" s="33"/>
      <c r="D22" s="469"/>
      <c r="E22" s="474"/>
      <c r="F22" s="853"/>
      <c r="G22" s="475"/>
      <c r="H22" s="33"/>
      <c r="I22" s="33"/>
      <c r="J22" s="33"/>
      <c r="K22" s="464"/>
      <c r="L22" s="33"/>
      <c r="M22" s="33"/>
      <c r="N22" s="33"/>
      <c r="O22" s="199"/>
      <c r="P22" s="200"/>
      <c r="Q22" s="4"/>
      <c r="R22" s="33"/>
      <c r="S22" s="33"/>
      <c r="T22" s="33"/>
      <c r="U22" s="33"/>
      <c r="V22" s="33"/>
      <c r="W22"/>
      <c r="AD22" s="468"/>
    </row>
    <row r="23" spans="2:30" s="32" customFormat="1" ht="16.5" customHeight="1">
      <c r="B23" s="463"/>
      <c r="C23" s="33"/>
      <c r="D23" s="33"/>
      <c r="E23" s="47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68"/>
    </row>
    <row r="24" spans="1:30" ht="16.5" customHeight="1">
      <c r="A24" s="5"/>
      <c r="B24" s="50"/>
      <c r="C24" s="159" t="s">
        <v>95</v>
      </c>
      <c r="D24" s="3" t="s">
        <v>124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463"/>
      <c r="C26" s="466"/>
      <c r="D26"/>
      <c r="E26"/>
      <c r="F26"/>
      <c r="G26"/>
      <c r="H26"/>
      <c r="I26"/>
      <c r="J26" s="477" t="s">
        <v>43</v>
      </c>
      <c r="K26" s="478">
        <f>AC64*L20</f>
        <v>9691.0867664</v>
      </c>
      <c r="L26"/>
      <c r="S26"/>
      <c r="T26"/>
      <c r="U26"/>
      <c r="W26"/>
      <c r="AD26" s="468"/>
    </row>
    <row r="27" spans="2:30" s="32" customFormat="1" ht="11.25" customHeight="1" thickTop="1">
      <c r="B27" s="463"/>
      <c r="C27" s="466"/>
      <c r="D27" s="33"/>
      <c r="E27" s="47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468"/>
    </row>
    <row r="28" spans="1:30" ht="16.5" customHeight="1">
      <c r="A28" s="5"/>
      <c r="B28" s="50"/>
      <c r="C28" s="159" t="s">
        <v>96</v>
      </c>
      <c r="D28" s="3" t="s">
        <v>125</v>
      </c>
      <c r="E28" s="20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0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12</v>
      </c>
      <c r="D30" s="202" t="s">
        <v>0</v>
      </c>
      <c r="E30" s="175" t="s">
        <v>13</v>
      </c>
      <c r="F30" s="87" t="s">
        <v>14</v>
      </c>
      <c r="G30" s="203" t="s">
        <v>70</v>
      </c>
      <c r="H30" s="204" t="s">
        <v>35</v>
      </c>
      <c r="I30" s="135" t="s">
        <v>15</v>
      </c>
      <c r="J30" s="85" t="s">
        <v>16</v>
      </c>
      <c r="K30" s="176" t="s">
        <v>17</v>
      </c>
      <c r="L30" s="88" t="s">
        <v>34</v>
      </c>
      <c r="M30" s="86" t="s">
        <v>29</v>
      </c>
      <c r="N30" s="88" t="s">
        <v>97</v>
      </c>
      <c r="O30" s="88" t="s">
        <v>56</v>
      </c>
      <c r="P30" s="176" t="s">
        <v>57</v>
      </c>
      <c r="Q30" s="85" t="s">
        <v>30</v>
      </c>
      <c r="R30" s="137" t="s">
        <v>19</v>
      </c>
      <c r="S30" s="479" t="s">
        <v>20</v>
      </c>
      <c r="T30" s="480" t="s">
        <v>71</v>
      </c>
      <c r="U30" s="481"/>
      <c r="V30" s="482"/>
      <c r="W30" s="483" t="s">
        <v>98</v>
      </c>
      <c r="X30" s="484"/>
      <c r="Y30" s="485"/>
      <c r="Z30" s="486" t="s">
        <v>21</v>
      </c>
      <c r="AA30" s="487" t="s">
        <v>22</v>
      </c>
      <c r="AB30" s="89" t="s">
        <v>73</v>
      </c>
      <c r="AC30" s="121" t="s">
        <v>23</v>
      </c>
      <c r="AD30" s="210"/>
      <c r="AE30"/>
    </row>
    <row r="31" spans="1:30" ht="16.5" customHeight="1" thickTop="1">
      <c r="A31" s="5"/>
      <c r="B31" s="50"/>
      <c r="C31" s="7"/>
      <c r="D31" s="488"/>
      <c r="E31" s="489"/>
      <c r="F31" s="490"/>
      <c r="G31" s="491"/>
      <c r="H31" s="492"/>
      <c r="I31" s="493"/>
      <c r="J31" s="494"/>
      <c r="K31" s="495"/>
      <c r="L31" s="7"/>
      <c r="M31" s="7"/>
      <c r="N31" s="182"/>
      <c r="O31" s="182"/>
      <c r="P31" s="7"/>
      <c r="Q31" s="179"/>
      <c r="R31" s="496"/>
      <c r="S31" s="497"/>
      <c r="T31" s="498"/>
      <c r="U31" s="499"/>
      <c r="V31" s="500"/>
      <c r="W31" s="501"/>
      <c r="X31" s="502"/>
      <c r="Y31" s="503"/>
      <c r="Z31" s="504"/>
      <c r="AA31" s="505"/>
      <c r="AB31" s="506"/>
      <c r="AC31" s="507"/>
      <c r="AD31" s="17"/>
    </row>
    <row r="32" spans="1:30" ht="16.5" customHeight="1">
      <c r="A32" s="5"/>
      <c r="B32" s="50"/>
      <c r="C32" s="805" t="s">
        <v>186</v>
      </c>
      <c r="D32" s="7" t="s">
        <v>301</v>
      </c>
      <c r="E32" s="455">
        <v>500</v>
      </c>
      <c r="F32" s="508">
        <v>3.5999999046325684</v>
      </c>
      <c r="G32" s="509" t="s">
        <v>287</v>
      </c>
      <c r="H32" s="510">
        <f>IF(G32="A",200,IF(G32="B",60,20))</f>
        <v>20</v>
      </c>
      <c r="I32" s="511">
        <f>IF(F32&gt;100,F32,100)*$F$20/100</f>
        <v>165.16</v>
      </c>
      <c r="J32" s="512">
        <v>40499.3625</v>
      </c>
      <c r="K32" s="456">
        <v>40499.52361111111</v>
      </c>
      <c r="L32" s="513">
        <f>IF(D32="","",(K32-J32)*24)</f>
        <v>3.8666666665230878</v>
      </c>
      <c r="M32" s="380">
        <f>IF(D32="","",ROUND((K32-J32)*24*60,0))</f>
        <v>232</v>
      </c>
      <c r="N32" s="514" t="s">
        <v>283</v>
      </c>
      <c r="O32" s="515" t="str">
        <f>IF(D32="","","--")</f>
        <v>--</v>
      </c>
      <c r="P32" s="221" t="str">
        <f>IF(D32="","","NO")</f>
        <v>NO</v>
      </c>
      <c r="Q32" s="221" t="str">
        <f>IF(D32="","",IF(OR(N32="P",N32="RP"),"--","NO"))</f>
        <v>--</v>
      </c>
      <c r="R32" s="516">
        <f>IF(N32="P",+I32*H32*ROUND(M32/60,2)/100,"--")</f>
        <v>127.83384</v>
      </c>
      <c r="S32" s="517" t="str">
        <f>IF(N32="RP",I32*H32*ROUND(M32/60,2)*0.01*O32/100,"--")</f>
        <v>--</v>
      </c>
      <c r="T32" s="518" t="str">
        <f>IF(AND(N32="F",Q32="NO"),IF(P32="SI",1.2,1)*I32*H32,"--")</f>
        <v>--</v>
      </c>
      <c r="U32" s="519" t="str">
        <f>IF(AND(M32&gt;10,N32="F"),IF(M32&lt;=300,ROUND(M32/60,2),5)*I32*H32*IF(P32="SI",1.2,1),"--")</f>
        <v>--</v>
      </c>
      <c r="V32" s="520" t="str">
        <f>IF(AND(N32="F",M32&gt;300),IF(P32="SI",1.2,1)*(ROUND(M32/60,2)-5)*I32*H32*0.1,"--")</f>
        <v>--</v>
      </c>
      <c r="W32" s="521" t="str">
        <f>IF(AND(N32="R",Q32="NO"),IF(P32="SI",1.2,1)*I32*H32*O32/100,"--")</f>
        <v>--</v>
      </c>
      <c r="X32" s="522" t="str">
        <f>IF(AND(M32&gt;10,N32="R"),IF(M32&lt;=300,ROUND(M32/60,2),5)*I32*H32*O32/100*IF(P32="SI",1.2,1),"--")</f>
        <v>--</v>
      </c>
      <c r="Y32" s="523" t="str">
        <f>IF(AND(N32="R",M32&gt;300),IF(P32="SI",1.2,1)*(ROUND(M32/60,2)-5)*I32*H32*O32/100*0.1,"--")</f>
        <v>--</v>
      </c>
      <c r="Z32" s="524" t="str">
        <f>IF(N32="RF",IF(P32="SI",1.2,1)*ROUND(M32/60,2)*I32*H32*0.1,"--")</f>
        <v>--</v>
      </c>
      <c r="AA32" s="525" t="str">
        <f>IF(N32="RR",IF(P32="SI",1.2,1)*ROUND(M32/60,2)*I32*H32*O32/100*0.1,"--")</f>
        <v>--</v>
      </c>
      <c r="AB32" s="526" t="s">
        <v>202</v>
      </c>
      <c r="AC32" s="16">
        <f>IF(D32="","",SUM(R32:AA32)*IF(AB32="SI",1,2))</f>
        <v>127.83384</v>
      </c>
      <c r="AD32" s="17"/>
    </row>
    <row r="33" spans="1:30" ht="16.5" customHeight="1">
      <c r="A33" s="5"/>
      <c r="B33" s="50"/>
      <c r="C33" s="805" t="s">
        <v>187</v>
      </c>
      <c r="D33" s="7" t="s">
        <v>302</v>
      </c>
      <c r="E33" s="455">
        <v>500</v>
      </c>
      <c r="F33" s="508">
        <v>40</v>
      </c>
      <c r="G33" s="509" t="s">
        <v>287</v>
      </c>
      <c r="H33" s="510">
        <f>IF(G33="A",200,IF(G33="B",60,20))</f>
        <v>20</v>
      </c>
      <c r="I33" s="511">
        <f>IF(F33&gt;100,F33,100)*$F$20/100</f>
        <v>165.16</v>
      </c>
      <c r="J33" s="512">
        <v>40500.350694444445</v>
      </c>
      <c r="K33" s="456">
        <v>40500.52013888889</v>
      </c>
      <c r="L33" s="513">
        <f>IF(D33="","",(K33-J33)*24)</f>
        <v>4.066666666651145</v>
      </c>
      <c r="M33" s="380">
        <f>IF(D33="","",ROUND((K33-J33)*24*60,0))</f>
        <v>244</v>
      </c>
      <c r="N33" s="514" t="s">
        <v>283</v>
      </c>
      <c r="O33" s="515" t="str">
        <f>IF(D33="","","--")</f>
        <v>--</v>
      </c>
      <c r="P33" s="221" t="str">
        <f>IF(D33="","","NO")</f>
        <v>NO</v>
      </c>
      <c r="Q33" s="221" t="str">
        <f>IF(D33="","",IF(OR(N33="P",N33="RP"),"--","NO"))</f>
        <v>--</v>
      </c>
      <c r="R33" s="516">
        <f>IF(N33="P",+I33*H33*ROUND(M33/60,2)/100,"--")</f>
        <v>134.44024</v>
      </c>
      <c r="S33" s="517" t="str">
        <f>IF(N33="RP",I33*H33*ROUND(M33/60,2)*0.01*O33/100,"--")</f>
        <v>--</v>
      </c>
      <c r="T33" s="518" t="str">
        <f>IF(AND(N33="F",Q33="NO"),IF(P33="SI",1.2,1)*I33*H33,"--")</f>
        <v>--</v>
      </c>
      <c r="U33" s="519" t="str">
        <f>IF(AND(M33&gt;10,N33="F"),IF(M33&lt;=300,ROUND(M33/60,2),5)*I33*H33*IF(P33="SI",1.2,1),"--")</f>
        <v>--</v>
      </c>
      <c r="V33" s="520" t="str">
        <f>IF(AND(N33="F",M33&gt;300),IF(P33="SI",1.2,1)*(ROUND(M33/60,2)-5)*I33*H33*0.1,"--")</f>
        <v>--</v>
      </c>
      <c r="W33" s="521" t="str">
        <f>IF(AND(N33="R",Q33="NO"),IF(P33="SI",1.2,1)*I33*H33*O33/100,"--")</f>
        <v>--</v>
      </c>
      <c r="X33" s="522" t="str">
        <f>IF(AND(M33&gt;10,N33="R"),IF(M33&lt;=300,ROUND(M33/60,2),5)*I33*H33*O33/100*IF(P33="SI",1.2,1),"--")</f>
        <v>--</v>
      </c>
      <c r="Y33" s="523" t="str">
        <f>IF(AND(N33="R",M33&gt;300),IF(P33="SI",1.2,1)*(ROUND(M33/60,2)-5)*I33*H33*O33/100*0.1,"--")</f>
        <v>--</v>
      </c>
      <c r="Z33" s="524" t="str">
        <f>IF(N33="RF",IF(P33="SI",1.2,1)*ROUND(M33/60,2)*I33*H33*0.1,"--")</f>
        <v>--</v>
      </c>
      <c r="AA33" s="525" t="str">
        <f>IF(N33="RR",IF(P33="SI",1.2,1)*ROUND(M33/60,2)*I33*H33*O33/100*0.1,"--")</f>
        <v>--</v>
      </c>
      <c r="AB33" s="526" t="s">
        <v>202</v>
      </c>
      <c r="AC33" s="16">
        <f>IF(D33="","",SUM(R33:AA33)*IF(AB33="SI",1,2))</f>
        <v>134.44024</v>
      </c>
      <c r="AD33" s="17"/>
    </row>
    <row r="34" spans="1:30" ht="16.5" customHeight="1">
      <c r="A34" s="5"/>
      <c r="B34" s="50"/>
      <c r="C34" s="805" t="s">
        <v>188</v>
      </c>
      <c r="D34" s="7"/>
      <c r="E34" s="455"/>
      <c r="F34" s="508"/>
      <c r="G34" s="509"/>
      <c r="H34" s="510">
        <f>IF(G34="A",200,IF(G34="B",60,20))</f>
        <v>20</v>
      </c>
      <c r="I34" s="511">
        <f>IF(F34&gt;100,F34,100)*$F$20/100</f>
        <v>165.16</v>
      </c>
      <c r="J34" s="512"/>
      <c r="K34" s="456"/>
      <c r="L34" s="513">
        <f>IF(D34="","",(K34-J34)*24)</f>
      </c>
      <c r="M34" s="380">
        <f>IF(D34="","",ROUND((K34-J34)*24*60,0))</f>
      </c>
      <c r="N34" s="514"/>
      <c r="O34" s="515">
        <f>IF(D34="","","--")</f>
      </c>
      <c r="P34" s="221">
        <f>IF(D34="","","NO")</f>
      </c>
      <c r="Q34" s="221">
        <f>IF(D34="","",IF(OR(N34="P",N34="RP"),"--","NO"))</f>
      </c>
      <c r="R34" s="516" t="str">
        <f>IF(N34="P",+I34*H34*ROUND(M34/60,2)/100,"--")</f>
        <v>--</v>
      </c>
      <c r="S34" s="517" t="str">
        <f>IF(N34="RP",I34*H34*ROUND(M34/60,2)*0.01*O34/100,"--")</f>
        <v>--</v>
      </c>
      <c r="T34" s="518" t="str">
        <f>IF(AND(N34="F",Q34="NO"),IF(P34="SI",1.2,1)*I34*H34,"--")</f>
        <v>--</v>
      </c>
      <c r="U34" s="519" t="str">
        <f>IF(AND(M34&gt;10,N34="F"),IF(M34&lt;=300,ROUND(M34/60,2),5)*I34*H34*IF(P34="SI",1.2,1),"--")</f>
        <v>--</v>
      </c>
      <c r="V34" s="520" t="str">
        <f>IF(AND(N34="F",M34&gt;300),IF(P34="SI",1.2,1)*(ROUND(M34/60,2)-5)*I34*H34*0.1,"--")</f>
        <v>--</v>
      </c>
      <c r="W34" s="521" t="str">
        <f>IF(AND(N34="R",Q34="NO"),IF(P34="SI",1.2,1)*I34*H34*O34/100,"--")</f>
        <v>--</v>
      </c>
      <c r="X34" s="522" t="str">
        <f>IF(AND(M34&gt;10,N34="R"),IF(M34&lt;=300,ROUND(M34/60,2),5)*I34*H34*O34/100*IF(P34="SI",1.2,1),"--")</f>
        <v>--</v>
      </c>
      <c r="Y34" s="523" t="str">
        <f>IF(AND(N34="R",M34&gt;300),IF(P34="SI",1.2,1)*(ROUND(M34/60,2)-5)*I34*H34*O34/100*0.1,"--")</f>
        <v>--</v>
      </c>
      <c r="Z34" s="524" t="str">
        <f>IF(N34="RF",IF(P34="SI",1.2,1)*ROUND(M34/60,2)*I34*H34*0.1,"--")</f>
        <v>--</v>
      </c>
      <c r="AA34" s="525" t="str">
        <f>IF(N34="RR",IF(P34="SI",1.2,1)*ROUND(M34/60,2)*I34*H34*O34/100*0.1,"--")</f>
        <v>--</v>
      </c>
      <c r="AB34" s="526">
        <f>IF(D34="","","SI")</f>
      </c>
      <c r="AC34" s="16">
        <f>IF(D34="","",SUM(R34:AA34)*IF(AB34="SI",1,2))</f>
      </c>
      <c r="AD34" s="17"/>
    </row>
    <row r="35" spans="1:30" ht="16.5" customHeight="1">
      <c r="A35" s="5"/>
      <c r="B35" s="50"/>
      <c r="C35" s="805" t="s">
        <v>189</v>
      </c>
      <c r="D35" s="7"/>
      <c r="E35" s="455"/>
      <c r="F35" s="508"/>
      <c r="G35" s="509"/>
      <c r="H35" s="510">
        <f>IF(G35="A",200,IF(G35="B",60,20))</f>
        <v>20</v>
      </c>
      <c r="I35" s="511">
        <f>IF(F35&gt;100,F35,100)*$F$20/100</f>
        <v>165.16</v>
      </c>
      <c r="J35" s="512"/>
      <c r="K35" s="456"/>
      <c r="L35" s="513">
        <f>IF(D35="","",(K35-J35)*24)</f>
      </c>
      <c r="M35" s="380">
        <f>IF(D35="","",ROUND((K35-J35)*24*60,0))</f>
      </c>
      <c r="N35" s="514"/>
      <c r="O35" s="515">
        <f>IF(D35="","","--")</f>
      </c>
      <c r="P35" s="221">
        <f>IF(D35="","","NO")</f>
      </c>
      <c r="Q35" s="221">
        <f>IF(D35="","",IF(OR(N35="P",N35="RP"),"--","NO"))</f>
      </c>
      <c r="R35" s="516" t="str">
        <f>IF(N35="P",+I35*H35*ROUND(M35/60,2)/100,"--")</f>
        <v>--</v>
      </c>
      <c r="S35" s="517" t="str">
        <f>IF(N35="RP",I35*H35*ROUND(M35/60,2)*0.01*O35/100,"--")</f>
        <v>--</v>
      </c>
      <c r="T35" s="518" t="str">
        <f>IF(AND(N35="F",Q35="NO"),IF(P35="SI",1.2,1)*I35*H35,"--")</f>
        <v>--</v>
      </c>
      <c r="U35" s="519" t="str">
        <f>IF(AND(M35&gt;10,N35="F"),IF(M35&lt;=300,ROUND(M35/60,2),5)*I35*H35*IF(P35="SI",1.2,1),"--")</f>
        <v>--</v>
      </c>
      <c r="V35" s="520" t="str">
        <f>IF(AND(N35="F",M35&gt;300),IF(P35="SI",1.2,1)*(ROUND(M35/60,2)-5)*I35*H35*0.1,"--")</f>
        <v>--</v>
      </c>
      <c r="W35" s="521" t="str">
        <f>IF(AND(N35="R",Q35="NO"),IF(P35="SI",1.2,1)*I35*H35*O35/100,"--")</f>
        <v>--</v>
      </c>
      <c r="X35" s="522" t="str">
        <f>IF(AND(M35&gt;10,N35="R"),IF(M35&lt;=300,ROUND(M35/60,2),5)*I35*H35*O35/100*IF(P35="SI",1.2,1),"--")</f>
        <v>--</v>
      </c>
      <c r="Y35" s="523" t="str">
        <f>IF(AND(N35="R",M35&gt;300),IF(P35="SI",1.2,1)*(ROUND(M35/60,2)-5)*I35*H35*O35/100*0.1,"--")</f>
        <v>--</v>
      </c>
      <c r="Z35" s="524" t="str">
        <f>IF(N35="RF",IF(P35="SI",1.2,1)*ROUND(M35/60,2)*I35*H35*0.1,"--")</f>
        <v>--</v>
      </c>
      <c r="AA35" s="525" t="str">
        <f>IF(N35="RR",IF(P35="SI",1.2,1)*ROUND(M35/60,2)*I35*H35*O35/100*0.1,"--")</f>
        <v>--</v>
      </c>
      <c r="AB35" s="526">
        <f>IF(D35="","","SI")</f>
      </c>
      <c r="AC35" s="16">
        <f>IF(D35="","",SUM(R35:AA35)*IF(AB35="SI",1,2))</f>
      </c>
      <c r="AD35" s="17"/>
    </row>
    <row r="36" spans="1:30" ht="16.5" customHeight="1" thickBot="1">
      <c r="A36" s="32"/>
      <c r="B36" s="50"/>
      <c r="C36" s="780"/>
      <c r="D36" s="527"/>
      <c r="E36" s="528"/>
      <c r="F36" s="529"/>
      <c r="G36" s="530"/>
      <c r="H36" s="531"/>
      <c r="I36" s="532"/>
      <c r="J36" s="533"/>
      <c r="K36" s="533"/>
      <c r="L36" s="9"/>
      <c r="M36" s="9"/>
      <c r="N36" s="9"/>
      <c r="O36" s="534"/>
      <c r="P36" s="9"/>
      <c r="Q36" s="9"/>
      <c r="R36" s="535"/>
      <c r="S36" s="536"/>
      <c r="T36" s="537"/>
      <c r="U36" s="538"/>
      <c r="V36" s="539"/>
      <c r="W36" s="540"/>
      <c r="X36" s="541"/>
      <c r="Y36" s="542"/>
      <c r="Z36" s="543"/>
      <c r="AA36" s="544"/>
      <c r="AB36" s="545"/>
      <c r="AC36" s="546"/>
      <c r="AD36" s="227"/>
    </row>
    <row r="37" spans="1:30" ht="17.25" thickBot="1" thickTop="1">
      <c r="A37" s="32"/>
      <c r="B37" s="50"/>
      <c r="C37" s="466"/>
      <c r="D37" s="466"/>
      <c r="E37" s="547"/>
      <c r="F37" s="476"/>
      <c r="G37" s="548"/>
      <c r="H37" s="548"/>
      <c r="I37" s="549"/>
      <c r="J37" s="549"/>
      <c r="K37" s="549"/>
      <c r="L37" s="549"/>
      <c r="M37" s="549"/>
      <c r="N37" s="549"/>
      <c r="O37" s="550"/>
      <c r="P37" s="549"/>
      <c r="Q37" s="549"/>
      <c r="R37" s="551">
        <f aca="true" t="shared" si="0" ref="R37:AA37">SUM(R31:R36)</f>
        <v>262.27407999999997</v>
      </c>
      <c r="S37" s="552">
        <f t="shared" si="0"/>
        <v>0</v>
      </c>
      <c r="T37" s="553">
        <f t="shared" si="0"/>
        <v>0</v>
      </c>
      <c r="U37" s="553">
        <f t="shared" si="0"/>
        <v>0</v>
      </c>
      <c r="V37" s="553">
        <f t="shared" si="0"/>
        <v>0</v>
      </c>
      <c r="W37" s="554">
        <f t="shared" si="0"/>
        <v>0</v>
      </c>
      <c r="X37" s="554">
        <f t="shared" si="0"/>
        <v>0</v>
      </c>
      <c r="Y37" s="554">
        <f t="shared" si="0"/>
        <v>0</v>
      </c>
      <c r="Z37" s="555">
        <f t="shared" si="0"/>
        <v>0</v>
      </c>
      <c r="AA37" s="556">
        <f t="shared" si="0"/>
        <v>0</v>
      </c>
      <c r="AB37" s="557"/>
      <c r="AC37" s="558">
        <f>SUM(AC31:AC36)</f>
        <v>262.27407999999997</v>
      </c>
      <c r="AD37" s="227"/>
    </row>
    <row r="38" spans="1:30" ht="17.25" thickBot="1" thickTop="1">
      <c r="A38" s="32"/>
      <c r="B38" s="50"/>
      <c r="C38" s="852"/>
      <c r="D38" s="142"/>
      <c r="G38" s="859"/>
      <c r="H38" s="858"/>
      <c r="I38" s="860"/>
      <c r="J38" s="860"/>
      <c r="L38" s="549"/>
      <c r="M38" s="549"/>
      <c r="N38" s="549"/>
      <c r="O38" s="550"/>
      <c r="P38" s="549"/>
      <c r="Q38" s="549"/>
      <c r="R38" s="559"/>
      <c r="S38" s="560"/>
      <c r="T38" s="561"/>
      <c r="U38" s="561"/>
      <c r="V38" s="561"/>
      <c r="W38" s="559"/>
      <c r="X38" s="559"/>
      <c r="Y38" s="559"/>
      <c r="Z38" s="559"/>
      <c r="AA38" s="559"/>
      <c r="AB38" s="562"/>
      <c r="AC38" s="563"/>
      <c r="AD38" s="227"/>
    </row>
    <row r="39" spans="1:33" s="5" customFormat="1" ht="27" thickBot="1" thickTop="1">
      <c r="A39" s="90"/>
      <c r="B39" s="95"/>
      <c r="C39" s="123" t="s">
        <v>12</v>
      </c>
      <c r="D39" s="119" t="s">
        <v>25</v>
      </c>
      <c r="E39" s="118" t="s">
        <v>26</v>
      </c>
      <c r="F39" s="1060" t="s">
        <v>27</v>
      </c>
      <c r="G39" s="1061"/>
      <c r="H39" s="129" t="s">
        <v>15</v>
      </c>
      <c r="I39" s="564"/>
      <c r="J39" s="118" t="s">
        <v>16</v>
      </c>
      <c r="K39" s="118" t="s">
        <v>17</v>
      </c>
      <c r="L39" s="119" t="s">
        <v>28</v>
      </c>
      <c r="M39" s="119" t="s">
        <v>29</v>
      </c>
      <c r="N39" s="88" t="s">
        <v>99</v>
      </c>
      <c r="O39" s="118" t="s">
        <v>30</v>
      </c>
      <c r="P39" s="1036" t="s">
        <v>214</v>
      </c>
      <c r="Q39" s="1012"/>
      <c r="R39" s="129" t="s">
        <v>32</v>
      </c>
      <c r="S39" s="566" t="s">
        <v>19</v>
      </c>
      <c r="T39" s="567" t="s">
        <v>100</v>
      </c>
      <c r="U39" s="568"/>
      <c r="V39" s="569" t="s">
        <v>21</v>
      </c>
      <c r="W39" s="856" t="s">
        <v>215</v>
      </c>
      <c r="X39" s="570"/>
      <c r="Y39" s="570"/>
      <c r="Z39" s="570"/>
      <c r="AA39" s="571"/>
      <c r="AB39" s="132" t="s">
        <v>73</v>
      </c>
      <c r="AC39" s="121" t="s">
        <v>23</v>
      </c>
      <c r="AD39" s="17"/>
      <c r="AF39"/>
      <c r="AG39"/>
    </row>
    <row r="40" spans="1:30" ht="15.75" thickTop="1">
      <c r="A40" s="5"/>
      <c r="B40" s="50"/>
      <c r="C40" s="10"/>
      <c r="D40" s="10"/>
      <c r="E40" s="10"/>
      <c r="F40" s="1062"/>
      <c r="G40" s="1063"/>
      <c r="H40" s="574"/>
      <c r="I40" s="574"/>
      <c r="J40" s="10"/>
      <c r="K40" s="10"/>
      <c r="L40" s="10"/>
      <c r="M40" s="10"/>
      <c r="N40" s="10"/>
      <c r="O40" s="575"/>
      <c r="P40" s="1062"/>
      <c r="Q40" s="1063"/>
      <c r="R40" s="580"/>
      <c r="S40" s="580"/>
      <c r="T40" s="580"/>
      <c r="U40" s="580"/>
      <c r="V40" s="580"/>
      <c r="W40" s="580"/>
      <c r="X40" s="580"/>
      <c r="Y40" s="580"/>
      <c r="Z40" s="580"/>
      <c r="AA40" s="581"/>
      <c r="AB40" s="575"/>
      <c r="AC40" s="582"/>
      <c r="AD40" s="17"/>
    </row>
    <row r="41" spans="1:30" ht="15">
      <c r="A41" s="5"/>
      <c r="B41" s="50"/>
      <c r="C41" s="805" t="s">
        <v>186</v>
      </c>
      <c r="D41" s="583"/>
      <c r="E41" s="584"/>
      <c r="F41" s="1064"/>
      <c r="G41" s="1065"/>
      <c r="H41" s="587">
        <f>F41*$F$22</f>
        <v>0</v>
      </c>
      <c r="I41" s="588"/>
      <c r="J41" s="378"/>
      <c r="K41" s="185"/>
      <c r="L41" s="292">
        <f>IF(D41="","",(K41-J41)*24)</f>
      </c>
      <c r="M41" s="14">
        <f>IF(D41="","",(K41-J41)*24*60)</f>
      </c>
      <c r="N41" s="13"/>
      <c r="O41" s="8">
        <f>IF(D41="","",IF(N41="P","--","NO"))</f>
      </c>
      <c r="P41" s="1068">
        <f>IF(D41="","","--")</f>
      </c>
      <c r="Q41" s="1033"/>
      <c r="R41" s="440">
        <f>IF(OR(N41="P",N41="RP"),20/10,20)</f>
        <v>20</v>
      </c>
      <c r="S41" s="591" t="str">
        <f>IF(N41="P",H41*R41*ROUND(M41/60,2),"--")</f>
        <v>--</v>
      </c>
      <c r="T41" s="592" t="str">
        <f>IF(AND(N41="F",O41="NO"),H41*R41,"--")</f>
        <v>--</v>
      </c>
      <c r="U41" s="593" t="str">
        <f>IF(N41="F",H41*R41*ROUND(M41/60,2),"--")</f>
        <v>--</v>
      </c>
      <c r="V41" s="374" t="str">
        <f>IF(N41="RF",H41*R41*ROUND(M41/60,2),"--")</f>
        <v>--</v>
      </c>
      <c r="W41" s="857" t="str">
        <f>IF(N41="RP",H41*R41*P41/100*ROUND(M41/60,2),"--")</f>
        <v>--</v>
      </c>
      <c r="X41" s="594"/>
      <c r="Y41" s="594"/>
      <c r="Z41" s="594"/>
      <c r="AA41" s="595"/>
      <c r="AB41" s="302">
        <f>IF(D41="","","SI")</f>
      </c>
      <c r="AC41" s="303">
        <f>IF(D41="","",SUM(S41:W41)*IF(AB41="SI",1,2)*IF(AND(P41&lt;&gt;"--",N41="RF"),P41/100,1))</f>
      </c>
      <c r="AD41" s="227"/>
    </row>
    <row r="42" spans="1:30" ht="15">
      <c r="A42" s="5"/>
      <c r="B42" s="50"/>
      <c r="C42" s="805" t="s">
        <v>187</v>
      </c>
      <c r="D42" s="583"/>
      <c r="E42" s="584"/>
      <c r="F42" s="1064"/>
      <c r="G42" s="1065"/>
      <c r="H42" s="587">
        <f>F42*$F$22</f>
        <v>0</v>
      </c>
      <c r="I42" s="588"/>
      <c r="J42" s="596"/>
      <c r="K42" s="589"/>
      <c r="L42" s="292">
        <f>IF(D42="","",(K42-J42)*24)</f>
      </c>
      <c r="M42" s="14">
        <f>IF(D42="","",(K42-J42)*24*60)</f>
      </c>
      <c r="N42" s="13"/>
      <c r="O42" s="8">
        <f>IF(D42="","",IF(N42="P","--","NO"))</f>
      </c>
      <c r="P42" s="1068">
        <f>IF(D42="","","--")</f>
      </c>
      <c r="Q42" s="1033"/>
      <c r="R42" s="440">
        <f>IF(OR(N42="P",N42="RP"),20/10,20)</f>
        <v>20</v>
      </c>
      <c r="S42" s="591" t="str">
        <f>IF(N42="P",H42*R42*ROUND(M42/60,2),"--")</f>
        <v>--</v>
      </c>
      <c r="T42" s="592" t="str">
        <f>IF(AND(N42="F",O42="NO"),H42*R42,"--")</f>
        <v>--</v>
      </c>
      <c r="U42" s="593" t="str">
        <f>IF(N42="F",H42*R42*ROUND(M42/60,2),"--")</f>
        <v>--</v>
      </c>
      <c r="V42" s="374" t="str">
        <f>IF(N42="RF",H42*R42*ROUND(M42/60,2),"--")</f>
        <v>--</v>
      </c>
      <c r="W42" s="857" t="str">
        <f>IF(N42="RP",H42*R42*P42/100*ROUND(M42/60,2),"--")</f>
        <v>--</v>
      </c>
      <c r="X42" s="594"/>
      <c r="Y42" s="594"/>
      <c r="Z42" s="594"/>
      <c r="AA42" s="595"/>
      <c r="AB42" s="302">
        <f>IF(D42="","","SI")</f>
      </c>
      <c r="AC42" s="303">
        <f>IF(D42="","",SUM(S42:W42)*IF(AB42="SI",1,2)*IF(AND(P42&lt;&gt;"--",N42="RF"),P42/100,1))</f>
      </c>
      <c r="AD42" s="227"/>
    </row>
    <row r="43" spans="1:30" ht="15">
      <c r="A43" s="5"/>
      <c r="B43" s="50"/>
      <c r="C43" s="805" t="s">
        <v>188</v>
      </c>
      <c r="D43" s="583"/>
      <c r="E43" s="584"/>
      <c r="F43" s="1064"/>
      <c r="G43" s="1065"/>
      <c r="H43" s="587">
        <f>F43*$F$22</f>
        <v>0</v>
      </c>
      <c r="I43" s="588"/>
      <c r="J43" s="596"/>
      <c r="K43" s="589"/>
      <c r="L43" s="292">
        <f>IF(D43="","",(K43-J43)*24)</f>
      </c>
      <c r="M43" s="14">
        <f>IF(D43="","",(K43-J43)*24*60)</f>
      </c>
      <c r="N43" s="13"/>
      <c r="O43" s="8">
        <f>IF(D43="","",IF(N43="P","--","NO"))</f>
      </c>
      <c r="P43" s="1068">
        <f>IF(D43="","","--")</f>
      </c>
      <c r="Q43" s="1033"/>
      <c r="R43" s="440">
        <f>IF(OR(N43="P",N43="RP"),20/10,20)</f>
        <v>20</v>
      </c>
      <c r="S43" s="591" t="str">
        <f>IF(N43="P",H43*R43*ROUND(M43/60,2),"--")</f>
        <v>--</v>
      </c>
      <c r="T43" s="592" t="str">
        <f>IF(AND(N43="F",O43="NO"),H43*R43,"--")</f>
        <v>--</v>
      </c>
      <c r="U43" s="593" t="str">
        <f>IF(N43="F",H43*R43*ROUND(M43/60,2),"--")</f>
        <v>--</v>
      </c>
      <c r="V43" s="374" t="str">
        <f>IF(N43="RF",H43*R43*ROUND(M43/60,2),"--")</f>
        <v>--</v>
      </c>
      <c r="W43" s="857" t="str">
        <f>IF(N43="RP",H43*R43*P43/100*ROUND(M43/60,2),"--")</f>
        <v>--</v>
      </c>
      <c r="X43" s="594"/>
      <c r="Y43" s="594"/>
      <c r="Z43" s="594"/>
      <c r="AA43" s="595"/>
      <c r="AB43" s="302">
        <f>IF(D43="","","SI")</f>
      </c>
      <c r="AC43" s="303">
        <f>IF(D43="","",SUM(S43:W43)*IF(AB43="SI",1,2)*IF(AND(P43&lt;&gt;"--",N43="RF"),P43/100,1))</f>
      </c>
      <c r="AD43" s="227"/>
    </row>
    <row r="44" spans="1:30" ht="15">
      <c r="A44" s="5"/>
      <c r="B44" s="50"/>
      <c r="C44" s="805" t="s">
        <v>189</v>
      </c>
      <c r="D44" s="583"/>
      <c r="E44" s="584"/>
      <c r="F44" s="1064"/>
      <c r="G44" s="1065"/>
      <c r="H44" s="587">
        <f>F44*$F$22</f>
        <v>0</v>
      </c>
      <c r="I44" s="588"/>
      <c r="J44" s="596"/>
      <c r="K44" s="589"/>
      <c r="L44" s="292">
        <f>IF(D44="","",(K44-J44)*24)</f>
      </c>
      <c r="M44" s="14">
        <f>IF(D44="","",(K44-J44)*24*60)</f>
      </c>
      <c r="N44" s="13"/>
      <c r="O44" s="8">
        <f>IF(D44="","",IF(N44="P","--","NO"))</f>
      </c>
      <c r="P44" s="1068">
        <f>IF(D44="","","--")</f>
      </c>
      <c r="Q44" s="1033"/>
      <c r="R44" s="440">
        <f>IF(OR(N44="P",N44="RP"),20/10,20)</f>
        <v>20</v>
      </c>
      <c r="S44" s="591" t="str">
        <f>IF(N44="P",H44*R44*ROUND(M44/60,2),"--")</f>
        <v>--</v>
      </c>
      <c r="T44" s="592" t="str">
        <f>IF(AND(N44="F",O44="NO"),H44*R44,"--")</f>
        <v>--</v>
      </c>
      <c r="U44" s="593" t="str">
        <f>IF(N44="F",H44*R44*ROUND(M44/60,2),"--")</f>
        <v>--</v>
      </c>
      <c r="V44" s="374" t="str">
        <f>IF(N44="RF",H44*R44*ROUND(M44/60,2),"--")</f>
        <v>--</v>
      </c>
      <c r="W44" s="857" t="str">
        <f>IF(N44="RP",H44*R44*P44/100*ROUND(M44/60,2),"--")</f>
        <v>--</v>
      </c>
      <c r="X44" s="594"/>
      <c r="Y44" s="594"/>
      <c r="Z44" s="594"/>
      <c r="AA44" s="595"/>
      <c r="AB44" s="302">
        <f>IF(D44="","","SI")</f>
      </c>
      <c r="AC44" s="303">
        <f>IF(D44="","",SUM(S44:W44)*IF(AB44="SI",1,2)*IF(AND(P44&lt;&gt;"--",N44="RF"),P44/100,1))</f>
      </c>
      <c r="AD44" s="227"/>
    </row>
    <row r="45" spans="1:30" ht="16.5" thickBot="1">
      <c r="A45" s="32"/>
      <c r="B45" s="50"/>
      <c r="C45" s="597"/>
      <c r="D45" s="598"/>
      <c r="E45" s="599"/>
      <c r="F45" s="1066"/>
      <c r="G45" s="1067"/>
      <c r="H45" s="603"/>
      <c r="I45" s="603"/>
      <c r="J45" s="604"/>
      <c r="K45" s="605"/>
      <c r="L45" s="606"/>
      <c r="M45" s="607"/>
      <c r="N45" s="608"/>
      <c r="O45" s="9"/>
      <c r="P45" s="1034"/>
      <c r="Q45" s="1035"/>
      <c r="R45" s="614"/>
      <c r="S45" s="614"/>
      <c r="T45" s="614"/>
      <c r="U45" s="614"/>
      <c r="V45" s="614"/>
      <c r="W45" s="614"/>
      <c r="X45" s="614"/>
      <c r="Y45" s="614"/>
      <c r="Z45" s="614"/>
      <c r="AA45" s="615"/>
      <c r="AB45" s="616"/>
      <c r="AC45" s="617"/>
      <c r="AD45" s="227"/>
    </row>
    <row r="46" spans="1:30" ht="17.25" thickBot="1" thickTop="1">
      <c r="A46" s="32"/>
      <c r="B46" s="50"/>
      <c r="C46" s="98"/>
      <c r="D46" s="201"/>
      <c r="E46" s="201"/>
      <c r="F46" s="405"/>
      <c r="G46" s="618"/>
      <c r="H46" s="619"/>
      <c r="I46" s="620"/>
      <c r="J46" s="621"/>
      <c r="K46" s="622"/>
      <c r="L46" s="623"/>
      <c r="M46" s="619"/>
      <c r="N46" s="624"/>
      <c r="O46" s="190"/>
      <c r="P46" s="625"/>
      <c r="Q46" s="862"/>
      <c r="R46" s="854"/>
      <c r="S46" s="854"/>
      <c r="T46" s="854"/>
      <c r="U46" s="855"/>
      <c r="V46" s="855"/>
      <c r="W46" s="855"/>
      <c r="X46" s="855"/>
      <c r="Y46" s="855"/>
      <c r="Z46" s="855"/>
      <c r="AA46" s="855"/>
      <c r="AB46" s="855"/>
      <c r="AC46" s="628">
        <f>SUM(AC40:AC45)</f>
        <v>0</v>
      </c>
      <c r="AD46" s="227"/>
    </row>
    <row r="47" spans="1:30" ht="17.25" thickBot="1" thickTop="1">
      <c r="A47" s="32"/>
      <c r="B47" s="937"/>
      <c r="C47" s="936">
        <v>3</v>
      </c>
      <c r="D47" s="906">
        <v>4</v>
      </c>
      <c r="E47" s="936">
        <v>5</v>
      </c>
      <c r="F47" s="906">
        <v>6</v>
      </c>
      <c r="G47" s="936">
        <v>7</v>
      </c>
      <c r="H47" s="906">
        <v>8</v>
      </c>
      <c r="I47" s="936">
        <v>9</v>
      </c>
      <c r="J47" s="906">
        <v>10</v>
      </c>
      <c r="K47" s="936">
        <v>11</v>
      </c>
      <c r="L47" s="906">
        <v>12</v>
      </c>
      <c r="M47" s="936">
        <v>13</v>
      </c>
      <c r="N47" s="906">
        <v>14</v>
      </c>
      <c r="O47" s="936">
        <v>15</v>
      </c>
      <c r="P47" s="906">
        <v>16</v>
      </c>
      <c r="Q47" s="936">
        <v>17</v>
      </c>
      <c r="R47" s="906">
        <v>18</v>
      </c>
      <c r="S47" s="936">
        <v>19</v>
      </c>
      <c r="T47" s="906">
        <v>20</v>
      </c>
      <c r="U47" s="936">
        <v>21</v>
      </c>
      <c r="V47" s="906">
        <v>22</v>
      </c>
      <c r="W47" s="936">
        <v>23</v>
      </c>
      <c r="X47" s="906">
        <v>24</v>
      </c>
      <c r="Y47" s="936">
        <v>25</v>
      </c>
      <c r="Z47" s="906">
        <v>26</v>
      </c>
      <c r="AA47" s="936">
        <v>27</v>
      </c>
      <c r="AB47" s="906">
        <v>28</v>
      </c>
      <c r="AC47" s="936">
        <v>29</v>
      </c>
      <c r="AD47" s="227"/>
    </row>
    <row r="48" spans="1:33" s="5" customFormat="1" ht="31.5" customHeight="1" thickBot="1" thickTop="1">
      <c r="A48" s="90"/>
      <c r="B48" s="95"/>
      <c r="C48" s="123" t="s">
        <v>12</v>
      </c>
      <c r="D48" s="119" t="s">
        <v>25</v>
      </c>
      <c r="E48" s="85" t="s">
        <v>26</v>
      </c>
      <c r="F48" s="1013" t="s">
        <v>222</v>
      </c>
      <c r="G48" s="1014"/>
      <c r="H48" s="129" t="s">
        <v>15</v>
      </c>
      <c r="I48" s="882"/>
      <c r="J48" s="85" t="s">
        <v>16</v>
      </c>
      <c r="K48" s="85" t="s">
        <v>17</v>
      </c>
      <c r="L48" s="86" t="s">
        <v>34</v>
      </c>
      <c r="M48" s="86" t="s">
        <v>29</v>
      </c>
      <c r="N48" s="88" t="s">
        <v>18</v>
      </c>
      <c r="O48" s="88" t="s">
        <v>56</v>
      </c>
      <c r="P48" s="1069" t="s">
        <v>30</v>
      </c>
      <c r="Q48" s="1070"/>
      <c r="R48" s="919" t="s">
        <v>35</v>
      </c>
      <c r="S48" s="407" t="s">
        <v>69</v>
      </c>
      <c r="T48" s="408" t="s">
        <v>217</v>
      </c>
      <c r="U48" s="409"/>
      <c r="V48" s="256" t="s">
        <v>218</v>
      </c>
      <c r="W48" s="257"/>
      <c r="X48" s="410" t="s">
        <v>21</v>
      </c>
      <c r="Y48" s="255" t="s">
        <v>20</v>
      </c>
      <c r="Z48" s="882"/>
      <c r="AA48" s="882"/>
      <c r="AB48" s="132" t="s">
        <v>73</v>
      </c>
      <c r="AC48" s="411" t="s">
        <v>23</v>
      </c>
      <c r="AD48" s="17"/>
      <c r="AF48"/>
      <c r="AG48"/>
    </row>
    <row r="49" spans="1:30" ht="15.75" thickTop="1">
      <c r="A49" s="5"/>
      <c r="B49" s="50"/>
      <c r="C49" s="10"/>
      <c r="D49" s="10"/>
      <c r="E49" s="10"/>
      <c r="F49" s="1062"/>
      <c r="G49" s="1063"/>
      <c r="H49" s="574"/>
      <c r="I49" s="574"/>
      <c r="J49" s="10"/>
      <c r="K49" s="10"/>
      <c r="L49" s="10"/>
      <c r="M49" s="10"/>
      <c r="N49" s="782"/>
      <c r="O49" s="782"/>
      <c r="P49" s="782"/>
      <c r="Q49" s="782"/>
      <c r="R49" s="580"/>
      <c r="S49" s="580"/>
      <c r="T49" s="580"/>
      <c r="U49" s="580"/>
      <c r="V49" s="580"/>
      <c r="W49" s="580"/>
      <c r="X49" s="580"/>
      <c r="Y49" s="580"/>
      <c r="Z49" s="580"/>
      <c r="AA49" s="581"/>
      <c r="AB49" s="302">
        <f>IF(D49="","","SI")</f>
      </c>
      <c r="AC49" s="582"/>
      <c r="AD49" s="17"/>
    </row>
    <row r="50" spans="1:30" ht="15">
      <c r="A50" s="5"/>
      <c r="B50" s="50"/>
      <c r="C50" s="805" t="s">
        <v>186</v>
      </c>
      <c r="D50" s="438"/>
      <c r="E50" s="376"/>
      <c r="F50" s="918"/>
      <c r="G50" s="917"/>
      <c r="H50" s="291">
        <f>F50*$F$21</f>
        <v>0</v>
      </c>
      <c r="I50" s="882"/>
      <c r="J50" s="596"/>
      <c r="K50" s="589"/>
      <c r="L50" s="379">
        <f>IF(D50="","",(K50-J50)*24)</f>
      </c>
      <c r="M50" s="380">
        <f>IF(D50="","",ROUND((K50-J50)*24*60,0))</f>
      </c>
      <c r="N50" s="926"/>
      <c r="O50" s="927">
        <f>IF(D50="","","--")</f>
      </c>
      <c r="P50" s="431">
        <f>IF(D50="","",IF(OR(N50="P",N50="RP"),"--","NO"))</f>
      </c>
      <c r="Q50" s="430"/>
      <c r="R50" s="879">
        <f>IF(OR(N50="P",N50="RP"),200/10,200)</f>
        <v>200</v>
      </c>
      <c r="S50" s="880" t="str">
        <f>IF(N50="P",H50*R50*ROUND(M50/60,2),"--")</f>
        <v>--</v>
      </c>
      <c r="T50" s="434" t="str">
        <f>IF(AND(N50="F",P50="NO"),H50*R50,"--")</f>
        <v>--</v>
      </c>
      <c r="U50" s="435" t="str">
        <f>IF(N50="F",H50*R50*ROUND(M50/60,2),"--")</f>
        <v>--</v>
      </c>
      <c r="V50" s="298" t="str">
        <f>IF(AND(N50="R",P50="NO"),H50*R50*O50/100,"--")</f>
        <v>--</v>
      </c>
      <c r="W50" s="299" t="str">
        <f>IF(N50="R",H50*R50*O50/100*ROUND(M50/60,2),"--")</f>
        <v>--</v>
      </c>
      <c r="X50" s="436" t="str">
        <f>IF(N50="RF",H50*R50*ROUND(M50/60,2),"--")</f>
        <v>--</v>
      </c>
      <c r="Y50" s="876" t="str">
        <f>IF(N50="RP",H50*R50*O50/100*ROUND(M50/60,2),"--")</f>
        <v>--</v>
      </c>
      <c r="Z50" s="882"/>
      <c r="AA50" s="882"/>
      <c r="AB50" s="221">
        <f>IF(D50="","","SI")</f>
      </c>
      <c r="AC50" s="381">
        <f>IF(D50="","",SUM(S50:Y50)*IF(AB50="SI",1,2)*IF(AND(O50&lt;&gt;"--",N50="RF"),O50/100,1))</f>
      </c>
      <c r="AD50" s="227"/>
    </row>
    <row r="51" spans="2:30" s="32" customFormat="1" ht="16.5" customHeight="1">
      <c r="B51" s="463"/>
      <c r="C51" s="805" t="s">
        <v>187</v>
      </c>
      <c r="D51" s="438"/>
      <c r="E51" s="376"/>
      <c r="F51" s="918"/>
      <c r="G51" s="917"/>
      <c r="H51" s="291">
        <f>F51*$F$21</f>
        <v>0</v>
      </c>
      <c r="I51" s="882"/>
      <c r="J51" s="596"/>
      <c r="K51" s="589"/>
      <c r="L51" s="379">
        <f>IF(D51="","",(K51-J51)*24)</f>
      </c>
      <c r="M51" s="380">
        <f>IF(D51="","",ROUND((K51-J51)*24*60,0))</f>
      </c>
      <c r="N51" s="220"/>
      <c r="O51" s="515">
        <f>IF(D51="","","--")</f>
      </c>
      <c r="P51" s="431">
        <f>IF(D51="","",IF(OR(N51="P",N51="RP"),"--","NO"))</f>
      </c>
      <c r="Q51" s="430"/>
      <c r="R51" s="879">
        <f>IF(OR(N51="P",N51="RP"),200/10,200)</f>
        <v>200</v>
      </c>
      <c r="S51" s="880" t="str">
        <f>IF(N51="P",H51*R51*ROUND(M51/60,2),"--")</f>
        <v>--</v>
      </c>
      <c r="T51" s="434" t="str">
        <f>IF(AND(N51="F",P51="NO"),H51*R51,"--")</f>
        <v>--</v>
      </c>
      <c r="U51" s="435" t="str">
        <f>IF(N51="F",H51*R51*ROUND(M51/60,2),"--")</f>
        <v>--</v>
      </c>
      <c r="V51" s="298" t="str">
        <f>IF(AND(N51="R",P51="NO"),H51*R51*O51/100,"--")</f>
        <v>--</v>
      </c>
      <c r="W51" s="299" t="str">
        <f>IF(N51="R",H51*R51*O51/100*ROUND(M51/60,2),"--")</f>
        <v>--</v>
      </c>
      <c r="X51" s="436" t="str">
        <f>IF(N51="RF",H51*R51*ROUND(M51/60,2),"--")</f>
        <v>--</v>
      </c>
      <c r="Y51" s="876" t="str">
        <f>IF(N51="RP",H51*R51*O51/100*ROUND(M51/60,2),"--")</f>
        <v>--</v>
      </c>
      <c r="Z51" s="882"/>
      <c r="AA51" s="882"/>
      <c r="AB51" s="221">
        <f>IF(D51="","","SI")</f>
      </c>
      <c r="AC51" s="381">
        <f>IF(D51="","",SUM(S51:Y51)*IF(AB51="SI",1,2)*IF(AND(O51&lt;&gt;"--",N51="RF"),O51/100,1))</f>
      </c>
      <c r="AD51" s="640"/>
    </row>
    <row r="52" spans="1:30" ht="15">
      <c r="A52" s="5"/>
      <c r="B52" s="50"/>
      <c r="C52" s="805" t="s">
        <v>188</v>
      </c>
      <c r="D52" s="438"/>
      <c r="E52" s="376"/>
      <c r="F52" s="918"/>
      <c r="G52" s="917"/>
      <c r="H52" s="291">
        <f>F52*$F$21</f>
        <v>0</v>
      </c>
      <c r="I52" s="882"/>
      <c r="J52" s="596"/>
      <c r="K52" s="589"/>
      <c r="L52" s="379">
        <f>IF(D52="","",(K52-J52)*24)</f>
      </c>
      <c r="M52" s="380">
        <f>IF(D52="","",ROUND((K52-J52)*24*60,0))</f>
      </c>
      <c r="N52" s="220"/>
      <c r="O52" s="515">
        <f>IF(D52="","","--")</f>
      </c>
      <c r="P52" s="431">
        <f>IF(D52="","",IF(OR(N52="P",N52="RP"),"--","NO"))</f>
      </c>
      <c r="Q52" s="430"/>
      <c r="R52" s="879">
        <f>IF(OR(N52="P",N52="RP"),200/10,200)</f>
        <v>200</v>
      </c>
      <c r="S52" s="880" t="str">
        <f>IF(N52="P",H52*R52*ROUND(M52/60,2),"--")</f>
        <v>--</v>
      </c>
      <c r="T52" s="434" t="str">
        <f>IF(AND(N52="F",P52="NO"),H52*R52,"--")</f>
        <v>--</v>
      </c>
      <c r="U52" s="435" t="str">
        <f>IF(N52="F",H52*R52*ROUND(M52/60,2),"--")</f>
        <v>--</v>
      </c>
      <c r="V52" s="298" t="str">
        <f>IF(AND(N52="R",P52="NO"),H52*R52*O52/100,"--")</f>
        <v>--</v>
      </c>
      <c r="W52" s="299" t="str">
        <f>IF(N52="R",H52*R52*O52/100*ROUND(M52/60,2),"--")</f>
        <v>--</v>
      </c>
      <c r="X52" s="436" t="str">
        <f>IF(N52="RF",H52*R52*ROUND(M52/60,2),"--")</f>
        <v>--</v>
      </c>
      <c r="Y52" s="876" t="str">
        <f>IF(N52="RP",H52*R52*O52/100*ROUND(M52/60,2),"--")</f>
        <v>--</v>
      </c>
      <c r="Z52" s="882"/>
      <c r="AA52" s="882"/>
      <c r="AB52" s="221">
        <f>IF(D52="","","SI")</f>
      </c>
      <c r="AC52" s="381">
        <f>IF(D52="","",SUM(S52:Y52)*IF(AB52="SI",1,2)*IF(AND(O52&lt;&gt;"--",N52="RF"),O52/100,1))</f>
      </c>
      <c r="AD52" s="227"/>
    </row>
    <row r="53" spans="1:30" ht="15">
      <c r="A53" s="5"/>
      <c r="B53" s="50"/>
      <c r="C53" s="805" t="s">
        <v>189</v>
      </c>
      <c r="D53" s="438"/>
      <c r="E53" s="376"/>
      <c r="F53" s="918"/>
      <c r="G53" s="917"/>
      <c r="H53" s="291">
        <f>F53*$F$21</f>
        <v>0</v>
      </c>
      <c r="I53" s="882"/>
      <c r="J53" s="596"/>
      <c r="K53" s="589"/>
      <c r="L53" s="379">
        <f>IF(D53="","",(K53-J53)*24)</f>
      </c>
      <c r="M53" s="380">
        <f>IF(D53="","",ROUND((K53-J53)*24*60,0))</f>
      </c>
      <c r="N53" s="220"/>
      <c r="O53" s="515">
        <f>IF(D53="","","--")</f>
      </c>
      <c r="P53" s="431">
        <f>IF(D53="","",IF(OR(N53="P",N53="RP"),"--","NO"))</f>
      </c>
      <c r="Q53" s="430"/>
      <c r="R53" s="879">
        <f>IF(OR(N53="P",N53="RP"),200/10,200)</f>
        <v>200</v>
      </c>
      <c r="S53" s="880" t="str">
        <f>IF(N53="P",H53*R53*ROUND(M53/60,2),"--")</f>
        <v>--</v>
      </c>
      <c r="T53" s="434" t="str">
        <f>IF(AND(N53="F",P53="NO"),H53*R53,"--")</f>
        <v>--</v>
      </c>
      <c r="U53" s="435" t="str">
        <f>IF(N53="F",H53*R53*ROUND(M53/60,2),"--")</f>
        <v>--</v>
      </c>
      <c r="V53" s="298" t="str">
        <f>IF(AND(N53="R",P53="NO"),H53*R53*O53/100,"--")</f>
        <v>--</v>
      </c>
      <c r="W53" s="299" t="str">
        <f>IF(N53="R",H53*R53*O53/100*ROUND(M53/60,2),"--")</f>
        <v>--</v>
      </c>
      <c r="X53" s="436" t="str">
        <f>IF(N53="RF",H53*R53*ROUND(M53/60,2),"--")</f>
        <v>--</v>
      </c>
      <c r="Y53" s="876" t="str">
        <f>IF(N53="RP",H53*R53*O53/100*ROUND(M53/60,2),"--")</f>
        <v>--</v>
      </c>
      <c r="Z53" s="882"/>
      <c r="AA53" s="882"/>
      <c r="AB53" s="221">
        <f>IF(D53="","","SI")</f>
      </c>
      <c r="AC53" s="381">
        <f>IF(D53="","",SUM(S53:Y53)*IF(AB53="SI",1,2)*IF(AND(O53&lt;&gt;"--",N53="RF"),O53/100,1))</f>
      </c>
      <c r="AD53" s="227"/>
    </row>
    <row r="54" spans="1:30" ht="16.5" thickBot="1">
      <c r="A54" s="32"/>
      <c r="B54" s="50"/>
      <c r="C54" s="597"/>
      <c r="D54" s="598"/>
      <c r="E54" s="599"/>
      <c r="F54" s="1066"/>
      <c r="G54" s="1067"/>
      <c r="H54" s="603"/>
      <c r="I54" s="603"/>
      <c r="J54" s="604"/>
      <c r="K54" s="605"/>
      <c r="L54" s="606"/>
      <c r="M54" s="607"/>
      <c r="N54" s="925"/>
      <c r="O54" s="925"/>
      <c r="P54" s="925"/>
      <c r="Q54" s="925"/>
      <c r="R54" s="614"/>
      <c r="S54" s="614"/>
      <c r="T54" s="614"/>
      <c r="U54" s="614"/>
      <c r="V54" s="614"/>
      <c r="W54" s="614"/>
      <c r="X54" s="614"/>
      <c r="Y54" s="614"/>
      <c r="Z54" s="614"/>
      <c r="AA54" s="615"/>
      <c r="AB54" s="616"/>
      <c r="AC54" s="617"/>
      <c r="AD54" s="227"/>
    </row>
    <row r="55" spans="1:30" ht="17.25" thickBot="1" thickTop="1">
      <c r="A55" s="32"/>
      <c r="B55" s="50"/>
      <c r="C55" s="98"/>
      <c r="D55" s="201"/>
      <c r="E55" s="201"/>
      <c r="F55" s="405"/>
      <c r="G55" s="618"/>
      <c r="H55" s="619"/>
      <c r="I55" s="620"/>
      <c r="J55" s="621"/>
      <c r="K55" s="622"/>
      <c r="L55" s="623"/>
      <c r="M55" s="619"/>
      <c r="N55" s="624"/>
      <c r="O55" s="190"/>
      <c r="P55" s="625"/>
      <c r="Q55" s="626"/>
      <c r="R55" s="854"/>
      <c r="S55" s="854"/>
      <c r="T55" s="854"/>
      <c r="U55" s="855"/>
      <c r="V55" s="855"/>
      <c r="W55" s="855"/>
      <c r="X55" s="855"/>
      <c r="Y55" s="855"/>
      <c r="Z55" s="855"/>
      <c r="AA55" s="855"/>
      <c r="AB55" s="191"/>
      <c r="AC55" s="628">
        <f>SUM(AC49:AC54)</f>
        <v>0</v>
      </c>
      <c r="AD55" s="227"/>
    </row>
    <row r="56" spans="1:30" ht="17.25" thickBot="1" thickTop="1">
      <c r="A56" s="32"/>
      <c r="B56" s="50"/>
      <c r="C56" s="98"/>
      <c r="D56" s="201"/>
      <c r="E56" s="201"/>
      <c r="F56" s="405"/>
      <c r="G56" s="618"/>
      <c r="H56" s="619"/>
      <c r="I56" s="620"/>
      <c r="J56" s="477" t="s">
        <v>40</v>
      </c>
      <c r="K56" s="478">
        <f>AC37+AC46+AC55</f>
        <v>262.27407999999997</v>
      </c>
      <c r="L56" s="623"/>
      <c r="M56" s="619"/>
      <c r="N56" s="629"/>
      <c r="O56" s="630"/>
      <c r="P56" s="625"/>
      <c r="Q56" s="626"/>
      <c r="R56" s="627"/>
      <c r="S56" s="627"/>
      <c r="T56" s="627"/>
      <c r="U56" s="191"/>
      <c r="V56" s="191"/>
      <c r="W56" s="191"/>
      <c r="X56" s="191"/>
      <c r="Y56" s="191"/>
      <c r="Z56" s="191"/>
      <c r="AA56" s="191"/>
      <c r="AB56" s="191"/>
      <c r="AC56" s="631"/>
      <c r="AD56" s="227"/>
    </row>
    <row r="57" spans="1:30" ht="13.5" customHeight="1" thickTop="1">
      <c r="A57" s="32"/>
      <c r="B57" s="463"/>
      <c r="C57" s="466"/>
      <c r="D57" s="632"/>
      <c r="E57" s="633"/>
      <c r="F57" s="634"/>
      <c r="G57" s="635"/>
      <c r="H57" s="635"/>
      <c r="I57" s="633"/>
      <c r="J57" s="454"/>
      <c r="K57" s="454"/>
      <c r="L57" s="633"/>
      <c r="M57" s="633"/>
      <c r="N57" s="633"/>
      <c r="O57" s="636"/>
      <c r="P57" s="633"/>
      <c r="Q57" s="633"/>
      <c r="R57" s="637"/>
      <c r="S57" s="638"/>
      <c r="T57" s="638"/>
      <c r="U57" s="639"/>
      <c r="AC57" s="639"/>
      <c r="AD57" s="640"/>
    </row>
    <row r="58" spans="1:30" ht="16.5" customHeight="1">
      <c r="A58" s="32"/>
      <c r="B58" s="463"/>
      <c r="C58" s="641" t="s">
        <v>101</v>
      </c>
      <c r="D58" s="642" t="s">
        <v>126</v>
      </c>
      <c r="E58" s="633"/>
      <c r="F58" s="634"/>
      <c r="G58" s="635"/>
      <c r="H58" s="635"/>
      <c r="I58" s="633"/>
      <c r="J58" s="454"/>
      <c r="K58" s="454"/>
      <c r="L58" s="633"/>
      <c r="M58" s="633"/>
      <c r="N58" s="633"/>
      <c r="O58" s="636"/>
      <c r="P58" s="633"/>
      <c r="Q58" s="633"/>
      <c r="R58" s="637"/>
      <c r="S58" s="638"/>
      <c r="T58" s="638"/>
      <c r="U58" s="639"/>
      <c r="AC58" s="639"/>
      <c r="AD58" s="640"/>
    </row>
    <row r="59" spans="1:30" ht="16.5" customHeight="1">
      <c r="A59" s="32"/>
      <c r="B59" s="463"/>
      <c r="C59" s="641"/>
      <c r="D59" s="632"/>
      <c r="E59" s="633"/>
      <c r="F59" s="634"/>
      <c r="G59" s="635"/>
      <c r="H59" s="635"/>
      <c r="I59" s="633"/>
      <c r="J59" s="454"/>
      <c r="K59" s="454"/>
      <c r="L59" s="633"/>
      <c r="M59" s="633"/>
      <c r="N59" s="633"/>
      <c r="O59" s="636"/>
      <c r="P59" s="633"/>
      <c r="Q59" s="633"/>
      <c r="R59" s="633"/>
      <c r="S59" s="637"/>
      <c r="T59" s="638"/>
      <c r="AD59" s="640"/>
    </row>
    <row r="60" spans="2:30" s="32" customFormat="1" ht="16.5" customHeight="1">
      <c r="B60" s="463"/>
      <c r="C60" s="466"/>
      <c r="D60" s="643" t="s">
        <v>0</v>
      </c>
      <c r="E60" s="549" t="s">
        <v>102</v>
      </c>
      <c r="F60" s="549" t="s">
        <v>41</v>
      </c>
      <c r="G60" s="644" t="s">
        <v>127</v>
      </c>
      <c r="H60" s="550"/>
      <c r="I60" s="549"/>
      <c r="J60"/>
      <c r="K60" s="645" t="s">
        <v>128</v>
      </c>
      <c r="L60"/>
      <c r="M60"/>
      <c r="O60" s="645" t="s">
        <v>129</v>
      </c>
      <c r="P60" s="646"/>
      <c r="Q60" s="647"/>
      <c r="R60" s="648"/>
      <c r="S60" s="33"/>
      <c r="T60"/>
      <c r="U60"/>
      <c r="V60"/>
      <c r="W60"/>
      <c r="X60" s="33"/>
      <c r="Y60" s="33"/>
      <c r="Z60" s="33"/>
      <c r="AA60" s="33"/>
      <c r="AB60" s="33"/>
      <c r="AC60" s="649" t="s">
        <v>130</v>
      </c>
      <c r="AD60" s="640"/>
    </row>
    <row r="61" spans="2:30" s="32" customFormat="1" ht="16.5" customHeight="1">
      <c r="B61" s="463"/>
      <c r="C61" s="466"/>
      <c r="D61" s="549" t="s">
        <v>103</v>
      </c>
      <c r="E61" s="650">
        <v>267</v>
      </c>
      <c r="F61" s="651">
        <v>500</v>
      </c>
      <c r="G61" s="652">
        <f>E61*$F$20*$L$21/100</f>
        <v>317503.58400000003</v>
      </c>
      <c r="H61" s="652">
        <f>F61*$F$20*$L$21/100</f>
        <v>594576</v>
      </c>
      <c r="I61" s="652">
        <f>G61*$F$20*$L$21/100</f>
        <v>377560021.920768</v>
      </c>
      <c r="J61" s="169"/>
      <c r="K61" s="653">
        <v>1117913</v>
      </c>
      <c r="L61" s="169"/>
      <c r="M61" s="654" t="str">
        <f>"(DTE "&amp;DATO!$G$14&amp;DATO!$H$14&amp;")"</f>
        <v>(DTE 1110)</v>
      </c>
      <c r="R61" s="648"/>
      <c r="S61" s="33"/>
      <c r="T61"/>
      <c r="U61"/>
      <c r="V61"/>
      <c r="W61"/>
      <c r="X61" s="33"/>
      <c r="Y61" s="33"/>
      <c r="Z61" s="33"/>
      <c r="AA61" s="33"/>
      <c r="AB61" s="655"/>
      <c r="AC61" s="475">
        <f>K61+G61</f>
        <v>1435416.584</v>
      </c>
      <c r="AD61" s="640"/>
    </row>
    <row r="62" spans="2:30" s="32" customFormat="1" ht="16.5" customHeight="1">
      <c r="B62" s="463"/>
      <c r="C62" s="466"/>
      <c r="D62" s="549" t="s">
        <v>104</v>
      </c>
      <c r="E62" s="650">
        <f>3*3.6</f>
        <v>10.8</v>
      </c>
      <c r="F62" s="651">
        <v>500</v>
      </c>
      <c r="G62" s="652">
        <f>E62*$F$20*$L$21/100</f>
        <v>12842.841600000002</v>
      </c>
      <c r="H62" s="656"/>
      <c r="I62" s="657"/>
      <c r="J62" s="169"/>
      <c r="K62" s="652">
        <v>42677</v>
      </c>
      <c r="L62" s="169"/>
      <c r="M62" s="654" t="str">
        <f>"(DTE "&amp;DATO!$G$14&amp;DATO!$H$14&amp;")"</f>
        <v>(DTE 1110)</v>
      </c>
      <c r="O62" s="658"/>
      <c r="P62"/>
      <c r="Q62" s="648"/>
      <c r="R62" s="648"/>
      <c r="S62" s="33"/>
      <c r="T62"/>
      <c r="U62"/>
      <c r="V62"/>
      <c r="W62"/>
      <c r="X62" s="33"/>
      <c r="Y62" s="33"/>
      <c r="Z62" s="33"/>
      <c r="AA62" s="33"/>
      <c r="AB62" s="33"/>
      <c r="AC62" s="475">
        <f>K62+G62</f>
        <v>55519.8416</v>
      </c>
      <c r="AD62" s="640"/>
    </row>
    <row r="63" spans="2:30" s="32" customFormat="1" ht="16.5" customHeight="1">
      <c r="B63" s="463"/>
      <c r="C63" s="466"/>
      <c r="E63" s="471"/>
      <c r="F63" s="549"/>
      <c r="G63" s="550"/>
      <c r="H63"/>
      <c r="I63" s="549"/>
      <c r="J63" s="549"/>
      <c r="K63"/>
      <c r="L63" s="475"/>
      <c r="M63" s="647"/>
      <c r="N63" s="647"/>
      <c r="O63" s="653">
        <v>0</v>
      </c>
      <c r="P63" s="169"/>
      <c r="Q63" s="654" t="str">
        <f>"(DTE "&amp;DATO!$G$14&amp;DATO!$H$14&amp;")"</f>
        <v>(DTE 1110)</v>
      </c>
      <c r="R63" s="648"/>
      <c r="S63" s="33"/>
      <c r="T63"/>
      <c r="U63"/>
      <c r="V63"/>
      <c r="W63"/>
      <c r="X63" s="33"/>
      <c r="Y63" s="33"/>
      <c r="Z63" s="33"/>
      <c r="AA63" s="33"/>
      <c r="AB63" s="33"/>
      <c r="AC63" s="659">
        <f>+O63</f>
        <v>0</v>
      </c>
      <c r="AD63" s="640"/>
    </row>
    <row r="64" spans="1:30" ht="16.5" customHeight="1">
      <c r="A64" s="32"/>
      <c r="B64" s="463"/>
      <c r="C64" s="466"/>
      <c r="D64" s="454"/>
      <c r="E64" s="471"/>
      <c r="F64" s="549"/>
      <c r="G64" s="549"/>
      <c r="H64" s="550"/>
      <c r="J64" s="549"/>
      <c r="L64" s="660"/>
      <c r="M64" s="647"/>
      <c r="N64" s="647"/>
      <c r="O64" s="648"/>
      <c r="P64" s="648"/>
      <c r="Q64" s="648"/>
      <c r="R64" s="648"/>
      <c r="S64" s="648"/>
      <c r="AC64" s="465">
        <f>SUM(AC61:AC63)</f>
        <v>1490936.4256</v>
      </c>
      <c r="AD64" s="640"/>
    </row>
    <row r="65" spans="2:30" ht="16.5" customHeight="1">
      <c r="B65" s="463"/>
      <c r="C65" s="641" t="s">
        <v>105</v>
      </c>
      <c r="D65" s="661" t="s">
        <v>106</v>
      </c>
      <c r="E65" s="549"/>
      <c r="F65" s="662"/>
      <c r="G65" s="548"/>
      <c r="H65" s="454"/>
      <c r="I65" s="454"/>
      <c r="J65" s="454"/>
      <c r="K65" s="549"/>
      <c r="L65" s="549"/>
      <c r="M65" s="454"/>
      <c r="N65" s="549"/>
      <c r="O65" s="454"/>
      <c r="P65" s="454"/>
      <c r="Q65" s="454"/>
      <c r="R65" s="454"/>
      <c r="S65" s="454"/>
      <c r="T65" s="454"/>
      <c r="U65" s="454"/>
      <c r="AC65" s="454"/>
      <c r="AD65" s="640"/>
    </row>
    <row r="66" spans="2:30" s="32" customFormat="1" ht="16.5" customHeight="1">
      <c r="B66" s="463"/>
      <c r="C66" s="466"/>
      <c r="D66" s="643" t="s">
        <v>107</v>
      </c>
      <c r="E66" s="663">
        <f>10*K56*K26/AC64</f>
        <v>17.0478152</v>
      </c>
      <c r="G66" s="548"/>
      <c r="L66" s="549"/>
      <c r="N66" s="549"/>
      <c r="O66" s="550"/>
      <c r="V66"/>
      <c r="W66"/>
      <c r="AD66" s="640"/>
    </row>
    <row r="67" spans="2:30" s="32" customFormat="1" ht="16.5" customHeight="1">
      <c r="B67" s="463"/>
      <c r="C67" s="466"/>
      <c r="E67" s="664"/>
      <c r="F67" s="476"/>
      <c r="G67" s="548"/>
      <c r="J67" s="548"/>
      <c r="K67" s="563"/>
      <c r="L67" s="549"/>
      <c r="M67" s="549"/>
      <c r="N67" s="549"/>
      <c r="O67" s="550"/>
      <c r="P67" s="549"/>
      <c r="Q67" s="549"/>
      <c r="R67" s="562"/>
      <c r="S67" s="562"/>
      <c r="T67" s="562"/>
      <c r="U67" s="665"/>
      <c r="V67"/>
      <c r="W67"/>
      <c r="AC67" s="665"/>
      <c r="AD67" s="640"/>
    </row>
    <row r="68" spans="2:30" ht="16.5" customHeight="1">
      <c r="B68" s="463"/>
      <c r="C68" s="466"/>
      <c r="D68" s="666" t="s">
        <v>281</v>
      </c>
      <c r="E68" s="667"/>
      <c r="F68" s="476"/>
      <c r="G68" s="548"/>
      <c r="H68" s="454"/>
      <c r="I68" s="454"/>
      <c r="N68" s="549"/>
      <c r="O68" s="550"/>
      <c r="P68" s="549"/>
      <c r="Q68" s="549"/>
      <c r="R68" s="646"/>
      <c r="S68" s="646"/>
      <c r="T68" s="646"/>
      <c r="U68" s="647"/>
      <c r="AC68" s="647"/>
      <c r="AD68" s="640"/>
    </row>
    <row r="69" spans="2:30" ht="16.5" customHeight="1" thickBot="1">
      <c r="B69" s="463"/>
      <c r="C69" s="466"/>
      <c r="D69" s="666"/>
      <c r="E69" s="667"/>
      <c r="F69" s="476"/>
      <c r="G69" s="548"/>
      <c r="H69" s="454"/>
      <c r="I69" s="454"/>
      <c r="N69" s="549"/>
      <c r="O69" s="550"/>
      <c r="P69" s="549"/>
      <c r="Q69" s="549"/>
      <c r="R69" s="646"/>
      <c r="S69" s="646"/>
      <c r="T69" s="646"/>
      <c r="U69" s="647"/>
      <c r="AC69" s="647"/>
      <c r="AD69" s="640"/>
    </row>
    <row r="70" spans="2:30" s="668" customFormat="1" ht="21" thickBot="1" thickTop="1">
      <c r="B70" s="669"/>
      <c r="C70" s="670"/>
      <c r="D70" s="671"/>
      <c r="E70" s="672"/>
      <c r="F70" s="673"/>
      <c r="G70" s="674"/>
      <c r="I70"/>
      <c r="J70" s="675" t="s">
        <v>108</v>
      </c>
      <c r="K70" s="676">
        <f>IF(E66&gt;3*K26,K26*3,E66)</f>
        <v>17.0478152</v>
      </c>
      <c r="M70" s="677"/>
      <c r="N70" s="677"/>
      <c r="O70" s="678"/>
      <c r="P70" s="677"/>
      <c r="Q70" s="677"/>
      <c r="R70" s="679"/>
      <c r="S70" s="679"/>
      <c r="T70" s="679"/>
      <c r="U70" s="680"/>
      <c r="V70"/>
      <c r="W70"/>
      <c r="AC70" s="680"/>
      <c r="AD70" s="681"/>
    </row>
    <row r="71" spans="2:30" ht="16.5" customHeight="1" thickBot="1" thickTop="1">
      <c r="B71" s="57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192"/>
      <c r="W71" s="192"/>
      <c r="X71" s="192"/>
      <c r="Y71" s="192"/>
      <c r="Z71" s="192"/>
      <c r="AA71" s="192"/>
      <c r="AB71" s="192"/>
      <c r="AC71" s="59"/>
      <c r="AD71" s="682"/>
    </row>
    <row r="72" ht="13.5" thickTop="1"/>
  </sheetData>
  <sheetProtection password="CC12"/>
  <mergeCells count="18">
    <mergeCell ref="F54:G54"/>
    <mergeCell ref="F48:G48"/>
    <mergeCell ref="F49:G49"/>
    <mergeCell ref="P48:Q48"/>
    <mergeCell ref="P43:Q43"/>
    <mergeCell ref="P44:Q44"/>
    <mergeCell ref="P45:Q45"/>
    <mergeCell ref="P39:Q39"/>
    <mergeCell ref="P40:Q40"/>
    <mergeCell ref="P41:Q41"/>
    <mergeCell ref="P42:Q42"/>
    <mergeCell ref="F39:G39"/>
    <mergeCell ref="F40:G40"/>
    <mergeCell ref="F41:G41"/>
    <mergeCell ref="F45:G45"/>
    <mergeCell ref="F44:G44"/>
    <mergeCell ref="F42:G42"/>
    <mergeCell ref="F43:G43"/>
  </mergeCells>
  <printOptions horizontalCentered="1"/>
  <pageMargins left="0.3937007874015748" right="0.1968503937007874" top="0.5" bottom="0.53" header="0.3" footer="0.35"/>
  <pageSetup fitToHeight="1" fitToWidth="1" orientation="landscape" paperSize="9" scale="4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1"/>
  <dimension ref="A1:AD76"/>
  <sheetViews>
    <sheetView zoomScale="50" zoomScaleNormal="50" workbookViewId="0" topLeftCell="A10">
      <selection activeCell="A10" sqref="A10"/>
    </sheetView>
  </sheetViews>
  <sheetFormatPr defaultColWidth="11.421875" defaultRowHeight="12.75"/>
  <cols>
    <col min="1" max="1" width="33.7109375" style="0" customWidth="1"/>
    <col min="2" max="2" width="19.14062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11.28125" style="0" hidden="1" customWidth="1"/>
    <col min="9" max="9" width="18.7109375" style="0" customWidth="1"/>
    <col min="10" max="10" width="21.0039062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19.14062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4"/>
      <c r="AD1" s="688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0" customFormat="1" ht="30.75">
      <c r="A3" s="457"/>
      <c r="B3" s="458" t="str">
        <f>+'TOT-1110'!B2</f>
        <v>ANEXO  VI al Memorandum  D.T.E.E.  N°     381 /2012 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AB3" s="459"/>
      <c r="AC3" s="459"/>
      <c r="AD3" s="459"/>
    </row>
    <row r="4" spans="1:2" s="25" customFormat="1" ht="11.25">
      <c r="A4" s="683" t="s">
        <v>1</v>
      </c>
      <c r="B4" s="684"/>
    </row>
    <row r="5" spans="1:2" s="25" customFormat="1" ht="12" thickBot="1">
      <c r="A5" s="683" t="s">
        <v>2</v>
      </c>
      <c r="B5" s="683"/>
    </row>
    <row r="6" spans="1:23" ht="16.5" customHeight="1" thickTop="1">
      <c r="A6" s="5"/>
      <c r="B6" s="69"/>
      <c r="C6" s="70"/>
      <c r="D6" s="70"/>
      <c r="E6" s="19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1" t="s">
        <v>88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1" t="s">
        <v>89</v>
      </c>
      <c r="E9" s="43"/>
      <c r="F9" s="43"/>
      <c r="G9" s="43"/>
      <c r="H9" s="43"/>
      <c r="N9" s="43"/>
      <c r="O9" s="43"/>
      <c r="P9" s="194"/>
      <c r="Q9" s="194"/>
      <c r="R9" s="43"/>
      <c r="S9" s="43"/>
      <c r="T9" s="43"/>
      <c r="U9" s="43"/>
      <c r="V9" s="43"/>
      <c r="W9" s="195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1" t="s">
        <v>395</v>
      </c>
      <c r="E11" s="43"/>
      <c r="F11" s="43"/>
      <c r="G11" s="43"/>
      <c r="H11" s="43"/>
      <c r="N11" s="43"/>
      <c r="O11" s="43"/>
      <c r="P11" s="194"/>
      <c r="Q11" s="194"/>
      <c r="R11" s="43"/>
      <c r="S11" s="43"/>
      <c r="T11" s="43"/>
      <c r="U11" s="43"/>
      <c r="V11" s="43"/>
      <c r="W11" s="195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'TOT-1110'!B14</f>
        <v>Desde el 01 al 30 de noviembre de 2010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2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59" t="s">
        <v>91</v>
      </c>
      <c r="D17" s="54" t="s">
        <v>92</v>
      </c>
      <c r="E17" s="66"/>
      <c r="F17" s="66"/>
      <c r="G17" s="4"/>
      <c r="H17" s="4"/>
      <c r="I17" s="4"/>
      <c r="J17" s="462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63"/>
      <c r="C18" s="33"/>
      <c r="D18" s="464"/>
      <c r="E18" s="472" t="s">
        <v>219</v>
      </c>
      <c r="F18" s="652">
        <v>482147</v>
      </c>
      <c r="G18" s="654" t="str">
        <f>"(DTE "&amp;DATO!$G$14&amp;DATO!$H$14&amp;")"</f>
        <v>(DTE 1110)</v>
      </c>
      <c r="H18" s="33"/>
      <c r="I18" s="33"/>
      <c r="J18" s="467"/>
      <c r="K18" s="33"/>
      <c r="L18" s="33"/>
      <c r="M18" s="33"/>
      <c r="N18" s="689" t="s">
        <v>35</v>
      </c>
      <c r="P18" s="33"/>
      <c r="Q18" s="33"/>
      <c r="R18" s="33"/>
      <c r="S18" s="33"/>
      <c r="T18" s="33"/>
      <c r="U18" s="33"/>
      <c r="V18" s="33"/>
      <c r="W18" s="468"/>
    </row>
    <row r="19" spans="2:23" s="32" customFormat="1" ht="16.5" customHeight="1">
      <c r="B19" s="463"/>
      <c r="C19" s="33"/>
      <c r="D19" s="861"/>
      <c r="E19" s="472" t="s">
        <v>38</v>
      </c>
      <c r="F19" s="473">
        <v>0.025</v>
      </c>
      <c r="G19" s="470"/>
      <c r="H19" s="33"/>
      <c r="I19" s="199"/>
      <c r="J19" s="200"/>
      <c r="K19" s="690" t="s">
        <v>113</v>
      </c>
      <c r="L19" s="691"/>
      <c r="M19" s="692">
        <v>90.071</v>
      </c>
      <c r="N19" s="693">
        <v>200</v>
      </c>
      <c r="R19" s="33"/>
      <c r="S19" s="33"/>
      <c r="T19" s="33"/>
      <c r="U19" s="33"/>
      <c r="V19" s="33"/>
      <c r="W19" s="468"/>
    </row>
    <row r="20" spans="2:23" s="32" customFormat="1" ht="16.5" customHeight="1">
      <c r="B20" s="463"/>
      <c r="C20" s="33"/>
      <c r="D20" s="861"/>
      <c r="E20" s="464" t="s">
        <v>36</v>
      </c>
      <c r="F20" s="33">
        <f>MID(B13,16,2)*24</f>
        <v>720</v>
      </c>
      <c r="G20" s="33" t="s">
        <v>37</v>
      </c>
      <c r="H20" s="33"/>
      <c r="I20" s="33"/>
      <c r="J20" s="33"/>
      <c r="K20" s="694" t="s">
        <v>81</v>
      </c>
      <c r="L20" s="695"/>
      <c r="M20" s="696">
        <v>81.059</v>
      </c>
      <c r="N20" s="697">
        <v>100</v>
      </c>
      <c r="O20" s="33"/>
      <c r="P20" s="685"/>
      <c r="Q20" s="33"/>
      <c r="R20" s="33"/>
      <c r="S20" s="33"/>
      <c r="T20" s="33"/>
      <c r="U20" s="33"/>
      <c r="V20" s="33"/>
      <c r="W20" s="468"/>
    </row>
    <row r="21" spans="2:23" s="32" customFormat="1" ht="16.5" customHeight="1" thickBot="1">
      <c r="B21" s="463"/>
      <c r="C21" s="33"/>
      <c r="D21" s="861"/>
      <c r="E21" s="464" t="s">
        <v>39</v>
      </c>
      <c r="F21" s="33">
        <v>0.45</v>
      </c>
      <c r="G21" s="32" t="s">
        <v>110</v>
      </c>
      <c r="H21" s="33"/>
      <c r="I21" s="33"/>
      <c r="J21" s="33"/>
      <c r="K21" s="698" t="s">
        <v>114</v>
      </c>
      <c r="L21" s="699"/>
      <c r="M21" s="700">
        <v>72.06</v>
      </c>
      <c r="N21" s="701">
        <v>40</v>
      </c>
      <c r="O21" s="33"/>
      <c r="P21" s="685"/>
      <c r="Q21" s="33"/>
      <c r="R21" s="33"/>
      <c r="S21" s="33"/>
      <c r="T21" s="33"/>
      <c r="U21" s="33"/>
      <c r="V21" s="33"/>
      <c r="W21" s="468"/>
    </row>
    <row r="22" spans="2:23" s="32" customFormat="1" ht="16.5" customHeight="1">
      <c r="B22" s="463"/>
      <c r="C22" s="33"/>
      <c r="D22" s="33"/>
      <c r="E22" s="476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68"/>
    </row>
    <row r="23" spans="1:23" ht="16.5" customHeight="1">
      <c r="A23" s="5"/>
      <c r="B23" s="50"/>
      <c r="C23" s="159" t="s">
        <v>95</v>
      </c>
      <c r="D23" s="3" t="s">
        <v>124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463"/>
      <c r="C25" s="466"/>
      <c r="D25"/>
      <c r="E25"/>
      <c r="F25"/>
      <c r="G25"/>
      <c r="H25"/>
      <c r="I25" s="477" t="s">
        <v>43</v>
      </c>
      <c r="J25" s="702">
        <f>+F18*F19</f>
        <v>12053.675000000001</v>
      </c>
      <c r="L25"/>
      <c r="S25"/>
      <c r="T25"/>
      <c r="U25"/>
      <c r="W25" s="468"/>
    </row>
    <row r="26" spans="2:23" s="32" customFormat="1" ht="11.25" customHeight="1" thickTop="1">
      <c r="B26" s="463"/>
      <c r="C26" s="466"/>
      <c r="D26" s="33"/>
      <c r="E26" s="47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468"/>
    </row>
    <row r="27" spans="1:23" ht="16.5" customHeight="1">
      <c r="A27" s="5"/>
      <c r="B27" s="50"/>
      <c r="C27" s="159" t="s">
        <v>96</v>
      </c>
      <c r="D27" s="3" t="s">
        <v>125</v>
      </c>
      <c r="E27" s="20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466"/>
      <c r="D28" s="466"/>
      <c r="E28" s="547"/>
      <c r="F28" s="476"/>
      <c r="G28" s="548"/>
      <c r="H28" s="548"/>
      <c r="I28" s="549"/>
      <c r="J28" s="549"/>
      <c r="K28" s="549"/>
      <c r="L28" s="549"/>
      <c r="M28" s="549"/>
      <c r="N28" s="549"/>
      <c r="O28" s="550"/>
      <c r="P28" s="549"/>
      <c r="Q28" s="549"/>
      <c r="R28" s="703"/>
      <c r="S28" s="704"/>
      <c r="T28" s="705"/>
      <c r="U28" s="705"/>
      <c r="V28" s="705"/>
      <c r="W28" s="227"/>
    </row>
    <row r="29" spans="1:26" s="5" customFormat="1" ht="33.75" customHeight="1" thickBot="1" thickTop="1">
      <c r="A29" s="90"/>
      <c r="B29" s="95"/>
      <c r="C29" s="123" t="s">
        <v>12</v>
      </c>
      <c r="D29" s="119" t="s">
        <v>25</v>
      </c>
      <c r="E29" s="118" t="s">
        <v>26</v>
      </c>
      <c r="F29" s="120" t="s">
        <v>27</v>
      </c>
      <c r="G29" s="121" t="s">
        <v>13</v>
      </c>
      <c r="H29" s="129" t="s">
        <v>15</v>
      </c>
      <c r="I29" s="118" t="s">
        <v>16</v>
      </c>
      <c r="J29" s="118" t="s">
        <v>17</v>
      </c>
      <c r="K29" s="119" t="s">
        <v>28</v>
      </c>
      <c r="L29" s="119" t="s">
        <v>29</v>
      </c>
      <c r="M29" s="88" t="s">
        <v>99</v>
      </c>
      <c r="N29" s="118" t="s">
        <v>30</v>
      </c>
      <c r="O29" s="565" t="s">
        <v>31</v>
      </c>
      <c r="P29" s="129" t="s">
        <v>32</v>
      </c>
      <c r="Q29" s="566" t="s">
        <v>19</v>
      </c>
      <c r="R29" s="567" t="s">
        <v>100</v>
      </c>
      <c r="S29" s="568"/>
      <c r="T29" s="569" t="s">
        <v>21</v>
      </c>
      <c r="U29" s="132" t="s">
        <v>73</v>
      </c>
      <c r="V29" s="121" t="s">
        <v>23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572"/>
      <c r="H30" s="573"/>
      <c r="I30" s="10"/>
      <c r="J30" s="10"/>
      <c r="K30" s="10"/>
      <c r="L30" s="10"/>
      <c r="M30" s="10"/>
      <c r="N30" s="575"/>
      <c r="O30" s="706"/>
      <c r="P30" s="133"/>
      <c r="Q30" s="576"/>
      <c r="R30" s="577"/>
      <c r="S30" s="578"/>
      <c r="T30" s="579"/>
      <c r="U30" s="575"/>
      <c r="V30" s="582"/>
      <c r="W30" s="17"/>
    </row>
    <row r="31" spans="1:23" ht="16.5" customHeight="1">
      <c r="A31" s="5"/>
      <c r="B31" s="50"/>
      <c r="C31" s="805" t="s">
        <v>186</v>
      </c>
      <c r="D31" s="583" t="s">
        <v>356</v>
      </c>
      <c r="E31" s="584" t="s">
        <v>372</v>
      </c>
      <c r="F31" s="585">
        <v>300</v>
      </c>
      <c r="G31" s="586" t="s">
        <v>277</v>
      </c>
      <c r="H31" s="587">
        <f>F31*$F$21</f>
        <v>135</v>
      </c>
      <c r="I31" s="589">
        <v>40502.35625</v>
      </c>
      <c r="J31" s="589">
        <v>40502.76111111111</v>
      </c>
      <c r="K31" s="292">
        <f>IF(D31="","",(J31-I31)*24)</f>
        <v>9.716666666732635</v>
      </c>
      <c r="L31" s="14">
        <f>IF(D31="","",(J31-I31)*24*60)</f>
        <v>583.0000000039581</v>
      </c>
      <c r="M31" s="13" t="s">
        <v>283</v>
      </c>
      <c r="N31" s="8" t="str">
        <f>IF(D31="","",IF(OR(M31="P",M31="RP"),"--","NO"))</f>
        <v>--</v>
      </c>
      <c r="O31" s="707" t="str">
        <f>IF(D31="","","NO")</f>
        <v>NO</v>
      </c>
      <c r="P31" s="590">
        <f>200*IF(O31="SI",1,0.1)*IF(M31="P",0.1,1)</f>
        <v>2</v>
      </c>
      <c r="Q31" s="591">
        <f>IF(M31="P",H31*P31*ROUND(L31/60,2),"--")</f>
        <v>2624.4</v>
      </c>
      <c r="R31" s="592" t="str">
        <f>IF(AND(M31="F",N31="NO"),H31*P31,"--")</f>
        <v>--</v>
      </c>
      <c r="S31" s="593" t="str">
        <f>IF(M31="F",H31*P31*ROUND(L31/60,2),"--")</f>
        <v>--</v>
      </c>
      <c r="T31" s="374" t="str">
        <f>IF(M31="RF",H31*P31*ROUND(L31/60,2),"--")</f>
        <v>--</v>
      </c>
      <c r="U31" s="302" t="str">
        <f>IF(D31="","","SI")</f>
        <v>SI</v>
      </c>
      <c r="V31" s="303">
        <f>IF(D31="","",SUM(Q31:T31)*IF(U31="SI",1,2))</f>
        <v>2624.4</v>
      </c>
      <c r="W31" s="227"/>
    </row>
    <row r="32" spans="1:23" ht="16.5" customHeight="1">
      <c r="A32" s="5"/>
      <c r="B32" s="50"/>
      <c r="C32" s="805" t="s">
        <v>187</v>
      </c>
      <c r="D32" s="583" t="s">
        <v>356</v>
      </c>
      <c r="E32" s="584" t="s">
        <v>372</v>
      </c>
      <c r="F32" s="585">
        <v>300</v>
      </c>
      <c r="G32" s="586" t="s">
        <v>277</v>
      </c>
      <c r="H32" s="587">
        <f>F32*$F$21</f>
        <v>135</v>
      </c>
      <c r="I32" s="589">
        <v>40503.35486111111</v>
      </c>
      <c r="J32" s="589">
        <v>40503.74097222222</v>
      </c>
      <c r="K32" s="292">
        <f>IF(D32="","",(J32-I32)*24)</f>
        <v>9.266666666662786</v>
      </c>
      <c r="L32" s="14">
        <f>IF(D32="","",(J32-I32)*24*60)</f>
        <v>555.9999999997672</v>
      </c>
      <c r="M32" s="13" t="s">
        <v>283</v>
      </c>
      <c r="N32" s="8" t="str">
        <f>IF(D32="","",IF(OR(M32="P",M32="RP"),"--","NO"))</f>
        <v>--</v>
      </c>
      <c r="O32" s="707" t="str">
        <f>IF(D32="","","NO")</f>
        <v>NO</v>
      </c>
      <c r="P32" s="590">
        <f>200*IF(O32="SI",1,0.1)*IF(M32="P",0.1,1)</f>
        <v>2</v>
      </c>
      <c r="Q32" s="591">
        <f>IF(M32="P",H32*P32*ROUND(L32/60,2),"--")</f>
        <v>2502.9</v>
      </c>
      <c r="R32" s="592" t="str">
        <f>IF(AND(M32="F",N32="NO"),H32*P32,"--")</f>
        <v>--</v>
      </c>
      <c r="S32" s="593" t="str">
        <f>IF(M32="F",H32*P32*ROUND(L32/60,2),"--")</f>
        <v>--</v>
      </c>
      <c r="T32" s="374" t="str">
        <f>IF(M32="RF",H32*P32*ROUND(L32/60,2),"--")</f>
        <v>--</v>
      </c>
      <c r="U32" s="302" t="str">
        <f>IF(D32="","","SI")</f>
        <v>SI</v>
      </c>
      <c r="V32" s="303">
        <f>IF(D32="","",SUM(Q32:T32)*IF(U32="SI",1,2))</f>
        <v>2502.9</v>
      </c>
      <c r="W32" s="227"/>
    </row>
    <row r="33" spans="1:23" ht="16.5" customHeight="1">
      <c r="A33" s="5"/>
      <c r="B33" s="50"/>
      <c r="C33" s="805" t="s">
        <v>188</v>
      </c>
      <c r="D33" s="583" t="s">
        <v>373</v>
      </c>
      <c r="E33" s="584" t="s">
        <v>372</v>
      </c>
      <c r="F33" s="585">
        <v>300</v>
      </c>
      <c r="G33" s="586" t="s">
        <v>277</v>
      </c>
      <c r="H33" s="587">
        <f>F33*$F$21</f>
        <v>135</v>
      </c>
      <c r="I33" s="589">
        <v>40503.58819444444</v>
      </c>
      <c r="J33" s="589">
        <v>40504.01944444444</v>
      </c>
      <c r="K33" s="292">
        <f>IF(D33="","",(J33-I33)*24)</f>
        <v>10.350000000034925</v>
      </c>
      <c r="L33" s="14">
        <f>IF(D33="","",(J33-I33)*24*60)</f>
        <v>621.0000000020955</v>
      </c>
      <c r="M33" s="13" t="s">
        <v>296</v>
      </c>
      <c r="N33" s="8" t="str">
        <f>IF(D33="","",IF(OR(M33="P",M33="RP"),"--","NO"))</f>
        <v>NO</v>
      </c>
      <c r="O33" s="707" t="str">
        <f>IF(D33="","","NO")</f>
        <v>NO</v>
      </c>
      <c r="P33" s="590">
        <f>200*IF(O33="SI",1,0.1)*IF(M33="P",0.1,1)</f>
        <v>20</v>
      </c>
      <c r="Q33" s="591" t="str">
        <f>IF(M33="P",H33*P33*ROUND(L33/60,2),"--")</f>
        <v>--</v>
      </c>
      <c r="R33" s="592">
        <f>IF(AND(M33="F",N33="NO"),H33*P33,"--")</f>
        <v>2700</v>
      </c>
      <c r="S33" s="593">
        <f>IF(M33="F",H33*P33*ROUND(L33/60,2),"--")</f>
        <v>27945</v>
      </c>
      <c r="T33" s="374" t="str">
        <f>IF(M33="RF",H33*P33*ROUND(L33/60,2),"--")</f>
        <v>--</v>
      </c>
      <c r="U33" s="302" t="str">
        <f>IF(D33="","","SI")</f>
        <v>SI</v>
      </c>
      <c r="V33" s="303">
        <f>IF(D33="","",SUM(Q33:T33)*IF(U33="SI",1,2))</f>
        <v>30645</v>
      </c>
      <c r="W33" s="227"/>
    </row>
    <row r="34" spans="1:23" ht="16.5" customHeight="1">
      <c r="A34" s="5"/>
      <c r="B34" s="50"/>
      <c r="C34" s="805" t="s">
        <v>189</v>
      </c>
      <c r="D34" s="583" t="s">
        <v>356</v>
      </c>
      <c r="E34" s="584" t="s">
        <v>372</v>
      </c>
      <c r="F34" s="585">
        <v>300</v>
      </c>
      <c r="G34" s="586" t="s">
        <v>277</v>
      </c>
      <c r="H34" s="587">
        <f>F34*$F$21</f>
        <v>135</v>
      </c>
      <c r="I34" s="589">
        <v>40503.36111111111</v>
      </c>
      <c r="J34" s="589">
        <v>40504.5125</v>
      </c>
      <c r="K34" s="292">
        <f>IF(D34="","",(J34-I34)*24)</f>
        <v>27.63333333330229</v>
      </c>
      <c r="L34" s="14">
        <f>IF(D34="","",(J34-I34)*24*60)</f>
        <v>1657.9999999981374</v>
      </c>
      <c r="M34" s="13" t="s">
        <v>283</v>
      </c>
      <c r="N34" s="8" t="str">
        <f>IF(D34="","",IF(OR(M34="P",M34="RP"),"--","NO"))</f>
        <v>--</v>
      </c>
      <c r="O34" s="707" t="str">
        <f>IF(D34="","","NO")</f>
        <v>NO</v>
      </c>
      <c r="P34" s="590">
        <f>200*IF(O34="SI",1,0.1)*IF(M34="P",0.1,1)</f>
        <v>2</v>
      </c>
      <c r="Q34" s="591">
        <f>IF(M34="P",H34*P34*ROUND(L34/60,2),"--")</f>
        <v>7460.099999999999</v>
      </c>
      <c r="R34" s="592" t="str">
        <f>IF(AND(M34="F",N34="NO"),H34*P34,"--")</f>
        <v>--</v>
      </c>
      <c r="S34" s="593" t="str">
        <f>IF(M34="F",H34*P34*ROUND(L34/60,2),"--")</f>
        <v>--</v>
      </c>
      <c r="T34" s="374" t="str">
        <f>IF(M34="RF",H34*P34*ROUND(L34/60,2),"--")</f>
        <v>--</v>
      </c>
      <c r="U34" s="302" t="str">
        <f>IF(D34="","","SI")</f>
        <v>SI</v>
      </c>
      <c r="V34" s="303">
        <f>IF(D34="","",SUM(Q34:T34)*IF(U34="SI",1,2))</f>
        <v>7460.099999999999</v>
      </c>
      <c r="W34" s="227"/>
    </row>
    <row r="35" spans="1:23" ht="16.5" customHeight="1" thickBot="1">
      <c r="A35" s="32"/>
      <c r="B35" s="50"/>
      <c r="C35" s="597"/>
      <c r="D35" s="598"/>
      <c r="E35" s="599"/>
      <c r="F35" s="600"/>
      <c r="G35" s="601"/>
      <c r="H35" s="602"/>
      <c r="I35" s="604"/>
      <c r="J35" s="605"/>
      <c r="K35" s="606"/>
      <c r="L35" s="607"/>
      <c r="M35" s="608"/>
      <c r="N35" s="9"/>
      <c r="O35" s="708"/>
      <c r="P35" s="609"/>
      <c r="Q35" s="610"/>
      <c r="R35" s="611"/>
      <c r="S35" s="612"/>
      <c r="T35" s="613"/>
      <c r="U35" s="616"/>
      <c r="V35" s="617"/>
      <c r="W35" s="227"/>
    </row>
    <row r="36" spans="1:23" ht="16.5" customHeight="1" thickBot="1" thickTop="1">
      <c r="A36" s="32"/>
      <c r="B36" s="50"/>
      <c r="C36" s="98"/>
      <c r="D36" s="201"/>
      <c r="E36" s="201"/>
      <c r="F36" s="405"/>
      <c r="G36" s="618"/>
      <c r="H36" s="619"/>
      <c r="I36" s="620"/>
      <c r="J36" s="621"/>
      <c r="K36" s="622"/>
      <c r="L36" s="623"/>
      <c r="M36" s="619"/>
      <c r="N36" s="624"/>
      <c r="O36" s="190"/>
      <c r="P36" s="625"/>
      <c r="Q36" s="626"/>
      <c r="R36" s="627"/>
      <c r="S36" s="627"/>
      <c r="T36" s="627"/>
      <c r="U36" s="191"/>
      <c r="V36" s="628">
        <f>SUM(V30:V35)</f>
        <v>43232.4</v>
      </c>
      <c r="W36" s="227"/>
    </row>
    <row r="37" spans="1:23" ht="16.5" customHeight="1" thickBot="1" thickTop="1">
      <c r="A37" s="32"/>
      <c r="B37" s="50"/>
      <c r="C37" s="98"/>
      <c r="D37" s="201"/>
      <c r="E37" s="201"/>
      <c r="F37" s="405"/>
      <c r="G37" s="618"/>
      <c r="H37" s="619"/>
      <c r="I37" s="620"/>
      <c r="L37" s="623"/>
      <c r="M37" s="619"/>
      <c r="N37" s="629"/>
      <c r="O37" s="630"/>
      <c r="P37" s="625"/>
      <c r="Q37" s="626"/>
      <c r="R37" s="627"/>
      <c r="S37" s="627"/>
      <c r="T37" s="627"/>
      <c r="U37" s="191"/>
      <c r="V37" s="191"/>
      <c r="W37" s="227"/>
    </row>
    <row r="38" spans="2:23" s="5" customFormat="1" ht="33.75" customHeight="1" thickBot="1" thickTop="1">
      <c r="B38" s="50"/>
      <c r="C38" s="84" t="s">
        <v>12</v>
      </c>
      <c r="D38" s="86" t="s">
        <v>25</v>
      </c>
      <c r="E38" s="1069" t="s">
        <v>26</v>
      </c>
      <c r="F38" s="1077"/>
      <c r="G38" s="132" t="s">
        <v>13</v>
      </c>
      <c r="H38" s="129" t="s">
        <v>15</v>
      </c>
      <c r="I38" s="85" t="s">
        <v>16</v>
      </c>
      <c r="J38" s="357" t="s">
        <v>17</v>
      </c>
      <c r="K38" s="359" t="s">
        <v>34</v>
      </c>
      <c r="L38" s="359" t="s">
        <v>29</v>
      </c>
      <c r="M38" s="88" t="s">
        <v>18</v>
      </c>
      <c r="N38" s="1069" t="s">
        <v>30</v>
      </c>
      <c r="O38" s="1070"/>
      <c r="P38" s="135" t="s">
        <v>35</v>
      </c>
      <c r="Q38" s="360" t="s">
        <v>69</v>
      </c>
      <c r="R38" s="177" t="s">
        <v>33</v>
      </c>
      <c r="S38" s="361"/>
      <c r="T38" s="134" t="s">
        <v>21</v>
      </c>
      <c r="U38" s="132" t="s">
        <v>73</v>
      </c>
      <c r="V38" s="121" t="s">
        <v>23</v>
      </c>
      <c r="W38" s="6"/>
    </row>
    <row r="39" spans="2:23" s="5" customFormat="1" ht="16.5" customHeight="1" thickTop="1">
      <c r="B39" s="50"/>
      <c r="C39" s="7"/>
      <c r="D39" s="369"/>
      <c r="E39" s="1078"/>
      <c r="F39" s="1079"/>
      <c r="G39" s="369"/>
      <c r="H39" s="370"/>
      <c r="I39" s="369"/>
      <c r="J39" s="369"/>
      <c r="K39" s="369"/>
      <c r="L39" s="369"/>
      <c r="M39" s="369"/>
      <c r="N39" s="1080"/>
      <c r="O39" s="1081"/>
      <c r="P39" s="371"/>
      <c r="Q39" s="372"/>
      <c r="R39" s="188"/>
      <c r="S39" s="373"/>
      <c r="T39" s="374"/>
      <c r="U39" s="369"/>
      <c r="V39" s="375"/>
      <c r="W39" s="6"/>
    </row>
    <row r="40" spans="2:23" s="5" customFormat="1" ht="16.5" customHeight="1">
      <c r="B40" s="50"/>
      <c r="C40" s="805" t="s">
        <v>186</v>
      </c>
      <c r="D40" s="931" t="s">
        <v>348</v>
      </c>
      <c r="E40" s="1071" t="s">
        <v>349</v>
      </c>
      <c r="F40" s="1072"/>
      <c r="G40" s="934">
        <v>132</v>
      </c>
      <c r="H40" s="130">
        <f>IF(G40=500,$M$19,IF(G40=220,$M$20,$M$21))</f>
        <v>72.06</v>
      </c>
      <c r="I40" s="710">
        <v>40484.41805555556</v>
      </c>
      <c r="J40" s="711">
        <v>40484.717361111114</v>
      </c>
      <c r="K40" s="379">
        <f>IF(D40="","",(J40-I40)*24)</f>
        <v>7.183333333348855</v>
      </c>
      <c r="L40" s="380">
        <f>IF(D40="","",ROUND((J40-I40)*24*60,0))</f>
        <v>431</v>
      </c>
      <c r="M40" s="514" t="s">
        <v>283</v>
      </c>
      <c r="N40" s="1082" t="str">
        <f>IF(D40="","",IF(OR(M40="P",M40="RP"),"--","NO"))</f>
        <v>--</v>
      </c>
      <c r="O40" s="1083"/>
      <c r="P40" s="712">
        <f>IF(G40=500,$N$19,IF(G40=220,$N$20,$N$21))</f>
        <v>40</v>
      </c>
      <c r="Q40" s="713">
        <f>IF(M40="P",H40*P40*ROUND(L40/60,2)*0.1,"--")</f>
        <v>2069.5632</v>
      </c>
      <c r="R40" s="188" t="str">
        <f>IF(AND(M40="F",N40="NO"),H40*P40,"--")</f>
        <v>--</v>
      </c>
      <c r="S40" s="373" t="str">
        <f>IF(M40="F",H40*P40*ROUND(L40/60,2),"--")</f>
        <v>--</v>
      </c>
      <c r="T40" s="374" t="str">
        <f>IF(M40="RF",H40*P40*ROUND(L40/60,2),"--")</f>
        <v>--</v>
      </c>
      <c r="U40" s="714" t="str">
        <f>IF(D40="","","SI")</f>
        <v>SI</v>
      </c>
      <c r="V40" s="381">
        <f>IF(D40="","",SUM(Q40:T40)*IF(U40="SI",1,2))</f>
        <v>2069.5632</v>
      </c>
      <c r="W40" s="6"/>
    </row>
    <row r="41" spans="2:23" s="5" customFormat="1" ht="16.5" customHeight="1">
      <c r="B41" s="50"/>
      <c r="C41" s="805" t="s">
        <v>187</v>
      </c>
      <c r="D41" s="931" t="s">
        <v>350</v>
      </c>
      <c r="E41" s="1071" t="s">
        <v>351</v>
      </c>
      <c r="F41" s="1072"/>
      <c r="G41" s="934">
        <v>132</v>
      </c>
      <c r="H41" s="130">
        <f aca="true" t="shared" si="0" ref="H41:H51">IF(G41=500,$M$19,IF(G41=220,$M$20,$M$21))</f>
        <v>72.06</v>
      </c>
      <c r="I41" s="710">
        <v>40489.31319444445</v>
      </c>
      <c r="J41" s="711">
        <v>40489.63125</v>
      </c>
      <c r="K41" s="379">
        <f aca="true" t="shared" si="1" ref="K41:K51">IF(D41="","",(J41-I41)*24)</f>
        <v>7.633333333244082</v>
      </c>
      <c r="L41" s="380">
        <f aca="true" t="shared" si="2" ref="L41:L51">IF(D41="","",ROUND((J41-I41)*24*60,0))</f>
        <v>458</v>
      </c>
      <c r="M41" s="514" t="s">
        <v>283</v>
      </c>
      <c r="N41" s="1082" t="str">
        <f aca="true" t="shared" si="3" ref="N41:N51">IF(D41="","",IF(OR(M41="P",M41="RP"),"--","NO"))</f>
        <v>--</v>
      </c>
      <c r="O41" s="1083"/>
      <c r="P41" s="712">
        <f aca="true" t="shared" si="4" ref="P41:P51">IF(G41=500,$N$19,IF(G41=220,$N$20,$N$21))</f>
        <v>40</v>
      </c>
      <c r="Q41" s="713">
        <f aca="true" t="shared" si="5" ref="Q41:Q51">IF(M41="P",H41*P41*ROUND(L41/60,2)*0.1,"--")</f>
        <v>2199.2712</v>
      </c>
      <c r="R41" s="188" t="str">
        <f aca="true" t="shared" si="6" ref="R41:R51">IF(AND(M41="F",N41="NO"),H41*P41,"--")</f>
        <v>--</v>
      </c>
      <c r="S41" s="373" t="str">
        <f aca="true" t="shared" si="7" ref="S41:S51">IF(M41="F",H41*P41*ROUND(L41/60,2),"--")</f>
        <v>--</v>
      </c>
      <c r="T41" s="374" t="str">
        <f aca="true" t="shared" si="8" ref="T41:T51">IF(M41="RF",H41*P41*ROUND(L41/60,2),"--")</f>
        <v>--</v>
      </c>
      <c r="U41" s="714" t="str">
        <f aca="true" t="shared" si="9" ref="U41:U51">IF(D41="","","SI")</f>
        <v>SI</v>
      </c>
      <c r="V41" s="381">
        <f aca="true" t="shared" si="10" ref="V41:V51">IF(D41="","",SUM(Q41:T41)*IF(U41="SI",1,2))</f>
        <v>2199.2712</v>
      </c>
      <c r="W41" s="6"/>
    </row>
    <row r="42" spans="2:23" s="5" customFormat="1" ht="16.5" customHeight="1">
      <c r="B42" s="50"/>
      <c r="C42" s="805" t="s">
        <v>188</v>
      </c>
      <c r="D42" s="931" t="s">
        <v>352</v>
      </c>
      <c r="E42" s="1071" t="s">
        <v>353</v>
      </c>
      <c r="F42" s="1072"/>
      <c r="G42" s="934">
        <v>132</v>
      </c>
      <c r="H42" s="130">
        <f t="shared" si="0"/>
        <v>72.06</v>
      </c>
      <c r="I42" s="710">
        <v>40491.38402777778</v>
      </c>
      <c r="J42" s="711">
        <v>40491.72638888889</v>
      </c>
      <c r="K42" s="379">
        <f t="shared" si="1"/>
        <v>8.216666666732635</v>
      </c>
      <c r="L42" s="380">
        <f t="shared" si="2"/>
        <v>493</v>
      </c>
      <c r="M42" s="514" t="s">
        <v>283</v>
      </c>
      <c r="N42" s="1082" t="str">
        <f t="shared" si="3"/>
        <v>--</v>
      </c>
      <c r="O42" s="1083"/>
      <c r="P42" s="712">
        <f t="shared" si="4"/>
        <v>40</v>
      </c>
      <c r="Q42" s="713">
        <f t="shared" si="5"/>
        <v>2369.3328</v>
      </c>
      <c r="R42" s="188" t="str">
        <f t="shared" si="6"/>
        <v>--</v>
      </c>
      <c r="S42" s="373" t="str">
        <f t="shared" si="7"/>
        <v>--</v>
      </c>
      <c r="T42" s="374" t="str">
        <f t="shared" si="8"/>
        <v>--</v>
      </c>
      <c r="U42" s="714" t="str">
        <f t="shared" si="9"/>
        <v>SI</v>
      </c>
      <c r="V42" s="381">
        <f t="shared" si="10"/>
        <v>2369.3328</v>
      </c>
      <c r="W42" s="6"/>
    </row>
    <row r="43" spans="2:23" s="5" customFormat="1" ht="16.5" customHeight="1">
      <c r="B43" s="50"/>
      <c r="C43" s="805" t="s">
        <v>189</v>
      </c>
      <c r="D43" s="931" t="s">
        <v>348</v>
      </c>
      <c r="E43" s="1071" t="s">
        <v>354</v>
      </c>
      <c r="F43" s="1072"/>
      <c r="G43" s="934">
        <v>132</v>
      </c>
      <c r="H43" s="130">
        <f t="shared" si="0"/>
        <v>72.06</v>
      </c>
      <c r="I43" s="710">
        <v>40499.36388888889</v>
      </c>
      <c r="J43" s="711">
        <v>40499.64375</v>
      </c>
      <c r="K43" s="379">
        <f t="shared" si="1"/>
        <v>6.716666666732635</v>
      </c>
      <c r="L43" s="380">
        <f t="shared" si="2"/>
        <v>403</v>
      </c>
      <c r="M43" s="514" t="s">
        <v>283</v>
      </c>
      <c r="N43" s="1082" t="str">
        <f t="shared" si="3"/>
        <v>--</v>
      </c>
      <c r="O43" s="1083"/>
      <c r="P43" s="712">
        <f t="shared" si="4"/>
        <v>40</v>
      </c>
      <c r="Q43" s="713">
        <f t="shared" si="5"/>
        <v>1936.9728</v>
      </c>
      <c r="R43" s="188" t="str">
        <f t="shared" si="6"/>
        <v>--</v>
      </c>
      <c r="S43" s="373" t="str">
        <f t="shared" si="7"/>
        <v>--</v>
      </c>
      <c r="T43" s="374" t="str">
        <f t="shared" si="8"/>
        <v>--</v>
      </c>
      <c r="U43" s="714" t="str">
        <f t="shared" si="9"/>
        <v>SI</v>
      </c>
      <c r="V43" s="381">
        <f t="shared" si="10"/>
        <v>1936.9728</v>
      </c>
      <c r="W43" s="6"/>
    </row>
    <row r="44" spans="2:23" s="5" customFormat="1" ht="16.5" customHeight="1">
      <c r="B44" s="50"/>
      <c r="C44" s="805" t="s">
        <v>190</v>
      </c>
      <c r="D44" s="931" t="s">
        <v>348</v>
      </c>
      <c r="E44" s="1071" t="s">
        <v>355</v>
      </c>
      <c r="F44" s="1072"/>
      <c r="G44" s="934">
        <v>132</v>
      </c>
      <c r="H44" s="130">
        <f t="shared" si="0"/>
        <v>72.06</v>
      </c>
      <c r="I44" s="710">
        <v>40501.30138888889</v>
      </c>
      <c r="J44" s="711">
        <v>40501.74444444444</v>
      </c>
      <c r="K44" s="379">
        <f t="shared" si="1"/>
        <v>10.633333333244082</v>
      </c>
      <c r="L44" s="380">
        <f t="shared" si="2"/>
        <v>638</v>
      </c>
      <c r="M44" s="514" t="s">
        <v>283</v>
      </c>
      <c r="N44" s="1082" t="str">
        <f t="shared" si="3"/>
        <v>--</v>
      </c>
      <c r="O44" s="1083"/>
      <c r="P44" s="712">
        <f t="shared" si="4"/>
        <v>40</v>
      </c>
      <c r="Q44" s="713">
        <f t="shared" si="5"/>
        <v>3063.9912000000004</v>
      </c>
      <c r="R44" s="188" t="str">
        <f t="shared" si="6"/>
        <v>--</v>
      </c>
      <c r="S44" s="373" t="str">
        <f t="shared" si="7"/>
        <v>--</v>
      </c>
      <c r="T44" s="374" t="str">
        <f t="shared" si="8"/>
        <v>--</v>
      </c>
      <c r="U44" s="714" t="str">
        <f t="shared" si="9"/>
        <v>SI</v>
      </c>
      <c r="V44" s="381">
        <f>IF(D44="","",SUM(Q44:T44)*IF(U44="SI",1,2))</f>
        <v>3063.9912000000004</v>
      </c>
      <c r="W44" s="6"/>
    </row>
    <row r="45" spans="2:23" s="5" customFormat="1" ht="16.5" customHeight="1">
      <c r="B45" s="50"/>
      <c r="C45" s="805" t="s">
        <v>191</v>
      </c>
      <c r="D45" s="931" t="s">
        <v>350</v>
      </c>
      <c r="E45" s="1071" t="s">
        <v>351</v>
      </c>
      <c r="F45" s="1072"/>
      <c r="G45" s="934">
        <v>132</v>
      </c>
      <c r="H45" s="130">
        <f t="shared" si="0"/>
        <v>72.06</v>
      </c>
      <c r="I45" s="710">
        <v>40503.277083333334</v>
      </c>
      <c r="J45" s="711">
        <v>40503.722916666666</v>
      </c>
      <c r="K45" s="379">
        <f t="shared" si="1"/>
        <v>10.699999999953434</v>
      </c>
      <c r="L45" s="380">
        <f t="shared" si="2"/>
        <v>642</v>
      </c>
      <c r="M45" s="514" t="s">
        <v>283</v>
      </c>
      <c r="N45" s="1082" t="str">
        <f t="shared" si="3"/>
        <v>--</v>
      </c>
      <c r="O45" s="1083"/>
      <c r="P45" s="712">
        <f t="shared" si="4"/>
        <v>40</v>
      </c>
      <c r="Q45" s="713">
        <f t="shared" si="5"/>
        <v>3084.168</v>
      </c>
      <c r="R45" s="188" t="str">
        <f t="shared" si="6"/>
        <v>--</v>
      </c>
      <c r="S45" s="373" t="str">
        <f t="shared" si="7"/>
        <v>--</v>
      </c>
      <c r="T45" s="374" t="str">
        <f t="shared" si="8"/>
        <v>--</v>
      </c>
      <c r="U45" s="714" t="str">
        <f t="shared" si="9"/>
        <v>SI</v>
      </c>
      <c r="V45" s="381">
        <f t="shared" si="10"/>
        <v>3084.168</v>
      </c>
      <c r="W45" s="6"/>
    </row>
    <row r="46" spans="2:23" s="5" customFormat="1" ht="16.5" customHeight="1">
      <c r="B46" s="50"/>
      <c r="C46" s="805" t="s">
        <v>192</v>
      </c>
      <c r="D46" s="931" t="s">
        <v>356</v>
      </c>
      <c r="E46" s="1071" t="s">
        <v>357</v>
      </c>
      <c r="F46" s="1072"/>
      <c r="G46" s="934">
        <v>132</v>
      </c>
      <c r="H46" s="130">
        <f t="shared" si="0"/>
        <v>72.06</v>
      </c>
      <c r="I46" s="710">
        <v>40503.35208333333</v>
      </c>
      <c r="J46" s="711">
        <v>40503.72083333333</v>
      </c>
      <c r="K46" s="379">
        <f t="shared" si="1"/>
        <v>8.850000000034925</v>
      </c>
      <c r="L46" s="380">
        <f t="shared" si="2"/>
        <v>531</v>
      </c>
      <c r="M46" s="514" t="s">
        <v>283</v>
      </c>
      <c r="N46" s="1082" t="str">
        <f t="shared" si="3"/>
        <v>--</v>
      </c>
      <c r="O46" s="1083"/>
      <c r="P46" s="712">
        <f t="shared" si="4"/>
        <v>40</v>
      </c>
      <c r="Q46" s="713">
        <f t="shared" si="5"/>
        <v>2550.924</v>
      </c>
      <c r="R46" s="188" t="str">
        <f t="shared" si="6"/>
        <v>--</v>
      </c>
      <c r="S46" s="373" t="str">
        <f t="shared" si="7"/>
        <v>--</v>
      </c>
      <c r="T46" s="374" t="str">
        <f t="shared" si="8"/>
        <v>--</v>
      </c>
      <c r="U46" s="714" t="str">
        <f t="shared" si="9"/>
        <v>SI</v>
      </c>
      <c r="V46" s="381">
        <f t="shared" si="10"/>
        <v>2550.924</v>
      </c>
      <c r="W46" s="6"/>
    </row>
    <row r="47" spans="2:23" s="5" customFormat="1" ht="16.5" customHeight="1">
      <c r="B47" s="50"/>
      <c r="C47" s="805" t="s">
        <v>193</v>
      </c>
      <c r="D47" s="931" t="s">
        <v>356</v>
      </c>
      <c r="E47" s="1071" t="s">
        <v>358</v>
      </c>
      <c r="F47" s="1072"/>
      <c r="G47" s="934">
        <v>132</v>
      </c>
      <c r="H47" s="130">
        <f t="shared" si="0"/>
        <v>72.06</v>
      </c>
      <c r="I47" s="710">
        <v>40505.41388888889</v>
      </c>
      <c r="J47" s="711">
        <v>40505.73125</v>
      </c>
      <c r="K47" s="379">
        <f t="shared" si="1"/>
        <v>7.616666666523088</v>
      </c>
      <c r="L47" s="380">
        <f t="shared" si="2"/>
        <v>457</v>
      </c>
      <c r="M47" s="514" t="s">
        <v>283</v>
      </c>
      <c r="N47" s="1082" t="str">
        <f t="shared" si="3"/>
        <v>--</v>
      </c>
      <c r="O47" s="1083"/>
      <c r="P47" s="712">
        <f t="shared" si="4"/>
        <v>40</v>
      </c>
      <c r="Q47" s="713">
        <f t="shared" si="5"/>
        <v>2196.3888</v>
      </c>
      <c r="R47" s="188" t="str">
        <f t="shared" si="6"/>
        <v>--</v>
      </c>
      <c r="S47" s="373" t="str">
        <f t="shared" si="7"/>
        <v>--</v>
      </c>
      <c r="T47" s="374" t="str">
        <f t="shared" si="8"/>
        <v>--</v>
      </c>
      <c r="U47" s="714" t="str">
        <f t="shared" si="9"/>
        <v>SI</v>
      </c>
      <c r="V47" s="381">
        <f t="shared" si="10"/>
        <v>2196.3888</v>
      </c>
      <c r="W47" s="6"/>
    </row>
    <row r="48" spans="2:23" s="5" customFormat="1" ht="16.5" customHeight="1">
      <c r="B48" s="50"/>
      <c r="C48" s="805" t="s">
        <v>194</v>
      </c>
      <c r="D48" s="931" t="s">
        <v>352</v>
      </c>
      <c r="E48" s="1071" t="s">
        <v>359</v>
      </c>
      <c r="F48" s="1072"/>
      <c r="G48" s="934">
        <v>132</v>
      </c>
      <c r="H48" s="130">
        <f t="shared" si="0"/>
        <v>72.06</v>
      </c>
      <c r="I48" s="710">
        <v>40505.430555555555</v>
      </c>
      <c r="J48" s="711">
        <v>40505.729166666664</v>
      </c>
      <c r="K48" s="379">
        <f t="shared" si="1"/>
        <v>7.166666666627862</v>
      </c>
      <c r="L48" s="380">
        <f t="shared" si="2"/>
        <v>430</v>
      </c>
      <c r="M48" s="514" t="s">
        <v>283</v>
      </c>
      <c r="N48" s="1082" t="str">
        <f t="shared" si="3"/>
        <v>--</v>
      </c>
      <c r="O48" s="1083"/>
      <c r="P48" s="712">
        <f t="shared" si="4"/>
        <v>40</v>
      </c>
      <c r="Q48" s="713">
        <f t="shared" si="5"/>
        <v>2066.6808</v>
      </c>
      <c r="R48" s="188" t="str">
        <f t="shared" si="6"/>
        <v>--</v>
      </c>
      <c r="S48" s="373" t="str">
        <f t="shared" si="7"/>
        <v>--</v>
      </c>
      <c r="T48" s="374" t="str">
        <f t="shared" si="8"/>
        <v>--</v>
      </c>
      <c r="U48" s="714" t="str">
        <f t="shared" si="9"/>
        <v>SI</v>
      </c>
      <c r="V48" s="381">
        <f t="shared" si="10"/>
        <v>2066.6808</v>
      </c>
      <c r="W48" s="6"/>
    </row>
    <row r="49" spans="2:23" s="5" customFormat="1" ht="16.5" customHeight="1">
      <c r="B49" s="50"/>
      <c r="C49" s="805" t="s">
        <v>195</v>
      </c>
      <c r="D49" s="931" t="s">
        <v>352</v>
      </c>
      <c r="E49" s="1071" t="s">
        <v>360</v>
      </c>
      <c r="F49" s="1072"/>
      <c r="G49" s="934">
        <v>132</v>
      </c>
      <c r="H49" s="130">
        <f t="shared" si="0"/>
        <v>72.06</v>
      </c>
      <c r="I49" s="710">
        <v>40512.375</v>
      </c>
      <c r="J49" s="711">
        <v>40512.739583333336</v>
      </c>
      <c r="K49" s="379">
        <f t="shared" si="1"/>
        <v>8.750000000058208</v>
      </c>
      <c r="L49" s="380">
        <f t="shared" si="2"/>
        <v>525</v>
      </c>
      <c r="M49" s="514" t="s">
        <v>283</v>
      </c>
      <c r="N49" s="1082" t="str">
        <f t="shared" si="3"/>
        <v>--</v>
      </c>
      <c r="O49" s="1083"/>
      <c r="P49" s="712">
        <f t="shared" si="4"/>
        <v>40</v>
      </c>
      <c r="Q49" s="713">
        <f t="shared" si="5"/>
        <v>2522.1000000000004</v>
      </c>
      <c r="R49" s="188" t="str">
        <f t="shared" si="6"/>
        <v>--</v>
      </c>
      <c r="S49" s="373" t="str">
        <f t="shared" si="7"/>
        <v>--</v>
      </c>
      <c r="T49" s="374" t="str">
        <f t="shared" si="8"/>
        <v>--</v>
      </c>
      <c r="U49" s="714" t="str">
        <f t="shared" si="9"/>
        <v>SI</v>
      </c>
      <c r="V49" s="381">
        <f t="shared" si="10"/>
        <v>2522.1000000000004</v>
      </c>
      <c r="W49" s="6"/>
    </row>
    <row r="50" spans="2:23" s="5" customFormat="1" ht="16.5" customHeight="1">
      <c r="B50" s="50"/>
      <c r="C50" s="805" t="s">
        <v>196</v>
      </c>
      <c r="D50" s="369"/>
      <c r="E50" s="1078"/>
      <c r="F50" s="1079"/>
      <c r="G50" s="709"/>
      <c r="H50" s="130">
        <f t="shared" si="0"/>
        <v>72.06</v>
      </c>
      <c r="I50" s="710"/>
      <c r="J50" s="711"/>
      <c r="K50" s="379">
        <f t="shared" si="1"/>
      </c>
      <c r="L50" s="380">
        <f t="shared" si="2"/>
      </c>
      <c r="M50" s="514"/>
      <c r="N50" s="1082">
        <f t="shared" si="3"/>
      </c>
      <c r="O50" s="1083"/>
      <c r="P50" s="712">
        <f t="shared" si="4"/>
        <v>40</v>
      </c>
      <c r="Q50" s="713" t="str">
        <f t="shared" si="5"/>
        <v>--</v>
      </c>
      <c r="R50" s="188" t="str">
        <f t="shared" si="6"/>
        <v>--</v>
      </c>
      <c r="S50" s="373" t="str">
        <f t="shared" si="7"/>
        <v>--</v>
      </c>
      <c r="T50" s="374" t="str">
        <f t="shared" si="8"/>
        <v>--</v>
      </c>
      <c r="U50" s="714">
        <f t="shared" si="9"/>
      </c>
      <c r="V50" s="381">
        <f t="shared" si="10"/>
      </c>
      <c r="W50" s="6"/>
    </row>
    <row r="51" spans="2:23" s="5" customFormat="1" ht="16.5" customHeight="1">
      <c r="B51" s="50"/>
      <c r="C51" s="805" t="s">
        <v>197</v>
      </c>
      <c r="D51" s="369"/>
      <c r="E51" s="1078"/>
      <c r="F51" s="1079"/>
      <c r="G51" s="709"/>
      <c r="H51" s="130">
        <f t="shared" si="0"/>
        <v>72.06</v>
      </c>
      <c r="I51" s="710"/>
      <c r="J51" s="711"/>
      <c r="K51" s="379">
        <f t="shared" si="1"/>
      </c>
      <c r="L51" s="380">
        <f t="shared" si="2"/>
      </c>
      <c r="M51" s="514"/>
      <c r="N51" s="1082">
        <f t="shared" si="3"/>
      </c>
      <c r="O51" s="1083"/>
      <c r="P51" s="712">
        <f t="shared" si="4"/>
        <v>40</v>
      </c>
      <c r="Q51" s="713" t="str">
        <f t="shared" si="5"/>
        <v>--</v>
      </c>
      <c r="R51" s="188" t="str">
        <f t="shared" si="6"/>
        <v>--</v>
      </c>
      <c r="S51" s="373" t="str">
        <f t="shared" si="7"/>
        <v>--</v>
      </c>
      <c r="T51" s="374" t="str">
        <f t="shared" si="8"/>
        <v>--</v>
      </c>
      <c r="U51" s="714">
        <f t="shared" si="9"/>
      </c>
      <c r="V51" s="381">
        <f t="shared" si="10"/>
      </c>
      <c r="W51" s="6"/>
    </row>
    <row r="52" spans="2:28" s="5" customFormat="1" ht="16.5" customHeight="1" thickBot="1">
      <c r="B52" s="50"/>
      <c r="C52" s="597"/>
      <c r="D52" s="715"/>
      <c r="E52" s="1075"/>
      <c r="F52" s="1076"/>
      <c r="G52" s="716"/>
      <c r="H52" s="717"/>
      <c r="I52" s="718"/>
      <c r="J52" s="719"/>
      <c r="K52" s="720"/>
      <c r="L52" s="721"/>
      <c r="M52" s="722"/>
      <c r="N52" s="1034"/>
      <c r="O52" s="1035"/>
      <c r="P52" s="723"/>
      <c r="Q52" s="724"/>
      <c r="R52" s="725"/>
      <c r="S52" s="726"/>
      <c r="T52" s="727"/>
      <c r="U52" s="728"/>
      <c r="V52" s="729"/>
      <c r="W52" s="6"/>
      <c r="X52"/>
      <c r="Y52"/>
      <c r="Z52"/>
      <c r="AA52"/>
      <c r="AB52"/>
    </row>
    <row r="53" spans="1:23" ht="17.25" thickBot="1" thickTop="1">
      <c r="A53" s="32"/>
      <c r="B53" s="463"/>
      <c r="C53" s="466"/>
      <c r="D53" s="632"/>
      <c r="E53" s="633"/>
      <c r="F53" s="634"/>
      <c r="G53" s="635"/>
      <c r="H53" s="635"/>
      <c r="I53" s="633"/>
      <c r="J53" s="454"/>
      <c r="K53" s="454"/>
      <c r="L53" s="633"/>
      <c r="M53" s="633"/>
      <c r="N53" s="633"/>
      <c r="O53" s="636"/>
      <c r="P53" s="633"/>
      <c r="Q53" s="633"/>
      <c r="R53" s="637"/>
      <c r="S53" s="638"/>
      <c r="T53" s="638"/>
      <c r="U53" s="639"/>
      <c r="V53" s="628">
        <f>SUM(V40:V52)</f>
        <v>24059.3928</v>
      </c>
      <c r="W53" s="640"/>
    </row>
    <row r="54" spans="1:23" ht="17.25" thickBot="1" thickTop="1">
      <c r="A54" s="32"/>
      <c r="B54" s="463"/>
      <c r="C54" s="466"/>
      <c r="D54" s="632"/>
      <c r="E54" s="633"/>
      <c r="F54" s="634"/>
      <c r="G54" s="635"/>
      <c r="H54" s="635"/>
      <c r="I54" s="477" t="s">
        <v>40</v>
      </c>
      <c r="J54" s="702">
        <f>+V53+V36</f>
        <v>67291.7928</v>
      </c>
      <c r="L54" s="633"/>
      <c r="M54" s="633"/>
      <c r="N54" s="633"/>
      <c r="O54" s="636"/>
      <c r="P54" s="633"/>
      <c r="Q54" s="633"/>
      <c r="R54" s="637"/>
      <c r="S54" s="638"/>
      <c r="T54" s="638"/>
      <c r="U54" s="639"/>
      <c r="W54" s="640"/>
    </row>
    <row r="55" spans="1:23" ht="13.5" customHeight="1" thickTop="1">
      <c r="A55" s="32"/>
      <c r="B55" s="463"/>
      <c r="C55" s="466"/>
      <c r="D55" s="632"/>
      <c r="E55" s="633"/>
      <c r="F55" s="634"/>
      <c r="G55" s="635"/>
      <c r="H55" s="635"/>
      <c r="I55" s="633"/>
      <c r="J55" s="454"/>
      <c r="K55" s="454"/>
      <c r="L55" s="633"/>
      <c r="M55" s="633"/>
      <c r="N55" s="633"/>
      <c r="O55" s="636"/>
      <c r="P55" s="633"/>
      <c r="Q55" s="633"/>
      <c r="R55" s="637"/>
      <c r="S55" s="638"/>
      <c r="T55" s="638"/>
      <c r="U55" s="639"/>
      <c r="W55" s="640"/>
    </row>
    <row r="56" spans="1:23" ht="16.5" customHeight="1">
      <c r="A56" s="32"/>
      <c r="B56" s="463"/>
      <c r="C56" s="641" t="s">
        <v>101</v>
      </c>
      <c r="D56" s="642" t="s">
        <v>126</v>
      </c>
      <c r="E56" s="633"/>
      <c r="F56" s="634"/>
      <c r="G56" s="635"/>
      <c r="H56" s="635"/>
      <c r="I56" s="633"/>
      <c r="J56" s="454"/>
      <c r="K56" s="454"/>
      <c r="L56" s="633"/>
      <c r="M56" s="633"/>
      <c r="N56" s="633"/>
      <c r="O56" s="636"/>
      <c r="P56" s="633"/>
      <c r="Q56" s="633"/>
      <c r="R56" s="637"/>
      <c r="S56" s="638"/>
      <c r="T56" s="638"/>
      <c r="U56" s="639"/>
      <c r="W56" s="640"/>
    </row>
    <row r="57" spans="1:23" ht="16.5" customHeight="1">
      <c r="A57" s="32"/>
      <c r="B57" s="463"/>
      <c r="C57" s="641"/>
      <c r="D57" s="632"/>
      <c r="E57" s="633"/>
      <c r="F57" s="634"/>
      <c r="G57" s="635"/>
      <c r="H57" s="635"/>
      <c r="I57" s="633"/>
      <c r="J57" s="454"/>
      <c r="K57" s="454"/>
      <c r="L57" s="633"/>
      <c r="M57" s="633"/>
      <c r="N57" s="633"/>
      <c r="O57" s="636"/>
      <c r="P57" s="633"/>
      <c r="Q57" s="633"/>
      <c r="R57" s="633"/>
      <c r="S57" s="637"/>
      <c r="T57" s="638"/>
      <c r="W57" s="640"/>
    </row>
    <row r="58" spans="2:23" s="32" customFormat="1" ht="16.5" customHeight="1">
      <c r="B58" s="463"/>
      <c r="C58" s="466"/>
      <c r="D58" s="643" t="s">
        <v>111</v>
      </c>
      <c r="E58" s="549" t="s">
        <v>112</v>
      </c>
      <c r="F58" s="549" t="s">
        <v>41</v>
      </c>
      <c r="G58" s="644" t="s">
        <v>131</v>
      </c>
      <c r="H58"/>
      <c r="I58" s="139"/>
      <c r="J58" s="656" t="s">
        <v>59</v>
      </c>
      <c r="K58" s="656"/>
      <c r="L58" s="549" t="s">
        <v>41</v>
      </c>
      <c r="M58" t="s">
        <v>115</v>
      </c>
      <c r="O58" s="644" t="s">
        <v>132</v>
      </c>
      <c r="P58"/>
      <c r="Q58" s="648"/>
      <c r="R58" s="648"/>
      <c r="S58" s="33"/>
      <c r="T58"/>
      <c r="U58"/>
      <c r="V58"/>
      <c r="W58" s="640"/>
    </row>
    <row r="59" spans="2:23" s="32" customFormat="1" ht="16.5" customHeight="1">
      <c r="B59" s="463"/>
      <c r="C59" s="466"/>
      <c r="D59" s="143" t="s">
        <v>116</v>
      </c>
      <c r="E59" s="143">
        <v>300</v>
      </c>
      <c r="F59" s="730">
        <v>500</v>
      </c>
      <c r="G59" s="1074">
        <f>+E59*$F$20*$F$21</f>
        <v>97200</v>
      </c>
      <c r="H59" s="1074"/>
      <c r="I59" s="1074"/>
      <c r="J59" s="731" t="s">
        <v>117</v>
      </c>
      <c r="K59" s="731"/>
      <c r="L59" s="143">
        <v>500</v>
      </c>
      <c r="M59" s="143">
        <v>2</v>
      </c>
      <c r="O59" s="1074">
        <f>+M59*$F$20*$M$19</f>
        <v>129702.23999999999</v>
      </c>
      <c r="P59" s="1074"/>
      <c r="Q59" s="1074"/>
      <c r="R59" s="1074"/>
      <c r="S59" s="1074"/>
      <c r="T59" s="1074"/>
      <c r="U59" s="1074"/>
      <c r="V59"/>
      <c r="W59" s="640"/>
    </row>
    <row r="60" spans="2:23" s="32" customFormat="1" ht="16.5" customHeight="1">
      <c r="B60" s="463"/>
      <c r="C60" s="466"/>
      <c r="D60" s="143" t="s">
        <v>118</v>
      </c>
      <c r="E60" s="142">
        <v>300</v>
      </c>
      <c r="F60" s="730">
        <v>500</v>
      </c>
      <c r="G60" s="1074">
        <f>+E60*$F$20*$F$21</f>
        <v>97200</v>
      </c>
      <c r="H60" s="1074"/>
      <c r="I60" s="1074"/>
      <c r="J60" s="731" t="s">
        <v>117</v>
      </c>
      <c r="K60" s="731"/>
      <c r="L60" s="143">
        <v>132</v>
      </c>
      <c r="M60" s="143">
        <v>9</v>
      </c>
      <c r="O60" s="1074">
        <f>+M60*$F$20*$M$21</f>
        <v>466948.8</v>
      </c>
      <c r="P60" s="1074"/>
      <c r="Q60" s="1074"/>
      <c r="R60" s="1074"/>
      <c r="S60" s="1074"/>
      <c r="T60" s="1074"/>
      <c r="U60" s="1074"/>
      <c r="V60"/>
      <c r="W60" s="640"/>
    </row>
    <row r="61" spans="2:23" s="32" customFormat="1" ht="16.5" customHeight="1">
      <c r="B61" s="463"/>
      <c r="C61" s="466"/>
      <c r="D61" s="141" t="s">
        <v>119</v>
      </c>
      <c r="E61" s="142">
        <v>300</v>
      </c>
      <c r="F61" s="730">
        <v>500</v>
      </c>
      <c r="G61" s="1074">
        <f>+E61*$F$20*$F$21</f>
        <v>97200</v>
      </c>
      <c r="H61" s="1074"/>
      <c r="I61" s="1074"/>
      <c r="J61" s="731" t="s">
        <v>120</v>
      </c>
      <c r="K61" s="731"/>
      <c r="L61" s="143">
        <v>132</v>
      </c>
      <c r="M61" s="143">
        <v>8</v>
      </c>
      <c r="O61" s="1074">
        <f>+M61*$F$20*$M$21</f>
        <v>415065.60000000003</v>
      </c>
      <c r="P61" s="1074"/>
      <c r="Q61" s="1074"/>
      <c r="R61" s="1074"/>
      <c r="S61" s="1074"/>
      <c r="T61" s="1074"/>
      <c r="U61" s="1074"/>
      <c r="V61"/>
      <c r="W61" s="640"/>
    </row>
    <row r="62" spans="1:23" ht="16.5" customHeight="1">
      <c r="A62" s="32"/>
      <c r="B62" s="463"/>
      <c r="C62" s="466"/>
      <c r="D62" s="141" t="s">
        <v>121</v>
      </c>
      <c r="E62" s="142">
        <v>300</v>
      </c>
      <c r="F62" s="730">
        <v>500</v>
      </c>
      <c r="G62" s="1074">
        <f>+E62*$F$20*$F$21</f>
        <v>97200</v>
      </c>
      <c r="H62" s="1074"/>
      <c r="I62" s="1074"/>
      <c r="J62" s="731" t="s">
        <v>122</v>
      </c>
      <c r="K62" s="731"/>
      <c r="L62" s="143">
        <v>132</v>
      </c>
      <c r="M62" s="143">
        <v>5</v>
      </c>
      <c r="O62" s="1073">
        <f>+M62*$F$20*$M$21</f>
        <v>259416</v>
      </c>
      <c r="P62" s="1073"/>
      <c r="Q62" s="1073"/>
      <c r="R62" s="1073"/>
      <c r="S62" s="1073"/>
      <c r="T62" s="1073"/>
      <c r="U62" s="1073"/>
      <c r="W62" s="640"/>
    </row>
    <row r="63" spans="1:23" ht="16.5" customHeight="1">
      <c r="A63" s="32"/>
      <c r="B63" s="463"/>
      <c r="C63" s="466"/>
      <c r="D63" s="141" t="s">
        <v>220</v>
      </c>
      <c r="E63" s="142">
        <v>600</v>
      </c>
      <c r="F63" s="730">
        <v>500</v>
      </c>
      <c r="G63" s="1073">
        <f>+E63*$F$20*$F$21</f>
        <v>194400</v>
      </c>
      <c r="H63" s="1073"/>
      <c r="I63" s="1073"/>
      <c r="M63" s="143"/>
      <c r="O63" s="1074">
        <f>SUM(O59:P62)</f>
        <v>1271132.6400000001</v>
      </c>
      <c r="P63" s="1074"/>
      <c r="Q63" s="1074"/>
      <c r="R63" s="1074"/>
      <c r="S63" s="1074"/>
      <c r="T63" s="1074"/>
      <c r="U63" s="1074"/>
      <c r="W63" s="640"/>
    </row>
    <row r="64" spans="1:23" ht="16.5" customHeight="1">
      <c r="A64" s="32"/>
      <c r="B64" s="463"/>
      <c r="C64" s="466"/>
      <c r="D64" s="141"/>
      <c r="E64" s="142"/>
      <c r="F64" s="730"/>
      <c r="G64" s="1074">
        <f>SUM(G59:G63)</f>
        <v>583200</v>
      </c>
      <c r="H64" s="1074"/>
      <c r="I64" s="1074"/>
      <c r="M64" s="143"/>
      <c r="N64" s="139"/>
      <c r="O64" s="139"/>
      <c r="P64" s="686"/>
      <c r="Q64" s="686"/>
      <c r="R64" s="686"/>
      <c r="S64" s="686"/>
      <c r="W64" s="640"/>
    </row>
    <row r="65" spans="1:23" ht="16.5" customHeight="1">
      <c r="A65" s="32"/>
      <c r="B65" s="463"/>
      <c r="C65" s="466"/>
      <c r="D65" s="141"/>
      <c r="E65" s="142"/>
      <c r="F65" s="730"/>
      <c r="G65" s="1008" t="s">
        <v>410</v>
      </c>
      <c r="H65" s="142" t="s">
        <v>411</v>
      </c>
      <c r="I65" s="1005">
        <v>5176</v>
      </c>
      <c r="J65" s="1005">
        <v>5176</v>
      </c>
      <c r="M65" s="143"/>
      <c r="N65" s="139"/>
      <c r="O65" s="139"/>
      <c r="P65" s="686"/>
      <c r="Q65" s="686"/>
      <c r="R65" s="686"/>
      <c r="S65" s="686"/>
      <c r="W65" s="640"/>
    </row>
    <row r="66" spans="1:23" ht="16.5" customHeight="1">
      <c r="A66" s="32"/>
      <c r="B66" s="463"/>
      <c r="C66" s="466"/>
      <c r="D66" s="141"/>
      <c r="E66" s="142"/>
      <c r="F66" s="730"/>
      <c r="G66" s="1006" t="s">
        <v>412</v>
      </c>
      <c r="H66" s="657"/>
      <c r="I66" s="657"/>
      <c r="J66" s="1007"/>
      <c r="M66" s="143"/>
      <c r="N66" s="139"/>
      <c r="O66" s="139"/>
      <c r="P66" s="686"/>
      <c r="Q66" s="686"/>
      <c r="R66" s="686"/>
      <c r="S66" s="686"/>
      <c r="W66" s="640"/>
    </row>
    <row r="67" spans="1:23" ht="16.5" customHeight="1" thickBot="1">
      <c r="A67" s="32"/>
      <c r="B67" s="463"/>
      <c r="C67" s="466"/>
      <c r="D67" s="643"/>
      <c r="E67" s="657"/>
      <c r="F67" s="657"/>
      <c r="G67" s="549"/>
      <c r="I67" s="646"/>
      <c r="J67" s="644"/>
      <c r="L67" s="645"/>
      <c r="M67" s="646"/>
      <c r="N67" s="647"/>
      <c r="O67" s="648"/>
      <c r="P67" s="648"/>
      <c r="Q67" s="648"/>
      <c r="R67" s="648"/>
      <c r="S67" s="648"/>
      <c r="W67" s="640"/>
    </row>
    <row r="68" spans="1:23" ht="16.5" customHeight="1" thickBot="1" thickTop="1">
      <c r="A68" s="32"/>
      <c r="B68" s="463"/>
      <c r="C68" s="466"/>
      <c r="D68" s="549"/>
      <c r="E68" s="687"/>
      <c r="F68" s="687"/>
      <c r="G68" s="651"/>
      <c r="H68" s="169"/>
      <c r="I68" s="477" t="s">
        <v>42</v>
      </c>
      <c r="J68" s="702">
        <f>+G64+O63+J65</f>
        <v>1859508.6400000001</v>
      </c>
      <c r="L68" s="653"/>
      <c r="M68" s="169"/>
      <c r="N68" s="654"/>
      <c r="O68" s="686"/>
      <c r="P68" s="686"/>
      <c r="Q68" s="686"/>
      <c r="R68" s="686"/>
      <c r="S68" s="686"/>
      <c r="W68" s="640"/>
    </row>
    <row r="69" spans="1:23" ht="16.5" customHeight="1" thickTop="1">
      <c r="A69" s="32"/>
      <c r="B69" s="463"/>
      <c r="C69" s="466"/>
      <c r="D69" s="454"/>
      <c r="E69" s="471"/>
      <c r="F69" s="549"/>
      <c r="G69" s="549"/>
      <c r="H69" s="550"/>
      <c r="J69" s="549"/>
      <c r="L69" s="660"/>
      <c r="M69" s="647"/>
      <c r="N69" s="647"/>
      <c r="O69" s="648"/>
      <c r="P69" s="648"/>
      <c r="Q69" s="648"/>
      <c r="R69" s="648"/>
      <c r="S69" s="648"/>
      <c r="W69" s="640"/>
    </row>
    <row r="70" spans="2:23" ht="16.5" customHeight="1">
      <c r="B70" s="463"/>
      <c r="C70" s="641" t="s">
        <v>105</v>
      </c>
      <c r="D70" s="661" t="s">
        <v>106</v>
      </c>
      <c r="E70" s="549"/>
      <c r="F70" s="662"/>
      <c r="G70" s="548"/>
      <c r="H70" s="454"/>
      <c r="I70" s="454"/>
      <c r="J70" s="454"/>
      <c r="K70" s="549"/>
      <c r="L70" s="549"/>
      <c r="M70" s="454"/>
      <c r="N70" s="549"/>
      <c r="O70" s="454"/>
      <c r="P70" s="454"/>
      <c r="Q70" s="454"/>
      <c r="R70" s="454"/>
      <c r="S70" s="454"/>
      <c r="T70" s="454"/>
      <c r="U70" s="454"/>
      <c r="W70" s="640"/>
    </row>
    <row r="71" spans="2:23" s="32" customFormat="1" ht="16.5" customHeight="1">
      <c r="B71" s="463"/>
      <c r="C71" s="466"/>
      <c r="D71" s="643" t="s">
        <v>107</v>
      </c>
      <c r="E71" s="663">
        <f>10*J54*J25/J68</f>
        <v>4361.977046681213</v>
      </c>
      <c r="G71" s="548"/>
      <c r="L71" s="549"/>
      <c r="N71" s="549"/>
      <c r="O71" s="550"/>
      <c r="V71"/>
      <c r="W71" s="640"/>
    </row>
    <row r="72" spans="2:23" s="32" customFormat="1" ht="12.75" customHeight="1">
      <c r="B72" s="463"/>
      <c r="C72" s="466"/>
      <c r="E72" s="664"/>
      <c r="F72" s="476"/>
      <c r="G72" s="548"/>
      <c r="J72" s="548"/>
      <c r="K72" s="563"/>
      <c r="L72" s="549"/>
      <c r="M72" s="549"/>
      <c r="N72" s="549"/>
      <c r="O72" s="550"/>
      <c r="P72" s="549"/>
      <c r="Q72" s="549"/>
      <c r="R72" s="562"/>
      <c r="S72" s="562"/>
      <c r="T72" s="562"/>
      <c r="U72" s="665"/>
      <c r="V72"/>
      <c r="W72" s="640"/>
    </row>
    <row r="73" spans="2:23" ht="16.5" customHeight="1">
      <c r="B73" s="463"/>
      <c r="C73" s="466"/>
      <c r="D73" s="666" t="s">
        <v>280</v>
      </c>
      <c r="E73" s="667"/>
      <c r="F73" s="476"/>
      <c r="G73" s="548"/>
      <c r="H73" s="454"/>
      <c r="I73" s="454"/>
      <c r="N73" s="549"/>
      <c r="O73" s="550"/>
      <c r="P73" s="549"/>
      <c r="Q73" s="549"/>
      <c r="R73" s="646"/>
      <c r="S73" s="646"/>
      <c r="T73" s="646"/>
      <c r="U73" s="647"/>
      <c r="W73" s="640"/>
    </row>
    <row r="74" spans="2:23" ht="13.5" customHeight="1" thickBot="1">
      <c r="B74" s="463"/>
      <c r="C74" s="466"/>
      <c r="D74" s="666"/>
      <c r="E74" s="667"/>
      <c r="F74" s="476"/>
      <c r="G74" s="548"/>
      <c r="H74" s="454"/>
      <c r="I74" s="454"/>
      <c r="N74" s="549"/>
      <c r="O74" s="550"/>
      <c r="P74" s="549"/>
      <c r="Q74" s="549"/>
      <c r="R74" s="646"/>
      <c r="S74" s="646"/>
      <c r="T74" s="646"/>
      <c r="U74" s="647"/>
      <c r="W74" s="640"/>
    </row>
    <row r="75" spans="2:23" s="668" customFormat="1" ht="21" thickBot="1" thickTop="1">
      <c r="B75" s="669"/>
      <c r="C75" s="670"/>
      <c r="D75" s="671"/>
      <c r="E75" s="672"/>
      <c r="F75" s="673"/>
      <c r="G75" s="674"/>
      <c r="I75" s="675" t="s">
        <v>108</v>
      </c>
      <c r="J75" s="676">
        <f>IF(E71&gt;3*J25,J25*3,E71)</f>
        <v>4361.977046681213</v>
      </c>
      <c r="M75" s="677"/>
      <c r="N75" s="677"/>
      <c r="O75" s="678"/>
      <c r="P75" s="677"/>
      <c r="Q75" s="677"/>
      <c r="R75" s="679"/>
      <c r="S75" s="679"/>
      <c r="T75" s="679"/>
      <c r="U75" s="680"/>
      <c r="V75"/>
      <c r="W75" s="681"/>
    </row>
    <row r="76" spans="2:23" ht="16.5" customHeight="1" thickBot="1" thickTop="1">
      <c r="B76" s="57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192"/>
      <c r="W76" s="682"/>
    </row>
    <row r="77" ht="13.5" thickTop="1"/>
  </sheetData>
  <sheetProtection password="CC12"/>
  <mergeCells count="41">
    <mergeCell ref="E51:F51"/>
    <mergeCell ref="N52:O52"/>
    <mergeCell ref="N51:O51"/>
    <mergeCell ref="N47:O47"/>
    <mergeCell ref="N48:O48"/>
    <mergeCell ref="N49:O49"/>
    <mergeCell ref="N50:O50"/>
    <mergeCell ref="E49:F49"/>
    <mergeCell ref="E50:F50"/>
    <mergeCell ref="N43:O43"/>
    <mergeCell ref="N44:O44"/>
    <mergeCell ref="N45:O45"/>
    <mergeCell ref="N46:O46"/>
    <mergeCell ref="N39:O39"/>
    <mergeCell ref="N40:O40"/>
    <mergeCell ref="N41:O41"/>
    <mergeCell ref="N42:O42"/>
    <mergeCell ref="O59:U59"/>
    <mergeCell ref="E52:F52"/>
    <mergeCell ref="N38:O38"/>
    <mergeCell ref="E38:F38"/>
    <mergeCell ref="E39:F39"/>
    <mergeCell ref="E40:F40"/>
    <mergeCell ref="E41:F41"/>
    <mergeCell ref="E42:F42"/>
    <mergeCell ref="E43:F43"/>
    <mergeCell ref="E44:F44"/>
    <mergeCell ref="O62:U62"/>
    <mergeCell ref="O63:U63"/>
    <mergeCell ref="O60:U60"/>
    <mergeCell ref="O61:U61"/>
    <mergeCell ref="G63:I63"/>
    <mergeCell ref="G64:I64"/>
    <mergeCell ref="G59:I59"/>
    <mergeCell ref="G60:I60"/>
    <mergeCell ref="G61:I61"/>
    <mergeCell ref="G62:I62"/>
    <mergeCell ref="E45:F45"/>
    <mergeCell ref="E46:F46"/>
    <mergeCell ref="E47:F47"/>
    <mergeCell ref="E48:F48"/>
  </mergeCells>
  <printOptions horizontalCentered="1"/>
  <pageMargins left="0.3937007874015748" right="0.1968503937007874" top="0.43" bottom="0.46" header="0.28" footer="0.34"/>
  <pageSetup orientation="landscape" paperSize="9" scale="4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GL114"/>
  <sheetViews>
    <sheetView zoomScale="50" zoomScaleNormal="50" workbookViewId="0" topLeftCell="A7">
      <selection activeCell="B3" sqref="B3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38"/>
      <c r="V1" s="939"/>
    </row>
    <row r="2" spans="2:22" s="18" customFormat="1" ht="26.25">
      <c r="B2" s="395" t="str">
        <f>'TOT-1110'!B2</f>
        <v>ANEXO  VI al Memorandum  D.T.E.E.  N°     381 /2012 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940"/>
    </row>
    <row r="3" spans="1:22" s="25" customFormat="1" ht="11.25">
      <c r="A3" s="23" t="s">
        <v>1</v>
      </c>
      <c r="B3" s="124"/>
      <c r="U3" s="941"/>
      <c r="V3" s="941"/>
    </row>
    <row r="4" spans="1:22" s="25" customFormat="1" ht="11.25">
      <c r="A4" s="23" t="s">
        <v>2</v>
      </c>
      <c r="B4" s="124"/>
      <c r="U4" s="124"/>
      <c r="V4" s="941"/>
    </row>
    <row r="5" spans="21:22" ht="9.75" customHeight="1">
      <c r="U5" s="22"/>
      <c r="V5" s="939"/>
    </row>
    <row r="6" spans="2:178" s="942" customFormat="1" ht="23.25">
      <c r="B6" s="943" t="s">
        <v>396</v>
      </c>
      <c r="C6" s="943"/>
      <c r="D6" s="944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943"/>
      <c r="S6" s="943"/>
      <c r="T6" s="943"/>
      <c r="U6" s="943"/>
      <c r="V6" s="945"/>
      <c r="W6" s="943"/>
      <c r="X6" s="943"/>
      <c r="Y6" s="943"/>
      <c r="Z6" s="943"/>
      <c r="AA6" s="943"/>
      <c r="AB6" s="943"/>
      <c r="AC6" s="943"/>
      <c r="AD6" s="943"/>
      <c r="AE6" s="943"/>
      <c r="AF6" s="943"/>
      <c r="AG6" s="943"/>
      <c r="AH6" s="943"/>
      <c r="AI6" s="943"/>
      <c r="AJ6" s="943"/>
      <c r="AK6" s="943"/>
      <c r="AL6" s="943"/>
      <c r="AM6" s="943"/>
      <c r="AN6" s="943"/>
      <c r="AO6" s="943"/>
      <c r="AP6" s="943"/>
      <c r="AQ6" s="943"/>
      <c r="AR6" s="943"/>
      <c r="AS6" s="943"/>
      <c r="AT6" s="943"/>
      <c r="AU6" s="943"/>
      <c r="AV6" s="943"/>
      <c r="AW6" s="943"/>
      <c r="AX6" s="943"/>
      <c r="AY6" s="943"/>
      <c r="AZ6" s="943"/>
      <c r="BA6" s="943"/>
      <c r="BB6" s="943"/>
      <c r="BC6" s="943"/>
      <c r="BD6" s="943"/>
      <c r="BE6" s="943"/>
      <c r="BF6" s="943"/>
      <c r="BG6" s="943"/>
      <c r="BH6" s="943"/>
      <c r="BI6" s="943"/>
      <c r="BJ6" s="943"/>
      <c r="BK6" s="943"/>
      <c r="BL6" s="943"/>
      <c r="BM6" s="943"/>
      <c r="BN6" s="943"/>
      <c r="BO6" s="943"/>
      <c r="BP6" s="943"/>
      <c r="BQ6" s="943"/>
      <c r="BR6" s="943"/>
      <c r="BS6" s="943"/>
      <c r="BT6" s="943"/>
      <c r="BU6" s="943"/>
      <c r="BV6" s="943"/>
      <c r="BW6" s="943"/>
      <c r="BX6" s="943"/>
      <c r="BY6" s="943"/>
      <c r="BZ6" s="943"/>
      <c r="CA6" s="943"/>
      <c r="CB6" s="943"/>
      <c r="CC6" s="943"/>
      <c r="CD6" s="943"/>
      <c r="CE6" s="943"/>
      <c r="CF6" s="943"/>
      <c r="CG6" s="943"/>
      <c r="CH6" s="943"/>
      <c r="CI6" s="943"/>
      <c r="CJ6" s="943"/>
      <c r="CK6" s="943"/>
      <c r="CL6" s="943"/>
      <c r="CM6" s="943"/>
      <c r="CN6" s="943"/>
      <c r="CO6" s="943"/>
      <c r="CP6" s="943"/>
      <c r="CQ6" s="943"/>
      <c r="CR6" s="943"/>
      <c r="CS6" s="943"/>
      <c r="CT6" s="943"/>
      <c r="CU6" s="943"/>
      <c r="CV6" s="943"/>
      <c r="CW6" s="943"/>
      <c r="CX6" s="943"/>
      <c r="CY6" s="943"/>
      <c r="CZ6" s="943"/>
      <c r="DA6" s="943"/>
      <c r="DB6" s="943"/>
      <c r="DC6" s="943"/>
      <c r="DD6" s="943"/>
      <c r="DE6" s="943"/>
      <c r="DF6" s="943"/>
      <c r="DG6" s="943"/>
      <c r="DH6" s="943"/>
      <c r="DI6" s="943"/>
      <c r="DJ6" s="943"/>
      <c r="DK6" s="943"/>
      <c r="DL6" s="943"/>
      <c r="DM6" s="943"/>
      <c r="DN6" s="943"/>
      <c r="DO6" s="943"/>
      <c r="DP6" s="943"/>
      <c r="DQ6" s="943"/>
      <c r="DR6" s="943"/>
      <c r="DS6" s="943"/>
      <c r="DT6" s="943"/>
      <c r="DU6" s="943"/>
      <c r="DV6" s="943"/>
      <c r="DW6" s="943"/>
      <c r="DX6" s="943"/>
      <c r="DY6" s="943"/>
      <c r="DZ6" s="943"/>
      <c r="EA6" s="943"/>
      <c r="EB6" s="943"/>
      <c r="EC6" s="943"/>
      <c r="ED6" s="943"/>
      <c r="EE6" s="943"/>
      <c r="EF6" s="943"/>
      <c r="EG6" s="943"/>
      <c r="EH6" s="943"/>
      <c r="EI6" s="943"/>
      <c r="EJ6" s="943"/>
      <c r="EK6" s="943"/>
      <c r="EL6" s="943"/>
      <c r="EM6" s="943"/>
      <c r="EN6" s="943"/>
      <c r="EO6" s="943"/>
      <c r="EP6" s="943"/>
      <c r="EQ6" s="943"/>
      <c r="ER6" s="943"/>
      <c r="ES6" s="943"/>
      <c r="ET6" s="943"/>
      <c r="EU6" s="943"/>
      <c r="EV6" s="943"/>
      <c r="EW6" s="943"/>
      <c r="EX6" s="943"/>
      <c r="EY6" s="943"/>
      <c r="EZ6" s="943"/>
      <c r="FA6" s="943"/>
      <c r="FB6" s="943"/>
      <c r="FC6" s="943"/>
      <c r="FD6" s="943"/>
      <c r="FE6" s="943"/>
      <c r="FF6" s="943"/>
      <c r="FG6" s="943"/>
      <c r="FH6" s="943"/>
      <c r="FI6" s="943"/>
      <c r="FJ6" s="943"/>
      <c r="FK6" s="943"/>
      <c r="FL6" s="943"/>
      <c r="FM6" s="943"/>
      <c r="FN6" s="943"/>
      <c r="FO6" s="943"/>
      <c r="FP6" s="943"/>
      <c r="FQ6" s="943"/>
      <c r="FR6" s="943"/>
      <c r="FS6" s="943"/>
      <c r="FT6" s="943"/>
      <c r="FU6" s="943"/>
      <c r="FV6" s="943"/>
    </row>
    <row r="7" spans="2:178" s="32" customFormat="1" ht="9.75" customHeight="1"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861"/>
      <c r="V7" s="861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6"/>
      <c r="BF7" s="656"/>
      <c r="BG7" s="656"/>
      <c r="BH7" s="656"/>
      <c r="BI7" s="656"/>
      <c r="BJ7" s="656"/>
      <c r="BK7" s="656"/>
      <c r="BL7" s="656"/>
      <c r="BM7" s="656"/>
      <c r="BN7" s="656"/>
      <c r="BO7" s="656"/>
      <c r="BP7" s="656"/>
      <c r="BQ7" s="656"/>
      <c r="BR7" s="656"/>
      <c r="BS7" s="656"/>
      <c r="BT7" s="656"/>
      <c r="BU7" s="656"/>
      <c r="BV7" s="656"/>
      <c r="BW7" s="656"/>
      <c r="BX7" s="656"/>
      <c r="BY7" s="656"/>
      <c r="BZ7" s="656"/>
      <c r="CA7" s="656"/>
      <c r="CB7" s="656"/>
      <c r="CC7" s="656"/>
      <c r="CD7" s="656"/>
      <c r="CE7" s="656"/>
      <c r="CF7" s="656"/>
      <c r="CG7" s="656"/>
      <c r="CH7" s="656"/>
      <c r="CI7" s="656"/>
      <c r="CJ7" s="656"/>
      <c r="CK7" s="656"/>
      <c r="CL7" s="656"/>
      <c r="CM7" s="656"/>
      <c r="CN7" s="656"/>
      <c r="CO7" s="656"/>
      <c r="CP7" s="656"/>
      <c r="CQ7" s="656"/>
      <c r="CR7" s="656"/>
      <c r="CS7" s="656"/>
      <c r="CT7" s="656"/>
      <c r="CU7" s="656"/>
      <c r="CV7" s="656"/>
      <c r="CW7" s="656"/>
      <c r="CX7" s="656"/>
      <c r="CY7" s="656"/>
      <c r="CZ7" s="656"/>
      <c r="DA7" s="656"/>
      <c r="DB7" s="656"/>
      <c r="DC7" s="656"/>
      <c r="DD7" s="656"/>
      <c r="DE7" s="656"/>
      <c r="DF7" s="656"/>
      <c r="DG7" s="656"/>
      <c r="DH7" s="656"/>
      <c r="DI7" s="656"/>
      <c r="DJ7" s="656"/>
      <c r="DK7" s="656"/>
      <c r="DL7" s="656"/>
      <c r="DM7" s="656"/>
      <c r="DN7" s="656"/>
      <c r="DO7" s="656"/>
      <c r="DP7" s="656"/>
      <c r="DQ7" s="656"/>
      <c r="DR7" s="656"/>
      <c r="DS7" s="656"/>
      <c r="DT7" s="656"/>
      <c r="DU7" s="656"/>
      <c r="DV7" s="656"/>
      <c r="DW7" s="656"/>
      <c r="DX7" s="656"/>
      <c r="DY7" s="656"/>
      <c r="DZ7" s="656"/>
      <c r="EA7" s="656"/>
      <c r="EB7" s="656"/>
      <c r="EC7" s="656"/>
      <c r="ED7" s="656"/>
      <c r="EE7" s="656"/>
      <c r="EF7" s="656"/>
      <c r="EG7" s="656"/>
      <c r="EH7" s="656"/>
      <c r="EI7" s="656"/>
      <c r="EJ7" s="656"/>
      <c r="EK7" s="656"/>
      <c r="EL7" s="656"/>
      <c r="EM7" s="656"/>
      <c r="EN7" s="656"/>
      <c r="EO7" s="656"/>
      <c r="EP7" s="656"/>
      <c r="EQ7" s="656"/>
      <c r="ER7" s="656"/>
      <c r="ES7" s="656"/>
      <c r="ET7" s="656"/>
      <c r="EU7" s="656"/>
      <c r="EV7" s="656"/>
      <c r="EW7" s="656"/>
      <c r="EX7" s="656"/>
      <c r="EY7" s="656"/>
      <c r="EZ7" s="656"/>
      <c r="FA7" s="656"/>
      <c r="FB7" s="656"/>
      <c r="FC7" s="656"/>
      <c r="FD7" s="656"/>
      <c r="FE7" s="656"/>
      <c r="FF7" s="656"/>
      <c r="FG7" s="656"/>
      <c r="FH7" s="656"/>
      <c r="FI7" s="656"/>
      <c r="FJ7" s="656"/>
      <c r="FK7" s="656"/>
      <c r="FL7" s="656"/>
      <c r="FM7" s="656"/>
      <c r="FN7" s="656"/>
      <c r="FO7" s="656"/>
      <c r="FP7" s="656"/>
      <c r="FQ7" s="656"/>
      <c r="FR7" s="656"/>
      <c r="FS7" s="656"/>
      <c r="FT7" s="656"/>
      <c r="FU7" s="656"/>
      <c r="FV7" s="656"/>
    </row>
    <row r="8" spans="2:178" s="946" customFormat="1" ht="23.25">
      <c r="B8" s="943" t="s">
        <v>60</v>
      </c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7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44"/>
      <c r="AP8" s="944"/>
      <c r="AQ8" s="944"/>
      <c r="AR8" s="944"/>
      <c r="AS8" s="944"/>
      <c r="AT8" s="944"/>
      <c r="AU8" s="944"/>
      <c r="AV8" s="944"/>
      <c r="AW8" s="944"/>
      <c r="AX8" s="944"/>
      <c r="AY8" s="944"/>
      <c r="AZ8" s="944"/>
      <c r="BA8" s="944"/>
      <c r="BB8" s="944"/>
      <c r="BC8" s="944"/>
      <c r="BD8" s="944"/>
      <c r="BE8" s="944"/>
      <c r="BF8" s="944"/>
      <c r="BG8" s="944"/>
      <c r="BH8" s="944"/>
      <c r="BI8" s="944"/>
      <c r="BJ8" s="944"/>
      <c r="BK8" s="944"/>
      <c r="BL8" s="944"/>
      <c r="BM8" s="944"/>
      <c r="BN8" s="944"/>
      <c r="BO8" s="944"/>
      <c r="BP8" s="944"/>
      <c r="BQ8" s="944"/>
      <c r="BR8" s="944"/>
      <c r="BS8" s="944"/>
      <c r="BT8" s="944"/>
      <c r="BU8" s="944"/>
      <c r="BV8" s="944"/>
      <c r="BW8" s="944"/>
      <c r="BX8" s="944"/>
      <c r="BY8" s="944"/>
      <c r="BZ8" s="944"/>
      <c r="CA8" s="944"/>
      <c r="CB8" s="944"/>
      <c r="CC8" s="944"/>
      <c r="CD8" s="944"/>
      <c r="CE8" s="944"/>
      <c r="CF8" s="944"/>
      <c r="CG8" s="944"/>
      <c r="CH8" s="944"/>
      <c r="CI8" s="944"/>
      <c r="CJ8" s="944"/>
      <c r="CK8" s="944"/>
      <c r="CL8" s="944"/>
      <c r="CM8" s="944"/>
      <c r="CN8" s="944"/>
      <c r="CO8" s="944"/>
      <c r="CP8" s="944"/>
      <c r="CQ8" s="944"/>
      <c r="CR8" s="944"/>
      <c r="CS8" s="944"/>
      <c r="CT8" s="944"/>
      <c r="CU8" s="944"/>
      <c r="CV8" s="944"/>
      <c r="CW8" s="944"/>
      <c r="CX8" s="944"/>
      <c r="CY8" s="944"/>
      <c r="CZ8" s="944"/>
      <c r="DA8" s="944"/>
      <c r="DB8" s="944"/>
      <c r="DC8" s="944"/>
      <c r="DD8" s="944"/>
      <c r="DE8" s="944"/>
      <c r="DF8" s="944"/>
      <c r="DG8" s="944"/>
      <c r="DH8" s="944"/>
      <c r="DI8" s="944"/>
      <c r="DJ8" s="944"/>
      <c r="DK8" s="944"/>
      <c r="DL8" s="944"/>
      <c r="DM8" s="944"/>
      <c r="DN8" s="944"/>
      <c r="DO8" s="944"/>
      <c r="DP8" s="944"/>
      <c r="DQ8" s="944"/>
      <c r="DR8" s="944"/>
      <c r="DS8" s="944"/>
      <c r="DT8" s="944"/>
      <c r="DU8" s="944"/>
      <c r="DV8" s="944"/>
      <c r="DW8" s="944"/>
      <c r="DX8" s="944"/>
      <c r="DY8" s="944"/>
      <c r="DZ8" s="944"/>
      <c r="EA8" s="944"/>
      <c r="EB8" s="944"/>
      <c r="EC8" s="944"/>
      <c r="ED8" s="944"/>
      <c r="EE8" s="944"/>
      <c r="EF8" s="944"/>
      <c r="EG8" s="944"/>
      <c r="EH8" s="944"/>
      <c r="EI8" s="944"/>
      <c r="EJ8" s="944"/>
      <c r="EK8" s="944"/>
      <c r="EL8" s="944"/>
      <c r="EM8" s="944"/>
      <c r="EN8" s="944"/>
      <c r="EO8" s="944"/>
      <c r="EP8" s="944"/>
      <c r="EQ8" s="944"/>
      <c r="ER8" s="944"/>
      <c r="ES8" s="944"/>
      <c r="ET8" s="944"/>
      <c r="EU8" s="944"/>
      <c r="EV8" s="944"/>
      <c r="EW8" s="944"/>
      <c r="EX8" s="944"/>
      <c r="EY8" s="944"/>
      <c r="EZ8" s="944"/>
      <c r="FA8" s="944"/>
      <c r="FB8" s="944"/>
      <c r="FC8" s="944"/>
      <c r="FD8" s="944"/>
      <c r="FE8" s="944"/>
      <c r="FF8" s="944"/>
      <c r="FG8" s="944"/>
      <c r="FH8" s="944"/>
      <c r="FI8" s="944"/>
      <c r="FJ8" s="944"/>
      <c r="FK8" s="944"/>
      <c r="FL8" s="944"/>
      <c r="FM8" s="944"/>
      <c r="FN8" s="944"/>
      <c r="FO8" s="944"/>
      <c r="FP8" s="944"/>
      <c r="FQ8" s="944"/>
      <c r="FR8" s="944"/>
      <c r="FS8" s="944"/>
      <c r="FT8" s="944"/>
      <c r="FU8" s="944"/>
      <c r="FV8" s="944"/>
    </row>
    <row r="9" spans="2:178" s="32" customFormat="1" ht="9.75" customHeight="1"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861"/>
      <c r="V9" s="861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  <c r="BA9" s="656"/>
      <c r="BB9" s="656"/>
      <c r="BC9" s="656"/>
      <c r="BD9" s="656"/>
      <c r="BE9" s="656"/>
      <c r="BF9" s="656"/>
      <c r="BG9" s="656"/>
      <c r="BH9" s="656"/>
      <c r="BI9" s="656"/>
      <c r="BJ9" s="656"/>
      <c r="BK9" s="656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6"/>
      <c r="CK9" s="656"/>
      <c r="CL9" s="656"/>
      <c r="CM9" s="656"/>
      <c r="CN9" s="656"/>
      <c r="CO9" s="656"/>
      <c r="CP9" s="656"/>
      <c r="CQ9" s="656"/>
      <c r="CR9" s="656"/>
      <c r="CS9" s="656"/>
      <c r="CT9" s="656"/>
      <c r="CU9" s="656"/>
      <c r="CV9" s="656"/>
      <c r="CW9" s="656"/>
      <c r="CX9" s="656"/>
      <c r="CY9" s="656"/>
      <c r="CZ9" s="656"/>
      <c r="DA9" s="656"/>
      <c r="DB9" s="656"/>
      <c r="DC9" s="656"/>
      <c r="DD9" s="656"/>
      <c r="DE9" s="656"/>
      <c r="DF9" s="656"/>
      <c r="DG9" s="656"/>
      <c r="DH9" s="656"/>
      <c r="DI9" s="656"/>
      <c r="DJ9" s="656"/>
      <c r="DK9" s="656"/>
      <c r="DL9" s="656"/>
      <c r="DM9" s="656"/>
      <c r="DN9" s="656"/>
      <c r="DO9" s="656"/>
      <c r="DP9" s="656"/>
      <c r="DQ9" s="656"/>
      <c r="DR9" s="656"/>
      <c r="DS9" s="656"/>
      <c r="DT9" s="656"/>
      <c r="DU9" s="656"/>
      <c r="DV9" s="656"/>
      <c r="DW9" s="656"/>
      <c r="DX9" s="656"/>
      <c r="DY9" s="656"/>
      <c r="DZ9" s="656"/>
      <c r="EA9" s="656"/>
      <c r="EB9" s="656"/>
      <c r="EC9" s="656"/>
      <c r="ED9" s="656"/>
      <c r="EE9" s="656"/>
      <c r="EF9" s="656"/>
      <c r="EG9" s="656"/>
      <c r="EH9" s="656"/>
      <c r="EI9" s="656"/>
      <c r="EJ9" s="656"/>
      <c r="EK9" s="656"/>
      <c r="EL9" s="656"/>
      <c r="EM9" s="656"/>
      <c r="EN9" s="656"/>
      <c r="EO9" s="656"/>
      <c r="EP9" s="656"/>
      <c r="EQ9" s="656"/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6"/>
      <c r="FF9" s="656"/>
      <c r="FG9" s="656"/>
      <c r="FH9" s="656"/>
      <c r="FI9" s="656"/>
      <c r="FJ9" s="656"/>
      <c r="FK9" s="656"/>
      <c r="FL9" s="656"/>
      <c r="FM9" s="656"/>
      <c r="FN9" s="656"/>
      <c r="FO9" s="656"/>
      <c r="FP9" s="656"/>
      <c r="FQ9" s="656"/>
      <c r="FR9" s="656"/>
      <c r="FS9" s="656"/>
      <c r="FT9" s="656"/>
      <c r="FU9" s="656"/>
      <c r="FV9" s="656"/>
    </row>
    <row r="10" spans="2:178" s="946" customFormat="1" ht="23.25">
      <c r="B10" s="943" t="s">
        <v>397</v>
      </c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7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4"/>
      <c r="AL10" s="944"/>
      <c r="AM10" s="944"/>
      <c r="AN10" s="944"/>
      <c r="AO10" s="944"/>
      <c r="AP10" s="944"/>
      <c r="AQ10" s="944"/>
      <c r="AR10" s="944"/>
      <c r="AS10" s="944"/>
      <c r="AT10" s="944"/>
      <c r="AU10" s="944"/>
      <c r="AV10" s="944"/>
      <c r="AW10" s="944"/>
      <c r="AX10" s="944"/>
      <c r="AY10" s="944"/>
      <c r="AZ10" s="944"/>
      <c r="BA10" s="944"/>
      <c r="BB10" s="944"/>
      <c r="BC10" s="944"/>
      <c r="BD10" s="944"/>
      <c r="BE10" s="944"/>
      <c r="BF10" s="944"/>
      <c r="BG10" s="944"/>
      <c r="BH10" s="944"/>
      <c r="BI10" s="944"/>
      <c r="BJ10" s="944"/>
      <c r="BK10" s="944"/>
      <c r="BL10" s="944"/>
      <c r="BM10" s="944"/>
      <c r="BN10" s="944"/>
      <c r="BO10" s="944"/>
      <c r="BP10" s="944"/>
      <c r="BQ10" s="944"/>
      <c r="BR10" s="944"/>
      <c r="BS10" s="944"/>
      <c r="BT10" s="944"/>
      <c r="BU10" s="944"/>
      <c r="BV10" s="944"/>
      <c r="BW10" s="944"/>
      <c r="BX10" s="944"/>
      <c r="BY10" s="944"/>
      <c r="BZ10" s="944"/>
      <c r="CA10" s="944"/>
      <c r="CB10" s="944"/>
      <c r="CC10" s="944"/>
      <c r="CD10" s="944"/>
      <c r="CE10" s="944"/>
      <c r="CF10" s="944"/>
      <c r="CG10" s="944"/>
      <c r="CH10" s="944"/>
      <c r="CI10" s="944"/>
      <c r="CJ10" s="944"/>
      <c r="CK10" s="944"/>
      <c r="CL10" s="944"/>
      <c r="CM10" s="944"/>
      <c r="CN10" s="944"/>
      <c r="CO10" s="944"/>
      <c r="CP10" s="944"/>
      <c r="CQ10" s="944"/>
      <c r="CR10" s="944"/>
      <c r="CS10" s="944"/>
      <c r="CT10" s="944"/>
      <c r="CU10" s="944"/>
      <c r="CV10" s="944"/>
      <c r="CW10" s="944"/>
      <c r="CX10" s="944"/>
      <c r="CY10" s="944"/>
      <c r="CZ10" s="944"/>
      <c r="DA10" s="944"/>
      <c r="DB10" s="944"/>
      <c r="DC10" s="944"/>
      <c r="DD10" s="944"/>
      <c r="DE10" s="944"/>
      <c r="DF10" s="944"/>
      <c r="DG10" s="944"/>
      <c r="DH10" s="944"/>
      <c r="DI10" s="944"/>
      <c r="DJ10" s="944"/>
      <c r="DK10" s="944"/>
      <c r="DL10" s="944"/>
      <c r="DM10" s="944"/>
      <c r="DN10" s="944"/>
      <c r="DO10" s="944"/>
      <c r="DP10" s="944"/>
      <c r="DQ10" s="944"/>
      <c r="DR10" s="944"/>
      <c r="DS10" s="944"/>
      <c r="DT10" s="944"/>
      <c r="DU10" s="944"/>
      <c r="DV10" s="944"/>
      <c r="DW10" s="944"/>
      <c r="DX10" s="944"/>
      <c r="DY10" s="944"/>
      <c r="DZ10" s="944"/>
      <c r="EA10" s="944"/>
      <c r="EB10" s="944"/>
      <c r="EC10" s="944"/>
      <c r="ED10" s="944"/>
      <c r="EE10" s="944"/>
      <c r="EF10" s="944"/>
      <c r="EG10" s="944"/>
      <c r="EH10" s="944"/>
      <c r="EI10" s="944"/>
      <c r="EJ10" s="944"/>
      <c r="EK10" s="944"/>
      <c r="EL10" s="944"/>
      <c r="EM10" s="944"/>
      <c r="EN10" s="944"/>
      <c r="EO10" s="944"/>
      <c r="EP10" s="944"/>
      <c r="EQ10" s="944"/>
      <c r="ER10" s="944"/>
      <c r="ES10" s="944"/>
      <c r="ET10" s="944"/>
      <c r="EU10" s="944"/>
      <c r="EV10" s="944"/>
      <c r="EW10" s="944"/>
      <c r="EX10" s="944"/>
      <c r="EY10" s="944"/>
      <c r="EZ10" s="944"/>
      <c r="FA10" s="944"/>
      <c r="FB10" s="944"/>
      <c r="FC10" s="944"/>
      <c r="FD10" s="944"/>
      <c r="FE10" s="944"/>
      <c r="FF10" s="944"/>
      <c r="FG10" s="944"/>
      <c r="FH10" s="944"/>
      <c r="FI10" s="944"/>
      <c r="FJ10" s="944"/>
      <c r="FK10" s="944"/>
      <c r="FL10" s="944"/>
      <c r="FM10" s="944"/>
      <c r="FN10" s="944"/>
      <c r="FO10" s="944"/>
      <c r="FP10" s="944"/>
      <c r="FQ10" s="944"/>
      <c r="FR10" s="944"/>
      <c r="FS10" s="944"/>
      <c r="FT10" s="944"/>
      <c r="FU10" s="944"/>
      <c r="FV10" s="944"/>
    </row>
    <row r="11" spans="2:178" s="32" customFormat="1" ht="9.75" customHeight="1" thickBot="1"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861"/>
      <c r="V11" s="861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  <c r="BE11" s="656"/>
      <c r="BF11" s="656"/>
      <c r="BG11" s="656"/>
      <c r="BH11" s="656"/>
      <c r="BI11" s="656"/>
      <c r="BJ11" s="656"/>
      <c r="BK11" s="656"/>
      <c r="BL11" s="656"/>
      <c r="BM11" s="656"/>
      <c r="BN11" s="656"/>
      <c r="BO11" s="656"/>
      <c r="BP11" s="656"/>
      <c r="BQ11" s="656"/>
      <c r="BR11" s="656"/>
      <c r="BS11" s="656"/>
      <c r="BT11" s="656"/>
      <c r="BU11" s="656"/>
      <c r="BV11" s="656"/>
      <c r="BW11" s="656"/>
      <c r="BX11" s="656"/>
      <c r="BY11" s="656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6"/>
      <c r="DI11" s="656"/>
      <c r="DJ11" s="656"/>
      <c r="DK11" s="656"/>
      <c r="DL11" s="656"/>
      <c r="DM11" s="656"/>
      <c r="DN11" s="656"/>
      <c r="DO11" s="656"/>
      <c r="DP11" s="656"/>
      <c r="DQ11" s="656"/>
      <c r="DR11" s="656"/>
      <c r="DS11" s="656"/>
      <c r="DT11" s="656"/>
      <c r="DU11" s="656"/>
      <c r="DV11" s="656"/>
      <c r="DW11" s="656"/>
      <c r="DX11" s="656"/>
      <c r="DY11" s="656"/>
      <c r="DZ11" s="656"/>
      <c r="EA11" s="656"/>
      <c r="EB11" s="656"/>
      <c r="EC11" s="656"/>
      <c r="ED11" s="656"/>
      <c r="EE11" s="656"/>
      <c r="EF11" s="656"/>
      <c r="EG11" s="656"/>
      <c r="EH11" s="656"/>
      <c r="EI11" s="656"/>
      <c r="EJ11" s="656"/>
      <c r="EK11" s="656"/>
      <c r="EL11" s="656"/>
      <c r="EM11" s="656"/>
      <c r="EN11" s="656"/>
      <c r="EO11" s="656"/>
      <c r="EP11" s="656"/>
      <c r="EQ11" s="656"/>
      <c r="ER11" s="656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656"/>
      <c r="FJ11" s="656"/>
      <c r="FK11" s="656"/>
      <c r="FL11" s="656"/>
      <c r="FM11" s="656"/>
      <c r="FN11" s="656"/>
      <c r="FO11" s="656"/>
      <c r="FP11" s="656"/>
      <c r="FQ11" s="656"/>
      <c r="FR11" s="656"/>
      <c r="FS11" s="656"/>
      <c r="FT11" s="656"/>
      <c r="FU11" s="656"/>
      <c r="FV11" s="656"/>
    </row>
    <row r="12" spans="2:177" s="32" customFormat="1" ht="9.75" customHeight="1" thickTop="1">
      <c r="B12" s="948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50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6"/>
      <c r="AP12" s="656"/>
      <c r="AQ12" s="656"/>
      <c r="AR12" s="656"/>
      <c r="AS12" s="656"/>
      <c r="AT12" s="656"/>
      <c r="AU12" s="656"/>
      <c r="AV12" s="656"/>
      <c r="AW12" s="656"/>
      <c r="AX12" s="656"/>
      <c r="AY12" s="656"/>
      <c r="AZ12" s="656"/>
      <c r="BA12" s="656"/>
      <c r="BB12" s="656"/>
      <c r="BC12" s="656"/>
      <c r="BD12" s="656"/>
      <c r="BE12" s="656"/>
      <c r="BF12" s="656"/>
      <c r="BG12" s="656"/>
      <c r="BH12" s="656"/>
      <c r="BI12" s="656"/>
      <c r="BJ12" s="656"/>
      <c r="BK12" s="656"/>
      <c r="BL12" s="656"/>
      <c r="BM12" s="656"/>
      <c r="BN12" s="656"/>
      <c r="BO12" s="656"/>
      <c r="BP12" s="656"/>
      <c r="BQ12" s="656"/>
      <c r="BR12" s="656"/>
      <c r="BS12" s="656"/>
      <c r="BT12" s="656"/>
      <c r="BU12" s="656"/>
      <c r="BV12" s="656"/>
      <c r="BW12" s="656"/>
      <c r="BX12" s="656"/>
      <c r="BY12" s="656"/>
      <c r="BZ12" s="656"/>
      <c r="CA12" s="656"/>
      <c r="CB12" s="656"/>
      <c r="CC12" s="656"/>
      <c r="CD12" s="656"/>
      <c r="CE12" s="656"/>
      <c r="CF12" s="656"/>
      <c r="CG12" s="656"/>
      <c r="CH12" s="656"/>
      <c r="CI12" s="656"/>
      <c r="CJ12" s="656"/>
      <c r="CK12" s="656"/>
      <c r="CL12" s="656"/>
      <c r="CM12" s="656"/>
      <c r="CN12" s="656"/>
      <c r="CO12" s="656"/>
      <c r="CP12" s="656"/>
      <c r="CQ12" s="656"/>
      <c r="CR12" s="656"/>
      <c r="CS12" s="656"/>
      <c r="CT12" s="656"/>
      <c r="CU12" s="656"/>
      <c r="CV12" s="656"/>
      <c r="CW12" s="656"/>
      <c r="CX12" s="656"/>
      <c r="CY12" s="656"/>
      <c r="CZ12" s="656"/>
      <c r="DA12" s="656"/>
      <c r="DB12" s="656"/>
      <c r="DC12" s="656"/>
      <c r="DD12" s="656"/>
      <c r="DE12" s="656"/>
      <c r="DF12" s="656"/>
      <c r="DG12" s="656"/>
      <c r="DH12" s="656"/>
      <c r="DI12" s="656"/>
      <c r="DJ12" s="656"/>
      <c r="DK12" s="656"/>
      <c r="DL12" s="656"/>
      <c r="DM12" s="656"/>
      <c r="DN12" s="656"/>
      <c r="DO12" s="656"/>
      <c r="DP12" s="656"/>
      <c r="DQ12" s="656"/>
      <c r="DR12" s="656"/>
      <c r="DS12" s="656"/>
      <c r="DT12" s="656"/>
      <c r="DU12" s="656"/>
      <c r="DV12" s="656"/>
      <c r="DW12" s="656"/>
      <c r="DX12" s="656"/>
      <c r="DY12" s="656"/>
      <c r="DZ12" s="656"/>
      <c r="EA12" s="656"/>
      <c r="EB12" s="656"/>
      <c r="EC12" s="656"/>
      <c r="ED12" s="656"/>
      <c r="EE12" s="656"/>
      <c r="EF12" s="656"/>
      <c r="EG12" s="656"/>
      <c r="EH12" s="656"/>
      <c r="EI12" s="656"/>
      <c r="EJ12" s="656"/>
      <c r="EK12" s="656"/>
      <c r="EL12" s="656"/>
      <c r="EM12" s="656"/>
      <c r="EN12" s="656"/>
      <c r="EO12" s="656"/>
      <c r="EP12" s="656"/>
      <c r="EQ12" s="656"/>
      <c r="ER12" s="656"/>
      <c r="ES12" s="656"/>
      <c r="ET12" s="656"/>
      <c r="EU12" s="656"/>
      <c r="EV12" s="656"/>
      <c r="EW12" s="656"/>
      <c r="EX12" s="656"/>
      <c r="EY12" s="656"/>
      <c r="EZ12" s="656"/>
      <c r="FA12" s="656"/>
      <c r="FB12" s="656"/>
      <c r="FC12" s="656"/>
      <c r="FD12" s="656"/>
      <c r="FE12" s="656"/>
      <c r="FF12" s="656"/>
      <c r="FG12" s="656"/>
      <c r="FH12" s="656"/>
      <c r="FI12" s="656"/>
      <c r="FJ12" s="656"/>
      <c r="FK12" s="656"/>
      <c r="FL12" s="656"/>
      <c r="FM12" s="656"/>
      <c r="FN12" s="656"/>
      <c r="FO12" s="656"/>
      <c r="FP12" s="656"/>
      <c r="FQ12" s="656"/>
      <c r="FR12" s="656"/>
      <c r="FS12" s="656"/>
      <c r="FT12" s="656"/>
      <c r="FU12" s="656"/>
    </row>
    <row r="13" spans="2:177" s="32" customFormat="1" ht="19.5">
      <c r="B13" s="37" t="s">
        <v>398</v>
      </c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2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656"/>
      <c r="BC13" s="656"/>
      <c r="BD13" s="656"/>
      <c r="BE13" s="656"/>
      <c r="BF13" s="656"/>
      <c r="BG13" s="656"/>
      <c r="BH13" s="656"/>
      <c r="BI13" s="656"/>
      <c r="BJ13" s="656"/>
      <c r="BK13" s="656"/>
      <c r="BL13" s="656"/>
      <c r="BM13" s="656"/>
      <c r="BN13" s="656"/>
      <c r="BO13" s="656"/>
      <c r="BP13" s="656"/>
      <c r="BQ13" s="656"/>
      <c r="BR13" s="656"/>
      <c r="BS13" s="656"/>
      <c r="BT13" s="656"/>
      <c r="BU13" s="656"/>
      <c r="BV13" s="656"/>
      <c r="BW13" s="656"/>
      <c r="BX13" s="656"/>
      <c r="BY13" s="656"/>
      <c r="BZ13" s="656"/>
      <c r="CA13" s="656"/>
      <c r="CB13" s="656"/>
      <c r="CC13" s="656"/>
      <c r="CD13" s="656"/>
      <c r="CE13" s="656"/>
      <c r="CF13" s="656"/>
      <c r="CG13" s="656"/>
      <c r="CH13" s="656"/>
      <c r="CI13" s="656"/>
      <c r="CJ13" s="656"/>
      <c r="CK13" s="656"/>
      <c r="CL13" s="656"/>
      <c r="CM13" s="656"/>
      <c r="CN13" s="656"/>
      <c r="CO13" s="656"/>
      <c r="CP13" s="656"/>
      <c r="CQ13" s="656"/>
      <c r="CR13" s="656"/>
      <c r="CS13" s="656"/>
      <c r="CT13" s="656"/>
      <c r="CU13" s="656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6"/>
      <c r="DG13" s="656"/>
      <c r="DH13" s="656"/>
      <c r="DI13" s="656"/>
      <c r="DJ13" s="656"/>
      <c r="DK13" s="656"/>
      <c r="DL13" s="656"/>
      <c r="DM13" s="656"/>
      <c r="DN13" s="656"/>
      <c r="DO13" s="656"/>
      <c r="DP13" s="656"/>
      <c r="DQ13" s="656"/>
      <c r="DR13" s="656"/>
      <c r="DS13" s="656"/>
      <c r="DT13" s="656"/>
      <c r="DU13" s="656"/>
      <c r="DV13" s="656"/>
      <c r="DW13" s="656"/>
      <c r="DX13" s="656"/>
      <c r="DY13" s="656"/>
      <c r="DZ13" s="656"/>
      <c r="EA13" s="656"/>
      <c r="EB13" s="656"/>
      <c r="EC13" s="656"/>
      <c r="ED13" s="656"/>
      <c r="EE13" s="656"/>
      <c r="EF13" s="656"/>
      <c r="EG13" s="656"/>
      <c r="EH13" s="656"/>
      <c r="EI13" s="656"/>
      <c r="EJ13" s="656"/>
      <c r="EK13" s="656"/>
      <c r="EL13" s="656"/>
      <c r="EM13" s="656"/>
      <c r="EN13" s="656"/>
      <c r="EO13" s="656"/>
      <c r="EP13" s="656"/>
      <c r="EQ13" s="656"/>
      <c r="ER13" s="656"/>
      <c r="ES13" s="656"/>
      <c r="ET13" s="656"/>
      <c r="EU13" s="656"/>
      <c r="EV13" s="656"/>
      <c r="EW13" s="656"/>
      <c r="EX13" s="656"/>
      <c r="EY13" s="656"/>
      <c r="EZ13" s="656"/>
      <c r="FA13" s="656"/>
      <c r="FB13" s="656"/>
      <c r="FC13" s="656"/>
      <c r="FD13" s="656"/>
      <c r="FE13" s="656"/>
      <c r="FF13" s="656"/>
      <c r="FG13" s="656"/>
      <c r="FH13" s="656"/>
      <c r="FI13" s="656"/>
      <c r="FJ13" s="656"/>
      <c r="FK13" s="656"/>
      <c r="FL13" s="656"/>
      <c r="FM13" s="656"/>
      <c r="FN13" s="656"/>
      <c r="FO13" s="656"/>
      <c r="FP13" s="656"/>
      <c r="FQ13" s="656"/>
      <c r="FR13" s="656"/>
      <c r="FS13" s="656"/>
      <c r="FT13" s="656"/>
      <c r="FU13" s="656"/>
    </row>
    <row r="14" spans="2:21" s="32" customFormat="1" ht="9.75" customHeight="1" thickBot="1">
      <c r="B14" s="46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53"/>
    </row>
    <row r="15" spans="2:21" s="954" customFormat="1" ht="33.75" customHeight="1" thickBot="1" thickTop="1">
      <c r="B15" s="955"/>
      <c r="C15" s="84"/>
      <c r="D15" s="84" t="s">
        <v>0</v>
      </c>
      <c r="E15" s="132" t="s">
        <v>13</v>
      </c>
      <c r="F15" s="132" t="s">
        <v>14</v>
      </c>
      <c r="G15" s="956" t="s">
        <v>399</v>
      </c>
      <c r="H15" s="956">
        <v>40118</v>
      </c>
      <c r="I15" s="956">
        <v>40148</v>
      </c>
      <c r="J15" s="956">
        <v>40179</v>
      </c>
      <c r="K15" s="956">
        <v>40210</v>
      </c>
      <c r="L15" s="956">
        <v>40238</v>
      </c>
      <c r="M15" s="956">
        <v>40269</v>
      </c>
      <c r="N15" s="956">
        <v>40299</v>
      </c>
      <c r="O15" s="956">
        <v>40330</v>
      </c>
      <c r="P15" s="956">
        <v>40360</v>
      </c>
      <c r="Q15" s="956">
        <v>40391</v>
      </c>
      <c r="R15" s="956">
        <v>40422</v>
      </c>
      <c r="S15" s="956">
        <v>40452</v>
      </c>
      <c r="T15" s="956">
        <v>40483</v>
      </c>
      <c r="U15" s="957"/>
    </row>
    <row r="16" spans="2:21" s="958" customFormat="1" ht="9.75" customHeight="1" thickTop="1">
      <c r="B16" s="959"/>
      <c r="C16" s="960"/>
      <c r="D16" s="961"/>
      <c r="E16" s="961"/>
      <c r="F16" s="961"/>
      <c r="G16" s="961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3"/>
      <c r="U16" s="964"/>
    </row>
    <row r="17" spans="2:21" s="958" customFormat="1" ht="19.5" customHeight="1">
      <c r="B17" s="959"/>
      <c r="C17" s="965">
        <f>IF('[1]BASE'!C17=0,"",'[1]BASE'!C17)</f>
        <v>1</v>
      </c>
      <c r="D17" s="965" t="str">
        <f>IF('[1]BASE'!D17=0,"",'[1]BASE'!D17)</f>
        <v>ABASTO - OLAVARRIA 1</v>
      </c>
      <c r="E17" s="965">
        <f>IF('[1]BASE'!E17=0,"",'[1]BASE'!E17)</f>
        <v>500</v>
      </c>
      <c r="F17" s="965">
        <f>IF('[1]BASE'!F17=0,"",'[1]BASE'!F17)</f>
        <v>291</v>
      </c>
      <c r="G17" s="966" t="str">
        <f>IF('[1]BASE'!G17=0,"",'[1]BASE'!G17)</f>
        <v>B</v>
      </c>
      <c r="H17" s="967">
        <f>IF('[1]BASE'!GQ17=0,"",'[1]BASE'!GQ17)</f>
      </c>
      <c r="I17" s="967">
        <f>IF('[1]BASE'!GR17=0,"",'[1]BASE'!GR17)</f>
      </c>
      <c r="J17" s="967">
        <f>IF('[1]BASE'!GS17=0,"",'[1]BASE'!GS17)</f>
      </c>
      <c r="K17" s="967">
        <f>IF('[1]BASE'!GT17=0,"",'[1]BASE'!GT17)</f>
      </c>
      <c r="L17" s="967">
        <f>IF('[1]BASE'!GU17=0,"",'[1]BASE'!GU17)</f>
      </c>
      <c r="M17" s="967">
        <f>IF('[1]BASE'!GV17=0,"",'[1]BASE'!GV17)</f>
      </c>
      <c r="N17" s="967">
        <f>IF('[1]BASE'!GW17=0,"",'[1]BASE'!GW17)</f>
      </c>
      <c r="O17" s="967">
        <f>IF('[1]BASE'!GX17=0,"",'[1]BASE'!GX17)</f>
      </c>
      <c r="P17" s="967">
        <f>IF('[1]BASE'!GY17=0,"",'[1]BASE'!GY17)</f>
      </c>
      <c r="Q17" s="967">
        <f>IF('[1]BASE'!GZ17=0,"",'[1]BASE'!GZ17)</f>
      </c>
      <c r="R17" s="967">
        <f>IF('[1]BASE'!HA17=0,"",'[1]BASE'!HA17)</f>
      </c>
      <c r="S17" s="967">
        <f>IF('[1]BASE'!HB17=0,"",'[1]BASE'!HB17)</f>
      </c>
      <c r="T17" s="968"/>
      <c r="U17" s="964"/>
    </row>
    <row r="18" spans="2:21" s="958" customFormat="1" ht="19.5" customHeight="1">
      <c r="B18" s="959"/>
      <c r="C18" s="969">
        <f>IF('[1]BASE'!C18=0,"",'[1]BASE'!C18)</f>
        <v>2</v>
      </c>
      <c r="D18" s="969" t="str">
        <f>IF('[1]BASE'!D18=0,"",'[1]BASE'!D18)</f>
        <v>ABASTO - OLAVARRIA 2</v>
      </c>
      <c r="E18" s="969">
        <f>IF('[1]BASE'!E18=0,"",'[1]BASE'!E18)</f>
        <v>500</v>
      </c>
      <c r="F18" s="969">
        <f>IF('[1]BASE'!F18=0,"",'[1]BASE'!F18)</f>
        <v>301.9</v>
      </c>
      <c r="G18" s="970">
        <f>IF('[1]BASE'!G18=0,"",'[1]BASE'!G18)</f>
      </c>
      <c r="H18" s="967">
        <f>IF('[1]BASE'!GQ18=0,"",'[1]BASE'!GQ18)</f>
      </c>
      <c r="I18" s="967">
        <f>IF('[1]BASE'!GR18=0,"",'[1]BASE'!GR18)</f>
      </c>
      <c r="J18" s="967">
        <f>IF('[1]BASE'!GS18=0,"",'[1]BASE'!GS18)</f>
      </c>
      <c r="K18" s="967">
        <f>IF('[1]BASE'!GT18=0,"",'[1]BASE'!GT18)</f>
      </c>
      <c r="L18" s="967">
        <f>IF('[1]BASE'!GU18=0,"",'[1]BASE'!GU18)</f>
      </c>
      <c r="M18" s="967">
        <f>IF('[1]BASE'!GV18=0,"",'[1]BASE'!GV18)</f>
      </c>
      <c r="N18" s="967">
        <f>IF('[1]BASE'!GW18=0,"",'[1]BASE'!GW18)</f>
      </c>
      <c r="O18" s="967">
        <f>IF('[1]BASE'!GX18=0,"",'[1]BASE'!GX18)</f>
      </c>
      <c r="P18" s="967">
        <f>IF('[1]BASE'!GY18=0,"",'[1]BASE'!GY18)</f>
      </c>
      <c r="Q18" s="967">
        <f>IF('[1]BASE'!GZ18=0,"",'[1]BASE'!GZ18)</f>
      </c>
      <c r="R18" s="967">
        <f>IF('[1]BASE'!HA18=0,"",'[1]BASE'!HA18)</f>
      </c>
      <c r="S18" s="967">
        <f>IF('[1]BASE'!HB18=0,"",'[1]BASE'!HB18)</f>
      </c>
      <c r="T18" s="968"/>
      <c r="U18" s="964"/>
    </row>
    <row r="19" spans="2:21" s="958" customFormat="1" ht="19.5" customHeight="1">
      <c r="B19" s="959"/>
      <c r="C19" s="971">
        <f>IF('[1]BASE'!C19=0,"",'[1]BASE'!C19)</f>
        <v>3</v>
      </c>
      <c r="D19" s="971" t="str">
        <f>IF('[1]BASE'!D19=0,"",'[1]BASE'!D19)</f>
        <v>AGUA DEL CAJON - CHOCON OESTE</v>
      </c>
      <c r="E19" s="971">
        <f>IF('[1]BASE'!E19=0,"",'[1]BASE'!E19)</f>
        <v>500</v>
      </c>
      <c r="F19" s="971">
        <f>IF('[1]BASE'!F19=0,"",'[1]BASE'!F19)</f>
        <v>52</v>
      </c>
      <c r="G19" s="972">
        <f>IF('[1]BASE'!G19=0,"",'[1]BASE'!G19)</f>
      </c>
      <c r="H19" s="967">
        <f>IF('[1]BASE'!GQ19=0,"",'[1]BASE'!GQ19)</f>
      </c>
      <c r="I19" s="967">
        <f>IF('[1]BASE'!GR19=0,"",'[1]BASE'!GR19)</f>
      </c>
      <c r="J19" s="967">
        <f>IF('[1]BASE'!GS19=0,"",'[1]BASE'!GS19)</f>
      </c>
      <c r="K19" s="967">
        <f>IF('[1]BASE'!GT19=0,"",'[1]BASE'!GT19)</f>
      </c>
      <c r="L19" s="967">
        <f>IF('[1]BASE'!GU19=0,"",'[1]BASE'!GU19)</f>
      </c>
      <c r="M19" s="967">
        <f>IF('[1]BASE'!GV19=0,"",'[1]BASE'!GV19)</f>
      </c>
      <c r="N19" s="967">
        <f>IF('[1]BASE'!GW19=0,"",'[1]BASE'!GW19)</f>
      </c>
      <c r="O19" s="967">
        <f>IF('[1]BASE'!GX19=0,"",'[1]BASE'!GX19)</f>
      </c>
      <c r="P19" s="967">
        <f>IF('[1]BASE'!GY19=0,"",'[1]BASE'!GY19)</f>
      </c>
      <c r="Q19" s="967">
        <f>IF('[1]BASE'!GZ19=0,"",'[1]BASE'!GZ19)</f>
      </c>
      <c r="R19" s="967">
        <f>IF('[1]BASE'!HA19=0,"",'[1]BASE'!HA19)</f>
      </c>
      <c r="S19" s="967">
        <f>IF('[1]BASE'!HB19=0,"",'[1]BASE'!HB19)</f>
      </c>
      <c r="T19" s="968"/>
      <c r="U19" s="964"/>
    </row>
    <row r="20" spans="2:21" s="958" customFormat="1" ht="19.5" customHeight="1">
      <c r="B20" s="959"/>
      <c r="C20" s="969">
        <f>IF('[1]BASE'!C20=0,"",'[1]BASE'!C20)</f>
        <v>4</v>
      </c>
      <c r="D20" s="969" t="str">
        <f>IF('[1]BASE'!D20=0,"",'[1]BASE'!D20)</f>
        <v>ALICURA - E.T. P.del A. 1 (5LG1)</v>
      </c>
      <c r="E20" s="969">
        <f>IF('[1]BASE'!E20=0,"",'[1]BASE'!E20)</f>
        <v>500</v>
      </c>
      <c r="F20" s="969">
        <f>IF('[1]BASE'!F20=0,"",'[1]BASE'!F20)</f>
        <v>76</v>
      </c>
      <c r="G20" s="970" t="str">
        <f>IF('[1]BASE'!G20=0,"",'[1]BASE'!G20)</f>
        <v>C</v>
      </c>
      <c r="H20" s="967">
        <f>IF('[1]BASE'!GQ20=0,"",'[1]BASE'!GQ20)</f>
      </c>
      <c r="I20" s="967">
        <f>IF('[1]BASE'!GR20=0,"",'[1]BASE'!GR20)</f>
      </c>
      <c r="J20" s="967">
        <f>IF('[1]BASE'!GS20=0,"",'[1]BASE'!GS20)</f>
      </c>
      <c r="K20" s="967">
        <f>IF('[1]BASE'!GT20=0,"",'[1]BASE'!GT20)</f>
        <v>1</v>
      </c>
      <c r="L20" s="967">
        <f>IF('[1]BASE'!GU20=0,"",'[1]BASE'!GU20)</f>
      </c>
      <c r="M20" s="967">
        <f>IF('[1]BASE'!GV20=0,"",'[1]BASE'!GV20)</f>
      </c>
      <c r="N20" s="967">
        <f>IF('[1]BASE'!GW20=0,"",'[1]BASE'!GW20)</f>
      </c>
      <c r="O20" s="967">
        <f>IF('[1]BASE'!GX20=0,"",'[1]BASE'!GX20)</f>
      </c>
      <c r="P20" s="967">
        <f>IF('[1]BASE'!GY20=0,"",'[1]BASE'!GY20)</f>
      </c>
      <c r="Q20" s="967">
        <f>IF('[1]BASE'!GZ20=0,"",'[1]BASE'!GZ20)</f>
        <v>1</v>
      </c>
      <c r="R20" s="967">
        <f>IF('[1]BASE'!HA20=0,"",'[1]BASE'!HA20)</f>
      </c>
      <c r="S20" s="967">
        <f>IF('[1]BASE'!HB20=0,"",'[1]BASE'!HB20)</f>
      </c>
      <c r="T20" s="968"/>
      <c r="U20" s="964"/>
    </row>
    <row r="21" spans="2:21" s="958" customFormat="1" ht="19.5" customHeight="1">
      <c r="B21" s="959"/>
      <c r="C21" s="971">
        <f>IF('[1]BASE'!C21=0,"",'[1]BASE'!C21)</f>
        <v>5</v>
      </c>
      <c r="D21" s="971" t="str">
        <f>IF('[1]BASE'!D21=0,"",'[1]BASE'!D21)</f>
        <v>ALICURA - E.T. P.del A. 2 (5LG2)</v>
      </c>
      <c r="E21" s="971">
        <f>IF('[1]BASE'!E21=0,"",'[1]BASE'!E21)</f>
        <v>500</v>
      </c>
      <c r="F21" s="971">
        <f>IF('[1]BASE'!F21=0,"",'[1]BASE'!F21)</f>
        <v>76</v>
      </c>
      <c r="G21" s="972" t="str">
        <f>IF('[1]BASE'!G21=0,"",'[1]BASE'!G21)</f>
        <v>C</v>
      </c>
      <c r="H21" s="967">
        <f>IF('[1]BASE'!GQ21=0,"",'[1]BASE'!GQ21)</f>
      </c>
      <c r="I21" s="967">
        <f>IF('[1]BASE'!GR21=0,"",'[1]BASE'!GR21)</f>
      </c>
      <c r="J21" s="967">
        <f>IF('[1]BASE'!GS21=0,"",'[1]BASE'!GS21)</f>
      </c>
      <c r="K21" s="967">
        <f>IF('[1]BASE'!GT21=0,"",'[1]BASE'!GT21)</f>
      </c>
      <c r="L21" s="967">
        <f>IF('[1]BASE'!GU21=0,"",'[1]BASE'!GU21)</f>
      </c>
      <c r="M21" s="967">
        <f>IF('[1]BASE'!GV21=0,"",'[1]BASE'!GV21)</f>
      </c>
      <c r="N21" s="967">
        <f>IF('[1]BASE'!GW21=0,"",'[1]BASE'!GW21)</f>
      </c>
      <c r="O21" s="967">
        <f>IF('[1]BASE'!GX21=0,"",'[1]BASE'!GX21)</f>
      </c>
      <c r="P21" s="967">
        <f>IF('[1]BASE'!GY21=0,"",'[1]BASE'!GY21)</f>
      </c>
      <c r="Q21" s="967">
        <f>IF('[1]BASE'!GZ21=0,"",'[1]BASE'!GZ21)</f>
      </c>
      <c r="R21" s="967">
        <f>IF('[1]BASE'!HA21=0,"",'[1]BASE'!HA21)</f>
      </c>
      <c r="S21" s="967">
        <f>IF('[1]BASE'!HB21=0,"",'[1]BASE'!HB21)</f>
      </c>
      <c r="T21" s="968"/>
      <c r="U21" s="964"/>
    </row>
    <row r="22" spans="2:21" s="958" customFormat="1" ht="19.5" customHeight="1">
      <c r="B22" s="959"/>
      <c r="C22" s="969">
        <f>IF('[1]BASE'!C22=0,"",'[1]BASE'!C22)</f>
        <v>6</v>
      </c>
      <c r="D22" s="969" t="str">
        <f>IF('[1]BASE'!D22=0,"",'[1]BASE'!D22)</f>
        <v>ALMAFUERTE - EMBALSE </v>
      </c>
      <c r="E22" s="969">
        <f>IF('[1]BASE'!E22=0,"",'[1]BASE'!E22)</f>
        <v>500</v>
      </c>
      <c r="F22" s="969">
        <f>IF('[1]BASE'!F22=0,"",'[1]BASE'!F22)</f>
        <v>12</v>
      </c>
      <c r="G22" s="970" t="str">
        <f>IF('[1]BASE'!G22=0,"",'[1]BASE'!G22)</f>
        <v>A</v>
      </c>
      <c r="H22" s="967">
        <f>IF('[1]BASE'!GQ22=0,"",'[1]BASE'!GQ22)</f>
      </c>
      <c r="I22" s="967">
        <f>IF('[1]BASE'!GR22=0,"",'[1]BASE'!GR22)</f>
      </c>
      <c r="J22" s="967">
        <f>IF('[1]BASE'!GS22=0,"",'[1]BASE'!GS22)</f>
      </c>
      <c r="K22" s="967">
        <f>IF('[1]BASE'!GT22=0,"",'[1]BASE'!GT22)</f>
      </c>
      <c r="L22" s="967">
        <f>IF('[1]BASE'!GU22=0,"",'[1]BASE'!GU22)</f>
      </c>
      <c r="M22" s="967">
        <f>IF('[1]BASE'!GV22=0,"",'[1]BASE'!GV22)</f>
      </c>
      <c r="N22" s="967">
        <f>IF('[1]BASE'!GW22=0,"",'[1]BASE'!GW22)</f>
      </c>
      <c r="O22" s="967">
        <f>IF('[1]BASE'!GX22=0,"",'[1]BASE'!GX22)</f>
      </c>
      <c r="P22" s="967">
        <f>IF('[1]BASE'!GY22=0,"",'[1]BASE'!GY22)</f>
      </c>
      <c r="Q22" s="967">
        <f>IF('[1]BASE'!GZ22=0,"",'[1]BASE'!GZ22)</f>
      </c>
      <c r="R22" s="967">
        <f>IF('[1]BASE'!HA22=0,"",'[1]BASE'!HA22)</f>
      </c>
      <c r="S22" s="967">
        <f>IF('[1]BASE'!HB22=0,"",'[1]BASE'!HB22)</f>
      </c>
      <c r="T22" s="968"/>
      <c r="U22" s="964"/>
    </row>
    <row r="23" spans="2:21" s="958" customFormat="1" ht="19.5" customHeight="1">
      <c r="B23" s="959"/>
      <c r="C23" s="971">
        <f>IF('[1]BASE'!C23=0,"",'[1]BASE'!C23)</f>
        <v>7</v>
      </c>
      <c r="D23" s="971" t="str">
        <f>IF('[1]BASE'!D23=0,"",'[1]BASE'!D23)</f>
        <v> ALMAFUERTE - ROSARIO OESTE</v>
      </c>
      <c r="E23" s="971">
        <f>IF('[1]BASE'!E23=0,"",'[1]BASE'!E23)</f>
        <v>500</v>
      </c>
      <c r="F23" s="971">
        <f>IF('[1]BASE'!F23=0,"",'[1]BASE'!F23)</f>
        <v>345</v>
      </c>
      <c r="G23" s="972" t="str">
        <f>IF('[1]BASE'!G23=0,"",'[1]BASE'!G23)</f>
        <v>B</v>
      </c>
      <c r="H23" s="967">
        <f>IF('[1]BASE'!GQ23=0,"",'[1]BASE'!GQ23)</f>
      </c>
      <c r="I23" s="967">
        <f>IF('[1]BASE'!GR23=0,"",'[1]BASE'!GR23)</f>
      </c>
      <c r="J23" s="967">
        <f>IF('[1]BASE'!GS23=0,"",'[1]BASE'!GS23)</f>
      </c>
      <c r="K23" s="967">
        <f>IF('[1]BASE'!GT23=0,"",'[1]BASE'!GT23)</f>
      </c>
      <c r="L23" s="967">
        <f>IF('[1]BASE'!GU23=0,"",'[1]BASE'!GU23)</f>
        <v>1</v>
      </c>
      <c r="M23" s="967">
        <f>IF('[1]BASE'!GV23=0,"",'[1]BASE'!GV23)</f>
      </c>
      <c r="N23" s="967">
        <f>IF('[1]BASE'!GW23=0,"",'[1]BASE'!GW23)</f>
      </c>
      <c r="O23" s="967">
        <f>IF('[1]BASE'!GX23=0,"",'[1]BASE'!GX23)</f>
      </c>
      <c r="P23" s="967">
        <f>IF('[1]BASE'!GY23=0,"",'[1]BASE'!GY23)</f>
      </c>
      <c r="Q23" s="967">
        <f>IF('[1]BASE'!GZ23=0,"",'[1]BASE'!GZ23)</f>
      </c>
      <c r="R23" s="967">
        <f>IF('[1]BASE'!HA23=0,"",'[1]BASE'!HA23)</f>
      </c>
      <c r="S23" s="967">
        <f>IF('[1]BASE'!HB23=0,"",'[1]BASE'!HB23)</f>
      </c>
      <c r="T23" s="968"/>
      <c r="U23" s="964"/>
    </row>
    <row r="24" spans="2:21" s="958" customFormat="1" ht="19.5" customHeight="1">
      <c r="B24" s="959"/>
      <c r="C24" s="969">
        <f>IF('[1]BASE'!C24=0,"",'[1]BASE'!C24)</f>
        <v>8</v>
      </c>
      <c r="D24" s="969" t="str">
        <f>IF('[1]BASE'!D24=0,"",'[1]BASE'!D24)</f>
        <v>BAHIA BLANCA - CHOELE CHOEL 1</v>
      </c>
      <c r="E24" s="969">
        <f>IF('[1]BASE'!E24=0,"",'[1]BASE'!E24)</f>
        <v>500</v>
      </c>
      <c r="F24" s="969">
        <f>IF('[1]BASE'!F24=0,"",'[1]BASE'!F24)</f>
        <v>346</v>
      </c>
      <c r="G24" s="970" t="str">
        <f>IF('[1]BASE'!G24=0,"",'[1]BASE'!G24)</f>
        <v>B</v>
      </c>
      <c r="H24" s="967">
        <f>IF('[1]BASE'!GQ24=0,"",'[1]BASE'!GQ24)</f>
      </c>
      <c r="I24" s="967">
        <f>IF('[1]BASE'!GR24=0,"",'[1]BASE'!GR24)</f>
      </c>
      <c r="J24" s="967">
        <f>IF('[1]BASE'!GS24=0,"",'[1]BASE'!GS24)</f>
      </c>
      <c r="K24" s="967">
        <f>IF('[1]BASE'!GT24=0,"",'[1]BASE'!GT24)</f>
      </c>
      <c r="L24" s="967">
        <f>IF('[1]BASE'!GU24=0,"",'[1]BASE'!GU24)</f>
      </c>
      <c r="M24" s="967">
        <f>IF('[1]BASE'!GV24=0,"",'[1]BASE'!GV24)</f>
      </c>
      <c r="N24" s="967">
        <f>IF('[1]BASE'!GW24=0,"",'[1]BASE'!GW24)</f>
      </c>
      <c r="O24" s="967">
        <f>IF('[1]BASE'!GX24=0,"",'[1]BASE'!GX24)</f>
      </c>
      <c r="P24" s="967">
        <f>IF('[1]BASE'!GY24=0,"",'[1]BASE'!GY24)</f>
      </c>
      <c r="Q24" s="967">
        <f>IF('[1]BASE'!GZ24=0,"",'[1]BASE'!GZ24)</f>
      </c>
      <c r="R24" s="967">
        <f>IF('[1]BASE'!HA24=0,"",'[1]BASE'!HA24)</f>
      </c>
      <c r="S24" s="967">
        <f>IF('[1]BASE'!HB24=0,"",'[1]BASE'!HB24)</f>
      </c>
      <c r="T24" s="968"/>
      <c r="U24" s="964"/>
    </row>
    <row r="25" spans="2:21" s="958" customFormat="1" ht="19.5" customHeight="1">
      <c r="B25" s="959"/>
      <c r="C25" s="971">
        <f>IF('[1]BASE'!C25=0,"",'[1]BASE'!C25)</f>
        <v>9</v>
      </c>
      <c r="D25" s="971" t="str">
        <f>IF('[1]BASE'!D25=0,"",'[1]BASE'!D25)</f>
        <v>BAHIA BLANCA - CHOELE CHOEL 2</v>
      </c>
      <c r="E25" s="971">
        <f>IF('[1]BASE'!E25=0,"",'[1]BASE'!E25)</f>
        <v>500</v>
      </c>
      <c r="F25" s="971">
        <f>IF('[1]BASE'!F25=0,"",'[1]BASE'!F25)</f>
        <v>348.4</v>
      </c>
      <c r="G25" s="972">
        <f>IF('[1]BASE'!G25=0,"",'[1]BASE'!G25)</f>
      </c>
      <c r="H25" s="967">
        <f>IF('[1]BASE'!GQ25=0,"",'[1]BASE'!GQ25)</f>
      </c>
      <c r="I25" s="967">
        <f>IF('[1]BASE'!GR25=0,"",'[1]BASE'!GR25)</f>
      </c>
      <c r="J25" s="967">
        <f>IF('[1]BASE'!GS25=0,"",'[1]BASE'!GS25)</f>
      </c>
      <c r="K25" s="967">
        <f>IF('[1]BASE'!GT25=0,"",'[1]BASE'!GT25)</f>
      </c>
      <c r="L25" s="967">
        <f>IF('[1]BASE'!GU25=0,"",'[1]BASE'!GU25)</f>
      </c>
      <c r="M25" s="967">
        <f>IF('[1]BASE'!GV25=0,"",'[1]BASE'!GV25)</f>
      </c>
      <c r="N25" s="967">
        <f>IF('[1]BASE'!GW25=0,"",'[1]BASE'!GW25)</f>
      </c>
      <c r="O25" s="967">
        <f>IF('[1]BASE'!GX25=0,"",'[1]BASE'!GX25)</f>
      </c>
      <c r="P25" s="967">
        <f>IF('[1]BASE'!GY25=0,"",'[1]BASE'!GY25)</f>
      </c>
      <c r="Q25" s="967">
        <f>IF('[1]BASE'!GZ25=0,"",'[1]BASE'!GZ25)</f>
      </c>
      <c r="R25" s="967">
        <f>IF('[1]BASE'!HA25=0,"",'[1]BASE'!HA25)</f>
      </c>
      <c r="S25" s="967">
        <f>IF('[1]BASE'!HB25=0,"",'[1]BASE'!HB25)</f>
      </c>
      <c r="T25" s="968"/>
      <c r="U25" s="964"/>
    </row>
    <row r="26" spans="2:21" s="958" customFormat="1" ht="19.5" customHeight="1">
      <c r="B26" s="959"/>
      <c r="C26" s="969">
        <f>IF('[1]BASE'!C26=0,"",'[1]BASE'!C26)</f>
        <v>10</v>
      </c>
      <c r="D26" s="969" t="str">
        <f>IF('[1]BASE'!D26=0,"",'[1]BASE'!D26)</f>
        <v>CERR. de la CTA - P.BAND. (A3)</v>
      </c>
      <c r="E26" s="969">
        <f>IF('[1]BASE'!E26=0,"",'[1]BASE'!E26)</f>
        <v>500</v>
      </c>
      <c r="F26" s="969">
        <f>IF('[1]BASE'!F26=0,"",'[1]BASE'!F26)</f>
        <v>27</v>
      </c>
      <c r="G26" s="970" t="str">
        <f>IF('[1]BASE'!G26=0,"",'[1]BASE'!G26)</f>
        <v>C</v>
      </c>
      <c r="H26" s="967">
        <f>IF('[1]BASE'!GQ26=0,"",'[1]BASE'!GQ26)</f>
        <v>1</v>
      </c>
      <c r="I26" s="967">
        <f>IF('[1]BASE'!GR26=0,"",'[1]BASE'!GR26)</f>
      </c>
      <c r="J26" s="967">
        <f>IF('[1]BASE'!GS26=0,"",'[1]BASE'!GS26)</f>
      </c>
      <c r="K26" s="967">
        <f>IF('[1]BASE'!GT26=0,"",'[1]BASE'!GT26)</f>
      </c>
      <c r="L26" s="967">
        <f>IF('[1]BASE'!GU26=0,"",'[1]BASE'!GU26)</f>
      </c>
      <c r="M26" s="967">
        <f>IF('[1]BASE'!GV26=0,"",'[1]BASE'!GV26)</f>
      </c>
      <c r="N26" s="967">
        <f>IF('[1]BASE'!GW26=0,"",'[1]BASE'!GW26)</f>
      </c>
      <c r="O26" s="967">
        <f>IF('[1]BASE'!GX26=0,"",'[1]BASE'!GX26)</f>
      </c>
      <c r="P26" s="967">
        <f>IF('[1]BASE'!GY26=0,"",'[1]BASE'!GY26)</f>
      </c>
      <c r="Q26" s="967">
        <f>IF('[1]BASE'!GZ26=0,"",'[1]BASE'!GZ26)</f>
      </c>
      <c r="R26" s="967">
        <f>IF('[1]BASE'!HA26=0,"",'[1]BASE'!HA26)</f>
      </c>
      <c r="S26" s="967">
        <f>IF('[1]BASE'!HB26=0,"",'[1]BASE'!HB26)</f>
      </c>
      <c r="T26" s="968"/>
      <c r="U26" s="964"/>
    </row>
    <row r="27" spans="2:21" s="958" customFormat="1" ht="19.5" customHeight="1">
      <c r="B27" s="959"/>
      <c r="C27" s="971">
        <f>IF('[1]BASE'!C27=0,"",'[1]BASE'!C27)</f>
        <v>11</v>
      </c>
      <c r="D27" s="971" t="str">
        <f>IF('[1]BASE'!D27=0,"",'[1]BASE'!D27)</f>
        <v>COLONIA ELIA - CAMPANA</v>
      </c>
      <c r="E27" s="971">
        <f>IF('[1]BASE'!E27=0,"",'[1]BASE'!E27)</f>
        <v>500</v>
      </c>
      <c r="F27" s="971">
        <f>IF('[1]BASE'!F27=0,"",'[1]BASE'!F27)</f>
        <v>194</v>
      </c>
      <c r="G27" s="972" t="str">
        <f>IF('[1]BASE'!G27=0,"",'[1]BASE'!G27)</f>
        <v>C</v>
      </c>
      <c r="H27" s="967">
        <f>IF('[1]BASE'!GQ27=0,"",'[1]BASE'!GQ27)</f>
      </c>
      <c r="I27" s="967">
        <f>IF('[1]BASE'!GR27=0,"",'[1]BASE'!GR27)</f>
      </c>
      <c r="J27" s="967">
        <f>IF('[1]BASE'!GS27=0,"",'[1]BASE'!GS27)</f>
        <v>1</v>
      </c>
      <c r="K27" s="967">
        <f>IF('[1]BASE'!GT27=0,"",'[1]BASE'!GT27)</f>
      </c>
      <c r="L27" s="967">
        <f>IF('[1]BASE'!GU27=0,"",'[1]BASE'!GU27)</f>
      </c>
      <c r="M27" s="967">
        <f>IF('[1]BASE'!GV27=0,"",'[1]BASE'!GV27)</f>
      </c>
      <c r="N27" s="967">
        <f>IF('[1]BASE'!GW27=0,"",'[1]BASE'!GW27)</f>
      </c>
      <c r="O27" s="967">
        <f>IF('[1]BASE'!GX27=0,"",'[1]BASE'!GX27)</f>
      </c>
      <c r="P27" s="967">
        <f>IF('[1]BASE'!GY27=0,"",'[1]BASE'!GY27)</f>
      </c>
      <c r="Q27" s="967">
        <f>IF('[1]BASE'!GZ27=0,"",'[1]BASE'!GZ27)</f>
      </c>
      <c r="R27" s="967">
        <f>IF('[1]BASE'!HA27=0,"",'[1]BASE'!HA27)</f>
      </c>
      <c r="S27" s="967">
        <f>IF('[1]BASE'!HB27=0,"",'[1]BASE'!HB27)</f>
      </c>
      <c r="T27" s="968"/>
      <c r="U27" s="964"/>
    </row>
    <row r="28" spans="2:21" s="958" customFormat="1" ht="19.5" customHeight="1">
      <c r="B28" s="959"/>
      <c r="C28" s="969">
        <f>IF('[1]BASE'!C28=0,"",'[1]BASE'!C28)</f>
        <v>12</v>
      </c>
      <c r="D28" s="969" t="str">
        <f>IF('[1]BASE'!D28=0,"",'[1]BASE'!D28)</f>
        <v>CHO. W. - CHOELE CHOEL (5WH1)</v>
      </c>
      <c r="E28" s="969">
        <f>IF('[1]BASE'!E28=0,"",'[1]BASE'!E28)</f>
        <v>500</v>
      </c>
      <c r="F28" s="969">
        <f>IF('[1]BASE'!F28=0,"",'[1]BASE'!F28)</f>
        <v>269</v>
      </c>
      <c r="G28" s="970" t="str">
        <f>IF('[1]BASE'!G28=0,"",'[1]BASE'!G28)</f>
        <v>B</v>
      </c>
      <c r="H28" s="967">
        <f>IF('[1]BASE'!GQ28=0,"",'[1]BASE'!GQ28)</f>
      </c>
      <c r="I28" s="967">
        <f>IF('[1]BASE'!GR28=0,"",'[1]BASE'!GR28)</f>
      </c>
      <c r="J28" s="967">
        <f>IF('[1]BASE'!GS28=0,"",'[1]BASE'!GS28)</f>
      </c>
      <c r="K28" s="967">
        <f>IF('[1]BASE'!GT28=0,"",'[1]BASE'!GT28)</f>
      </c>
      <c r="L28" s="967">
        <f>IF('[1]BASE'!GU28=0,"",'[1]BASE'!GU28)</f>
      </c>
      <c r="M28" s="967">
        <f>IF('[1]BASE'!GV28=0,"",'[1]BASE'!GV28)</f>
        <v>1</v>
      </c>
      <c r="N28" s="967">
        <f>IF('[1]BASE'!GW28=0,"",'[1]BASE'!GW28)</f>
      </c>
      <c r="O28" s="967">
        <f>IF('[1]BASE'!GX28=0,"",'[1]BASE'!GX28)</f>
      </c>
      <c r="P28" s="967">
        <f>IF('[1]BASE'!GY28=0,"",'[1]BASE'!GY28)</f>
      </c>
      <c r="Q28" s="967">
        <f>IF('[1]BASE'!GZ28=0,"",'[1]BASE'!GZ28)</f>
      </c>
      <c r="R28" s="967">
        <f>IF('[1]BASE'!HA28=0,"",'[1]BASE'!HA28)</f>
      </c>
      <c r="S28" s="967">
        <f>IF('[1]BASE'!HB28=0,"",'[1]BASE'!HB28)</f>
      </c>
      <c r="T28" s="968"/>
      <c r="U28" s="964"/>
    </row>
    <row r="29" spans="2:21" s="958" customFormat="1" ht="19.5" customHeight="1">
      <c r="B29" s="959"/>
      <c r="C29" s="971">
        <f>IF('[1]BASE'!C29=0,"",'[1]BASE'!C29)</f>
        <v>13</v>
      </c>
      <c r="D29" s="971" t="str">
        <f>IF('[1]BASE'!D29=0,"",'[1]BASE'!D29)</f>
        <v>CHO.W. - CHO. 1 (5WC1)</v>
      </c>
      <c r="E29" s="971">
        <f>IF('[1]BASE'!E29=0,"",'[1]BASE'!E29)</f>
        <v>500</v>
      </c>
      <c r="F29" s="971">
        <f>IF('[1]BASE'!F29=0,"",'[1]BASE'!F29)</f>
        <v>4.5</v>
      </c>
      <c r="G29" s="972" t="str">
        <f>IF('[1]BASE'!G29=0,"",'[1]BASE'!G29)</f>
        <v>C</v>
      </c>
      <c r="H29" s="967">
        <f>IF('[1]BASE'!GQ29=0,"",'[1]BASE'!GQ29)</f>
      </c>
      <c r="I29" s="967">
        <f>IF('[1]BASE'!GR29=0,"",'[1]BASE'!GR29)</f>
      </c>
      <c r="J29" s="967">
        <f>IF('[1]BASE'!GS29=0,"",'[1]BASE'!GS29)</f>
      </c>
      <c r="K29" s="967">
        <f>IF('[1]BASE'!GT29=0,"",'[1]BASE'!GT29)</f>
      </c>
      <c r="L29" s="967">
        <f>IF('[1]BASE'!GU29=0,"",'[1]BASE'!GU29)</f>
      </c>
      <c r="M29" s="967">
        <f>IF('[1]BASE'!GV29=0,"",'[1]BASE'!GV29)</f>
      </c>
      <c r="N29" s="967">
        <f>IF('[1]BASE'!GW29=0,"",'[1]BASE'!GW29)</f>
      </c>
      <c r="O29" s="967">
        <f>IF('[1]BASE'!GX29=0,"",'[1]BASE'!GX29)</f>
      </c>
      <c r="P29" s="967">
        <f>IF('[1]BASE'!GY29=0,"",'[1]BASE'!GY29)</f>
      </c>
      <c r="Q29" s="967">
        <f>IF('[1]BASE'!GZ29=0,"",'[1]BASE'!GZ29)</f>
      </c>
      <c r="R29" s="967">
        <f>IF('[1]BASE'!HA29=0,"",'[1]BASE'!HA29)</f>
      </c>
      <c r="S29" s="967">
        <f>IF('[1]BASE'!HB29=0,"",'[1]BASE'!HB29)</f>
      </c>
      <c r="T29" s="968"/>
      <c r="U29" s="964"/>
    </row>
    <row r="30" spans="2:21" s="958" customFormat="1" ht="19.5" customHeight="1">
      <c r="B30" s="959"/>
      <c r="C30" s="969">
        <f>IF('[1]BASE'!C30=0,"",'[1]BASE'!C30)</f>
        <v>14</v>
      </c>
      <c r="D30" s="969" t="str">
        <f>IF('[1]BASE'!D30=0,"",'[1]BASE'!D30)</f>
        <v>CHO.W. - CHO. 2 (5WC2)</v>
      </c>
      <c r="E30" s="969">
        <f>IF('[1]BASE'!E30=0,"",'[1]BASE'!E30)</f>
        <v>500</v>
      </c>
      <c r="F30" s="969">
        <f>IF('[1]BASE'!F30=0,"",'[1]BASE'!F30)</f>
        <v>4.5</v>
      </c>
      <c r="G30" s="970" t="str">
        <f>IF('[1]BASE'!G30=0,"",'[1]BASE'!G30)</f>
        <v>C</v>
      </c>
      <c r="H30" s="967">
        <f>IF('[1]BASE'!GQ30=0,"",'[1]BASE'!GQ30)</f>
        <v>1</v>
      </c>
      <c r="I30" s="967">
        <f>IF('[1]BASE'!GR30=0,"",'[1]BASE'!GR30)</f>
      </c>
      <c r="J30" s="967">
        <f>IF('[1]BASE'!GS30=0,"",'[1]BASE'!GS30)</f>
      </c>
      <c r="K30" s="967">
        <f>IF('[1]BASE'!GT30=0,"",'[1]BASE'!GT30)</f>
      </c>
      <c r="L30" s="967">
        <f>IF('[1]BASE'!GU30=0,"",'[1]BASE'!GU30)</f>
      </c>
      <c r="M30" s="967">
        <f>IF('[1]BASE'!GV30=0,"",'[1]BASE'!GV30)</f>
      </c>
      <c r="N30" s="967">
        <f>IF('[1]BASE'!GW30=0,"",'[1]BASE'!GW30)</f>
      </c>
      <c r="O30" s="967">
        <f>IF('[1]BASE'!GX30=0,"",'[1]BASE'!GX30)</f>
      </c>
      <c r="P30" s="967">
        <f>IF('[1]BASE'!GY30=0,"",'[1]BASE'!GY30)</f>
      </c>
      <c r="Q30" s="967">
        <f>IF('[1]BASE'!GZ30=0,"",'[1]BASE'!GZ30)</f>
      </c>
      <c r="R30" s="967">
        <f>IF('[1]BASE'!HA30=0,"",'[1]BASE'!HA30)</f>
      </c>
      <c r="S30" s="967">
        <f>IF('[1]BASE'!HB30=0,"",'[1]BASE'!HB30)</f>
      </c>
      <c r="T30" s="968"/>
      <c r="U30" s="964"/>
    </row>
    <row r="31" spans="2:21" s="958" customFormat="1" ht="19.5" customHeight="1">
      <c r="B31" s="959"/>
      <c r="C31" s="971">
        <f>IF('[1]BASE'!C31=0,"",'[1]BASE'!C31)</f>
        <v>15</v>
      </c>
      <c r="D31" s="971" t="str">
        <f>IF('[1]BASE'!D31=0,"",'[1]BASE'!D31)</f>
        <v>CHOCON - C.H. CHOCON 1</v>
      </c>
      <c r="E31" s="971">
        <f>IF('[1]BASE'!E31=0,"",'[1]BASE'!E31)</f>
        <v>500</v>
      </c>
      <c r="F31" s="971">
        <f>IF('[1]BASE'!F31=0,"",'[1]BASE'!F31)</f>
        <v>3</v>
      </c>
      <c r="G31" s="972" t="str">
        <f>IF('[1]BASE'!G31=0,"",'[1]BASE'!G31)</f>
        <v>C</v>
      </c>
      <c r="H31" s="967">
        <f>IF('[1]BASE'!GQ31=0,"",'[1]BASE'!GQ31)</f>
      </c>
      <c r="I31" s="967">
        <f>IF('[1]BASE'!GR31=0,"",'[1]BASE'!GR31)</f>
      </c>
      <c r="J31" s="967">
        <f>IF('[1]BASE'!GS31=0,"",'[1]BASE'!GS31)</f>
      </c>
      <c r="K31" s="967">
        <f>IF('[1]BASE'!GT31=0,"",'[1]BASE'!GT31)</f>
      </c>
      <c r="L31" s="967">
        <f>IF('[1]BASE'!GU31=0,"",'[1]BASE'!GU31)</f>
      </c>
      <c r="M31" s="967">
        <f>IF('[1]BASE'!GV31=0,"",'[1]BASE'!GV31)</f>
      </c>
      <c r="N31" s="967">
        <f>IF('[1]BASE'!GW31=0,"",'[1]BASE'!GW31)</f>
      </c>
      <c r="O31" s="967">
        <f>IF('[1]BASE'!GX31=0,"",'[1]BASE'!GX31)</f>
      </c>
      <c r="P31" s="967">
        <f>IF('[1]BASE'!GY31=0,"",'[1]BASE'!GY31)</f>
      </c>
      <c r="Q31" s="967">
        <f>IF('[1]BASE'!GZ31=0,"",'[1]BASE'!GZ31)</f>
      </c>
      <c r="R31" s="967">
        <f>IF('[1]BASE'!HA31=0,"",'[1]BASE'!HA31)</f>
      </c>
      <c r="S31" s="967">
        <f>IF('[1]BASE'!HB31=0,"",'[1]BASE'!HB31)</f>
      </c>
      <c r="T31" s="968"/>
      <c r="U31" s="964"/>
    </row>
    <row r="32" spans="2:21" s="958" customFormat="1" ht="19.5" customHeight="1">
      <c r="B32" s="959"/>
      <c r="C32" s="969">
        <f>IF('[1]BASE'!C32=0,"",'[1]BASE'!C32)</f>
        <v>16</v>
      </c>
      <c r="D32" s="969" t="str">
        <f>IF('[1]BASE'!D32=0,"",'[1]BASE'!D32)</f>
        <v>CHOCON - C.H. CHOCON 2</v>
      </c>
      <c r="E32" s="969">
        <f>IF('[1]BASE'!E32=0,"",'[1]BASE'!E32)</f>
        <v>500</v>
      </c>
      <c r="F32" s="969">
        <f>IF('[1]BASE'!F32=0,"",'[1]BASE'!F32)</f>
        <v>3</v>
      </c>
      <c r="G32" s="970" t="str">
        <f>IF('[1]BASE'!G32=0,"",'[1]BASE'!G32)</f>
        <v>C</v>
      </c>
      <c r="H32" s="967">
        <f>IF('[1]BASE'!GQ32=0,"",'[1]BASE'!GQ32)</f>
      </c>
      <c r="I32" s="967">
        <f>IF('[1]BASE'!GR32=0,"",'[1]BASE'!GR32)</f>
      </c>
      <c r="J32" s="967">
        <f>IF('[1]BASE'!GS32=0,"",'[1]BASE'!GS32)</f>
      </c>
      <c r="K32" s="967">
        <f>IF('[1]BASE'!GT32=0,"",'[1]BASE'!GT32)</f>
      </c>
      <c r="L32" s="967">
        <f>IF('[1]BASE'!GU32=0,"",'[1]BASE'!GU32)</f>
      </c>
      <c r="M32" s="967">
        <f>IF('[1]BASE'!GV32=0,"",'[1]BASE'!GV32)</f>
      </c>
      <c r="N32" s="967">
        <f>IF('[1]BASE'!GW32=0,"",'[1]BASE'!GW32)</f>
      </c>
      <c r="O32" s="967">
        <f>IF('[1]BASE'!GX32=0,"",'[1]BASE'!GX32)</f>
      </c>
      <c r="P32" s="967">
        <f>IF('[1]BASE'!GY32=0,"",'[1]BASE'!GY32)</f>
      </c>
      <c r="Q32" s="967">
        <f>IF('[1]BASE'!GZ32=0,"",'[1]BASE'!GZ32)</f>
      </c>
      <c r="R32" s="967">
        <f>IF('[1]BASE'!HA32=0,"",'[1]BASE'!HA32)</f>
      </c>
      <c r="S32" s="967">
        <f>IF('[1]BASE'!HB32=0,"",'[1]BASE'!HB32)</f>
      </c>
      <c r="T32" s="968"/>
      <c r="U32" s="964"/>
    </row>
    <row r="33" spans="2:21" s="958" customFormat="1" ht="19.5" customHeight="1">
      <c r="B33" s="959"/>
      <c r="C33" s="971">
        <f>IF('[1]BASE'!C33=0,"",'[1]BASE'!C33)</f>
        <v>17</v>
      </c>
      <c r="D33" s="971" t="str">
        <f>IF('[1]BASE'!D33=0,"",'[1]BASE'!D33)</f>
        <v>CHOCON - C.H. CHOCON 3</v>
      </c>
      <c r="E33" s="971">
        <f>IF('[1]BASE'!E33=0,"",'[1]BASE'!E33)</f>
        <v>500</v>
      </c>
      <c r="F33" s="971">
        <f>IF('[1]BASE'!F33=0,"",'[1]BASE'!F33)</f>
        <v>3</v>
      </c>
      <c r="G33" s="972" t="str">
        <f>IF('[1]BASE'!G33=0,"",'[1]BASE'!G33)</f>
        <v>C</v>
      </c>
      <c r="H33" s="967">
        <f>IF('[1]BASE'!GQ33=0,"",'[1]BASE'!GQ33)</f>
      </c>
      <c r="I33" s="967">
        <f>IF('[1]BASE'!GR33=0,"",'[1]BASE'!GR33)</f>
      </c>
      <c r="J33" s="967">
        <f>IF('[1]BASE'!GS33=0,"",'[1]BASE'!GS33)</f>
      </c>
      <c r="K33" s="967">
        <f>IF('[1]BASE'!GT33=0,"",'[1]BASE'!GT33)</f>
      </c>
      <c r="L33" s="967">
        <f>IF('[1]BASE'!GU33=0,"",'[1]BASE'!GU33)</f>
      </c>
      <c r="M33" s="967">
        <f>IF('[1]BASE'!GV33=0,"",'[1]BASE'!GV33)</f>
      </c>
      <c r="N33" s="967">
        <f>IF('[1]BASE'!GW33=0,"",'[1]BASE'!GW33)</f>
      </c>
      <c r="O33" s="967">
        <f>IF('[1]BASE'!GX33=0,"",'[1]BASE'!GX33)</f>
      </c>
      <c r="P33" s="967">
        <f>IF('[1]BASE'!GY33=0,"",'[1]BASE'!GY33)</f>
      </c>
      <c r="Q33" s="967">
        <f>IF('[1]BASE'!GZ33=0,"",'[1]BASE'!GZ33)</f>
      </c>
      <c r="R33" s="967">
        <f>IF('[1]BASE'!HA33=0,"",'[1]BASE'!HA33)</f>
      </c>
      <c r="S33" s="967">
        <f>IF('[1]BASE'!HB33=0,"",'[1]BASE'!HB33)</f>
      </c>
      <c r="T33" s="968"/>
      <c r="U33" s="964"/>
    </row>
    <row r="34" spans="2:21" s="958" customFormat="1" ht="19.5" customHeight="1">
      <c r="B34" s="959"/>
      <c r="C34" s="969">
        <f>IF('[1]BASE'!C34=0,"",'[1]BASE'!C34)</f>
        <v>18</v>
      </c>
      <c r="D34" s="969" t="str">
        <f>IF('[1]BASE'!D34=0,"",'[1]BASE'!D34)</f>
        <v>CHOCON - PUELCHES 1</v>
      </c>
      <c r="E34" s="969">
        <f>IF('[1]BASE'!E34=0,"",'[1]BASE'!E34)</f>
        <v>500</v>
      </c>
      <c r="F34" s="969">
        <f>IF('[1]BASE'!F34=0,"",'[1]BASE'!F34)</f>
        <v>304</v>
      </c>
      <c r="G34" s="970" t="str">
        <f>IF('[1]BASE'!G34=0,"",'[1]BASE'!G34)</f>
        <v>A</v>
      </c>
      <c r="H34" s="967">
        <f>IF('[1]BASE'!GQ34=0,"",'[1]BASE'!GQ34)</f>
      </c>
      <c r="I34" s="967">
        <f>IF('[1]BASE'!GR34=0,"",'[1]BASE'!GR34)</f>
      </c>
      <c r="J34" s="967">
        <f>IF('[1]BASE'!GS34=0,"",'[1]BASE'!GS34)</f>
      </c>
      <c r="K34" s="967">
        <f>IF('[1]BASE'!GT34=0,"",'[1]BASE'!GT34)</f>
      </c>
      <c r="L34" s="967">
        <f>IF('[1]BASE'!GU34=0,"",'[1]BASE'!GU34)</f>
      </c>
      <c r="M34" s="967">
        <f>IF('[1]BASE'!GV34=0,"",'[1]BASE'!GV34)</f>
      </c>
      <c r="N34" s="967">
        <f>IF('[1]BASE'!GW34=0,"",'[1]BASE'!GW34)</f>
      </c>
      <c r="O34" s="967">
        <f>IF('[1]BASE'!GX34=0,"",'[1]BASE'!GX34)</f>
      </c>
      <c r="P34" s="967">
        <f>IF('[1]BASE'!GY34=0,"",'[1]BASE'!GY34)</f>
      </c>
      <c r="Q34" s="967">
        <f>IF('[1]BASE'!GZ34=0,"",'[1]BASE'!GZ34)</f>
      </c>
      <c r="R34" s="967">
        <f>IF('[1]BASE'!HA34=0,"",'[1]BASE'!HA34)</f>
      </c>
      <c r="S34" s="967">
        <f>IF('[1]BASE'!HB34=0,"",'[1]BASE'!HB34)</f>
      </c>
      <c r="T34" s="968"/>
      <c r="U34" s="964"/>
    </row>
    <row r="35" spans="2:21" s="958" customFormat="1" ht="19.5" customHeight="1">
      <c r="B35" s="959"/>
      <c r="C35" s="971">
        <f>IF('[1]BASE'!C35=0,"",'[1]BASE'!C35)</f>
        <v>19</v>
      </c>
      <c r="D35" s="971" t="str">
        <f>IF('[1]BASE'!D35=0,"",'[1]BASE'!D35)</f>
        <v>CHOCON - PUELCHES 2</v>
      </c>
      <c r="E35" s="971">
        <f>IF('[1]BASE'!E35=0,"",'[1]BASE'!E35)</f>
        <v>500</v>
      </c>
      <c r="F35" s="971">
        <f>IF('[1]BASE'!F35=0,"",'[1]BASE'!F35)</f>
        <v>304</v>
      </c>
      <c r="G35" s="972" t="str">
        <f>IF('[1]BASE'!G35=0,"",'[1]BASE'!G35)</f>
        <v>A</v>
      </c>
      <c r="H35" s="967">
        <f>IF('[1]BASE'!GQ35=0,"",'[1]BASE'!GQ35)</f>
      </c>
      <c r="I35" s="967">
        <f>IF('[1]BASE'!GR35=0,"",'[1]BASE'!GR35)</f>
      </c>
      <c r="J35" s="967">
        <f>IF('[1]BASE'!GS35=0,"",'[1]BASE'!GS35)</f>
      </c>
      <c r="K35" s="967">
        <f>IF('[1]BASE'!GT35=0,"",'[1]BASE'!GT35)</f>
      </c>
      <c r="L35" s="967">
        <f>IF('[1]BASE'!GU35=0,"",'[1]BASE'!GU35)</f>
      </c>
      <c r="M35" s="967">
        <f>IF('[1]BASE'!GV35=0,"",'[1]BASE'!GV35)</f>
      </c>
      <c r="N35" s="967">
        <f>IF('[1]BASE'!GW35=0,"",'[1]BASE'!GW35)</f>
      </c>
      <c r="O35" s="967">
        <f>IF('[1]BASE'!GX35=0,"",'[1]BASE'!GX35)</f>
      </c>
      <c r="P35" s="967">
        <f>IF('[1]BASE'!GY35=0,"",'[1]BASE'!GY35)</f>
      </c>
      <c r="Q35" s="967">
        <f>IF('[1]BASE'!GZ35=0,"",'[1]BASE'!GZ35)</f>
      </c>
      <c r="R35" s="967">
        <f>IF('[1]BASE'!HA35=0,"",'[1]BASE'!HA35)</f>
      </c>
      <c r="S35" s="967">
        <f>IF('[1]BASE'!HB35=0,"",'[1]BASE'!HB35)</f>
      </c>
      <c r="T35" s="968"/>
      <c r="U35" s="964"/>
    </row>
    <row r="36" spans="2:21" s="958" customFormat="1" ht="19.5" customHeight="1">
      <c r="B36" s="959"/>
      <c r="C36" s="969">
        <f>IF('[1]BASE'!C36=0,"",'[1]BASE'!C36)</f>
        <v>20</v>
      </c>
      <c r="D36" s="969" t="str">
        <f>IF('[1]BASE'!D36=0,"",'[1]BASE'!D36)</f>
        <v>E.T.P.del AGUILA - CENTRAL P.del A. 1</v>
      </c>
      <c r="E36" s="969">
        <f>IF('[1]BASE'!E36=0,"",'[1]BASE'!E36)</f>
        <v>500</v>
      </c>
      <c r="F36" s="969">
        <f>IF('[1]BASE'!F36=0,"",'[1]BASE'!F36)</f>
        <v>5.6</v>
      </c>
      <c r="G36" s="970" t="str">
        <f>IF('[1]BASE'!G36=0,"",'[1]BASE'!G36)</f>
        <v>C</v>
      </c>
      <c r="H36" s="967">
        <f>IF('[1]BASE'!GQ36=0,"",'[1]BASE'!GQ36)</f>
      </c>
      <c r="I36" s="967">
        <f>IF('[1]BASE'!GR36=0,"",'[1]BASE'!GR36)</f>
      </c>
      <c r="J36" s="967">
        <f>IF('[1]BASE'!GS36=0,"",'[1]BASE'!GS36)</f>
      </c>
      <c r="K36" s="967">
        <f>IF('[1]BASE'!GT36=0,"",'[1]BASE'!GT36)</f>
      </c>
      <c r="L36" s="967">
        <f>IF('[1]BASE'!GU36=0,"",'[1]BASE'!GU36)</f>
      </c>
      <c r="M36" s="967">
        <f>IF('[1]BASE'!GV36=0,"",'[1]BASE'!GV36)</f>
      </c>
      <c r="N36" s="967">
        <f>IF('[1]BASE'!GW36=0,"",'[1]BASE'!GW36)</f>
      </c>
      <c r="O36" s="967">
        <f>IF('[1]BASE'!GX36=0,"",'[1]BASE'!GX36)</f>
      </c>
      <c r="P36" s="967">
        <f>IF('[1]BASE'!GY36=0,"",'[1]BASE'!GY36)</f>
      </c>
      <c r="Q36" s="967">
        <f>IF('[1]BASE'!GZ36=0,"",'[1]BASE'!GZ36)</f>
      </c>
      <c r="R36" s="967">
        <f>IF('[1]BASE'!HA36=0,"",'[1]BASE'!HA36)</f>
      </c>
      <c r="S36" s="967">
        <f>IF('[1]BASE'!HB36=0,"",'[1]BASE'!HB36)</f>
      </c>
      <c r="T36" s="968"/>
      <c r="U36" s="964"/>
    </row>
    <row r="37" spans="2:21" s="958" customFormat="1" ht="19.5" customHeight="1">
      <c r="B37" s="959"/>
      <c r="C37" s="971">
        <f>IF('[1]BASE'!C37=0,"",'[1]BASE'!C37)</f>
        <v>21</v>
      </c>
      <c r="D37" s="971" t="str">
        <f>IF('[1]BASE'!D37=0,"",'[1]BASE'!D37)</f>
        <v>E.T.P.del AGUILA - CENTRAL P.del A. 2</v>
      </c>
      <c r="E37" s="971">
        <f>IF('[1]BASE'!E37=0,"",'[1]BASE'!E37)</f>
        <v>500</v>
      </c>
      <c r="F37" s="971">
        <f>IF('[1]BASE'!F37=0,"",'[1]BASE'!F37)</f>
        <v>5.6</v>
      </c>
      <c r="G37" s="972" t="str">
        <f>IF('[1]BASE'!G37=0,"",'[1]BASE'!G37)</f>
        <v>C</v>
      </c>
      <c r="H37" s="967">
        <f>IF('[1]BASE'!GQ37=0,"",'[1]BASE'!GQ37)</f>
      </c>
      <c r="I37" s="967">
        <f>IF('[1]BASE'!GR37=0,"",'[1]BASE'!GR37)</f>
      </c>
      <c r="J37" s="967">
        <f>IF('[1]BASE'!GS37=0,"",'[1]BASE'!GS37)</f>
      </c>
      <c r="K37" s="967">
        <f>IF('[1]BASE'!GT37=0,"",'[1]BASE'!GT37)</f>
      </c>
      <c r="L37" s="967">
        <f>IF('[1]BASE'!GU37=0,"",'[1]BASE'!GU37)</f>
      </c>
      <c r="M37" s="967">
        <f>IF('[1]BASE'!GV37=0,"",'[1]BASE'!GV37)</f>
      </c>
      <c r="N37" s="967">
        <f>IF('[1]BASE'!GW37=0,"",'[1]BASE'!GW37)</f>
      </c>
      <c r="O37" s="967">
        <f>IF('[1]BASE'!GX37=0,"",'[1]BASE'!GX37)</f>
      </c>
      <c r="P37" s="967">
        <f>IF('[1]BASE'!GY37=0,"",'[1]BASE'!GY37)</f>
      </c>
      <c r="Q37" s="967">
        <f>IF('[1]BASE'!GZ37=0,"",'[1]BASE'!GZ37)</f>
      </c>
      <c r="R37" s="967">
        <f>IF('[1]BASE'!HA37=0,"",'[1]BASE'!HA37)</f>
      </c>
      <c r="S37" s="967">
        <f>IF('[1]BASE'!HB37=0,"",'[1]BASE'!HB37)</f>
      </c>
      <c r="T37" s="968"/>
      <c r="U37" s="964"/>
    </row>
    <row r="38" spans="2:21" s="958" customFormat="1" ht="19.5" customHeight="1">
      <c r="B38" s="959"/>
      <c r="C38" s="969">
        <f>IF('[1]BASE'!C38=0,"",'[1]BASE'!C38)</f>
        <v>22</v>
      </c>
      <c r="D38" s="969" t="str">
        <f>IF('[1]BASE'!D38=0,"",'[1]BASE'!D38)</f>
        <v>EL BRACHO - RECREO(5)</v>
      </c>
      <c r="E38" s="969">
        <f>IF('[1]BASE'!E38=0,"",'[1]BASE'!E38)</f>
        <v>500</v>
      </c>
      <c r="F38" s="969">
        <f>IF('[1]BASE'!F38=0,"",'[1]BASE'!F38)</f>
        <v>255</v>
      </c>
      <c r="G38" s="970" t="str">
        <f>IF('[1]BASE'!G38=0,"",'[1]BASE'!G38)</f>
        <v>C</v>
      </c>
      <c r="H38" s="967">
        <f>IF('[1]BASE'!GQ38=0,"",'[1]BASE'!GQ38)</f>
      </c>
      <c r="I38" s="967">
        <f>IF('[1]BASE'!GR38=0,"",'[1]BASE'!GR38)</f>
      </c>
      <c r="J38" s="967">
        <f>IF('[1]BASE'!GS38=0,"",'[1]BASE'!GS38)</f>
      </c>
      <c r="K38" s="967">
        <f>IF('[1]BASE'!GT38=0,"",'[1]BASE'!GT38)</f>
      </c>
      <c r="L38" s="967">
        <f>IF('[1]BASE'!GU38=0,"",'[1]BASE'!GU38)</f>
      </c>
      <c r="M38" s="967">
        <f>IF('[1]BASE'!GV38=0,"",'[1]BASE'!GV38)</f>
      </c>
      <c r="N38" s="967">
        <f>IF('[1]BASE'!GW38=0,"",'[1]BASE'!GW38)</f>
      </c>
      <c r="O38" s="967">
        <f>IF('[1]BASE'!GX38=0,"",'[1]BASE'!GX38)</f>
      </c>
      <c r="P38" s="967">
        <f>IF('[1]BASE'!GY38=0,"",'[1]BASE'!GY38)</f>
      </c>
      <c r="Q38" s="967">
        <f>IF('[1]BASE'!GZ38=0,"",'[1]BASE'!GZ38)</f>
      </c>
      <c r="R38" s="967">
        <f>IF('[1]BASE'!HA38=0,"",'[1]BASE'!HA38)</f>
      </c>
      <c r="S38" s="967">
        <f>IF('[1]BASE'!HB38=0,"",'[1]BASE'!HB38)</f>
      </c>
      <c r="T38" s="968"/>
      <c r="U38" s="964"/>
    </row>
    <row r="39" spans="2:21" s="958" customFormat="1" ht="19.5" customHeight="1">
      <c r="B39" s="959"/>
      <c r="C39" s="971">
        <f>IF('[1]BASE'!C39=0,"",'[1]BASE'!C39)</f>
        <v>23</v>
      </c>
      <c r="D39" s="971" t="str">
        <f>IF('[1]BASE'!D39=0,"",'[1]BASE'!D39)</f>
        <v>EZEIZA - ABASTO 1</v>
      </c>
      <c r="E39" s="971">
        <f>IF('[1]BASE'!E39=0,"",'[1]BASE'!E39)</f>
        <v>500</v>
      </c>
      <c r="F39" s="971">
        <f>IF('[1]BASE'!F39=0,"",'[1]BASE'!F39)</f>
        <v>58</v>
      </c>
      <c r="G39" s="972" t="str">
        <f>IF('[1]BASE'!G39=0,"",'[1]BASE'!G39)</f>
        <v>C</v>
      </c>
      <c r="H39" s="967">
        <f>IF('[1]BASE'!GQ39=0,"",'[1]BASE'!GQ39)</f>
      </c>
      <c r="I39" s="967">
        <f>IF('[1]BASE'!GR39=0,"",'[1]BASE'!GR39)</f>
      </c>
      <c r="J39" s="967">
        <f>IF('[1]BASE'!GS39=0,"",'[1]BASE'!GS39)</f>
      </c>
      <c r="K39" s="967">
        <f>IF('[1]BASE'!GT39=0,"",'[1]BASE'!GT39)</f>
      </c>
      <c r="L39" s="967">
        <f>IF('[1]BASE'!GU39=0,"",'[1]BASE'!GU39)</f>
      </c>
      <c r="M39" s="967">
        <f>IF('[1]BASE'!GV39=0,"",'[1]BASE'!GV39)</f>
      </c>
      <c r="N39" s="967">
        <f>IF('[1]BASE'!GW39=0,"",'[1]BASE'!GW39)</f>
      </c>
      <c r="O39" s="967">
        <f>IF('[1]BASE'!GX39=0,"",'[1]BASE'!GX39)</f>
      </c>
      <c r="P39" s="967">
        <f>IF('[1]BASE'!GY39=0,"",'[1]BASE'!GY39)</f>
      </c>
      <c r="Q39" s="967">
        <f>IF('[1]BASE'!GZ39=0,"",'[1]BASE'!GZ39)</f>
      </c>
      <c r="R39" s="967">
        <f>IF('[1]BASE'!HA39=0,"",'[1]BASE'!HA39)</f>
      </c>
      <c r="S39" s="967">
        <f>IF('[1]BASE'!HB39=0,"",'[1]BASE'!HB39)</f>
      </c>
      <c r="T39" s="968"/>
      <c r="U39" s="964"/>
    </row>
    <row r="40" spans="2:21" s="958" customFormat="1" ht="19.5" customHeight="1">
      <c r="B40" s="959"/>
      <c r="C40" s="969">
        <f>IF('[1]BASE'!C40=0,"",'[1]BASE'!C40)</f>
        <v>24</v>
      </c>
      <c r="D40" s="969" t="str">
        <f>IF('[1]BASE'!D40=0,"",'[1]BASE'!D40)</f>
        <v>EZEIZA - ABASTO 2</v>
      </c>
      <c r="E40" s="969">
        <f>IF('[1]BASE'!E40=0,"",'[1]BASE'!E40)</f>
        <v>500</v>
      </c>
      <c r="F40" s="969">
        <f>IF('[1]BASE'!F40=0,"",'[1]BASE'!F40)</f>
        <v>58</v>
      </c>
      <c r="G40" s="970" t="str">
        <f>IF('[1]BASE'!G40=0,"",'[1]BASE'!G40)</f>
        <v>C</v>
      </c>
      <c r="H40" s="967">
        <f>IF('[1]BASE'!GQ40=0,"",'[1]BASE'!GQ40)</f>
      </c>
      <c r="I40" s="967">
        <f>IF('[1]BASE'!GR40=0,"",'[1]BASE'!GR40)</f>
      </c>
      <c r="J40" s="967">
        <f>IF('[1]BASE'!GS40=0,"",'[1]BASE'!GS40)</f>
      </c>
      <c r="K40" s="967">
        <f>IF('[1]BASE'!GT40=0,"",'[1]BASE'!GT40)</f>
      </c>
      <c r="L40" s="967">
        <f>IF('[1]BASE'!GU40=0,"",'[1]BASE'!GU40)</f>
      </c>
      <c r="M40" s="967">
        <f>IF('[1]BASE'!GV40=0,"",'[1]BASE'!GV40)</f>
      </c>
      <c r="N40" s="967">
        <f>IF('[1]BASE'!GW40=0,"",'[1]BASE'!GW40)</f>
      </c>
      <c r="O40" s="967">
        <f>IF('[1]BASE'!GX40=0,"",'[1]BASE'!GX40)</f>
      </c>
      <c r="P40" s="967">
        <f>IF('[1]BASE'!GY40=0,"",'[1]BASE'!GY40)</f>
      </c>
      <c r="Q40" s="967">
        <f>IF('[1]BASE'!GZ40=0,"",'[1]BASE'!GZ40)</f>
      </c>
      <c r="R40" s="967">
        <f>IF('[1]BASE'!HA40=0,"",'[1]BASE'!HA40)</f>
      </c>
      <c r="S40" s="967">
        <f>IF('[1]BASE'!HB40=0,"",'[1]BASE'!HB40)</f>
      </c>
      <c r="T40" s="968"/>
      <c r="U40" s="964"/>
    </row>
    <row r="41" spans="2:21" s="958" customFormat="1" ht="19.5" customHeight="1">
      <c r="B41" s="959"/>
      <c r="C41" s="971">
        <f>IF('[1]BASE'!C41=0,"",'[1]BASE'!C41)</f>
        <v>25</v>
      </c>
      <c r="D41" s="971" t="str">
        <f>IF('[1]BASE'!D41=0,"",'[1]BASE'!D41)</f>
        <v>EZEIZA - RODRIGUEZ 1</v>
      </c>
      <c r="E41" s="971">
        <f>IF('[1]BASE'!E41=0,"",'[1]BASE'!E41)</f>
        <v>500</v>
      </c>
      <c r="F41" s="971">
        <f>IF('[1]BASE'!F41=0,"",'[1]BASE'!F41)</f>
        <v>53</v>
      </c>
      <c r="G41" s="972" t="str">
        <f>IF('[1]BASE'!G41=0,"",'[1]BASE'!G41)</f>
        <v>C</v>
      </c>
      <c r="H41" s="967">
        <f>IF('[1]BASE'!GQ41=0,"",'[1]BASE'!GQ41)</f>
      </c>
      <c r="I41" s="967">
        <f>IF('[1]BASE'!GR41=0,"",'[1]BASE'!GR41)</f>
      </c>
      <c r="J41" s="967">
        <f>IF('[1]BASE'!GS41=0,"",'[1]BASE'!GS41)</f>
      </c>
      <c r="K41" s="967">
        <f>IF('[1]BASE'!GT41=0,"",'[1]BASE'!GT41)</f>
      </c>
      <c r="L41" s="967">
        <f>IF('[1]BASE'!GU41=0,"",'[1]BASE'!GU41)</f>
      </c>
      <c r="M41" s="967">
        <f>IF('[1]BASE'!GV41=0,"",'[1]BASE'!GV41)</f>
      </c>
      <c r="N41" s="967">
        <f>IF('[1]BASE'!GW41=0,"",'[1]BASE'!GW41)</f>
      </c>
      <c r="O41" s="967">
        <f>IF('[1]BASE'!GX41=0,"",'[1]BASE'!GX41)</f>
      </c>
      <c r="P41" s="967">
        <f>IF('[1]BASE'!GY41=0,"",'[1]BASE'!GY41)</f>
      </c>
      <c r="Q41" s="967">
        <f>IF('[1]BASE'!GZ41=0,"",'[1]BASE'!GZ41)</f>
      </c>
      <c r="R41" s="967">
        <f>IF('[1]BASE'!HA41=0,"",'[1]BASE'!HA41)</f>
      </c>
      <c r="S41" s="967">
        <f>IF('[1]BASE'!HB41=0,"",'[1]BASE'!HB41)</f>
      </c>
      <c r="T41" s="968"/>
      <c r="U41" s="964"/>
    </row>
    <row r="42" spans="2:21" s="958" customFormat="1" ht="19.5" customHeight="1">
      <c r="B42" s="959"/>
      <c r="C42" s="969">
        <f>IF('[1]BASE'!C42=0,"",'[1]BASE'!C42)</f>
        <v>26</v>
      </c>
      <c r="D42" s="969" t="str">
        <f>IF('[1]BASE'!D42=0,"",'[1]BASE'!D42)</f>
        <v>EZEIZA - RODRIGUEZ 2</v>
      </c>
      <c r="E42" s="969">
        <f>IF('[1]BASE'!E42=0,"",'[1]BASE'!E42)</f>
        <v>500</v>
      </c>
      <c r="F42" s="969">
        <f>IF('[1]BASE'!F42=0,"",'[1]BASE'!F42)</f>
        <v>53</v>
      </c>
      <c r="G42" s="970" t="str">
        <f>IF('[1]BASE'!G42=0,"",'[1]BASE'!G42)</f>
        <v>C</v>
      </c>
      <c r="H42" s="967">
        <f>IF('[1]BASE'!GQ42=0,"",'[1]BASE'!GQ42)</f>
      </c>
      <c r="I42" s="967">
        <f>IF('[1]BASE'!GR42=0,"",'[1]BASE'!GR42)</f>
      </c>
      <c r="J42" s="967">
        <f>IF('[1]BASE'!GS42=0,"",'[1]BASE'!GS42)</f>
      </c>
      <c r="K42" s="967">
        <f>IF('[1]BASE'!GT42=0,"",'[1]BASE'!GT42)</f>
      </c>
      <c r="L42" s="967">
        <f>IF('[1]BASE'!GU42=0,"",'[1]BASE'!GU42)</f>
      </c>
      <c r="M42" s="967">
        <f>IF('[1]BASE'!GV42=0,"",'[1]BASE'!GV42)</f>
      </c>
      <c r="N42" s="967">
        <f>IF('[1]BASE'!GW42=0,"",'[1]BASE'!GW42)</f>
      </c>
      <c r="O42" s="967">
        <f>IF('[1]BASE'!GX42=0,"",'[1]BASE'!GX42)</f>
      </c>
      <c r="P42" s="967">
        <f>IF('[1]BASE'!GY42=0,"",'[1]BASE'!GY42)</f>
      </c>
      <c r="Q42" s="967">
        <f>IF('[1]BASE'!GZ42=0,"",'[1]BASE'!GZ42)</f>
      </c>
      <c r="R42" s="967">
        <f>IF('[1]BASE'!HA42=0,"",'[1]BASE'!HA42)</f>
      </c>
      <c r="S42" s="967">
        <f>IF('[1]BASE'!HB42=0,"",'[1]BASE'!HB42)</f>
      </c>
      <c r="T42" s="968"/>
      <c r="U42" s="964"/>
    </row>
    <row r="43" spans="2:21" s="958" customFormat="1" ht="19.5" customHeight="1">
      <c r="B43" s="959"/>
      <c r="C43" s="971">
        <f>IF('[1]BASE'!C43=0,"",'[1]BASE'!C43)</f>
        <v>27</v>
      </c>
      <c r="D43" s="971" t="str">
        <f>IF('[1]BASE'!D43=0,"",'[1]BASE'!D43)</f>
        <v>EZEIZA- HENDERSON 1</v>
      </c>
      <c r="E43" s="971">
        <f>IF('[1]BASE'!E43=0,"",'[1]BASE'!E43)</f>
        <v>500</v>
      </c>
      <c r="F43" s="971">
        <f>IF('[1]BASE'!F43=0,"",'[1]BASE'!F43)</f>
        <v>313</v>
      </c>
      <c r="G43" s="972" t="str">
        <f>IF('[1]BASE'!G43=0,"",'[1]BASE'!G43)</f>
        <v>A</v>
      </c>
      <c r="H43" s="967">
        <f>IF('[1]BASE'!GQ43=0,"",'[1]BASE'!GQ43)</f>
        <v>2</v>
      </c>
      <c r="I43" s="967">
        <f>IF('[1]BASE'!GR43=0,"",'[1]BASE'!GR43)</f>
      </c>
      <c r="J43" s="967">
        <f>IF('[1]BASE'!GS43=0,"",'[1]BASE'!GS43)</f>
      </c>
      <c r="K43" s="967">
        <f>IF('[1]BASE'!GT43=0,"",'[1]BASE'!GT43)</f>
      </c>
      <c r="L43" s="967">
        <f>IF('[1]BASE'!GU43=0,"",'[1]BASE'!GU43)</f>
      </c>
      <c r="M43" s="967">
        <f>IF('[1]BASE'!GV43=0,"",'[1]BASE'!GV43)</f>
      </c>
      <c r="N43" s="967">
        <f>IF('[1]BASE'!GW43=0,"",'[1]BASE'!GW43)</f>
      </c>
      <c r="O43" s="967">
        <f>IF('[1]BASE'!GX43=0,"",'[1]BASE'!GX43)</f>
      </c>
      <c r="P43" s="967">
        <f>IF('[1]BASE'!GY43=0,"",'[1]BASE'!GY43)</f>
      </c>
      <c r="Q43" s="967">
        <f>IF('[1]BASE'!GZ43=0,"",'[1]BASE'!GZ43)</f>
      </c>
      <c r="R43" s="967">
        <f>IF('[1]BASE'!HA43=0,"",'[1]BASE'!HA43)</f>
      </c>
      <c r="S43" s="967">
        <f>IF('[1]BASE'!HB43=0,"",'[1]BASE'!HB43)</f>
      </c>
      <c r="T43" s="968"/>
      <c r="U43" s="964"/>
    </row>
    <row r="44" spans="2:21" s="958" customFormat="1" ht="19.5" customHeight="1">
      <c r="B44" s="959"/>
      <c r="C44" s="969">
        <f>IF('[1]BASE'!C44=0,"",'[1]BASE'!C44)</f>
        <v>28</v>
      </c>
      <c r="D44" s="969" t="str">
        <f>IF('[1]BASE'!D44=0,"",'[1]BASE'!D44)</f>
        <v>EZEIZA - HENDERSON 2</v>
      </c>
      <c r="E44" s="969">
        <f>IF('[1]BASE'!E44=0,"",'[1]BASE'!E44)</f>
        <v>500</v>
      </c>
      <c r="F44" s="969">
        <f>IF('[1]BASE'!F44=0,"",'[1]BASE'!F44)</f>
        <v>313</v>
      </c>
      <c r="G44" s="970" t="str">
        <f>IF('[1]BASE'!G44=0,"",'[1]BASE'!G44)</f>
        <v>A</v>
      </c>
      <c r="H44" s="967">
        <f>IF('[1]BASE'!GQ44=0,"",'[1]BASE'!GQ44)</f>
      </c>
      <c r="I44" s="967">
        <f>IF('[1]BASE'!GR44=0,"",'[1]BASE'!GR44)</f>
      </c>
      <c r="J44" s="967">
        <f>IF('[1]BASE'!GS44=0,"",'[1]BASE'!GS44)</f>
      </c>
      <c r="K44" s="967">
        <f>IF('[1]BASE'!GT44=0,"",'[1]BASE'!GT44)</f>
      </c>
      <c r="L44" s="967">
        <f>IF('[1]BASE'!GU44=0,"",'[1]BASE'!GU44)</f>
      </c>
      <c r="M44" s="967">
        <f>IF('[1]BASE'!GV44=0,"",'[1]BASE'!GV44)</f>
      </c>
      <c r="N44" s="967">
        <f>IF('[1]BASE'!GW44=0,"",'[1]BASE'!GW44)</f>
      </c>
      <c r="O44" s="967">
        <f>IF('[1]BASE'!GX44=0,"",'[1]BASE'!GX44)</f>
      </c>
      <c r="P44" s="967">
        <f>IF('[1]BASE'!GY44=0,"",'[1]BASE'!GY44)</f>
      </c>
      <c r="Q44" s="967">
        <f>IF('[1]BASE'!GZ44=0,"",'[1]BASE'!GZ44)</f>
        <v>2</v>
      </c>
      <c r="R44" s="967">
        <f>IF('[1]BASE'!HA44=0,"",'[1]BASE'!HA44)</f>
      </c>
      <c r="S44" s="967">
        <f>IF('[1]BASE'!HB44=0,"",'[1]BASE'!HB44)</f>
      </c>
      <c r="T44" s="968"/>
      <c r="U44" s="964"/>
    </row>
    <row r="45" spans="2:21" s="958" customFormat="1" ht="19.5" customHeight="1">
      <c r="B45" s="959"/>
      <c r="C45" s="971">
        <f>IF('[1]BASE'!C45=0,"",'[1]BASE'!C45)</f>
        <v>29</v>
      </c>
      <c r="D45" s="971" t="str">
        <f>IF('[1]BASE'!D45=0,"",'[1]BASE'!D45)</f>
        <v>GRAL. RODRIGUEZ - CAMPANA </v>
      </c>
      <c r="E45" s="971">
        <f>IF('[1]BASE'!E45=0,"",'[1]BASE'!E45)</f>
        <v>500</v>
      </c>
      <c r="F45" s="971">
        <f>IF('[1]BASE'!F45=0,"",'[1]BASE'!F45)</f>
        <v>42</v>
      </c>
      <c r="G45" s="972" t="str">
        <f>IF('[1]BASE'!G45=0,"",'[1]BASE'!G45)</f>
        <v>B</v>
      </c>
      <c r="H45" s="967">
        <f>IF('[1]BASE'!GQ45=0,"",'[1]BASE'!GQ45)</f>
      </c>
      <c r="I45" s="967">
        <f>IF('[1]BASE'!GR45=0,"",'[1]BASE'!GR45)</f>
      </c>
      <c r="J45" s="967">
        <f>IF('[1]BASE'!GS45=0,"",'[1]BASE'!GS45)</f>
      </c>
      <c r="K45" s="967">
        <f>IF('[1]BASE'!GT45=0,"",'[1]BASE'!GT45)</f>
      </c>
      <c r="L45" s="967">
        <f>IF('[1]BASE'!GU45=0,"",'[1]BASE'!GU45)</f>
      </c>
      <c r="M45" s="967">
        <f>IF('[1]BASE'!GV45=0,"",'[1]BASE'!GV45)</f>
      </c>
      <c r="N45" s="967">
        <f>IF('[1]BASE'!GW45=0,"",'[1]BASE'!GW45)</f>
      </c>
      <c r="O45" s="967">
        <f>IF('[1]BASE'!GX45=0,"",'[1]BASE'!GX45)</f>
      </c>
      <c r="P45" s="967">
        <f>IF('[1]BASE'!GY45=0,"",'[1]BASE'!GY45)</f>
      </c>
      <c r="Q45" s="967">
        <f>IF('[1]BASE'!GZ45=0,"",'[1]BASE'!GZ45)</f>
      </c>
      <c r="R45" s="967">
        <f>IF('[1]BASE'!HA45=0,"",'[1]BASE'!HA45)</f>
      </c>
      <c r="S45" s="967">
        <f>IF('[1]BASE'!HB45=0,"",'[1]BASE'!HB45)</f>
      </c>
      <c r="T45" s="968"/>
      <c r="U45" s="964"/>
    </row>
    <row r="46" spans="2:21" s="958" customFormat="1" ht="19.5" customHeight="1">
      <c r="B46" s="959"/>
      <c r="C46" s="969">
        <f>IF('[1]BASE'!C46=0,"",'[1]BASE'!C46)</f>
        <v>30</v>
      </c>
      <c r="D46" s="969" t="str">
        <f>IF('[1]BASE'!D46=0,"",'[1]BASE'!D46)</f>
        <v>GRAL. RODRIGUEZ- ROSARIO OESTE </v>
      </c>
      <c r="E46" s="969">
        <f>IF('[1]BASE'!E46=0,"",'[1]BASE'!E46)</f>
        <v>500</v>
      </c>
      <c r="F46" s="969">
        <f>IF('[1]BASE'!F46=0,"",'[1]BASE'!F46)</f>
        <v>258</v>
      </c>
      <c r="G46" s="970" t="str">
        <f>IF('[1]BASE'!G46=0,"",'[1]BASE'!G46)</f>
        <v>C</v>
      </c>
      <c r="H46" s="967" t="str">
        <f>IF('[1]BASE'!GQ46=0,"",'[1]BASE'!GQ46)</f>
        <v>XXXX</v>
      </c>
      <c r="I46" s="967" t="str">
        <f>IF('[1]BASE'!GR46=0,"",'[1]BASE'!GR46)</f>
        <v>XXXX</v>
      </c>
      <c r="J46" s="967" t="str">
        <f>IF('[1]BASE'!GS46=0,"",'[1]BASE'!GS46)</f>
        <v>XXXX</v>
      </c>
      <c r="K46" s="967" t="str">
        <f>IF('[1]BASE'!GT46=0,"",'[1]BASE'!GT46)</f>
        <v>XXXX</v>
      </c>
      <c r="L46" s="967" t="str">
        <f>IF('[1]BASE'!GU46=0,"",'[1]BASE'!GU46)</f>
        <v>XXXX</v>
      </c>
      <c r="M46" s="967" t="str">
        <f>IF('[1]BASE'!GV46=0,"",'[1]BASE'!GV46)</f>
        <v>XXXX</v>
      </c>
      <c r="N46" s="967" t="str">
        <f>IF('[1]BASE'!GW46=0,"",'[1]BASE'!GW46)</f>
        <v>XXXX</v>
      </c>
      <c r="O46" s="967" t="str">
        <f>IF('[1]BASE'!GX46=0,"",'[1]BASE'!GX46)</f>
        <v>XXXX</v>
      </c>
      <c r="P46" s="967" t="str">
        <f>IF('[1]BASE'!GY46=0,"",'[1]BASE'!GY46)</f>
        <v>XXXX</v>
      </c>
      <c r="Q46" s="967" t="str">
        <f>IF('[1]BASE'!GZ46=0,"",'[1]BASE'!GZ46)</f>
        <v>XXXX</v>
      </c>
      <c r="R46" s="967" t="str">
        <f>IF('[1]BASE'!HA46=0,"",'[1]BASE'!HA46)</f>
        <v>XXXX</v>
      </c>
      <c r="S46" s="967" t="str">
        <f>IF('[1]BASE'!HB46=0,"",'[1]BASE'!HB46)</f>
        <v>XXXX</v>
      </c>
      <c r="T46" s="968"/>
      <c r="U46" s="964"/>
    </row>
    <row r="47" spans="2:21" s="958" customFormat="1" ht="19.5" customHeight="1">
      <c r="B47" s="959"/>
      <c r="C47" s="971">
        <f>IF('[1]BASE'!C47=0,"",'[1]BASE'!C47)</f>
        <v>31</v>
      </c>
      <c r="D47" s="971" t="str">
        <f>IF('[1]BASE'!D47=0,"",'[1]BASE'!D47)</f>
        <v>MALVINAS ARG. - ALMAFUERTE </v>
      </c>
      <c r="E47" s="971">
        <f>IF('[1]BASE'!E47=0,"",'[1]BASE'!E47)</f>
        <v>500</v>
      </c>
      <c r="F47" s="971">
        <f>IF('[1]BASE'!F47=0,"",'[1]BASE'!F47)</f>
        <v>105</v>
      </c>
      <c r="G47" s="972" t="str">
        <f>IF('[1]BASE'!G47=0,"",'[1]BASE'!G47)</f>
        <v>B</v>
      </c>
      <c r="H47" s="967">
        <f>IF('[1]BASE'!GQ47=0,"",'[1]BASE'!GQ47)</f>
        <v>1</v>
      </c>
      <c r="I47" s="967">
        <f>IF('[1]BASE'!GR47=0,"",'[1]BASE'!GR47)</f>
      </c>
      <c r="J47" s="967">
        <f>IF('[1]BASE'!GS47=0,"",'[1]BASE'!GS47)</f>
      </c>
      <c r="K47" s="967">
        <f>IF('[1]BASE'!GT47=0,"",'[1]BASE'!GT47)</f>
      </c>
      <c r="L47" s="967">
        <f>IF('[1]BASE'!GU47=0,"",'[1]BASE'!GU47)</f>
      </c>
      <c r="M47" s="967">
        <f>IF('[1]BASE'!GV47=0,"",'[1]BASE'!GV47)</f>
      </c>
      <c r="N47" s="967">
        <f>IF('[1]BASE'!GW47=0,"",'[1]BASE'!GW47)</f>
      </c>
      <c r="O47" s="967">
        <f>IF('[1]BASE'!GX47=0,"",'[1]BASE'!GX47)</f>
      </c>
      <c r="P47" s="967">
        <f>IF('[1]BASE'!GY47=0,"",'[1]BASE'!GY47)</f>
      </c>
      <c r="Q47" s="967">
        <f>IF('[1]BASE'!GZ47=0,"",'[1]BASE'!GZ47)</f>
        <v>1</v>
      </c>
      <c r="R47" s="967">
        <f>IF('[1]BASE'!HA47=0,"",'[1]BASE'!HA47)</f>
      </c>
      <c r="S47" s="967">
        <f>IF('[1]BASE'!HB47=0,"",'[1]BASE'!HB47)</f>
      </c>
      <c r="T47" s="968"/>
      <c r="U47" s="964"/>
    </row>
    <row r="48" spans="2:21" s="958" customFormat="1" ht="19.5" customHeight="1">
      <c r="B48" s="959"/>
      <c r="C48" s="969">
        <f>IF('[1]BASE'!C48=0,"",'[1]BASE'!C48)</f>
        <v>32</v>
      </c>
      <c r="D48" s="969" t="str">
        <f>IF('[1]BASE'!D48=0,"",'[1]BASE'!D48)</f>
        <v>OLAVARRIA - BAHIA BLANCA 1</v>
      </c>
      <c r="E48" s="969">
        <f>IF('[1]BASE'!E48=0,"",'[1]BASE'!E48)</f>
        <v>500</v>
      </c>
      <c r="F48" s="969">
        <f>IF('[1]BASE'!F48=0,"",'[1]BASE'!F48)</f>
        <v>255</v>
      </c>
      <c r="G48" s="970" t="str">
        <f>IF('[1]BASE'!G48=0,"",'[1]BASE'!G48)</f>
        <v>B</v>
      </c>
      <c r="H48" s="967">
        <f>IF('[1]BASE'!GQ48=0,"",'[1]BASE'!GQ48)</f>
      </c>
      <c r="I48" s="967">
        <f>IF('[1]BASE'!GR48=0,"",'[1]BASE'!GR48)</f>
      </c>
      <c r="J48" s="967">
        <f>IF('[1]BASE'!GS48=0,"",'[1]BASE'!GS48)</f>
      </c>
      <c r="K48" s="967">
        <f>IF('[1]BASE'!GT48=0,"",'[1]BASE'!GT48)</f>
      </c>
      <c r="L48" s="967">
        <f>IF('[1]BASE'!GU48=0,"",'[1]BASE'!GU48)</f>
      </c>
      <c r="M48" s="967">
        <f>IF('[1]BASE'!GV48=0,"",'[1]BASE'!GV48)</f>
      </c>
      <c r="N48" s="967">
        <f>IF('[1]BASE'!GW48=0,"",'[1]BASE'!GW48)</f>
      </c>
      <c r="O48" s="967">
        <f>IF('[1]BASE'!GX48=0,"",'[1]BASE'!GX48)</f>
      </c>
      <c r="P48" s="967">
        <f>IF('[1]BASE'!GY48=0,"",'[1]BASE'!GY48)</f>
      </c>
      <c r="Q48" s="967">
        <f>IF('[1]BASE'!GZ48=0,"",'[1]BASE'!GZ48)</f>
      </c>
      <c r="R48" s="967">
        <f>IF('[1]BASE'!HA48=0,"",'[1]BASE'!HA48)</f>
      </c>
      <c r="S48" s="967">
        <f>IF('[1]BASE'!HB48=0,"",'[1]BASE'!HB48)</f>
      </c>
      <c r="T48" s="968"/>
      <c r="U48" s="964"/>
    </row>
    <row r="49" spans="2:21" s="958" customFormat="1" ht="19.5" customHeight="1">
      <c r="B49" s="959"/>
      <c r="C49" s="971">
        <f>IF('[1]BASE'!C49=0,"",'[1]BASE'!C49)</f>
        <v>33</v>
      </c>
      <c r="D49" s="971" t="str">
        <f>IF('[1]BASE'!D49=0,"",'[1]BASE'!D49)</f>
        <v>OLAVARRIA - BAHIA BLANCA 2</v>
      </c>
      <c r="E49" s="971">
        <f>IF('[1]BASE'!E49=0,"",'[1]BASE'!E49)</f>
        <v>500</v>
      </c>
      <c r="F49" s="971">
        <f>IF('[1]BASE'!F49=0,"",'[1]BASE'!F49)</f>
        <v>254.8</v>
      </c>
      <c r="G49" s="972">
        <f>IF('[1]BASE'!G49=0,"",'[1]BASE'!G49)</f>
      </c>
      <c r="H49" s="967">
        <f>IF('[1]BASE'!GQ49=0,"",'[1]BASE'!GQ49)</f>
      </c>
      <c r="I49" s="967">
        <f>IF('[1]BASE'!GR49=0,"",'[1]BASE'!GR49)</f>
      </c>
      <c r="J49" s="967">
        <f>IF('[1]BASE'!GS49=0,"",'[1]BASE'!GS49)</f>
      </c>
      <c r="K49" s="967">
        <f>IF('[1]BASE'!GT49=0,"",'[1]BASE'!GT49)</f>
      </c>
      <c r="L49" s="967">
        <f>IF('[1]BASE'!GU49=0,"",'[1]BASE'!GU49)</f>
      </c>
      <c r="M49" s="967">
        <f>IF('[1]BASE'!GV49=0,"",'[1]BASE'!GV49)</f>
      </c>
      <c r="N49" s="967">
        <f>IF('[1]BASE'!GW49=0,"",'[1]BASE'!GW49)</f>
      </c>
      <c r="O49" s="967">
        <f>IF('[1]BASE'!GX49=0,"",'[1]BASE'!GX49)</f>
      </c>
      <c r="P49" s="967">
        <f>IF('[1]BASE'!GY49=0,"",'[1]BASE'!GY49)</f>
      </c>
      <c r="Q49" s="967">
        <f>IF('[1]BASE'!GZ49=0,"",'[1]BASE'!GZ49)</f>
      </c>
      <c r="R49" s="967">
        <f>IF('[1]BASE'!HA49=0,"",'[1]BASE'!HA49)</f>
      </c>
      <c r="S49" s="967">
        <f>IF('[1]BASE'!HB49=0,"",'[1]BASE'!HB49)</f>
      </c>
      <c r="T49" s="968"/>
      <c r="U49" s="964"/>
    </row>
    <row r="50" spans="2:21" s="958" customFormat="1" ht="19.5" customHeight="1">
      <c r="B50" s="959"/>
      <c r="C50" s="969">
        <f>IF('[1]BASE'!C50=0,"",'[1]BASE'!C50)</f>
        <v>34</v>
      </c>
      <c r="D50" s="969" t="str">
        <f>IF('[1]BASE'!D50=0,"",'[1]BASE'!D50)</f>
        <v>P.del AGUILA  - CHOELE CHOEL</v>
      </c>
      <c r="E50" s="969">
        <f>IF('[1]BASE'!E50=0,"",'[1]BASE'!E50)</f>
        <v>500</v>
      </c>
      <c r="F50" s="969">
        <f>IF('[1]BASE'!F50=0,"",'[1]BASE'!F50)</f>
        <v>386.7</v>
      </c>
      <c r="G50" s="970">
        <f>IF('[1]BASE'!G50=0,"",'[1]BASE'!G50)</f>
      </c>
      <c r="H50" s="967">
        <f>IF('[1]BASE'!GQ50=0,"",'[1]BASE'!GQ50)</f>
      </c>
      <c r="I50" s="967">
        <f>IF('[1]BASE'!GR50=0,"",'[1]BASE'!GR50)</f>
      </c>
      <c r="J50" s="967">
        <f>IF('[1]BASE'!GS50=0,"",'[1]BASE'!GS50)</f>
      </c>
      <c r="K50" s="967">
        <f>IF('[1]BASE'!GT50=0,"",'[1]BASE'!GT50)</f>
      </c>
      <c r="L50" s="967">
        <f>IF('[1]BASE'!GU50=0,"",'[1]BASE'!GU50)</f>
      </c>
      <c r="M50" s="967">
        <f>IF('[1]BASE'!GV50=0,"",'[1]BASE'!GV50)</f>
      </c>
      <c r="N50" s="967">
        <f>IF('[1]BASE'!GW50=0,"",'[1]BASE'!GW50)</f>
      </c>
      <c r="O50" s="967">
        <f>IF('[1]BASE'!GX50=0,"",'[1]BASE'!GX50)</f>
      </c>
      <c r="P50" s="967">
        <f>IF('[1]BASE'!GY50=0,"",'[1]BASE'!GY50)</f>
      </c>
      <c r="Q50" s="967">
        <f>IF('[1]BASE'!GZ50=0,"",'[1]BASE'!GZ50)</f>
      </c>
      <c r="R50" s="967">
        <f>IF('[1]BASE'!HA50=0,"",'[1]BASE'!HA50)</f>
      </c>
      <c r="S50" s="967">
        <f>IF('[1]BASE'!HB50=0,"",'[1]BASE'!HB50)</f>
      </c>
      <c r="T50" s="968"/>
      <c r="U50" s="964"/>
    </row>
    <row r="51" spans="2:21" s="958" customFormat="1" ht="19.5" customHeight="1">
      <c r="B51" s="959"/>
      <c r="C51" s="971">
        <f>IF('[1]BASE'!C51=0,"",'[1]BASE'!C51)</f>
        <v>35</v>
      </c>
      <c r="D51" s="971" t="str">
        <f>IF('[1]BASE'!D51=0,"",'[1]BASE'!D51)</f>
        <v>P.del AGUILA  - CHO. W. 1 (5GW1)</v>
      </c>
      <c r="E51" s="971">
        <f>IF('[1]BASE'!E51=0,"",'[1]BASE'!E51)</f>
        <v>500</v>
      </c>
      <c r="F51" s="971">
        <f>IF('[1]BASE'!F51=0,"",'[1]BASE'!F51)</f>
        <v>165</v>
      </c>
      <c r="G51" s="972" t="str">
        <f>IF('[1]BASE'!G51=0,"",'[1]BASE'!G51)</f>
        <v>A</v>
      </c>
      <c r="H51" s="967">
        <f>IF('[1]BASE'!GQ51=0,"",'[1]BASE'!GQ51)</f>
      </c>
      <c r="I51" s="967">
        <f>IF('[1]BASE'!GR51=0,"",'[1]BASE'!GR51)</f>
      </c>
      <c r="J51" s="967">
        <f>IF('[1]BASE'!GS51=0,"",'[1]BASE'!GS51)</f>
      </c>
      <c r="K51" s="967">
        <f>IF('[1]BASE'!GT51=0,"",'[1]BASE'!GT51)</f>
      </c>
      <c r="L51" s="967">
        <f>IF('[1]BASE'!GU51=0,"",'[1]BASE'!GU51)</f>
      </c>
      <c r="M51" s="967">
        <f>IF('[1]BASE'!GV51=0,"",'[1]BASE'!GV51)</f>
      </c>
      <c r="N51" s="967">
        <f>IF('[1]BASE'!GW51=0,"",'[1]BASE'!GW51)</f>
      </c>
      <c r="O51" s="967">
        <f>IF('[1]BASE'!GX51=0,"",'[1]BASE'!GX51)</f>
      </c>
      <c r="P51" s="967">
        <f>IF('[1]BASE'!GY51=0,"",'[1]BASE'!GY51)</f>
      </c>
      <c r="Q51" s="967">
        <f>IF('[1]BASE'!GZ51=0,"",'[1]BASE'!GZ51)</f>
      </c>
      <c r="R51" s="967">
        <f>IF('[1]BASE'!HA51=0,"",'[1]BASE'!HA51)</f>
      </c>
      <c r="S51" s="967">
        <f>IF('[1]BASE'!HB51=0,"",'[1]BASE'!HB51)</f>
      </c>
      <c r="T51" s="968"/>
      <c r="U51" s="964"/>
    </row>
    <row r="52" spans="2:21" s="958" customFormat="1" ht="19.5" customHeight="1">
      <c r="B52" s="959"/>
      <c r="C52" s="969">
        <f>IF('[1]BASE'!C52=0,"",'[1]BASE'!C52)</f>
        <v>36</v>
      </c>
      <c r="D52" s="969" t="str">
        <f>IF('[1]BASE'!D52=0,"",'[1]BASE'!D52)</f>
        <v>P.del AGUILA  - CHO. W. 2 (5GW2)</v>
      </c>
      <c r="E52" s="969">
        <f>IF('[1]BASE'!E52=0,"",'[1]BASE'!E52)</f>
        <v>500</v>
      </c>
      <c r="F52" s="969">
        <f>IF('[1]BASE'!F52=0,"",'[1]BASE'!F52)</f>
        <v>170</v>
      </c>
      <c r="G52" s="970" t="str">
        <f>IF('[1]BASE'!G52=0,"",'[1]BASE'!G52)</f>
        <v>A</v>
      </c>
      <c r="H52" s="967">
        <f>IF('[1]BASE'!GQ52=0,"",'[1]BASE'!GQ52)</f>
      </c>
      <c r="I52" s="967">
        <f>IF('[1]BASE'!GR52=0,"",'[1]BASE'!GR52)</f>
      </c>
      <c r="J52" s="967">
        <f>IF('[1]BASE'!GS52=0,"",'[1]BASE'!GS52)</f>
      </c>
      <c r="K52" s="967">
        <f>IF('[1]BASE'!GT52=0,"",'[1]BASE'!GT52)</f>
      </c>
      <c r="L52" s="967">
        <f>IF('[1]BASE'!GU52=0,"",'[1]BASE'!GU52)</f>
      </c>
      <c r="M52" s="967">
        <f>IF('[1]BASE'!GV52=0,"",'[1]BASE'!GV52)</f>
      </c>
      <c r="N52" s="967">
        <f>IF('[1]BASE'!GW52=0,"",'[1]BASE'!GW52)</f>
      </c>
      <c r="O52" s="967">
        <f>IF('[1]BASE'!GX52=0,"",'[1]BASE'!GX52)</f>
      </c>
      <c r="P52" s="967">
        <f>IF('[1]BASE'!GY52=0,"",'[1]BASE'!GY52)</f>
      </c>
      <c r="Q52" s="967">
        <f>IF('[1]BASE'!GZ52=0,"",'[1]BASE'!GZ52)</f>
      </c>
      <c r="R52" s="967">
        <f>IF('[1]BASE'!HA52=0,"",'[1]BASE'!HA52)</f>
      </c>
      <c r="S52" s="967">
        <f>IF('[1]BASE'!HB52=0,"",'[1]BASE'!HB52)</f>
      </c>
      <c r="T52" s="968"/>
      <c r="U52" s="964"/>
    </row>
    <row r="53" spans="2:21" s="958" customFormat="1" ht="19.5" customHeight="1">
      <c r="B53" s="959"/>
      <c r="C53" s="971">
        <f>IF('[1]BASE'!C53=0,"",'[1]BASE'!C53)</f>
        <v>37</v>
      </c>
      <c r="D53" s="971" t="str">
        <f>IF('[1]BASE'!D53=0,"",'[1]BASE'!D53)</f>
        <v>PUELCHES - HENDERSON 1 (B1)</v>
      </c>
      <c r="E53" s="971">
        <f>IF('[1]BASE'!E53=0,"",'[1]BASE'!E53)</f>
        <v>500</v>
      </c>
      <c r="F53" s="971">
        <f>IF('[1]BASE'!F53=0,"",'[1]BASE'!F53)</f>
        <v>421</v>
      </c>
      <c r="G53" s="972" t="str">
        <f>IF('[1]BASE'!G53=0,"",'[1]BASE'!G53)</f>
        <v>A</v>
      </c>
      <c r="H53" s="967">
        <f>IF('[1]BASE'!GQ53=0,"",'[1]BASE'!GQ53)</f>
      </c>
      <c r="I53" s="967">
        <f>IF('[1]BASE'!GR53=0,"",'[1]BASE'!GR53)</f>
      </c>
      <c r="J53" s="967">
        <f>IF('[1]BASE'!GS53=0,"",'[1]BASE'!GS53)</f>
      </c>
      <c r="K53" s="967">
        <f>IF('[1]BASE'!GT53=0,"",'[1]BASE'!GT53)</f>
      </c>
      <c r="L53" s="967">
        <f>IF('[1]BASE'!GU53=0,"",'[1]BASE'!GU53)</f>
      </c>
      <c r="M53" s="967">
        <f>IF('[1]BASE'!GV53=0,"",'[1]BASE'!GV53)</f>
      </c>
      <c r="N53" s="967">
        <f>IF('[1]BASE'!GW53=0,"",'[1]BASE'!GW53)</f>
      </c>
      <c r="O53" s="967">
        <f>IF('[1]BASE'!GX53=0,"",'[1]BASE'!GX53)</f>
      </c>
      <c r="P53" s="967">
        <f>IF('[1]BASE'!GY53=0,"",'[1]BASE'!GY53)</f>
      </c>
      <c r="Q53" s="967">
        <f>IF('[1]BASE'!GZ53=0,"",'[1]BASE'!GZ53)</f>
        <v>1</v>
      </c>
      <c r="R53" s="967">
        <f>IF('[1]BASE'!HA53=0,"",'[1]BASE'!HA53)</f>
      </c>
      <c r="S53" s="967">
        <f>IF('[1]BASE'!HB53=0,"",'[1]BASE'!HB53)</f>
      </c>
      <c r="T53" s="968"/>
      <c r="U53" s="964"/>
    </row>
    <row r="54" spans="2:21" s="958" customFormat="1" ht="19.5" customHeight="1">
      <c r="B54" s="959"/>
      <c r="C54" s="969">
        <f>IF('[1]BASE'!C54=0,"",'[1]BASE'!C54)</f>
        <v>38</v>
      </c>
      <c r="D54" s="969" t="str">
        <f>IF('[1]BASE'!D54=0,"",'[1]BASE'!D54)</f>
        <v>PUELCHES - HENDERSON 2 (B2)</v>
      </c>
      <c r="E54" s="969">
        <f>IF('[1]BASE'!E54=0,"",'[1]BASE'!E54)</f>
        <v>500</v>
      </c>
      <c r="F54" s="969">
        <f>IF('[1]BASE'!F54=0,"",'[1]BASE'!F54)</f>
        <v>421</v>
      </c>
      <c r="G54" s="970" t="str">
        <f>IF('[1]BASE'!G54=0,"",'[1]BASE'!G54)</f>
        <v>A</v>
      </c>
      <c r="H54" s="967" t="str">
        <f>IF('[1]BASE'!GQ54=0,"",'[1]BASE'!GQ54)</f>
        <v>XXXX</v>
      </c>
      <c r="I54" s="967" t="str">
        <f>IF('[1]BASE'!GR54=0,"",'[1]BASE'!GR54)</f>
        <v>XXXX</v>
      </c>
      <c r="J54" s="967" t="str">
        <f>IF('[1]BASE'!GS54=0,"",'[1]BASE'!GS54)</f>
        <v>XXXX</v>
      </c>
      <c r="K54" s="967" t="str">
        <f>IF('[1]BASE'!GT54=0,"",'[1]BASE'!GT54)</f>
        <v>XXXX</v>
      </c>
      <c r="L54" s="967" t="str">
        <f>IF('[1]BASE'!GU54=0,"",'[1]BASE'!GU54)</f>
        <v>XXXX</v>
      </c>
      <c r="M54" s="967" t="str">
        <f>IF('[1]BASE'!GV54=0,"",'[1]BASE'!GV54)</f>
        <v>XXXX</v>
      </c>
      <c r="N54" s="967" t="str">
        <f>IF('[1]BASE'!GW54=0,"",'[1]BASE'!GW54)</f>
        <v>XXXX</v>
      </c>
      <c r="O54" s="967" t="str">
        <f>IF('[1]BASE'!GX54=0,"",'[1]BASE'!GX54)</f>
        <v>XXXX</v>
      </c>
      <c r="P54" s="967" t="str">
        <f>IF('[1]BASE'!GY54=0,"",'[1]BASE'!GY54)</f>
        <v>XXXX</v>
      </c>
      <c r="Q54" s="967" t="str">
        <f>IF('[1]BASE'!GZ54=0,"",'[1]BASE'!GZ54)</f>
        <v>XXXX</v>
      </c>
      <c r="R54" s="967" t="str">
        <f>IF('[1]BASE'!HA54=0,"",'[1]BASE'!HA54)</f>
        <v>XXXX</v>
      </c>
      <c r="S54" s="967" t="str">
        <f>IF('[1]BASE'!HB54=0,"",'[1]BASE'!HB54)</f>
        <v>XXXX</v>
      </c>
      <c r="T54" s="968"/>
      <c r="U54" s="964"/>
    </row>
    <row r="55" spans="2:21" s="958" customFormat="1" ht="19.5" customHeight="1">
      <c r="B55" s="959"/>
      <c r="C55" s="971">
        <f>IF('[1]BASE'!C55=0,"",'[1]BASE'!C55)</f>
        <v>39</v>
      </c>
      <c r="D55" s="971" t="str">
        <f>IF('[1]BASE'!D55=0,"",'[1]BASE'!D55)</f>
        <v>RECREO - MALVINAS ARG. </v>
      </c>
      <c r="E55" s="971">
        <f>IF('[1]BASE'!E55=0,"",'[1]BASE'!E55)</f>
        <v>500</v>
      </c>
      <c r="F55" s="971">
        <f>IF('[1]BASE'!F55=0,"",'[1]BASE'!F55)</f>
        <v>259</v>
      </c>
      <c r="G55" s="972" t="str">
        <f>IF('[1]BASE'!G55=0,"",'[1]BASE'!G55)</f>
        <v>C</v>
      </c>
      <c r="H55" s="967">
        <f>IF('[1]BASE'!GQ55=0,"",'[1]BASE'!GQ55)</f>
      </c>
      <c r="I55" s="967">
        <f>IF('[1]BASE'!GR55=0,"",'[1]BASE'!GR55)</f>
      </c>
      <c r="J55" s="967">
        <f>IF('[1]BASE'!GS55=0,"",'[1]BASE'!GS55)</f>
      </c>
      <c r="K55" s="967">
        <f>IF('[1]BASE'!GT55=0,"",'[1]BASE'!GT55)</f>
      </c>
      <c r="L55" s="967">
        <f>IF('[1]BASE'!GU55=0,"",'[1]BASE'!GU55)</f>
      </c>
      <c r="M55" s="967">
        <f>IF('[1]BASE'!GV55=0,"",'[1]BASE'!GV55)</f>
      </c>
      <c r="N55" s="967">
        <f>IF('[1]BASE'!GW55=0,"",'[1]BASE'!GW55)</f>
      </c>
      <c r="O55" s="967">
        <f>IF('[1]BASE'!GX55=0,"",'[1]BASE'!GX55)</f>
      </c>
      <c r="P55" s="967">
        <f>IF('[1]BASE'!GY55=0,"",'[1]BASE'!GY55)</f>
      </c>
      <c r="Q55" s="967">
        <f>IF('[1]BASE'!GZ55=0,"",'[1]BASE'!GZ55)</f>
      </c>
      <c r="R55" s="967">
        <f>IF('[1]BASE'!HA55=0,"",'[1]BASE'!HA55)</f>
      </c>
      <c r="S55" s="967">
        <f>IF('[1]BASE'!HB55=0,"",'[1]BASE'!HB55)</f>
      </c>
      <c r="T55" s="968"/>
      <c r="U55" s="964"/>
    </row>
    <row r="56" spans="2:21" s="958" customFormat="1" ht="19.5" customHeight="1">
      <c r="B56" s="959"/>
      <c r="C56" s="969">
        <f>IF('[1]BASE'!C56=0,"",'[1]BASE'!C56)</f>
        <v>40</v>
      </c>
      <c r="D56" s="969" t="str">
        <f>IF('[1]BASE'!D56=0,"",'[1]BASE'!D56)</f>
        <v>RIO GRANDE - EMBALSE</v>
      </c>
      <c r="E56" s="969">
        <f>IF('[1]BASE'!E56=0,"",'[1]BASE'!E56)</f>
        <v>500</v>
      </c>
      <c r="F56" s="969">
        <f>IF('[1]BASE'!F56=0,"",'[1]BASE'!F56)</f>
        <v>30</v>
      </c>
      <c r="G56" s="970" t="str">
        <f>IF('[1]BASE'!G56=0,"",'[1]BASE'!G56)</f>
        <v>B</v>
      </c>
      <c r="H56" s="967">
        <f>IF('[1]BASE'!GQ56=0,"",'[1]BASE'!GQ56)</f>
      </c>
      <c r="I56" s="967">
        <f>IF('[1]BASE'!GR56=0,"",'[1]BASE'!GR56)</f>
      </c>
      <c r="J56" s="967">
        <f>IF('[1]BASE'!GS56=0,"",'[1]BASE'!GS56)</f>
      </c>
      <c r="K56" s="967">
        <f>IF('[1]BASE'!GT56=0,"",'[1]BASE'!GT56)</f>
      </c>
      <c r="L56" s="967">
        <f>IF('[1]BASE'!GU56=0,"",'[1]BASE'!GU56)</f>
      </c>
      <c r="M56" s="967">
        <f>IF('[1]BASE'!GV56=0,"",'[1]BASE'!GV56)</f>
      </c>
      <c r="N56" s="967">
        <f>IF('[1]BASE'!GW56=0,"",'[1]BASE'!GW56)</f>
      </c>
      <c r="O56" s="967">
        <f>IF('[1]BASE'!GX56=0,"",'[1]BASE'!GX56)</f>
      </c>
      <c r="P56" s="967">
        <f>IF('[1]BASE'!GY56=0,"",'[1]BASE'!GY56)</f>
      </c>
      <c r="Q56" s="967">
        <f>IF('[1]BASE'!GZ56=0,"",'[1]BASE'!GZ56)</f>
      </c>
      <c r="R56" s="967">
        <f>IF('[1]BASE'!HA56=0,"",'[1]BASE'!HA56)</f>
      </c>
      <c r="S56" s="967">
        <f>IF('[1]BASE'!HB56=0,"",'[1]BASE'!HB56)</f>
      </c>
      <c r="T56" s="968"/>
      <c r="U56" s="964"/>
    </row>
    <row r="57" spans="2:21" s="958" customFormat="1" ht="19.5" customHeight="1">
      <c r="B57" s="959"/>
      <c r="C57" s="971">
        <f>IF('[1]BASE'!C57=0,"",'[1]BASE'!C57)</f>
        <v>41</v>
      </c>
      <c r="D57" s="971" t="str">
        <f>IF('[1]BASE'!D57=0,"",'[1]BASE'!D57)</f>
        <v>RIO GRANDE - GRAN MENDOZA</v>
      </c>
      <c r="E57" s="971">
        <f>IF('[1]BASE'!E57=0,"",'[1]BASE'!E57)</f>
        <v>500</v>
      </c>
      <c r="F57" s="971">
        <f>IF('[1]BASE'!F57=0,"",'[1]BASE'!F57)</f>
        <v>407</v>
      </c>
      <c r="G57" s="972" t="str">
        <f>IF('[1]BASE'!G57=0,"",'[1]BASE'!G57)</f>
        <v>B</v>
      </c>
      <c r="H57" s="967" t="str">
        <f>IF('[1]BASE'!GQ57=0,"",'[1]BASE'!GQ57)</f>
        <v>XXXX</v>
      </c>
      <c r="I57" s="967" t="str">
        <f>IF('[1]BASE'!GR57=0,"",'[1]BASE'!GR57)</f>
        <v>XXXX</v>
      </c>
      <c r="J57" s="967" t="str">
        <f>IF('[1]BASE'!GS57=0,"",'[1]BASE'!GS57)</f>
        <v>XXXX</v>
      </c>
      <c r="K57" s="967" t="str">
        <f>IF('[1]BASE'!GT57=0,"",'[1]BASE'!GT57)</f>
        <v>XXXX</v>
      </c>
      <c r="L57" s="967" t="str">
        <f>IF('[1]BASE'!GU57=0,"",'[1]BASE'!GU57)</f>
        <v>XXXX</v>
      </c>
      <c r="M57" s="967" t="str">
        <f>IF('[1]BASE'!GV57=0,"",'[1]BASE'!GV57)</f>
        <v>XXXX</v>
      </c>
      <c r="N57" s="967" t="str">
        <f>IF('[1]BASE'!GW57=0,"",'[1]BASE'!GW57)</f>
        <v>XXXX</v>
      </c>
      <c r="O57" s="967" t="str">
        <f>IF('[1]BASE'!GX57=0,"",'[1]BASE'!GX57)</f>
        <v>XXXX</v>
      </c>
      <c r="P57" s="967" t="str">
        <f>IF('[1]BASE'!GY57=0,"",'[1]BASE'!GY57)</f>
        <v>XXXX</v>
      </c>
      <c r="Q57" s="967" t="str">
        <f>IF('[1]BASE'!GZ57=0,"",'[1]BASE'!GZ57)</f>
        <v>XXXX</v>
      </c>
      <c r="R57" s="967" t="str">
        <f>IF('[1]BASE'!HA57=0,"",'[1]BASE'!HA57)</f>
        <v>XXXX</v>
      </c>
      <c r="S57" s="967" t="str">
        <f>IF('[1]BASE'!HB57=0,"",'[1]BASE'!HB57)</f>
        <v>XXXX</v>
      </c>
      <c r="T57" s="968"/>
      <c r="U57" s="964"/>
    </row>
    <row r="58" spans="2:21" s="958" customFormat="1" ht="19.5" customHeight="1">
      <c r="B58" s="959"/>
      <c r="C58" s="969">
        <f>IF('[1]BASE'!C58=0,"",'[1]BASE'!C58)</f>
        <v>42</v>
      </c>
      <c r="D58" s="969" t="str">
        <f>IF('[1]BASE'!D58=0,"",'[1]BASE'!D58)</f>
        <v>RIO GRANDE - LUJAN</v>
      </c>
      <c r="E58" s="969">
        <f>IF('[1]BASE'!E58=0,"",'[1]BASE'!E58)</f>
        <v>500</v>
      </c>
      <c r="F58" s="969">
        <f>IF('[1]BASE'!F58=0,"",'[1]BASE'!F58)</f>
        <v>150</v>
      </c>
      <c r="G58" s="970" t="str">
        <f>IF('[1]BASE'!G58=0,"",'[1]BASE'!G58)</f>
        <v>A</v>
      </c>
      <c r="H58" s="967">
        <f>IF('[1]BASE'!GQ58=0,"",'[1]BASE'!GQ58)</f>
      </c>
      <c r="I58" s="967">
        <f>IF('[1]BASE'!GR58=0,"",'[1]BASE'!GR58)</f>
      </c>
      <c r="J58" s="967">
        <f>IF('[1]BASE'!GS58=0,"",'[1]BASE'!GS58)</f>
      </c>
      <c r="K58" s="967">
        <f>IF('[1]BASE'!GT58=0,"",'[1]BASE'!GT58)</f>
      </c>
      <c r="L58" s="967">
        <f>IF('[1]BASE'!GU58=0,"",'[1]BASE'!GU58)</f>
      </c>
      <c r="M58" s="967">
        <f>IF('[1]BASE'!GV58=0,"",'[1]BASE'!GV58)</f>
      </c>
      <c r="N58" s="967">
        <f>IF('[1]BASE'!GW58=0,"",'[1]BASE'!GW58)</f>
      </c>
      <c r="O58" s="967">
        <f>IF('[1]BASE'!GX58=0,"",'[1]BASE'!GX58)</f>
      </c>
      <c r="P58" s="967">
        <f>IF('[1]BASE'!GY58=0,"",'[1]BASE'!GY58)</f>
      </c>
      <c r="Q58" s="967">
        <f>IF('[1]BASE'!GZ58=0,"",'[1]BASE'!GZ58)</f>
      </c>
      <c r="R58" s="967">
        <f>IF('[1]BASE'!HA58=0,"",'[1]BASE'!HA58)</f>
      </c>
      <c r="S58" s="967">
        <f>IF('[1]BASE'!HB58=0,"",'[1]BASE'!HB58)</f>
      </c>
      <c r="T58" s="968"/>
      <c r="U58" s="964"/>
    </row>
    <row r="59" spans="2:21" s="958" customFormat="1" ht="19.5" customHeight="1">
      <c r="B59" s="959"/>
      <c r="C59" s="971">
        <f>IF('[1]BASE'!C59=0,"",'[1]BASE'!C59)</f>
        <v>43</v>
      </c>
      <c r="D59" s="971" t="str">
        <f>IF('[1]BASE'!D59=0,"",'[1]BASE'!D59)</f>
        <v>LUJAN - GRAN MENDOZA</v>
      </c>
      <c r="E59" s="971">
        <f>IF('[1]BASE'!E59=0,"",'[1]BASE'!E59)</f>
        <v>500</v>
      </c>
      <c r="F59" s="971">
        <f>IF('[1]BASE'!F59=0,"",'[1]BASE'!F59)</f>
        <v>257</v>
      </c>
      <c r="G59" s="972" t="str">
        <f>IF('[1]BASE'!G59=0,"",'[1]BASE'!G59)</f>
        <v>B</v>
      </c>
      <c r="H59" s="967">
        <f>IF('[1]BASE'!GQ59=0,"",'[1]BASE'!GQ59)</f>
      </c>
      <c r="I59" s="967">
        <f>IF('[1]BASE'!GR59=0,"",'[1]BASE'!GR59)</f>
      </c>
      <c r="J59" s="967">
        <f>IF('[1]BASE'!GS59=0,"",'[1]BASE'!GS59)</f>
      </c>
      <c r="K59" s="967">
        <f>IF('[1]BASE'!GT59=0,"",'[1]BASE'!GT59)</f>
      </c>
      <c r="L59" s="967">
        <f>IF('[1]BASE'!GU59=0,"",'[1]BASE'!GU59)</f>
      </c>
      <c r="M59" s="967">
        <f>IF('[1]BASE'!GV59=0,"",'[1]BASE'!GV59)</f>
      </c>
      <c r="N59" s="967">
        <f>IF('[1]BASE'!GW59=0,"",'[1]BASE'!GW59)</f>
      </c>
      <c r="O59" s="967">
        <f>IF('[1]BASE'!GX59=0,"",'[1]BASE'!GX59)</f>
      </c>
      <c r="P59" s="967">
        <f>IF('[1]BASE'!GY59=0,"",'[1]BASE'!GY59)</f>
      </c>
      <c r="Q59" s="967">
        <f>IF('[1]BASE'!GZ59=0,"",'[1]BASE'!GZ59)</f>
      </c>
      <c r="R59" s="967">
        <f>IF('[1]BASE'!HA59=0,"",'[1]BASE'!HA59)</f>
      </c>
      <c r="S59" s="967">
        <f>IF('[1]BASE'!HB59=0,"",'[1]BASE'!HB59)</f>
      </c>
      <c r="T59" s="968"/>
      <c r="U59" s="964"/>
    </row>
    <row r="60" spans="2:21" s="958" customFormat="1" ht="19.5" customHeight="1">
      <c r="B60" s="959"/>
      <c r="C60" s="969">
        <f>IF('[1]BASE'!C60=0,"",'[1]BASE'!C60)</f>
        <v>44</v>
      </c>
      <c r="D60" s="969" t="str">
        <f>IF('[1]BASE'!D60=0,"",'[1]BASE'!D60)</f>
        <v>ROMANG - RESISTENCIA</v>
      </c>
      <c r="E60" s="969">
        <f>IF('[1]BASE'!E60=0,"",'[1]BASE'!E60)</f>
        <v>500</v>
      </c>
      <c r="F60" s="969">
        <f>IF('[1]BASE'!F60=0,"",'[1]BASE'!F60)</f>
        <v>256</v>
      </c>
      <c r="G60" s="970" t="str">
        <f>IF('[1]BASE'!G60=0,"",'[1]BASE'!G60)</f>
        <v>A</v>
      </c>
      <c r="H60" s="967">
        <f>IF('[1]BASE'!GQ60=0,"",'[1]BASE'!GQ60)</f>
        <v>2</v>
      </c>
      <c r="I60" s="967">
        <f>IF('[1]BASE'!GR60=0,"",'[1]BASE'!GR60)</f>
      </c>
      <c r="J60" s="967">
        <f>IF('[1]BASE'!GS60=0,"",'[1]BASE'!GS60)</f>
      </c>
      <c r="K60" s="967">
        <f>IF('[1]BASE'!GT60=0,"",'[1]BASE'!GT60)</f>
      </c>
      <c r="L60" s="967">
        <f>IF('[1]BASE'!GU60=0,"",'[1]BASE'!GU60)</f>
      </c>
      <c r="M60" s="967">
        <f>IF('[1]BASE'!GV60=0,"",'[1]BASE'!GV60)</f>
      </c>
      <c r="N60" s="967">
        <f>IF('[1]BASE'!GW60=0,"",'[1]BASE'!GW60)</f>
      </c>
      <c r="O60" s="967">
        <f>IF('[1]BASE'!GX60=0,"",'[1]BASE'!GX60)</f>
      </c>
      <c r="P60" s="967">
        <f>IF('[1]BASE'!GY60=0,"",'[1]BASE'!GY60)</f>
      </c>
      <c r="Q60" s="967">
        <f>IF('[1]BASE'!GZ60=0,"",'[1]BASE'!GZ60)</f>
        <v>1</v>
      </c>
      <c r="R60" s="967">
        <f>IF('[1]BASE'!HA60=0,"",'[1]BASE'!HA60)</f>
      </c>
      <c r="S60" s="967">
        <f>IF('[1]BASE'!HB60=0,"",'[1]BASE'!HB60)</f>
      </c>
      <c r="T60" s="968"/>
      <c r="U60" s="964"/>
    </row>
    <row r="61" spans="2:21" s="958" customFormat="1" ht="19.5" customHeight="1">
      <c r="B61" s="959"/>
      <c r="C61" s="971">
        <f>IF('[1]BASE'!C61=0,"",'[1]BASE'!C61)</f>
        <v>45</v>
      </c>
      <c r="D61" s="971" t="str">
        <f>IF('[1]BASE'!D61=0,"",'[1]BASE'!D61)</f>
        <v>ROSARIO OESTE -SANTO TOME</v>
      </c>
      <c r="E61" s="971">
        <f>IF('[1]BASE'!E61=0,"",'[1]BASE'!E61)</f>
        <v>500</v>
      </c>
      <c r="F61" s="971">
        <f>IF('[1]BASE'!F61=0,"",'[1]BASE'!F61)</f>
        <v>159</v>
      </c>
      <c r="G61" s="972" t="str">
        <f>IF('[1]BASE'!G61=0,"",'[1]BASE'!G61)</f>
        <v>C</v>
      </c>
      <c r="H61" s="967">
        <f>IF('[1]BASE'!GQ61=0,"",'[1]BASE'!GQ61)</f>
        <v>1</v>
      </c>
      <c r="I61" s="967" t="str">
        <f>IF('[1]BASE'!GR61=0,"",'[1]BASE'!GR61)</f>
        <v>XXXX</v>
      </c>
      <c r="J61" s="967" t="str">
        <f>IF('[1]BASE'!GS61=0,"",'[1]BASE'!GS61)</f>
        <v>XXXX</v>
      </c>
      <c r="K61" s="967" t="str">
        <f>IF('[1]BASE'!GT61=0,"",'[1]BASE'!GT61)</f>
        <v>XXXX</v>
      </c>
      <c r="L61" s="967" t="str">
        <f>IF('[1]BASE'!GU61=0,"",'[1]BASE'!GU61)</f>
        <v>XXXX</v>
      </c>
      <c r="M61" s="967" t="str">
        <f>IF('[1]BASE'!GV61=0,"",'[1]BASE'!GV61)</f>
        <v>XXXX</v>
      </c>
      <c r="N61" s="967" t="str">
        <f>IF('[1]BASE'!GW61=0,"",'[1]BASE'!GW61)</f>
        <v>XXXX</v>
      </c>
      <c r="O61" s="967" t="str">
        <f>IF('[1]BASE'!GX61=0,"",'[1]BASE'!GX61)</f>
        <v>XXXX</v>
      </c>
      <c r="P61" s="967" t="str">
        <f>IF('[1]BASE'!GY61=0,"",'[1]BASE'!GY61)</f>
        <v>XXXX</v>
      </c>
      <c r="Q61" s="967" t="str">
        <f>IF('[1]BASE'!GZ61=0,"",'[1]BASE'!GZ61)</f>
        <v>XXXX</v>
      </c>
      <c r="R61" s="967" t="str">
        <f>IF('[1]BASE'!HA61=0,"",'[1]BASE'!HA61)</f>
        <v>XXXX</v>
      </c>
      <c r="S61" s="967" t="str">
        <f>IF('[1]BASE'!HB61=0,"",'[1]BASE'!HB61)</f>
        <v>XXXX</v>
      </c>
      <c r="T61" s="968"/>
      <c r="U61" s="964"/>
    </row>
    <row r="62" spans="2:21" s="958" customFormat="1" ht="19.5" customHeight="1">
      <c r="B62" s="959"/>
      <c r="C62" s="969">
        <f>IF('[1]BASE'!C62=0,"",'[1]BASE'!C62)</f>
      </c>
      <c r="D62" s="969" t="str">
        <f>IF('[1]BASE'!D62=0,"",'[1]BASE'!D62)</f>
        <v>ROSARIO OESTE - RIO CORONDA</v>
      </c>
      <c r="E62" s="969">
        <f>IF('[1]BASE'!E62=0,"",'[1]BASE'!E62)</f>
        <v>500</v>
      </c>
      <c r="F62" s="969">
        <f>IF('[1]BASE'!F62=0,"",'[1]BASE'!F62)</f>
        <v>64.99</v>
      </c>
      <c r="G62" s="970" t="str">
        <f>IF('[1]BASE'!G62=0,"",'[1]BASE'!G62)</f>
        <v>B</v>
      </c>
      <c r="H62" s="967" t="str">
        <f>IF('[1]BASE'!GQ62=0,"",'[1]BASE'!GQ62)</f>
        <v>XXXX</v>
      </c>
      <c r="I62" s="967">
        <f>IF('[1]BASE'!GR62=0,"",'[1]BASE'!GR62)</f>
      </c>
      <c r="J62" s="967">
        <f>IF('[1]BASE'!GS62=0,"",'[1]BASE'!GS62)</f>
      </c>
      <c r="K62" s="967">
        <f>IF('[1]BASE'!GT62=0,"",'[1]BASE'!GT62)</f>
      </c>
      <c r="L62" s="967">
        <f>IF('[1]BASE'!GU62=0,"",'[1]BASE'!GU62)</f>
      </c>
      <c r="M62" s="967">
        <f>IF('[1]BASE'!GV62=0,"",'[1]BASE'!GV62)</f>
      </c>
      <c r="N62" s="967">
        <f>IF('[1]BASE'!GW62=0,"",'[1]BASE'!GW62)</f>
      </c>
      <c r="O62" s="967">
        <f>IF('[1]BASE'!GX62=0,"",'[1]BASE'!GX62)</f>
      </c>
      <c r="P62" s="967">
        <f>IF('[1]BASE'!GY62=0,"",'[1]BASE'!GY62)</f>
      </c>
      <c r="Q62" s="967">
        <f>IF('[1]BASE'!GZ62=0,"",'[1]BASE'!GZ62)</f>
      </c>
      <c r="R62" s="967">
        <f>IF('[1]BASE'!HA62=0,"",'[1]BASE'!HA62)</f>
      </c>
      <c r="S62" s="967">
        <f>IF('[1]BASE'!HB62=0,"",'[1]BASE'!HB62)</f>
      </c>
      <c r="T62" s="968"/>
      <c r="U62" s="964"/>
    </row>
    <row r="63" spans="2:21" s="958" customFormat="1" ht="19.5" customHeight="1">
      <c r="B63" s="959"/>
      <c r="C63" s="971">
        <f>IF('[1]BASE'!C63=0,"",'[1]BASE'!C63)</f>
      </c>
      <c r="D63" s="971" t="str">
        <f>IF('[1]BASE'!D63=0,"",'[1]BASE'!D63)</f>
        <v>RIO CORONDA - SANTO TOME</v>
      </c>
      <c r="E63" s="971">
        <f>IF('[1]BASE'!E63=0,"",'[1]BASE'!E63)</f>
        <v>500</v>
      </c>
      <c r="F63" s="971">
        <f>IF('[1]BASE'!F63=0,"",'[1]BASE'!F63)</f>
        <v>137.94</v>
      </c>
      <c r="G63" s="972" t="str">
        <f>IF('[1]BASE'!G63=0,"",'[1]BASE'!G63)</f>
        <v>C</v>
      </c>
      <c r="H63" s="967" t="str">
        <f>IF('[1]BASE'!GQ63=0,"",'[1]BASE'!GQ63)</f>
        <v>XXXX</v>
      </c>
      <c r="I63" s="967">
        <f>IF('[1]BASE'!GR63=0,"",'[1]BASE'!GR63)</f>
      </c>
      <c r="J63" s="967">
        <f>IF('[1]BASE'!GS63=0,"",'[1]BASE'!GS63)</f>
      </c>
      <c r="K63" s="967">
        <f>IF('[1]BASE'!GT63=0,"",'[1]BASE'!GT63)</f>
      </c>
      <c r="L63" s="967">
        <f>IF('[1]BASE'!GU63=0,"",'[1]BASE'!GU63)</f>
        <v>1</v>
      </c>
      <c r="M63" s="967">
        <f>IF('[1]BASE'!GV63=0,"",'[1]BASE'!GV63)</f>
      </c>
      <c r="N63" s="967">
        <f>IF('[1]BASE'!GW63=0,"",'[1]BASE'!GW63)</f>
      </c>
      <c r="O63" s="967">
        <f>IF('[1]BASE'!GX63=0,"",'[1]BASE'!GX63)</f>
      </c>
      <c r="P63" s="967">
        <f>IF('[1]BASE'!GY63=0,"",'[1]BASE'!GY63)</f>
      </c>
      <c r="Q63" s="967">
        <f>IF('[1]BASE'!GZ63=0,"",'[1]BASE'!GZ63)</f>
      </c>
      <c r="R63" s="967">
        <f>IF('[1]BASE'!HA63=0,"",'[1]BASE'!HA63)</f>
      </c>
      <c r="S63" s="967">
        <f>IF('[1]BASE'!HB63=0,"",'[1]BASE'!HB63)</f>
      </c>
      <c r="T63" s="968"/>
      <c r="U63" s="964"/>
    </row>
    <row r="64" spans="2:21" s="958" customFormat="1" ht="9.75" customHeight="1">
      <c r="B64" s="959"/>
      <c r="C64" s="969">
        <f>IF('[1]BASE'!C64=0,"",'[1]BASE'!C64)</f>
        <v>46</v>
      </c>
      <c r="D64" s="969" t="str">
        <f>IF('[1]BASE'!D64=0,"",'[1]BASE'!D64)</f>
        <v>SALTO GRANDE - SANTO TOME </v>
      </c>
      <c r="E64" s="969">
        <f>IF('[1]BASE'!E64=0,"",'[1]BASE'!E64)</f>
        <v>500</v>
      </c>
      <c r="F64" s="969">
        <f>IF('[1]BASE'!F64=0,"",'[1]BASE'!F64)</f>
        <v>289</v>
      </c>
      <c r="G64" s="970" t="str">
        <f>IF('[1]BASE'!G64=0,"",'[1]BASE'!G64)</f>
        <v>C</v>
      </c>
      <c r="H64" s="967">
        <f>IF('[1]BASE'!GQ64=0,"",'[1]BASE'!GQ64)</f>
        <v>2</v>
      </c>
      <c r="I64" s="967">
        <f>IF('[1]BASE'!GR64=0,"",'[1]BASE'!GR64)</f>
      </c>
      <c r="J64" s="967">
        <f>IF('[1]BASE'!GS64=0,"",'[1]BASE'!GS64)</f>
        <v>1</v>
      </c>
      <c r="K64" s="967">
        <f>IF('[1]BASE'!GT64=0,"",'[1]BASE'!GT64)</f>
      </c>
      <c r="L64" s="967">
        <f>IF('[1]BASE'!GU64=0,"",'[1]BASE'!GU64)</f>
        <v>1</v>
      </c>
      <c r="M64" s="967">
        <f>IF('[1]BASE'!GV64=0,"",'[1]BASE'!GV64)</f>
      </c>
      <c r="N64" s="967">
        <f>IF('[1]BASE'!GW64=0,"",'[1]BASE'!GW64)</f>
      </c>
      <c r="O64" s="967">
        <f>IF('[1]BASE'!GX64=0,"",'[1]BASE'!GX64)</f>
      </c>
      <c r="P64" s="967">
        <f>IF('[1]BASE'!GY64=0,"",'[1]BASE'!GY64)</f>
      </c>
      <c r="Q64" s="967">
        <f>IF('[1]BASE'!GZ64=0,"",'[1]BASE'!GZ64)</f>
      </c>
      <c r="R64" s="967">
        <f>IF('[1]BASE'!HA64=0,"",'[1]BASE'!HA64)</f>
      </c>
      <c r="S64" s="967">
        <f>IF('[1]BASE'!HB64=0,"",'[1]BASE'!HB64)</f>
      </c>
      <c r="T64" s="968"/>
      <c r="U64" s="964"/>
    </row>
    <row r="65" spans="2:21" s="958" customFormat="1" ht="19.5" customHeight="1">
      <c r="B65" s="959"/>
      <c r="C65" s="971">
        <f>IF('[1]BASE'!C65=0,"",'[1]BASE'!C65)</f>
        <v>47</v>
      </c>
      <c r="D65" s="971" t="str">
        <f>IF('[1]BASE'!D65=0,"",'[1]BASE'!D65)</f>
        <v>SANTO TOME - ROMANG </v>
      </c>
      <c r="E65" s="971">
        <f>IF('[1]BASE'!E65=0,"",'[1]BASE'!E65)</f>
        <v>500</v>
      </c>
      <c r="F65" s="971">
        <f>IF('[1]BASE'!F65=0,"",'[1]BASE'!F65)</f>
        <v>270</v>
      </c>
      <c r="G65" s="972" t="str">
        <f>IF('[1]BASE'!G65=0,"",'[1]BASE'!G65)</f>
        <v>A</v>
      </c>
      <c r="H65" s="967">
        <f>IF('[1]BASE'!GQ65=0,"",'[1]BASE'!GQ65)</f>
        <v>1</v>
      </c>
      <c r="I65" s="967">
        <f>IF('[1]BASE'!GR65=0,"",'[1]BASE'!GR65)</f>
      </c>
      <c r="J65" s="967">
        <f>IF('[1]BASE'!GS65=0,"",'[1]BASE'!GS65)</f>
      </c>
      <c r="K65" s="967">
        <f>IF('[1]BASE'!GT65=0,"",'[1]BASE'!GT65)</f>
      </c>
      <c r="L65" s="967">
        <f>IF('[1]BASE'!GU65=0,"",'[1]BASE'!GU65)</f>
      </c>
      <c r="M65" s="967">
        <f>IF('[1]BASE'!GV65=0,"",'[1]BASE'!GV65)</f>
      </c>
      <c r="N65" s="967">
        <f>IF('[1]BASE'!GW65=0,"",'[1]BASE'!GW65)</f>
      </c>
      <c r="O65" s="967">
        <f>IF('[1]BASE'!GX65=0,"",'[1]BASE'!GX65)</f>
      </c>
      <c r="P65" s="967">
        <f>IF('[1]BASE'!GY65=0,"",'[1]BASE'!GY65)</f>
      </c>
      <c r="Q65" s="967">
        <f>IF('[1]BASE'!GZ65=0,"",'[1]BASE'!GZ65)</f>
      </c>
      <c r="R65" s="967">
        <f>IF('[1]BASE'!HA65=0,"",'[1]BASE'!HA65)</f>
      </c>
      <c r="S65" s="967">
        <f>IF('[1]BASE'!HB65=0,"",'[1]BASE'!HB65)</f>
      </c>
      <c r="T65" s="968"/>
      <c r="U65" s="964"/>
    </row>
    <row r="66" spans="2:21" s="958" customFormat="1" ht="19.5" customHeight="1">
      <c r="B66" s="959"/>
      <c r="C66" s="969">
        <f>IF('[1]BASE'!C66=0,"",'[1]BASE'!C66)</f>
      </c>
      <c r="D66" s="969">
        <f>IF('[1]BASE'!D66=0,"",'[1]BASE'!D66)</f>
      </c>
      <c r="E66" s="969">
        <f>IF('[1]BASE'!E66=0,"",'[1]BASE'!E66)</f>
      </c>
      <c r="F66" s="969">
        <f>IF('[1]BASE'!F66=0,"",'[1]BASE'!F66)</f>
      </c>
      <c r="G66" s="970">
        <f>IF('[1]BASE'!G66=0,"",'[1]BASE'!G66)</f>
      </c>
      <c r="H66" s="967">
        <f>IF('[1]BASE'!GQ66=0,"",'[1]BASE'!GQ66)</f>
      </c>
      <c r="I66" s="967">
        <f>IF('[1]BASE'!GR66=0,"",'[1]BASE'!GR66)</f>
      </c>
      <c r="J66" s="967">
        <f>IF('[1]BASE'!GS66=0,"",'[1]BASE'!GS66)</f>
      </c>
      <c r="K66" s="967">
        <f>IF('[1]BASE'!GT66=0,"",'[1]BASE'!GT66)</f>
      </c>
      <c r="L66" s="967">
        <f>IF('[1]BASE'!GU66=0,"",'[1]BASE'!GU66)</f>
      </c>
      <c r="M66" s="967">
        <f>IF('[1]BASE'!GV66=0,"",'[1]BASE'!GV66)</f>
      </c>
      <c r="N66" s="967">
        <f>IF('[1]BASE'!GW66=0,"",'[1]BASE'!GW66)</f>
      </c>
      <c r="O66" s="967">
        <f>IF('[1]BASE'!GX66=0,"",'[1]BASE'!GX66)</f>
      </c>
      <c r="P66" s="967">
        <f>IF('[1]BASE'!GY66=0,"",'[1]BASE'!GY66)</f>
      </c>
      <c r="Q66" s="967">
        <f>IF('[1]BASE'!GZ66=0,"",'[1]BASE'!GZ66)</f>
      </c>
      <c r="R66" s="967">
        <f>IF('[1]BASE'!HA66=0,"",'[1]BASE'!HA66)</f>
      </c>
      <c r="S66" s="967">
        <f>IF('[1]BASE'!HB66=0,"",'[1]BASE'!HB66)</f>
      </c>
      <c r="T66" s="968"/>
      <c r="U66" s="964"/>
    </row>
    <row r="67" spans="2:21" s="958" customFormat="1" ht="19.5" customHeight="1">
      <c r="B67" s="959"/>
      <c r="C67" s="971">
        <f>IF('[1]BASE'!C67=0,"",'[1]BASE'!C67)</f>
        <v>48</v>
      </c>
      <c r="D67" s="971" t="str">
        <f>IF('[1]BASE'!D67=0,"",'[1]BASE'!D67)</f>
        <v>GRAL. RODRIGUEZ - VILLA  LIA 1</v>
      </c>
      <c r="E67" s="971">
        <f>IF('[1]BASE'!E67=0,"",'[1]BASE'!E67)</f>
        <v>220</v>
      </c>
      <c r="F67" s="971">
        <f>IF('[1]BASE'!F67=0,"",'[1]BASE'!F67)</f>
        <v>61</v>
      </c>
      <c r="G67" s="972" t="str">
        <f>IF('[1]BASE'!G67=0,"",'[1]BASE'!G67)</f>
        <v>C</v>
      </c>
      <c r="H67" s="967">
        <f>IF('[1]BASE'!GQ67=0,"",'[1]BASE'!GQ67)</f>
      </c>
      <c r="I67" s="967">
        <f>IF('[1]BASE'!GR67=0,"",'[1]BASE'!GR67)</f>
      </c>
      <c r="J67" s="967">
        <f>IF('[1]BASE'!GS67=0,"",'[1]BASE'!GS67)</f>
      </c>
      <c r="K67" s="967">
        <f>IF('[1]BASE'!GT67=0,"",'[1]BASE'!GT67)</f>
      </c>
      <c r="L67" s="967">
        <f>IF('[1]BASE'!GU67=0,"",'[1]BASE'!GU67)</f>
      </c>
      <c r="M67" s="967">
        <f>IF('[1]BASE'!GV67=0,"",'[1]BASE'!GV67)</f>
      </c>
      <c r="N67" s="967">
        <f>IF('[1]BASE'!GW67=0,"",'[1]BASE'!GW67)</f>
      </c>
      <c r="O67" s="967">
        <f>IF('[1]BASE'!GX67=0,"",'[1]BASE'!GX67)</f>
      </c>
      <c r="P67" s="967">
        <f>IF('[1]BASE'!GY67=0,"",'[1]BASE'!GY67)</f>
      </c>
      <c r="Q67" s="967">
        <f>IF('[1]BASE'!GZ67=0,"",'[1]BASE'!GZ67)</f>
        <v>1</v>
      </c>
      <c r="R67" s="967">
        <f>IF('[1]BASE'!HA67=0,"",'[1]BASE'!HA67)</f>
      </c>
      <c r="S67" s="967">
        <f>IF('[1]BASE'!HB67=0,"",'[1]BASE'!HB67)</f>
      </c>
      <c r="T67" s="968"/>
      <c r="U67" s="964"/>
    </row>
    <row r="68" spans="2:21" s="958" customFormat="1" ht="19.5" customHeight="1">
      <c r="B68" s="959"/>
      <c r="C68" s="969">
        <f>IF('[1]BASE'!C68=0,"",'[1]BASE'!C68)</f>
        <v>49</v>
      </c>
      <c r="D68" s="969" t="str">
        <f>IF('[1]BASE'!D68=0,"",'[1]BASE'!D68)</f>
        <v>GRAL. RODRIGUEZ - VILLA  LIA 2</v>
      </c>
      <c r="E68" s="969">
        <f>IF('[1]BASE'!E68=0,"",'[1]BASE'!E68)</f>
        <v>220</v>
      </c>
      <c r="F68" s="969">
        <f>IF('[1]BASE'!F68=0,"",'[1]BASE'!F68)</f>
        <v>61</v>
      </c>
      <c r="G68" s="970" t="str">
        <f>IF('[1]BASE'!G68=0,"",'[1]BASE'!G68)</f>
        <v>C</v>
      </c>
      <c r="H68" s="967">
        <f>IF('[1]BASE'!GQ68=0,"",'[1]BASE'!GQ68)</f>
      </c>
      <c r="I68" s="967">
        <f>IF('[1]BASE'!GR68=0,"",'[1]BASE'!GR68)</f>
      </c>
      <c r="J68" s="967">
        <f>IF('[1]BASE'!GS68=0,"",'[1]BASE'!GS68)</f>
      </c>
      <c r="K68" s="967">
        <f>IF('[1]BASE'!GT68=0,"",'[1]BASE'!GT68)</f>
      </c>
      <c r="L68" s="967">
        <f>IF('[1]BASE'!GU68=0,"",'[1]BASE'!GU68)</f>
      </c>
      <c r="M68" s="967">
        <f>IF('[1]BASE'!GV68=0,"",'[1]BASE'!GV68)</f>
      </c>
      <c r="N68" s="967">
        <f>IF('[1]BASE'!GW68=0,"",'[1]BASE'!GW68)</f>
      </c>
      <c r="O68" s="967">
        <f>IF('[1]BASE'!GX68=0,"",'[1]BASE'!GX68)</f>
      </c>
      <c r="P68" s="967">
        <f>IF('[1]BASE'!GY68=0,"",'[1]BASE'!GY68)</f>
      </c>
      <c r="Q68" s="967">
        <f>IF('[1]BASE'!GZ68=0,"",'[1]BASE'!GZ68)</f>
      </c>
      <c r="R68" s="967">
        <f>IF('[1]BASE'!HA68=0,"",'[1]BASE'!HA68)</f>
      </c>
      <c r="S68" s="967">
        <f>IF('[1]BASE'!HB68=0,"",'[1]BASE'!HB68)</f>
      </c>
      <c r="T68" s="968"/>
      <c r="U68" s="964"/>
    </row>
    <row r="69" spans="2:21" s="958" customFormat="1" ht="19.5" customHeight="1">
      <c r="B69" s="959"/>
      <c r="C69" s="971">
        <f>IF('[1]BASE'!C69=0,"",'[1]BASE'!C69)</f>
        <v>50</v>
      </c>
      <c r="D69" s="971" t="str">
        <f>IF('[1]BASE'!D69=0,"",'[1]BASE'!D69)</f>
        <v>RAMALLO - SAN NICOLAS (2)</v>
      </c>
      <c r="E69" s="971">
        <f>IF('[1]BASE'!E69=0,"",'[1]BASE'!E69)</f>
        <v>220</v>
      </c>
      <c r="F69" s="972">
        <f>IF('[1]BASE'!F69=0,"",'[1]BASE'!F69)</f>
        <v>6</v>
      </c>
      <c r="G69" s="972" t="str">
        <f>IF('[1]BASE'!G69=0,"",'[1]BASE'!G69)</f>
        <v>C</v>
      </c>
      <c r="H69" s="967">
        <f>IF('[1]BASE'!GQ69=0,"",'[1]BASE'!GQ69)</f>
      </c>
      <c r="I69" s="967">
        <f>IF('[1]BASE'!GR69=0,"",'[1]BASE'!GR69)</f>
      </c>
      <c r="J69" s="967">
        <f>IF('[1]BASE'!GS69=0,"",'[1]BASE'!GS69)</f>
      </c>
      <c r="K69" s="967">
        <f>IF('[1]BASE'!GT69=0,"",'[1]BASE'!GT69)</f>
      </c>
      <c r="L69" s="967">
        <f>IF('[1]BASE'!GU69=0,"",'[1]BASE'!GU69)</f>
      </c>
      <c r="M69" s="967">
        <f>IF('[1]BASE'!GV69=0,"",'[1]BASE'!GV69)</f>
      </c>
      <c r="N69" s="967">
        <f>IF('[1]BASE'!GW69=0,"",'[1]BASE'!GW69)</f>
      </c>
      <c r="O69" s="967">
        <f>IF('[1]BASE'!GX69=0,"",'[1]BASE'!GX69)</f>
      </c>
      <c r="P69" s="967">
        <f>IF('[1]BASE'!GY69=0,"",'[1]BASE'!GY69)</f>
      </c>
      <c r="Q69" s="967">
        <f>IF('[1]BASE'!GZ69=0,"",'[1]BASE'!GZ69)</f>
      </c>
      <c r="R69" s="967">
        <f>IF('[1]BASE'!HA69=0,"",'[1]BASE'!HA69)</f>
      </c>
      <c r="S69" s="967">
        <f>IF('[1]BASE'!HB69=0,"",'[1]BASE'!HB69)</f>
      </c>
      <c r="T69" s="968"/>
      <c r="U69" s="964"/>
    </row>
    <row r="70" spans="2:21" s="958" customFormat="1" ht="19.5" customHeight="1">
      <c r="B70" s="959"/>
      <c r="C70" s="969">
        <f>IF('[1]BASE'!C70=0,"",'[1]BASE'!C70)</f>
        <v>51</v>
      </c>
      <c r="D70" s="969" t="str">
        <f>IF('[1]BASE'!D70=0,"",'[1]BASE'!D70)</f>
        <v>RAMALLO - SAN NICOLAS (1)</v>
      </c>
      <c r="E70" s="969">
        <f>IF('[1]BASE'!E70=0,"",'[1]BASE'!E70)</f>
        <v>220</v>
      </c>
      <c r="F70" s="970">
        <f>IF('[1]BASE'!F70=0,"",'[1]BASE'!F70)</f>
        <v>6</v>
      </c>
      <c r="G70" s="970" t="str">
        <f>IF('[1]BASE'!G70=0,"",'[1]BASE'!G70)</f>
        <v>C</v>
      </c>
      <c r="H70" s="967">
        <f>IF('[1]BASE'!GQ70=0,"",'[1]BASE'!GQ70)</f>
      </c>
      <c r="I70" s="967">
        <f>IF('[1]BASE'!GR70=0,"",'[1]BASE'!GR70)</f>
      </c>
      <c r="J70" s="967">
        <f>IF('[1]BASE'!GS70=0,"",'[1]BASE'!GS70)</f>
      </c>
      <c r="K70" s="967">
        <f>IF('[1]BASE'!GT70=0,"",'[1]BASE'!GT70)</f>
      </c>
      <c r="L70" s="967">
        <f>IF('[1]BASE'!GU70=0,"",'[1]BASE'!GU70)</f>
      </c>
      <c r="M70" s="967">
        <f>IF('[1]BASE'!GV70=0,"",'[1]BASE'!GV70)</f>
      </c>
      <c r="N70" s="967">
        <f>IF('[1]BASE'!GW70=0,"",'[1]BASE'!GW70)</f>
      </c>
      <c r="O70" s="967">
        <f>IF('[1]BASE'!GX70=0,"",'[1]BASE'!GX70)</f>
      </c>
      <c r="P70" s="967">
        <f>IF('[1]BASE'!GY70=0,"",'[1]BASE'!GY70)</f>
      </c>
      <c r="Q70" s="967">
        <f>IF('[1]BASE'!GZ70=0,"",'[1]BASE'!GZ70)</f>
      </c>
      <c r="R70" s="967">
        <f>IF('[1]BASE'!HA70=0,"",'[1]BASE'!HA70)</f>
      </c>
      <c r="S70" s="967">
        <f>IF('[1]BASE'!HB70=0,"",'[1]BASE'!HB70)</f>
      </c>
      <c r="T70" s="968"/>
      <c r="U70" s="964"/>
    </row>
    <row r="71" spans="2:21" s="958" customFormat="1" ht="19.5" customHeight="1">
      <c r="B71" s="959"/>
      <c r="C71" s="971">
        <f>IF('[1]BASE'!C71=0,"",'[1]BASE'!C71)</f>
        <v>52</v>
      </c>
      <c r="D71" s="971" t="str">
        <f>IF('[1]BASE'!D71=0,"",'[1]BASE'!D71)</f>
        <v>RAMALLO - VILLA LIA  1</v>
      </c>
      <c r="E71" s="971">
        <f>IF('[1]BASE'!E71=0,"",'[1]BASE'!E71)</f>
        <v>220</v>
      </c>
      <c r="F71" s="972">
        <f>IF('[1]BASE'!F71=0,"",'[1]BASE'!F71)</f>
        <v>114</v>
      </c>
      <c r="G71" s="972" t="str">
        <f>IF('[1]BASE'!G71=0,"",'[1]BASE'!G71)</f>
        <v>C</v>
      </c>
      <c r="H71" s="967">
        <f>IF('[1]BASE'!GQ71=0,"",'[1]BASE'!GQ71)</f>
        <v>1</v>
      </c>
      <c r="I71" s="967">
        <f>IF('[1]BASE'!GR71=0,"",'[1]BASE'!GR71)</f>
      </c>
      <c r="J71" s="967">
        <f>IF('[1]BASE'!GS71=0,"",'[1]BASE'!GS71)</f>
        <v>1</v>
      </c>
      <c r="K71" s="967">
        <f>IF('[1]BASE'!GT71=0,"",'[1]BASE'!GT71)</f>
      </c>
      <c r="L71" s="967">
        <f>IF('[1]BASE'!GU71=0,"",'[1]BASE'!GU71)</f>
      </c>
      <c r="M71" s="967">
        <f>IF('[1]BASE'!GV71=0,"",'[1]BASE'!GV71)</f>
      </c>
      <c r="N71" s="967">
        <f>IF('[1]BASE'!GW71=0,"",'[1]BASE'!GW71)</f>
      </c>
      <c r="O71" s="967">
        <f>IF('[1]BASE'!GX71=0,"",'[1]BASE'!GX71)</f>
      </c>
      <c r="P71" s="967">
        <f>IF('[1]BASE'!GY71=0,"",'[1]BASE'!GY71)</f>
      </c>
      <c r="Q71" s="967">
        <f>IF('[1]BASE'!GZ71=0,"",'[1]BASE'!GZ71)</f>
      </c>
      <c r="R71" s="967">
        <f>IF('[1]BASE'!HA71=0,"",'[1]BASE'!HA71)</f>
      </c>
      <c r="S71" s="967">
        <f>IF('[1]BASE'!HB71=0,"",'[1]BASE'!HB71)</f>
      </c>
      <c r="T71" s="968"/>
      <c r="U71" s="964"/>
    </row>
    <row r="72" spans="2:21" s="958" customFormat="1" ht="19.5" customHeight="1">
      <c r="B72" s="959"/>
      <c r="C72" s="969">
        <f>IF('[1]BASE'!C72=0,"",'[1]BASE'!C72)</f>
        <v>53</v>
      </c>
      <c r="D72" s="969" t="str">
        <f>IF('[1]BASE'!D72=0,"",'[1]BASE'!D72)</f>
        <v>RAMALLO - VILLA LIA  2</v>
      </c>
      <c r="E72" s="969">
        <f>IF('[1]BASE'!E72=0,"",'[1]BASE'!E72)</f>
        <v>220</v>
      </c>
      <c r="F72" s="970">
        <f>IF('[1]BASE'!F72=0,"",'[1]BASE'!F72)</f>
        <v>114</v>
      </c>
      <c r="G72" s="970" t="str">
        <f>IF('[1]BASE'!G72=0,"",'[1]BASE'!G72)</f>
        <v>C</v>
      </c>
      <c r="H72" s="967">
        <f>IF('[1]BASE'!GQ72=0,"",'[1]BASE'!GQ72)</f>
      </c>
      <c r="I72" s="967">
        <f>IF('[1]BASE'!GR72=0,"",'[1]BASE'!GR72)</f>
      </c>
      <c r="J72" s="967">
        <f>IF('[1]BASE'!GS72=0,"",'[1]BASE'!GS72)</f>
      </c>
      <c r="K72" s="967">
        <f>IF('[1]BASE'!GT72=0,"",'[1]BASE'!GT72)</f>
        <v>1</v>
      </c>
      <c r="L72" s="967">
        <f>IF('[1]BASE'!GU72=0,"",'[1]BASE'!GU72)</f>
      </c>
      <c r="M72" s="967">
        <f>IF('[1]BASE'!GV72=0,"",'[1]BASE'!GV72)</f>
      </c>
      <c r="N72" s="967">
        <f>IF('[1]BASE'!GW72=0,"",'[1]BASE'!GW72)</f>
      </c>
      <c r="O72" s="967">
        <f>IF('[1]BASE'!GX72=0,"",'[1]BASE'!GX72)</f>
      </c>
      <c r="P72" s="967">
        <f>IF('[1]BASE'!GY72=0,"",'[1]BASE'!GY72)</f>
      </c>
      <c r="Q72" s="967">
        <f>IF('[1]BASE'!GZ72=0,"",'[1]BASE'!GZ72)</f>
      </c>
      <c r="R72" s="967">
        <f>IF('[1]BASE'!HA72=0,"",'[1]BASE'!HA72)</f>
      </c>
      <c r="S72" s="967">
        <f>IF('[1]BASE'!HB72=0,"",'[1]BASE'!HB72)</f>
      </c>
      <c r="T72" s="968"/>
      <c r="U72" s="964"/>
    </row>
    <row r="73" spans="2:21" s="958" customFormat="1" ht="19.5" customHeight="1">
      <c r="B73" s="959"/>
      <c r="C73" s="971">
        <f>IF('[1]BASE'!C73=0,"",'[1]BASE'!C73)</f>
        <v>54</v>
      </c>
      <c r="D73" s="971" t="str">
        <f>IF('[1]BASE'!D73=0,"",'[1]BASE'!D73)</f>
        <v>ROSARIO OESTE - RAMALLO  1</v>
      </c>
      <c r="E73" s="971">
        <f>IF('[1]BASE'!E73=0,"",'[1]BASE'!E73)</f>
        <v>220</v>
      </c>
      <c r="F73" s="971">
        <f>IF('[1]BASE'!F73=0,"",'[1]BASE'!F73)</f>
        <v>77</v>
      </c>
      <c r="G73" s="972" t="str">
        <f>IF('[1]BASE'!G73=0,"",'[1]BASE'!G73)</f>
        <v>C</v>
      </c>
      <c r="H73" s="967">
        <f>IF('[1]BASE'!GQ73=0,"",'[1]BASE'!GQ73)</f>
      </c>
      <c r="I73" s="967">
        <f>IF('[1]BASE'!GR73=0,"",'[1]BASE'!GR73)</f>
      </c>
      <c r="J73" s="967">
        <f>IF('[1]BASE'!GS73=0,"",'[1]BASE'!GS73)</f>
        <v>1</v>
      </c>
      <c r="K73" s="967">
        <f>IF('[1]BASE'!GT73=0,"",'[1]BASE'!GT73)</f>
        <v>1</v>
      </c>
      <c r="L73" s="967">
        <f>IF('[1]BASE'!GU73=0,"",'[1]BASE'!GU73)</f>
      </c>
      <c r="M73" s="967">
        <f>IF('[1]BASE'!GV73=0,"",'[1]BASE'!GV73)</f>
      </c>
      <c r="N73" s="967">
        <f>IF('[1]BASE'!GW73=0,"",'[1]BASE'!GW73)</f>
      </c>
      <c r="O73" s="967">
        <f>IF('[1]BASE'!GX73=0,"",'[1]BASE'!GX73)</f>
      </c>
      <c r="P73" s="967">
        <f>IF('[1]BASE'!GY73=0,"",'[1]BASE'!GY73)</f>
      </c>
      <c r="Q73" s="967">
        <f>IF('[1]BASE'!GZ73=0,"",'[1]BASE'!GZ73)</f>
      </c>
      <c r="R73" s="967">
        <f>IF('[1]BASE'!HA73=0,"",'[1]BASE'!HA73)</f>
      </c>
      <c r="S73" s="967">
        <f>IF('[1]BASE'!HB73=0,"",'[1]BASE'!HB73)</f>
      </c>
      <c r="T73" s="968"/>
      <c r="U73" s="964"/>
    </row>
    <row r="74" spans="2:21" s="958" customFormat="1" ht="19.5" customHeight="1">
      <c r="B74" s="959"/>
      <c r="C74" s="969">
        <f>IF('[1]BASE'!C74=0,"",'[1]BASE'!C74)</f>
        <v>55</v>
      </c>
      <c r="D74" s="969" t="str">
        <f>IF('[1]BASE'!D74=0,"",'[1]BASE'!D74)</f>
        <v>ROSARIO OESTE - RAMALLO  2</v>
      </c>
      <c r="E74" s="969">
        <f>IF('[1]BASE'!E74=0,"",'[1]BASE'!E74)</f>
        <v>220</v>
      </c>
      <c r="F74" s="969">
        <f>IF('[1]BASE'!F74=0,"",'[1]BASE'!F74)</f>
        <v>77</v>
      </c>
      <c r="G74" s="970" t="str">
        <f>IF('[1]BASE'!G74=0,"",'[1]BASE'!G74)</f>
        <v>C</v>
      </c>
      <c r="H74" s="967">
        <f>IF('[1]BASE'!GQ74=0,"",'[1]BASE'!GQ74)</f>
        <v>1</v>
      </c>
      <c r="I74" s="967">
        <f>IF('[1]BASE'!GR74=0,"",'[1]BASE'!GR74)</f>
      </c>
      <c r="J74" s="967">
        <f>IF('[1]BASE'!GS74=0,"",'[1]BASE'!GS74)</f>
        <v>1</v>
      </c>
      <c r="K74" s="967">
        <f>IF('[1]BASE'!GT74=0,"",'[1]BASE'!GT74)</f>
      </c>
      <c r="L74" s="967">
        <f>IF('[1]BASE'!GU74=0,"",'[1]BASE'!GU74)</f>
      </c>
      <c r="M74" s="967">
        <f>IF('[1]BASE'!GV74=0,"",'[1]BASE'!GV74)</f>
      </c>
      <c r="N74" s="967">
        <f>IF('[1]BASE'!GW74=0,"",'[1]BASE'!GW74)</f>
      </c>
      <c r="O74" s="967">
        <f>IF('[1]BASE'!GX74=0,"",'[1]BASE'!GX74)</f>
      </c>
      <c r="P74" s="967">
        <f>IF('[1]BASE'!GY74=0,"",'[1]BASE'!GY74)</f>
      </c>
      <c r="Q74" s="967">
        <f>IF('[1]BASE'!GZ74=0,"",'[1]BASE'!GZ74)</f>
      </c>
      <c r="R74" s="967">
        <f>IF('[1]BASE'!HA74=0,"",'[1]BASE'!HA74)</f>
      </c>
      <c r="S74" s="967">
        <f>IF('[1]BASE'!HB74=0,"",'[1]BASE'!HB74)</f>
      </c>
      <c r="T74" s="968"/>
      <c r="U74" s="964"/>
    </row>
    <row r="75" spans="2:21" s="958" customFormat="1" ht="9.75" customHeight="1">
      <c r="B75" s="959"/>
      <c r="C75" s="971">
        <f>IF('[1]BASE'!C75=0,"",'[1]BASE'!C75)</f>
        <v>56</v>
      </c>
      <c r="D75" s="971" t="str">
        <f>IF('[1]BASE'!D75=0,"",'[1]BASE'!D75)</f>
        <v>VILLA LIA - ATUCHA 1</v>
      </c>
      <c r="E75" s="971">
        <f>IF('[1]BASE'!E75=0,"",'[1]BASE'!E75)</f>
        <v>220</v>
      </c>
      <c r="F75" s="971">
        <f>IF('[1]BASE'!F75=0,"",'[1]BASE'!F75)</f>
        <v>26</v>
      </c>
      <c r="G75" s="972" t="str">
        <f>IF('[1]BASE'!G75=0,"",'[1]BASE'!G75)</f>
        <v>C</v>
      </c>
      <c r="H75" s="967">
        <f>IF('[1]BASE'!GQ75=0,"",'[1]BASE'!GQ75)</f>
      </c>
      <c r="I75" s="967">
        <f>IF('[1]BASE'!GR75=0,"",'[1]BASE'!GR75)</f>
      </c>
      <c r="J75" s="967">
        <f>IF('[1]BASE'!GS75=0,"",'[1]BASE'!GS75)</f>
      </c>
      <c r="K75" s="967">
        <f>IF('[1]BASE'!GT75=0,"",'[1]BASE'!GT75)</f>
      </c>
      <c r="L75" s="967">
        <f>IF('[1]BASE'!GU75=0,"",'[1]BASE'!GU75)</f>
      </c>
      <c r="M75" s="967">
        <f>IF('[1]BASE'!GV75=0,"",'[1]BASE'!GV75)</f>
      </c>
      <c r="N75" s="967">
        <f>IF('[1]BASE'!GW75=0,"",'[1]BASE'!GW75)</f>
      </c>
      <c r="O75" s="967">
        <f>IF('[1]BASE'!GX75=0,"",'[1]BASE'!GX75)</f>
        <v>1</v>
      </c>
      <c r="P75" s="967">
        <f>IF('[1]BASE'!GY75=0,"",'[1]BASE'!GY75)</f>
      </c>
      <c r="Q75" s="967">
        <f>IF('[1]BASE'!GZ75=0,"",'[1]BASE'!GZ75)</f>
      </c>
      <c r="R75" s="967">
        <f>IF('[1]BASE'!HA75=0,"",'[1]BASE'!HA75)</f>
      </c>
      <c r="S75" s="967">
        <f>IF('[1]BASE'!HB75=0,"",'[1]BASE'!HB75)</f>
      </c>
      <c r="T75" s="968"/>
      <c r="U75" s="964"/>
    </row>
    <row r="76" spans="2:21" s="958" customFormat="1" ht="19.5" customHeight="1">
      <c r="B76" s="959"/>
      <c r="C76" s="969">
        <f>IF('[1]BASE'!C76=0,"",'[1]BASE'!C76)</f>
        <v>57</v>
      </c>
      <c r="D76" s="969" t="str">
        <f>IF('[1]BASE'!D76=0,"",'[1]BASE'!D76)</f>
        <v>VILLA LIA - ATUCHA 2</v>
      </c>
      <c r="E76" s="969">
        <f>IF('[1]BASE'!E76=0,"",'[1]BASE'!E76)</f>
        <v>220</v>
      </c>
      <c r="F76" s="970">
        <f>IF('[1]BASE'!F76=0,"",'[1]BASE'!F76)</f>
        <v>26</v>
      </c>
      <c r="G76" s="970" t="str">
        <f>IF('[1]BASE'!G76=0,"",'[1]BASE'!G76)</f>
        <v>C</v>
      </c>
      <c r="H76" s="967">
        <f>IF('[1]BASE'!GQ76=0,"",'[1]BASE'!GQ76)</f>
      </c>
      <c r="I76" s="967">
        <f>IF('[1]BASE'!GR76=0,"",'[1]BASE'!GR76)</f>
      </c>
      <c r="J76" s="967">
        <f>IF('[1]BASE'!GS76=0,"",'[1]BASE'!GS76)</f>
      </c>
      <c r="K76" s="967">
        <f>IF('[1]BASE'!GT76=0,"",'[1]BASE'!GT76)</f>
      </c>
      <c r="L76" s="967">
        <f>IF('[1]BASE'!GU76=0,"",'[1]BASE'!GU76)</f>
      </c>
      <c r="M76" s="967">
        <f>IF('[1]BASE'!GV76=0,"",'[1]BASE'!GV76)</f>
      </c>
      <c r="N76" s="967">
        <f>IF('[1]BASE'!GW76=0,"",'[1]BASE'!GW76)</f>
      </c>
      <c r="O76" s="967">
        <f>IF('[1]BASE'!GX76=0,"",'[1]BASE'!GX76)</f>
      </c>
      <c r="P76" s="967">
        <f>IF('[1]BASE'!GY76=0,"",'[1]BASE'!GY76)</f>
      </c>
      <c r="Q76" s="967">
        <f>IF('[1]BASE'!GZ76=0,"",'[1]BASE'!GZ76)</f>
      </c>
      <c r="R76" s="967">
        <f>IF('[1]BASE'!HA76=0,"",'[1]BASE'!HA76)</f>
      </c>
      <c r="S76" s="967">
        <f>IF('[1]BASE'!HB76=0,"",'[1]BASE'!HB76)</f>
      </c>
      <c r="T76" s="968"/>
      <c r="U76" s="964"/>
    </row>
    <row r="77" spans="2:21" s="958" customFormat="1" ht="19.5" customHeight="1">
      <c r="B77" s="959"/>
      <c r="C77" s="971">
        <f>IF('[1]BASE'!C77=0,"",'[1]BASE'!C77)</f>
      </c>
      <c r="D77" s="971">
        <f>IF('[1]BASE'!D77=0,"",'[1]BASE'!D77)</f>
      </c>
      <c r="E77" s="971">
        <f>IF('[1]BASE'!E77=0,"",'[1]BASE'!E77)</f>
      </c>
      <c r="F77" s="972">
        <f>IF('[1]BASE'!F77=0,"",'[1]BASE'!F77)</f>
      </c>
      <c r="G77" s="972">
        <f>IF('[1]BASE'!G77=0,"",'[1]BASE'!G77)</f>
      </c>
      <c r="H77" s="967">
        <f>IF('[1]BASE'!GQ77=0,"",'[1]BASE'!GQ77)</f>
      </c>
      <c r="I77" s="967">
        <f>IF('[1]BASE'!GR77=0,"",'[1]BASE'!GR77)</f>
      </c>
      <c r="J77" s="967">
        <f>IF('[1]BASE'!GS77=0,"",'[1]BASE'!GS77)</f>
      </c>
      <c r="K77" s="967">
        <f>IF('[1]BASE'!GT77=0,"",'[1]BASE'!GT77)</f>
      </c>
      <c r="L77" s="967">
        <f>IF('[1]BASE'!GU77=0,"",'[1]BASE'!GU77)</f>
      </c>
      <c r="M77" s="967">
        <f>IF('[1]BASE'!GV77=0,"",'[1]BASE'!GV77)</f>
      </c>
      <c r="N77" s="967">
        <f>IF('[1]BASE'!GW77=0,"",'[1]BASE'!GW77)</f>
      </c>
      <c r="O77" s="967">
        <f>IF('[1]BASE'!GX77=0,"",'[1]BASE'!GX77)</f>
      </c>
      <c r="P77" s="967">
        <f>IF('[1]BASE'!GY77=0,"",'[1]BASE'!GY77)</f>
      </c>
      <c r="Q77" s="967">
        <f>IF('[1]BASE'!GZ77=0,"",'[1]BASE'!GZ77)</f>
      </c>
      <c r="R77" s="967">
        <f>IF('[1]BASE'!HA77=0,"",'[1]BASE'!HA77)</f>
      </c>
      <c r="S77" s="967">
        <f>IF('[1]BASE'!HB77=0,"",'[1]BASE'!HB77)</f>
      </c>
      <c r="T77" s="968"/>
      <c r="U77" s="964"/>
    </row>
    <row r="78" spans="2:21" s="958" customFormat="1" ht="19.5" customHeight="1">
      <c r="B78" s="959"/>
      <c r="C78" s="969">
        <f>IF('[1]BASE'!C78=0,"",'[1]BASE'!C78)</f>
        <v>58</v>
      </c>
      <c r="D78" s="969" t="str">
        <f>IF('[1]BASE'!D78=0,"",'[1]BASE'!D78)</f>
        <v>GRAL RODRIGUEZ - RAMALLO</v>
      </c>
      <c r="E78" s="969">
        <f>IF('[1]BASE'!E78=0,"",'[1]BASE'!E78)</f>
        <v>500</v>
      </c>
      <c r="F78" s="970">
        <f>IF('[1]BASE'!F78=0,"",'[1]BASE'!F78)</f>
        <v>183.9</v>
      </c>
      <c r="G78" s="970" t="str">
        <f>IF('[1]BASE'!G78=0,"",'[1]BASE'!G78)</f>
        <v>C</v>
      </c>
      <c r="H78" s="967">
        <f>IF('[1]BASE'!GQ78=0,"",'[1]BASE'!GQ78)</f>
        <v>1</v>
      </c>
      <c r="I78" s="967">
        <f>IF('[1]BASE'!GR78=0,"",'[1]BASE'!GR78)</f>
      </c>
      <c r="J78" s="967">
        <f>IF('[1]BASE'!GS78=0,"",'[1]BASE'!GS78)</f>
        <v>1</v>
      </c>
      <c r="K78" s="967">
        <f>IF('[1]BASE'!GT78=0,"",'[1]BASE'!GT78)</f>
      </c>
      <c r="L78" s="967">
        <f>IF('[1]BASE'!GU78=0,"",'[1]BASE'!GU78)</f>
      </c>
      <c r="M78" s="967">
        <f>IF('[1]BASE'!GV78=0,"",'[1]BASE'!GV78)</f>
      </c>
      <c r="N78" s="967">
        <f>IF('[1]BASE'!GW78=0,"",'[1]BASE'!GW78)</f>
      </c>
      <c r="O78" s="967">
        <f>IF('[1]BASE'!GX78=0,"",'[1]BASE'!GX78)</f>
      </c>
      <c r="P78" s="967">
        <f>IF('[1]BASE'!GY78=0,"",'[1]BASE'!GY78)</f>
      </c>
      <c r="Q78" s="967">
        <f>IF('[1]BASE'!GZ78=0,"",'[1]BASE'!GZ78)</f>
      </c>
      <c r="R78" s="967">
        <f>IF('[1]BASE'!HA78=0,"",'[1]BASE'!HA78)</f>
      </c>
      <c r="S78" s="967">
        <f>IF('[1]BASE'!HB78=0,"",'[1]BASE'!HB78)</f>
      </c>
      <c r="T78" s="968"/>
      <c r="U78" s="964"/>
    </row>
    <row r="79" spans="2:21" s="958" customFormat="1" ht="19.5" customHeight="1">
      <c r="B79" s="959"/>
      <c r="C79" s="971">
        <f>IF('[1]BASE'!C79=0,"",'[1]BASE'!C79)</f>
        <v>59</v>
      </c>
      <c r="D79" s="971" t="str">
        <f>IF('[1]BASE'!D79=0,"",'[1]BASE'!D79)</f>
        <v>RAMALLO - ROSARIO OESTE</v>
      </c>
      <c r="E79" s="971">
        <f>IF('[1]BASE'!E79=0,"",'[1]BASE'!E79)</f>
        <v>500</v>
      </c>
      <c r="F79" s="971">
        <f>IF('[1]BASE'!F79=0,"",'[1]BASE'!F79)</f>
        <v>77</v>
      </c>
      <c r="G79" s="972" t="str">
        <f>IF('[1]BASE'!G79=0,"",'[1]BASE'!G79)</f>
        <v>C</v>
      </c>
      <c r="H79" s="967">
        <f>IF('[1]BASE'!GQ79=0,"",'[1]BASE'!GQ79)</f>
      </c>
      <c r="I79" s="967">
        <f>IF('[1]BASE'!GR79=0,"",'[1]BASE'!GR79)</f>
      </c>
      <c r="J79" s="967">
        <f>IF('[1]BASE'!GS79=0,"",'[1]BASE'!GS79)</f>
        <v>1</v>
      </c>
      <c r="K79" s="967">
        <f>IF('[1]BASE'!GT79=0,"",'[1]BASE'!GT79)</f>
      </c>
      <c r="L79" s="967">
        <f>IF('[1]BASE'!GU79=0,"",'[1]BASE'!GU79)</f>
      </c>
      <c r="M79" s="967">
        <f>IF('[1]BASE'!GV79=0,"",'[1]BASE'!GV79)</f>
      </c>
      <c r="N79" s="967">
        <f>IF('[1]BASE'!GW79=0,"",'[1]BASE'!GW79)</f>
      </c>
      <c r="O79" s="967">
        <f>IF('[1]BASE'!GX79=0,"",'[1]BASE'!GX79)</f>
      </c>
      <c r="P79" s="967">
        <f>IF('[1]BASE'!GY79=0,"",'[1]BASE'!GY79)</f>
      </c>
      <c r="Q79" s="967">
        <f>IF('[1]BASE'!GZ79=0,"",'[1]BASE'!GZ79)</f>
      </c>
      <c r="R79" s="967">
        <f>IF('[1]BASE'!HA79=0,"",'[1]BASE'!HA79)</f>
      </c>
      <c r="S79" s="967">
        <f>IF('[1]BASE'!HB79=0,"",'[1]BASE'!HB79)</f>
      </c>
      <c r="T79" s="968"/>
      <c r="U79" s="964"/>
    </row>
    <row r="80" spans="2:21" s="958" customFormat="1" ht="9.75" customHeight="1">
      <c r="B80" s="959"/>
      <c r="C80" s="969">
        <f>IF('[1]BASE'!C80=0,"",'[1]BASE'!C80)</f>
        <v>60</v>
      </c>
      <c r="D80" s="969" t="str">
        <f>IF('[1]BASE'!D80=0,"",'[1]BASE'!D80)</f>
        <v>MACACHIN - HENDERSON</v>
      </c>
      <c r="E80" s="969">
        <f>IF('[1]BASE'!E80=0,"",'[1]BASE'!E80)</f>
        <v>500</v>
      </c>
      <c r="F80" s="970">
        <f>IF('[1]BASE'!F80=0,"",'[1]BASE'!F80)</f>
        <v>194</v>
      </c>
      <c r="G80" s="970" t="str">
        <f>IF('[1]BASE'!G80=0,"",'[1]BASE'!G80)</f>
        <v>A</v>
      </c>
      <c r="H80" s="967">
        <f>IF('[1]BASE'!GQ80=0,"",'[1]BASE'!GQ80)</f>
      </c>
      <c r="I80" s="967">
        <f>IF('[1]BASE'!GR80=0,"",'[1]BASE'!GR80)</f>
      </c>
      <c r="J80" s="967">
        <f>IF('[1]BASE'!GS80=0,"",'[1]BASE'!GS80)</f>
      </c>
      <c r="K80" s="967">
        <f>IF('[1]BASE'!GT80=0,"",'[1]BASE'!GT80)</f>
      </c>
      <c r="L80" s="967">
        <f>IF('[1]BASE'!GU80=0,"",'[1]BASE'!GU80)</f>
      </c>
      <c r="M80" s="967">
        <f>IF('[1]BASE'!GV80=0,"",'[1]BASE'!GV80)</f>
      </c>
      <c r="N80" s="967">
        <f>IF('[1]BASE'!GW80=0,"",'[1]BASE'!GW80)</f>
      </c>
      <c r="O80" s="967">
        <f>IF('[1]BASE'!GX80=0,"",'[1]BASE'!GX80)</f>
      </c>
      <c r="P80" s="967">
        <f>IF('[1]BASE'!GY80=0,"",'[1]BASE'!GY80)</f>
      </c>
      <c r="Q80" s="967">
        <f>IF('[1]BASE'!GZ80=0,"",'[1]BASE'!GZ80)</f>
      </c>
      <c r="R80" s="967">
        <f>IF('[1]BASE'!HA80=0,"",'[1]BASE'!HA80)</f>
      </c>
      <c r="S80" s="967">
        <f>IF('[1]BASE'!HB80=0,"",'[1]BASE'!HB80)</f>
      </c>
      <c r="T80" s="968"/>
      <c r="U80" s="964"/>
    </row>
    <row r="81" spans="2:21" s="958" customFormat="1" ht="9.75" customHeight="1">
      <c r="B81" s="959"/>
      <c r="C81" s="971">
        <f>IF('[1]BASE'!C81=0,"",'[1]BASE'!C81)</f>
        <v>61</v>
      </c>
      <c r="D81" s="971" t="str">
        <f>IF('[1]BASE'!D81=0,"",'[1]BASE'!D81)</f>
        <v>PUELCHES - MACACHIN</v>
      </c>
      <c r="E81" s="971">
        <f>IF('[1]BASE'!E81=0,"",'[1]BASE'!E81)</f>
        <v>500</v>
      </c>
      <c r="F81" s="972">
        <f>IF('[1]BASE'!F81=0,"",'[1]BASE'!F81)</f>
        <v>227</v>
      </c>
      <c r="G81" s="972" t="str">
        <f>IF('[1]BASE'!G81=0,"",'[1]BASE'!G81)</f>
        <v>A</v>
      </c>
      <c r="H81" s="967">
        <f>IF('[1]BASE'!GQ81=0,"",'[1]BASE'!GQ81)</f>
      </c>
      <c r="I81" s="967">
        <f>IF('[1]BASE'!GR81=0,"",'[1]BASE'!GR81)</f>
      </c>
      <c r="J81" s="967">
        <f>IF('[1]BASE'!GS81=0,"",'[1]BASE'!GS81)</f>
      </c>
      <c r="K81" s="967">
        <f>IF('[1]BASE'!GT81=0,"",'[1]BASE'!GT81)</f>
      </c>
      <c r="L81" s="967">
        <f>IF('[1]BASE'!GU81=0,"",'[1]BASE'!GU81)</f>
      </c>
      <c r="M81" s="967">
        <f>IF('[1]BASE'!GV81=0,"",'[1]BASE'!GV81)</f>
      </c>
      <c r="N81" s="967">
        <f>IF('[1]BASE'!GW81=0,"",'[1]BASE'!GW81)</f>
      </c>
      <c r="O81" s="967">
        <f>IF('[1]BASE'!GX81=0,"",'[1]BASE'!GX81)</f>
      </c>
      <c r="P81" s="967">
        <f>IF('[1]BASE'!GY81=0,"",'[1]BASE'!GY81)</f>
      </c>
      <c r="Q81" s="967">
        <f>IF('[1]BASE'!GZ81=0,"",'[1]BASE'!GZ81)</f>
      </c>
      <c r="R81" s="967">
        <f>IF('[1]BASE'!HA81=0,"",'[1]BASE'!HA81)</f>
      </c>
      <c r="S81" s="967">
        <f>IF('[1]BASE'!HB81=0,"",'[1]BASE'!HB81)</f>
      </c>
      <c r="T81" s="968"/>
      <c r="U81" s="964"/>
    </row>
    <row r="82" spans="2:21" s="958" customFormat="1" ht="19.5" customHeight="1">
      <c r="B82" s="959"/>
      <c r="C82" s="969">
        <f>IF('[1]BASE'!C82=0,"",'[1]BASE'!C82)</f>
      </c>
      <c r="D82" s="969">
        <f>IF('[1]BASE'!D82=0,"",'[1]BASE'!D82)</f>
      </c>
      <c r="E82" s="969">
        <f>IF('[1]BASE'!E82=0,"",'[1]BASE'!E82)</f>
      </c>
      <c r="F82" s="970">
        <f>IF('[1]BASE'!F82=0,"",'[1]BASE'!F82)</f>
      </c>
      <c r="G82" s="970">
        <f>IF('[1]BASE'!G82=0,"",'[1]BASE'!G82)</f>
      </c>
      <c r="H82" s="967">
        <f>IF('[1]BASE'!GQ82=0,"",'[1]BASE'!GQ82)</f>
      </c>
      <c r="I82" s="967">
        <f>IF('[1]BASE'!GR82=0,"",'[1]BASE'!GR82)</f>
      </c>
      <c r="J82" s="967">
        <f>IF('[1]BASE'!GS82=0,"",'[1]BASE'!GS82)</f>
      </c>
      <c r="K82" s="967">
        <f>IF('[1]BASE'!GT82=0,"",'[1]BASE'!GT82)</f>
      </c>
      <c r="L82" s="967">
        <f>IF('[1]BASE'!GU82=0,"",'[1]BASE'!GU82)</f>
      </c>
      <c r="M82" s="967">
        <f>IF('[1]BASE'!GV82=0,"",'[1]BASE'!GV82)</f>
      </c>
      <c r="N82" s="967">
        <f>IF('[1]BASE'!GW82=0,"",'[1]BASE'!GW82)</f>
      </c>
      <c r="O82" s="967">
        <f>IF('[1]BASE'!GX82=0,"",'[1]BASE'!GX82)</f>
      </c>
      <c r="P82" s="967">
        <f>IF('[1]BASE'!GY82=0,"",'[1]BASE'!GY82)</f>
      </c>
      <c r="Q82" s="967">
        <f>IF('[1]BASE'!GZ82=0,"",'[1]BASE'!GZ82)</f>
      </c>
      <c r="R82" s="967">
        <f>IF('[1]BASE'!HA82=0,"",'[1]BASE'!HA82)</f>
      </c>
      <c r="S82" s="967">
        <f>IF('[1]BASE'!HB82=0,"",'[1]BASE'!HB82)</f>
      </c>
      <c r="T82" s="968"/>
      <c r="U82" s="964"/>
    </row>
    <row r="83" spans="2:21" s="958" customFormat="1" ht="19.5" customHeight="1">
      <c r="B83" s="959"/>
      <c r="C83" s="971">
        <f>IF('[1]BASE'!C83=0,"",'[1]BASE'!C83)</f>
      </c>
      <c r="D83" s="971">
        <f>IF('[1]BASE'!D83=0,"",'[1]BASE'!D83)</f>
      </c>
      <c r="E83" s="971">
        <f>IF('[1]BASE'!E83=0,"",'[1]BASE'!E83)</f>
      </c>
      <c r="F83" s="971">
        <f>IF('[1]BASE'!F83=0,"",'[1]BASE'!F83)</f>
      </c>
      <c r="G83" s="972">
        <f>IF('[1]BASE'!G83=0,"",'[1]BASE'!G83)</f>
      </c>
      <c r="H83" s="967">
        <f>IF('[1]BASE'!GQ83=0,"",'[1]BASE'!GQ83)</f>
      </c>
      <c r="I83" s="967">
        <f>IF('[1]BASE'!GR83=0,"",'[1]BASE'!GR83)</f>
      </c>
      <c r="J83" s="967">
        <f>IF('[1]BASE'!GS83=0,"",'[1]BASE'!GS83)</f>
      </c>
      <c r="K83" s="967">
        <f>IF('[1]BASE'!GT83=0,"",'[1]BASE'!GT83)</f>
      </c>
      <c r="L83" s="967">
        <f>IF('[1]BASE'!GU83=0,"",'[1]BASE'!GU83)</f>
      </c>
      <c r="M83" s="967">
        <f>IF('[1]BASE'!GV83=0,"",'[1]BASE'!GV83)</f>
      </c>
      <c r="N83" s="967">
        <f>IF('[1]BASE'!GW83=0,"",'[1]BASE'!GW83)</f>
      </c>
      <c r="O83" s="967">
        <f>IF('[1]BASE'!GX83=0,"",'[1]BASE'!GX83)</f>
      </c>
      <c r="P83" s="967">
        <f>IF('[1]BASE'!GY83=0,"",'[1]BASE'!GY83)</f>
      </c>
      <c r="Q83" s="967">
        <f>IF('[1]BASE'!GZ83=0,"",'[1]BASE'!GZ83)</f>
      </c>
      <c r="R83" s="967">
        <f>IF('[1]BASE'!HA83=0,"",'[1]BASE'!HA83)</f>
      </c>
      <c r="S83" s="967">
        <f>IF('[1]BASE'!HB83=0,"",'[1]BASE'!HB83)</f>
      </c>
      <c r="T83" s="968"/>
      <c r="U83" s="964"/>
    </row>
    <row r="84" spans="2:21" s="958" customFormat="1" ht="19.5" customHeight="1">
      <c r="B84" s="959"/>
      <c r="C84" s="969">
        <f>IF('[1]BASE'!C84=0,"",'[1]BASE'!C84)</f>
        <v>62</v>
      </c>
      <c r="D84" s="969" t="str">
        <f>IF('[1]BASE'!D84=0,"",'[1]BASE'!D84)</f>
        <v>YACYRETÁ - RINCON I</v>
      </c>
      <c r="E84" s="969">
        <f>IF('[1]BASE'!E84=0,"",'[1]BASE'!E84)</f>
        <v>500</v>
      </c>
      <c r="F84" s="970">
        <f>IF('[1]BASE'!F84=0,"",'[1]BASE'!F84)</f>
        <v>3.6</v>
      </c>
      <c r="G84" s="970" t="str">
        <f>IF('[1]BASE'!G84=0,"",'[1]BASE'!G84)</f>
        <v>B</v>
      </c>
      <c r="H84" s="967">
        <f>IF('[1]BASE'!GQ84=0,"",'[1]BASE'!GQ84)</f>
      </c>
      <c r="I84" s="967">
        <f>IF('[1]BASE'!GR84=0,"",'[1]BASE'!GR84)</f>
      </c>
      <c r="J84" s="967">
        <f>IF('[1]BASE'!GS84=0,"",'[1]BASE'!GS84)</f>
      </c>
      <c r="K84" s="967">
        <f>IF('[1]BASE'!GT84=0,"",'[1]BASE'!GT84)</f>
      </c>
      <c r="L84" s="967">
        <f>IF('[1]BASE'!GU84=0,"",'[1]BASE'!GU84)</f>
      </c>
      <c r="M84" s="967">
        <f>IF('[1]BASE'!GV84=0,"",'[1]BASE'!GV84)</f>
      </c>
      <c r="N84" s="967">
        <f>IF('[1]BASE'!GW84=0,"",'[1]BASE'!GW84)</f>
      </c>
      <c r="O84" s="967">
        <f>IF('[1]BASE'!GX84=0,"",'[1]BASE'!GX84)</f>
      </c>
      <c r="P84" s="967">
        <f>IF('[1]BASE'!GY84=0,"",'[1]BASE'!GY84)</f>
      </c>
      <c r="Q84" s="967">
        <f>IF('[1]BASE'!GZ84=0,"",'[1]BASE'!GZ84)</f>
      </c>
      <c r="R84" s="967">
        <f>IF('[1]BASE'!HA84=0,"",'[1]BASE'!HA84)</f>
      </c>
      <c r="S84" s="967">
        <f>IF('[1]BASE'!HB84=0,"",'[1]BASE'!HB84)</f>
      </c>
      <c r="T84" s="968"/>
      <c r="U84" s="964"/>
    </row>
    <row r="85" spans="2:21" s="958" customFormat="1" ht="19.5" customHeight="1">
      <c r="B85" s="959"/>
      <c r="C85" s="971">
        <f>IF('[1]BASE'!C85=0,"",'[1]BASE'!C85)</f>
        <v>63</v>
      </c>
      <c r="D85" s="971" t="str">
        <f>IF('[1]BASE'!D85=0,"",'[1]BASE'!D85)</f>
        <v>YACYRETÁ - RINCON II</v>
      </c>
      <c r="E85" s="971">
        <f>IF('[1]BASE'!E85=0,"",'[1]BASE'!E85)</f>
        <v>500</v>
      </c>
      <c r="F85" s="972">
        <f>IF('[1]BASE'!F85=0,"",'[1]BASE'!F85)</f>
        <v>3.6</v>
      </c>
      <c r="G85" s="972" t="str">
        <f>IF('[1]BASE'!G85=0,"",'[1]BASE'!G85)</f>
        <v>B</v>
      </c>
      <c r="H85" s="967">
        <f>IF('[1]BASE'!GQ85=0,"",'[1]BASE'!GQ85)</f>
      </c>
      <c r="I85" s="967">
        <f>IF('[1]BASE'!GR85=0,"",'[1]BASE'!GR85)</f>
      </c>
      <c r="J85" s="967">
        <f>IF('[1]BASE'!GS85=0,"",'[1]BASE'!GS85)</f>
      </c>
      <c r="K85" s="967">
        <f>IF('[1]BASE'!GT85=0,"",'[1]BASE'!GT85)</f>
      </c>
      <c r="L85" s="967">
        <f>IF('[1]BASE'!GU85=0,"",'[1]BASE'!GU85)</f>
      </c>
      <c r="M85" s="967">
        <f>IF('[1]BASE'!GV85=0,"",'[1]BASE'!GV85)</f>
      </c>
      <c r="N85" s="967">
        <f>IF('[1]BASE'!GW85=0,"",'[1]BASE'!GW85)</f>
      </c>
      <c r="O85" s="967">
        <f>IF('[1]BASE'!GX85=0,"",'[1]BASE'!GX85)</f>
      </c>
      <c r="P85" s="967">
        <f>IF('[1]BASE'!GY85=0,"",'[1]BASE'!GY85)</f>
      </c>
      <c r="Q85" s="967">
        <f>IF('[1]BASE'!GZ85=0,"",'[1]BASE'!GZ85)</f>
      </c>
      <c r="R85" s="967">
        <f>IF('[1]BASE'!HA85=0,"",'[1]BASE'!HA85)</f>
      </c>
      <c r="S85" s="967">
        <f>IF('[1]BASE'!HB85=0,"",'[1]BASE'!HB85)</f>
      </c>
      <c r="T85" s="968"/>
      <c r="U85" s="964"/>
    </row>
    <row r="86" spans="2:21" s="958" customFormat="1" ht="19.5" customHeight="1">
      <c r="B86" s="959"/>
      <c r="C86" s="969">
        <f>IF('[1]BASE'!C86=0,"",'[1]BASE'!C86)</f>
        <v>64</v>
      </c>
      <c r="D86" s="969" t="str">
        <f>IF('[1]BASE'!D86=0,"",'[1]BASE'!D86)</f>
        <v>YACYRETÁ - RINCON III</v>
      </c>
      <c r="E86" s="969">
        <f>IF('[1]BASE'!E86=0,"",'[1]BASE'!E86)</f>
        <v>500</v>
      </c>
      <c r="F86" s="970">
        <f>IF('[1]BASE'!F86=0,"",'[1]BASE'!F86)</f>
        <v>3.6</v>
      </c>
      <c r="G86" s="970" t="str">
        <f>IF('[1]BASE'!G86=0,"",'[1]BASE'!G86)</f>
        <v>B</v>
      </c>
      <c r="H86" s="967">
        <f>IF('[1]BASE'!GQ86=0,"",'[1]BASE'!GQ86)</f>
      </c>
      <c r="I86" s="967">
        <f>IF('[1]BASE'!GR86=0,"",'[1]BASE'!GR86)</f>
      </c>
      <c r="J86" s="967">
        <f>IF('[1]BASE'!GS86=0,"",'[1]BASE'!GS86)</f>
      </c>
      <c r="K86" s="967">
        <f>IF('[1]BASE'!GT86=0,"",'[1]BASE'!GT86)</f>
      </c>
      <c r="L86" s="967">
        <f>IF('[1]BASE'!GU86=0,"",'[1]BASE'!GU86)</f>
      </c>
      <c r="M86" s="967">
        <f>IF('[1]BASE'!GV86=0,"",'[1]BASE'!GV86)</f>
      </c>
      <c r="N86" s="967">
        <f>IF('[1]BASE'!GW86=0,"",'[1]BASE'!GW86)</f>
      </c>
      <c r="O86" s="967">
        <f>IF('[1]BASE'!GX86=0,"",'[1]BASE'!GX86)</f>
      </c>
      <c r="P86" s="967">
        <f>IF('[1]BASE'!GY86=0,"",'[1]BASE'!GY86)</f>
      </c>
      <c r="Q86" s="967">
        <f>IF('[1]BASE'!GZ86=0,"",'[1]BASE'!GZ86)</f>
      </c>
      <c r="R86" s="967">
        <f>IF('[1]BASE'!HA86=0,"",'[1]BASE'!HA86)</f>
      </c>
      <c r="S86" s="967">
        <f>IF('[1]BASE'!HB86=0,"",'[1]BASE'!HB86)</f>
      </c>
      <c r="T86" s="968"/>
      <c r="U86" s="964"/>
    </row>
    <row r="87" spans="2:21" s="958" customFormat="1" ht="19.5" customHeight="1">
      <c r="B87" s="959"/>
      <c r="C87" s="971">
        <f>IF('[1]BASE'!C87=0,"",'[1]BASE'!C87)</f>
        <v>65</v>
      </c>
      <c r="D87" s="971" t="str">
        <f>IF('[1]BASE'!D87=0,"",'[1]BASE'!D87)</f>
        <v>RINCON - PASO DE LA PATRIA</v>
      </c>
      <c r="E87" s="971">
        <f>IF('[1]BASE'!E87=0,"",'[1]BASE'!E87)</f>
        <v>500</v>
      </c>
      <c r="F87" s="971">
        <f>IF('[1]BASE'!F87=0,"",'[1]BASE'!F87)</f>
        <v>227</v>
      </c>
      <c r="G87" s="972" t="str">
        <f>IF('[1]BASE'!G87=0,"",'[1]BASE'!G87)</f>
        <v>A</v>
      </c>
      <c r="H87" s="967">
        <f>IF('[1]BASE'!GQ87=0,"",'[1]BASE'!GQ87)</f>
      </c>
      <c r="I87" s="967">
        <f>IF('[1]BASE'!GR87=0,"",'[1]BASE'!GR87)</f>
      </c>
      <c r="J87" s="967">
        <f>IF('[1]BASE'!GS87=0,"",'[1]BASE'!GS87)</f>
      </c>
      <c r="K87" s="967">
        <f>IF('[1]BASE'!GT87=0,"",'[1]BASE'!GT87)</f>
      </c>
      <c r="L87" s="967">
        <f>IF('[1]BASE'!GU87=0,"",'[1]BASE'!GU87)</f>
      </c>
      <c r="M87" s="967">
        <f>IF('[1]BASE'!GV87=0,"",'[1]BASE'!GV87)</f>
      </c>
      <c r="N87" s="967">
        <f>IF('[1]BASE'!GW87=0,"",'[1]BASE'!GW87)</f>
      </c>
      <c r="O87" s="967">
        <f>IF('[1]BASE'!GX87=0,"",'[1]BASE'!GX87)</f>
      </c>
      <c r="P87" s="967">
        <f>IF('[1]BASE'!GY87=0,"",'[1]BASE'!GY87)</f>
      </c>
      <c r="Q87" s="967">
        <f>IF('[1]BASE'!GZ87=0,"",'[1]BASE'!GZ87)</f>
      </c>
      <c r="R87" s="967">
        <f>IF('[1]BASE'!HA87=0,"",'[1]BASE'!HA87)</f>
      </c>
      <c r="S87" s="967">
        <f>IF('[1]BASE'!HB87=0,"",'[1]BASE'!HB87)</f>
      </c>
      <c r="T87" s="968"/>
      <c r="U87" s="964"/>
    </row>
    <row r="88" spans="2:21" s="958" customFormat="1" ht="9.75" customHeight="1">
      <c r="B88" s="959"/>
      <c r="C88" s="969">
        <f>IF('[1]BASE'!C88=0,"",'[1]BASE'!C88)</f>
        <v>66</v>
      </c>
      <c r="D88" s="969" t="str">
        <f>IF('[1]BASE'!D88=0,"",'[1]BASE'!D88)</f>
        <v>PASO DE LA PATRIA - RESISTENCIA</v>
      </c>
      <c r="E88" s="969">
        <f>IF('[1]BASE'!E88=0,"",'[1]BASE'!E88)</f>
        <v>500</v>
      </c>
      <c r="F88" s="970">
        <f>IF('[1]BASE'!F88=0,"",'[1]BASE'!F88)</f>
        <v>40</v>
      </c>
      <c r="G88" s="970" t="str">
        <f>IF('[1]BASE'!G88=0,"",'[1]BASE'!G88)</f>
        <v>C</v>
      </c>
      <c r="H88" s="967">
        <f>IF('[1]BASE'!GQ88=0,"",'[1]BASE'!GQ88)</f>
      </c>
      <c r="I88" s="967">
        <f>IF('[1]BASE'!GR88=0,"",'[1]BASE'!GR88)</f>
      </c>
      <c r="J88" s="967">
        <f>IF('[1]BASE'!GS88=0,"",'[1]BASE'!GS88)</f>
      </c>
      <c r="K88" s="967">
        <f>IF('[1]BASE'!GT88=0,"",'[1]BASE'!GT88)</f>
      </c>
      <c r="L88" s="967">
        <f>IF('[1]BASE'!GU88=0,"",'[1]BASE'!GU88)</f>
      </c>
      <c r="M88" s="967">
        <f>IF('[1]BASE'!GV88=0,"",'[1]BASE'!GV88)</f>
      </c>
      <c r="N88" s="967">
        <f>IF('[1]BASE'!GW88=0,"",'[1]BASE'!GW88)</f>
      </c>
      <c r="O88" s="967">
        <f>IF('[1]BASE'!GX88=0,"",'[1]BASE'!GX88)</f>
      </c>
      <c r="P88" s="967">
        <f>IF('[1]BASE'!GY88=0,"",'[1]BASE'!GY88)</f>
      </c>
      <c r="Q88" s="967">
        <f>IF('[1]BASE'!GZ88=0,"",'[1]BASE'!GZ88)</f>
      </c>
      <c r="R88" s="967">
        <f>IF('[1]BASE'!HA88=0,"",'[1]BASE'!HA88)</f>
      </c>
      <c r="S88" s="967">
        <f>IF('[1]BASE'!HB88=0,"",'[1]BASE'!HB88)</f>
      </c>
      <c r="T88" s="968"/>
      <c r="U88" s="964"/>
    </row>
    <row r="89" spans="2:21" s="958" customFormat="1" ht="19.5" customHeight="1">
      <c r="B89" s="959"/>
      <c r="C89" s="971">
        <f>IF('[1]BASE'!C89=0,"",'[1]BASE'!C89)</f>
        <v>67</v>
      </c>
      <c r="D89" s="971" t="str">
        <f>IF('[1]BASE'!D89=0,"",'[1]BASE'!D89)</f>
        <v>RINCON - RESISTENCIA</v>
      </c>
      <c r="E89" s="971">
        <f>IF('[1]BASE'!E89=0,"",'[1]BASE'!E89)</f>
        <v>500</v>
      </c>
      <c r="F89" s="972">
        <f>IF('[1]BASE'!F89=0,"",'[1]BASE'!F89)</f>
        <v>267</v>
      </c>
      <c r="G89" s="972" t="str">
        <f>IF('[1]BASE'!G89=0,"",'[1]BASE'!G89)</f>
        <v>B</v>
      </c>
      <c r="H89" s="967" t="str">
        <f>IF('[1]BASE'!GQ89=0,"",'[1]BASE'!GQ89)</f>
        <v>XXXX</v>
      </c>
      <c r="I89" s="967" t="str">
        <f>IF('[1]BASE'!GR89=0,"",'[1]BASE'!GR89)</f>
        <v>XXXX</v>
      </c>
      <c r="J89" s="967" t="str">
        <f>IF('[1]BASE'!GS89=0,"",'[1]BASE'!GS89)</f>
        <v>XXXX</v>
      </c>
      <c r="K89" s="967" t="str">
        <f>IF('[1]BASE'!GT89=0,"",'[1]BASE'!GT89)</f>
        <v>XXXX</v>
      </c>
      <c r="L89" s="967" t="str">
        <f>IF('[1]BASE'!GU89=0,"",'[1]BASE'!GU89)</f>
        <v>XXXX</v>
      </c>
      <c r="M89" s="967" t="str">
        <f>IF('[1]BASE'!GV89=0,"",'[1]BASE'!GV89)</f>
        <v>XXXX</v>
      </c>
      <c r="N89" s="967" t="str">
        <f>IF('[1]BASE'!GW89=0,"",'[1]BASE'!GW89)</f>
        <v>XXXX</v>
      </c>
      <c r="O89" s="967" t="str">
        <f>IF('[1]BASE'!GX89=0,"",'[1]BASE'!GX89)</f>
        <v>XXXX</v>
      </c>
      <c r="P89" s="967" t="str">
        <f>IF('[1]BASE'!GY89=0,"",'[1]BASE'!GY89)</f>
        <v>XXXX</v>
      </c>
      <c r="Q89" s="967" t="str">
        <f>IF('[1]BASE'!GZ89=0,"",'[1]BASE'!GZ89)</f>
        <v>XXXX</v>
      </c>
      <c r="R89" s="967" t="str">
        <f>IF('[1]BASE'!HA89=0,"",'[1]BASE'!HA89)</f>
        <v>XXXX</v>
      </c>
      <c r="S89" s="967" t="str">
        <f>IF('[1]BASE'!HB89=0,"",'[1]BASE'!HB89)</f>
        <v>XXXX</v>
      </c>
      <c r="T89" s="968"/>
      <c r="U89" s="964"/>
    </row>
    <row r="90" spans="2:21" s="958" customFormat="1" ht="19.5" customHeight="1">
      <c r="B90" s="959"/>
      <c r="C90" s="969">
        <f>IF('[1]BASE'!C90=0,"",'[1]BASE'!C90)</f>
      </c>
      <c r="D90" s="969">
        <f>IF('[1]BASE'!D90=0,"",'[1]BASE'!D90)</f>
      </c>
      <c r="E90" s="969">
        <f>IF('[1]BASE'!E90=0,"",'[1]BASE'!E90)</f>
      </c>
      <c r="F90" s="970">
        <f>IF('[1]BASE'!F90=0,"",'[1]BASE'!F90)</f>
      </c>
      <c r="G90" s="970">
        <f>IF('[1]BASE'!G90=0,"",'[1]BASE'!G90)</f>
      </c>
      <c r="H90" s="967">
        <f>IF('[1]BASE'!GQ90=0,"",'[1]BASE'!GQ90)</f>
      </c>
      <c r="I90" s="967">
        <f>IF('[1]BASE'!GR90=0,"",'[1]BASE'!GR90)</f>
      </c>
      <c r="J90" s="967">
        <f>IF('[1]BASE'!GS90=0,"",'[1]BASE'!GS90)</f>
      </c>
      <c r="K90" s="967">
        <f>IF('[1]BASE'!GT90=0,"",'[1]BASE'!GT90)</f>
      </c>
      <c r="L90" s="967">
        <f>IF('[1]BASE'!GU90=0,"",'[1]BASE'!GU90)</f>
      </c>
      <c r="M90" s="967">
        <f>IF('[1]BASE'!GV90=0,"",'[1]BASE'!GV90)</f>
      </c>
      <c r="N90" s="967">
        <f>IF('[1]BASE'!GW90=0,"",'[1]BASE'!GW90)</f>
      </c>
      <c r="O90" s="967">
        <f>IF('[1]BASE'!GX90=0,"",'[1]BASE'!GX90)</f>
      </c>
      <c r="P90" s="967">
        <f>IF('[1]BASE'!GY90=0,"",'[1]BASE'!GY90)</f>
      </c>
      <c r="Q90" s="967">
        <f>IF('[1]BASE'!GZ90=0,"",'[1]BASE'!GZ90)</f>
      </c>
      <c r="R90" s="967">
        <f>IF('[1]BASE'!HA90=0,"",'[1]BASE'!HA90)</f>
      </c>
      <c r="S90" s="967">
        <f>IF('[1]BASE'!HB90=0,"",'[1]BASE'!HB90)</f>
      </c>
      <c r="T90" s="968"/>
      <c r="U90" s="964"/>
    </row>
    <row r="91" spans="2:21" s="958" customFormat="1" ht="9.75" customHeight="1">
      <c r="B91" s="959"/>
      <c r="C91" s="971">
        <f>IF('[1]BASE'!C91=0,"",'[1]BASE'!C91)</f>
        <v>68</v>
      </c>
      <c r="D91" s="971" t="str">
        <f>IF('[1]BASE'!D91=0,"",'[1]BASE'!D91)</f>
        <v>RINCON - SALTO GRANDE</v>
      </c>
      <c r="E91" s="971">
        <f>IF('[1]BASE'!E91=0,"",'[1]BASE'!E91)</f>
        <v>500</v>
      </c>
      <c r="F91" s="971">
        <f>IF('[1]BASE'!F91=0,"",'[1]BASE'!F91)</f>
        <v>506</v>
      </c>
      <c r="G91" s="972" t="str">
        <f>IF('[1]BASE'!G91=0,"",'[1]BASE'!G91)</f>
        <v>A</v>
      </c>
      <c r="H91" s="967">
        <f>IF('[1]BASE'!GQ91=0,"",'[1]BASE'!GQ91)</f>
      </c>
      <c r="I91" s="967">
        <f>IF('[1]BASE'!GR91=0,"",'[1]BASE'!GR91)</f>
      </c>
      <c r="J91" s="967">
        <f>IF('[1]BASE'!GS91=0,"",'[1]BASE'!GS91)</f>
      </c>
      <c r="K91" s="967">
        <f>IF('[1]BASE'!GT91=0,"",'[1]BASE'!GT91)</f>
      </c>
      <c r="L91" s="967">
        <f>IF('[1]BASE'!GU91=0,"",'[1]BASE'!GU91)</f>
      </c>
      <c r="M91" s="967">
        <f>IF('[1]BASE'!GV91=0,"",'[1]BASE'!GV91)</f>
      </c>
      <c r="N91" s="967">
        <f>IF('[1]BASE'!GW91=0,"",'[1]BASE'!GW91)</f>
      </c>
      <c r="O91" s="967">
        <f>IF('[1]BASE'!GX91=0,"",'[1]BASE'!GX91)</f>
      </c>
      <c r="P91" s="967">
        <f>IF('[1]BASE'!GY91=0,"",'[1]BASE'!GY91)</f>
      </c>
      <c r="Q91" s="967">
        <f>IF('[1]BASE'!GZ91=0,"",'[1]BASE'!GZ91)</f>
      </c>
      <c r="R91" s="967">
        <f>IF('[1]BASE'!HA91=0,"",'[1]BASE'!HA91)</f>
      </c>
      <c r="S91" s="967">
        <f>IF('[1]BASE'!HB91=0,"",'[1]BASE'!HB91)</f>
      </c>
      <c r="T91" s="968"/>
      <c r="U91" s="964"/>
    </row>
    <row r="92" spans="2:21" s="958" customFormat="1" ht="9.75" customHeight="1" thickBot="1">
      <c r="B92" s="959"/>
      <c r="C92" s="973"/>
      <c r="D92" s="973"/>
      <c r="E92" s="973"/>
      <c r="F92" s="973"/>
      <c r="G92" s="974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68"/>
      <c r="U92" s="964"/>
    </row>
    <row r="93" spans="2:21" s="958" customFormat="1" ht="19.5" customHeight="1" thickBot="1" thickTop="1">
      <c r="B93" s="959"/>
      <c r="C93" s="976"/>
      <c r="D93" s="977"/>
      <c r="E93" s="978" t="s">
        <v>400</v>
      </c>
      <c r="F93" s="979">
        <f>SUM(F16:F92)-F46-F57-F78-F79-F87</f>
        <v>9984.730000000001</v>
      </c>
      <c r="G93" s="980"/>
      <c r="H93" s="981"/>
      <c r="I93" s="981"/>
      <c r="J93" s="981"/>
      <c r="K93" s="981"/>
      <c r="L93" s="981"/>
      <c r="M93" s="981"/>
      <c r="N93" s="981"/>
      <c r="O93" s="981"/>
      <c r="P93" s="981"/>
      <c r="Q93" s="981"/>
      <c r="R93" s="981"/>
      <c r="S93" s="981"/>
      <c r="T93" s="968"/>
      <c r="U93" s="964"/>
    </row>
    <row r="94" spans="2:21" s="958" customFormat="1" ht="19.5" customHeight="1" thickBot="1" thickTop="1">
      <c r="B94" s="959"/>
      <c r="C94" s="982"/>
      <c r="D94" s="983"/>
      <c r="E94" s="984"/>
      <c r="F94" s="985" t="s">
        <v>401</v>
      </c>
      <c r="H94" s="986">
        <f aca="true" t="shared" si="0" ref="H94:S94">SUM(H17:H92)</f>
        <v>14</v>
      </c>
      <c r="I94" s="986">
        <f t="shared" si="0"/>
        <v>0</v>
      </c>
      <c r="J94" s="986">
        <f t="shared" si="0"/>
        <v>7</v>
      </c>
      <c r="K94" s="986">
        <f t="shared" si="0"/>
        <v>3</v>
      </c>
      <c r="L94" s="986">
        <f t="shared" si="0"/>
        <v>3</v>
      </c>
      <c r="M94" s="986">
        <f t="shared" si="0"/>
        <v>1</v>
      </c>
      <c r="N94" s="986">
        <f t="shared" si="0"/>
        <v>0</v>
      </c>
      <c r="O94" s="986">
        <f t="shared" si="0"/>
        <v>1</v>
      </c>
      <c r="P94" s="986">
        <f t="shared" si="0"/>
        <v>0</v>
      </c>
      <c r="Q94" s="986">
        <f t="shared" si="0"/>
        <v>7</v>
      </c>
      <c r="R94" s="986">
        <f t="shared" si="0"/>
        <v>0</v>
      </c>
      <c r="S94" s="986">
        <f t="shared" si="0"/>
        <v>0</v>
      </c>
      <c r="T94" s="968"/>
      <c r="U94" s="964"/>
    </row>
    <row r="95" spans="2:21" s="958" customFormat="1" ht="19.5" customHeight="1" thickBot="1" thickTop="1">
      <c r="B95" s="959"/>
      <c r="E95" s="984"/>
      <c r="F95" s="985" t="s">
        <v>402</v>
      </c>
      <c r="H95" s="987">
        <f>'[1]BASE'!GQ101</f>
        <v>14</v>
      </c>
      <c r="I95" s="987">
        <f>'[1]BASE'!GR101</f>
        <v>0</v>
      </c>
      <c r="J95" s="987">
        <f>'[1]BASE'!GS101</f>
        <v>7</v>
      </c>
      <c r="K95" s="987">
        <f>'[1]BASE'!GT101</f>
        <v>3</v>
      </c>
      <c r="L95" s="987">
        <f>'[1]BASE'!GU101</f>
        <v>3</v>
      </c>
      <c r="M95" s="987">
        <f>'[1]BASE'!GV101</f>
        <v>1</v>
      </c>
      <c r="N95" s="987">
        <f>'[1]BASE'!GW101</f>
        <v>0</v>
      </c>
      <c r="O95" s="987">
        <f>'[1]BASE'!GX101</f>
        <v>1</v>
      </c>
      <c r="P95" s="987">
        <f>'[1]BASE'!GY101</f>
        <v>0</v>
      </c>
      <c r="Q95" s="987">
        <f>'[1]BASE'!GZ101</f>
        <v>7</v>
      </c>
      <c r="R95" s="987">
        <f>'[1]BASE'!HA101</f>
        <v>0</v>
      </c>
      <c r="S95" s="987">
        <f>'[1]BASE'!HB101</f>
        <v>0</v>
      </c>
      <c r="T95" s="987">
        <f>'[1]BASE'!HC101</f>
        <v>0</v>
      </c>
      <c r="U95" s="964"/>
    </row>
    <row r="96" spans="2:21" s="831" customFormat="1" ht="9.75" customHeight="1" thickBot="1" thickTop="1">
      <c r="B96" s="988"/>
      <c r="C96"/>
      <c r="D96" s="989"/>
      <c r="E96" s="990"/>
      <c r="F96" s="991"/>
      <c r="G96"/>
      <c r="H96" s="992"/>
      <c r="I96" s="992"/>
      <c r="J96" s="992"/>
      <c r="K96" s="992"/>
      <c r="L96" s="992"/>
      <c r="M96" s="992"/>
      <c r="N96" s="992"/>
      <c r="O96" s="992"/>
      <c r="P96" s="992"/>
      <c r="Q96" s="992"/>
      <c r="R96" s="992"/>
      <c r="S96" s="992"/>
      <c r="T96" s="992"/>
      <c r="U96" s="993"/>
    </row>
    <row r="97" spans="2:21" ht="15.75" customHeight="1" thickBot="1">
      <c r="B97" s="50"/>
      <c r="C97" s="994"/>
      <c r="D97" s="15" t="s">
        <v>403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995" t="s">
        <v>404</v>
      </c>
      <c r="I98" s="996"/>
      <c r="J98" s="997">
        <f>T95</f>
        <v>0</v>
      </c>
      <c r="K98" s="998" t="s">
        <v>405</v>
      </c>
      <c r="L98" s="999"/>
      <c r="M98" s="1000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01"/>
      <c r="D99" s="59"/>
      <c r="E99" s="59"/>
      <c r="F99" s="1001"/>
      <c r="G99" s="1001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02"/>
      <c r="F100" s="1002"/>
      <c r="G100" s="1002"/>
    </row>
    <row r="101" spans="3:194" ht="12.75">
      <c r="C101" s="1002"/>
      <c r="D101" s="66"/>
      <c r="E101" s="66"/>
      <c r="F101" s="66"/>
      <c r="G101" s="66"/>
      <c r="H101" s="1003"/>
      <c r="I101" s="1003"/>
      <c r="J101" s="1003"/>
      <c r="K101" s="1003"/>
      <c r="L101" s="1003"/>
      <c r="M101" s="1003"/>
      <c r="N101" s="1003"/>
      <c r="O101" s="1003"/>
      <c r="P101" s="1003"/>
      <c r="Q101" s="1003"/>
      <c r="R101" s="1003"/>
      <c r="S101" s="1003"/>
      <c r="T101" s="100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02"/>
      <c r="D102" s="66"/>
      <c r="E102" s="66"/>
      <c r="F102" s="66"/>
      <c r="G102" s="66"/>
      <c r="H102" s="1003"/>
      <c r="I102" s="1003"/>
      <c r="J102" s="1003"/>
      <c r="K102" s="1003"/>
      <c r="L102" s="1003"/>
      <c r="M102" s="1003"/>
      <c r="N102" s="1003"/>
      <c r="O102" s="1003"/>
      <c r="P102" s="1003"/>
      <c r="Q102" s="1003"/>
      <c r="R102" s="1003"/>
      <c r="S102" s="1003"/>
      <c r="T102" s="100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02"/>
      <c r="D103" s="66"/>
      <c r="E103" s="66"/>
      <c r="F103" s="66"/>
      <c r="G103" s="66"/>
      <c r="H103" s="1004"/>
      <c r="I103" s="1004"/>
      <c r="J103" s="1004"/>
      <c r="K103" s="1004"/>
      <c r="L103" s="1004"/>
      <c r="M103" s="1004"/>
      <c r="N103" s="1004"/>
      <c r="O103" s="1004"/>
      <c r="P103" s="1004"/>
      <c r="Q103" s="1004"/>
      <c r="R103" s="1004"/>
      <c r="S103" s="1004"/>
      <c r="T103" s="100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02"/>
      <c r="D104" s="66"/>
      <c r="E104" s="66"/>
      <c r="F104" s="66"/>
      <c r="G104" s="66"/>
      <c r="H104" s="1003"/>
      <c r="I104" s="1003"/>
      <c r="J104" s="1003"/>
      <c r="K104" s="1003"/>
      <c r="L104" s="1003"/>
      <c r="M104" s="1003"/>
      <c r="N104" s="1003"/>
      <c r="O104" s="1003"/>
      <c r="P104" s="1003"/>
      <c r="Q104" s="1003"/>
      <c r="R104" s="1003"/>
      <c r="S104" s="1003"/>
      <c r="T104" s="100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02"/>
      <c r="D105" s="66"/>
      <c r="E105" s="66"/>
      <c r="F105" s="66"/>
      <c r="G105" s="66"/>
      <c r="H105" s="1003"/>
      <c r="I105" s="1003"/>
      <c r="J105" s="1003"/>
      <c r="K105" s="1003"/>
      <c r="L105" s="1003"/>
      <c r="M105" s="1003"/>
      <c r="N105" s="1003"/>
      <c r="O105" s="1003"/>
      <c r="P105" s="1003"/>
      <c r="Q105" s="1003"/>
      <c r="R105" s="1003"/>
      <c r="S105" s="1003"/>
      <c r="T105" s="100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02"/>
      <c r="D106" s="66"/>
      <c r="E106" s="66"/>
      <c r="F106" s="66"/>
      <c r="G106" s="66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02"/>
      <c r="D107" s="66"/>
      <c r="E107" s="66"/>
      <c r="F107" s="66"/>
      <c r="G107" s="66"/>
      <c r="H107" s="1003"/>
      <c r="I107" s="1003"/>
      <c r="J107" s="1003"/>
      <c r="K107" s="1003"/>
      <c r="L107" s="1003"/>
      <c r="M107" s="1003"/>
      <c r="N107" s="1003"/>
      <c r="O107" s="1003"/>
      <c r="P107" s="1003"/>
      <c r="Q107" s="1003"/>
      <c r="R107" s="1003"/>
      <c r="S107" s="1003"/>
      <c r="T107" s="100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02"/>
      <c r="D108" s="66"/>
      <c r="E108" s="66"/>
      <c r="F108" s="66"/>
      <c r="G108" s="66"/>
      <c r="H108" s="1003"/>
      <c r="I108" s="1003"/>
      <c r="J108" s="1003"/>
      <c r="K108" s="1003"/>
      <c r="L108" s="1003"/>
      <c r="M108" s="1003"/>
      <c r="N108" s="1003"/>
      <c r="O108" s="1003"/>
      <c r="P108" s="1003"/>
      <c r="Q108" s="1003"/>
      <c r="R108" s="1003"/>
      <c r="S108" s="1003"/>
      <c r="T108" s="100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02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02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02"/>
      <c r="F111" s="1002"/>
      <c r="G111" s="1002"/>
    </row>
    <row r="112" spans="3:7" ht="12.75">
      <c r="C112" s="1002"/>
      <c r="F112" s="1002"/>
      <c r="G112" s="1002"/>
    </row>
    <row r="113" spans="3:7" ht="12.75">
      <c r="C113" s="1002"/>
      <c r="F113" s="1002"/>
      <c r="G113" s="1002"/>
    </row>
    <row r="114" spans="6:7" ht="12.75">
      <c r="F114" s="1002"/>
      <c r="G114" s="1002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72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896" bestFit="1" customWidth="1"/>
    <col min="2" max="2" width="9.28125" style="896" customWidth="1"/>
    <col min="3" max="3" width="11.8515625" style="896" bestFit="1" customWidth="1"/>
    <col min="4" max="4" width="9.57421875" style="896" bestFit="1" customWidth="1"/>
    <col min="5" max="5" width="17.140625" style="896" bestFit="1" customWidth="1"/>
    <col min="6" max="6" width="71.8515625" style="896" bestFit="1" customWidth="1"/>
    <col min="7" max="9" width="5.8515625" style="896" customWidth="1"/>
    <col min="10" max="22" width="5.8515625" style="896" bestFit="1" customWidth="1"/>
    <col min="23" max="24" width="11.00390625" style="896" customWidth="1"/>
    <col min="25" max="29" width="11.421875" style="896" customWidth="1"/>
    <col min="30" max="16384" width="11.421875" style="885" customWidth="1"/>
  </cols>
  <sheetData>
    <row r="1" spans="1:4" ht="10.5">
      <c r="A1" s="895" t="s">
        <v>147</v>
      </c>
      <c r="B1" s="895" t="s">
        <v>147</v>
      </c>
      <c r="C1" s="895" t="s">
        <v>148</v>
      </c>
      <c r="D1" s="895" t="s">
        <v>149</v>
      </c>
    </row>
    <row r="2" spans="1:4" ht="10.5">
      <c r="A2" s="897" t="s">
        <v>44</v>
      </c>
      <c r="B2" s="898" t="s">
        <v>153</v>
      </c>
      <c r="C2" s="897">
        <v>31</v>
      </c>
      <c r="D2" s="897">
        <v>2006</v>
      </c>
    </row>
    <row r="3" spans="1:4" ht="10.5">
      <c r="A3" s="897" t="s">
        <v>45</v>
      </c>
      <c r="B3" s="898" t="s">
        <v>154</v>
      </c>
      <c r="C3" s="897">
        <f>IF(MOD(E14,4)=0,29,28)</f>
        <v>28</v>
      </c>
      <c r="D3" s="897">
        <f>+D2+1</f>
        <v>2007</v>
      </c>
    </row>
    <row r="4" spans="1:4" ht="10.5">
      <c r="A4" s="897" t="s">
        <v>46</v>
      </c>
      <c r="B4" s="898" t="s">
        <v>155</v>
      </c>
      <c r="C4" s="897">
        <v>31</v>
      </c>
      <c r="D4" s="897">
        <v>2008</v>
      </c>
    </row>
    <row r="5" spans="1:4" ht="10.5">
      <c r="A5" s="897" t="s">
        <v>47</v>
      </c>
      <c r="B5" s="898" t="s">
        <v>156</v>
      </c>
      <c r="C5" s="897">
        <v>30</v>
      </c>
      <c r="D5" s="897">
        <v>2009</v>
      </c>
    </row>
    <row r="6" spans="1:4" ht="10.5">
      <c r="A6" s="897" t="s">
        <v>48</v>
      </c>
      <c r="B6" s="898" t="s">
        <v>157</v>
      </c>
      <c r="C6" s="897">
        <v>31</v>
      </c>
      <c r="D6" s="897">
        <v>2010</v>
      </c>
    </row>
    <row r="7" spans="1:4" ht="10.5">
      <c r="A7" s="897" t="s">
        <v>49</v>
      </c>
      <c r="B7" s="898" t="s">
        <v>158</v>
      </c>
      <c r="C7" s="897">
        <v>30</v>
      </c>
      <c r="D7" s="897">
        <v>2011</v>
      </c>
    </row>
    <row r="8" spans="1:4" ht="10.5">
      <c r="A8" s="897" t="s">
        <v>50</v>
      </c>
      <c r="B8" s="898" t="s">
        <v>159</v>
      </c>
      <c r="C8" s="897">
        <v>31</v>
      </c>
      <c r="D8" s="897"/>
    </row>
    <row r="9" spans="1:4" ht="10.5">
      <c r="A9" s="897" t="s">
        <v>51</v>
      </c>
      <c r="B9" s="898" t="s">
        <v>160</v>
      </c>
      <c r="C9" s="897">
        <v>31</v>
      </c>
      <c r="D9" s="897"/>
    </row>
    <row r="10" spans="1:4" ht="10.5">
      <c r="A10" s="897" t="s">
        <v>52</v>
      </c>
      <c r="B10" s="898" t="s">
        <v>161</v>
      </c>
      <c r="C10" s="897">
        <v>30</v>
      </c>
      <c r="D10" s="897"/>
    </row>
    <row r="11" spans="1:4" ht="10.5">
      <c r="A11" s="897" t="s">
        <v>53</v>
      </c>
      <c r="B11" s="898" t="s">
        <v>162</v>
      </c>
      <c r="C11" s="897">
        <v>31</v>
      </c>
      <c r="D11" s="897"/>
    </row>
    <row r="12" spans="1:4" ht="10.5">
      <c r="A12" s="897" t="s">
        <v>54</v>
      </c>
      <c r="B12" s="898" t="s">
        <v>163</v>
      </c>
      <c r="C12" s="897">
        <v>30</v>
      </c>
      <c r="D12" s="897"/>
    </row>
    <row r="13" spans="1:9" ht="10.5">
      <c r="A13" s="897" t="s">
        <v>55</v>
      </c>
      <c r="B13" s="898" t="s">
        <v>164</v>
      </c>
      <c r="C13" s="897">
        <v>31</v>
      </c>
      <c r="D13" s="897"/>
      <c r="E13" s="899"/>
      <c r="I13" s="900" t="s">
        <v>204</v>
      </c>
    </row>
    <row r="14" spans="1:9" ht="10.5">
      <c r="A14" s="901">
        <v>5</v>
      </c>
      <c r="B14" s="902">
        <v>11</v>
      </c>
      <c r="C14" s="901" t="str">
        <f ca="1">CELL("CONTENIDO",OFFSET(A1,B14,0))</f>
        <v>noviembre</v>
      </c>
      <c r="D14" s="901">
        <f ca="1">CELL("CONTENIDO",OFFSET(C1,B14,0))</f>
        <v>30</v>
      </c>
      <c r="E14" s="901">
        <f ca="1">CELL("CONTENIDO",OFFSET(D1,A14,0))</f>
        <v>2010</v>
      </c>
      <c r="F14" s="901" t="str">
        <f>"Desde el 01 al "&amp;D14&amp;" de "&amp;C14&amp;" de "&amp;E14</f>
        <v>Desde el 01 al 30 de noviembre de 2010</v>
      </c>
      <c r="G14" s="901" t="str">
        <f ca="1">CELL("CONTENIDO",OFFSET(B1,B14,0))</f>
        <v>11</v>
      </c>
      <c r="H14" s="901" t="str">
        <f>RIGHT(E14,2)</f>
        <v>10</v>
      </c>
      <c r="I14" s="903" t="s">
        <v>201</v>
      </c>
    </row>
    <row r="15" spans="1:8" ht="10.5">
      <c r="A15" s="901"/>
      <c r="B15" s="904" t="str">
        <f>"\\fileserver\files\Transporte\Transporte\AA PROCESO AUT ARCHIVOS J\TRANSENER\"&amp;E14</f>
        <v>\\fileserver\files\Transporte\Transporte\AA PROCESO AUT ARCHIVOS J\TRANSENER\2010</v>
      </c>
      <c r="C15" s="901"/>
      <c r="D15" s="901"/>
      <c r="E15" s="901"/>
      <c r="F15" s="901"/>
      <c r="G15" s="901" t="str">
        <f>"J"&amp;G14&amp;H14&amp;"NER"</f>
        <v>J1110NER</v>
      </c>
      <c r="H15" s="901"/>
    </row>
    <row r="16" spans="1:8" ht="10.5">
      <c r="A16" s="901"/>
      <c r="B16" s="904" t="str">
        <f>"\\fileserver\files\Transporte\transporte\AA PROCESO AUT\INTERCAMBIO\"&amp;H14&amp;G14</f>
        <v>\\fileserver\files\Transporte\transporte\AA PROCESO AUT\INTERCAMBIO\1011</v>
      </c>
      <c r="C16" s="901"/>
      <c r="D16" s="901"/>
      <c r="E16" s="901"/>
      <c r="F16" s="901"/>
      <c r="G16" s="901"/>
      <c r="H16" s="901"/>
    </row>
    <row r="17" spans="1:29" ht="10.5">
      <c r="A17" s="895" t="s">
        <v>135</v>
      </c>
      <c r="B17" s="895" t="s">
        <v>183</v>
      </c>
      <c r="C17" s="895" t="s">
        <v>167</v>
      </c>
      <c r="D17" s="895" t="s">
        <v>166</v>
      </c>
      <c r="E17" s="895" t="s">
        <v>152</v>
      </c>
      <c r="F17" s="895" t="s">
        <v>165</v>
      </c>
      <c r="G17" s="895" t="s">
        <v>182</v>
      </c>
      <c r="H17" s="895" t="s">
        <v>168</v>
      </c>
      <c r="I17" s="895" t="s">
        <v>169</v>
      </c>
      <c r="J17" s="895" t="s">
        <v>170</v>
      </c>
      <c r="K17" s="895" t="s">
        <v>171</v>
      </c>
      <c r="L17" s="895" t="s">
        <v>172</v>
      </c>
      <c r="M17" s="895" t="s">
        <v>173</v>
      </c>
      <c r="N17" s="895" t="s">
        <v>174</v>
      </c>
      <c r="O17" s="895" t="s">
        <v>175</v>
      </c>
      <c r="P17" s="895" t="s">
        <v>241</v>
      </c>
      <c r="Q17" s="895" t="s">
        <v>176</v>
      </c>
      <c r="R17" s="895" t="s">
        <v>177</v>
      </c>
      <c r="S17" s="895" t="s">
        <v>178</v>
      </c>
      <c r="T17" s="895" t="s">
        <v>179</v>
      </c>
      <c r="U17" s="895" t="s">
        <v>180</v>
      </c>
      <c r="V17" s="895" t="s">
        <v>181</v>
      </c>
      <c r="W17" s="895" t="s">
        <v>205</v>
      </c>
      <c r="X17" s="895" t="s">
        <v>206</v>
      </c>
      <c r="Y17" s="895" t="s">
        <v>208</v>
      </c>
      <c r="Z17" s="895" t="s">
        <v>207</v>
      </c>
      <c r="AA17" s="895" t="s">
        <v>210</v>
      </c>
      <c r="AB17" s="895" t="s">
        <v>209</v>
      </c>
      <c r="AC17" s="895" t="s">
        <v>221</v>
      </c>
    </row>
    <row r="18" spans="1:29" ht="10.5">
      <c r="A18" s="883" t="s">
        <v>136</v>
      </c>
      <c r="B18" s="883">
        <v>22</v>
      </c>
      <c r="C18" s="883">
        <v>20</v>
      </c>
      <c r="D18" s="883">
        <v>13</v>
      </c>
      <c r="E18" s="883" t="str">
        <f>"LI-"&amp;$G$14</f>
        <v>LI-11</v>
      </c>
      <c r="F18" s="883" t="s">
        <v>245</v>
      </c>
      <c r="G18" s="883">
        <v>3</v>
      </c>
      <c r="H18" s="884">
        <v>5</v>
      </c>
      <c r="I18" s="884">
        <v>4</v>
      </c>
      <c r="J18" s="883">
        <v>6</v>
      </c>
      <c r="K18" s="883">
        <v>7</v>
      </c>
      <c r="L18" s="883">
        <v>8</v>
      </c>
      <c r="M18" s="883">
        <v>9</v>
      </c>
      <c r="N18" s="883">
        <v>12</v>
      </c>
      <c r="O18" s="883">
        <v>13</v>
      </c>
      <c r="P18" s="883">
        <v>16</v>
      </c>
      <c r="Q18" s="883">
        <v>19</v>
      </c>
      <c r="R18" s="883">
        <v>30</v>
      </c>
      <c r="S18" s="883">
        <v>0</v>
      </c>
      <c r="T18" s="883">
        <v>0</v>
      </c>
      <c r="U18" s="883">
        <v>0</v>
      </c>
      <c r="V18" s="883">
        <v>0</v>
      </c>
      <c r="W18" s="883">
        <v>17</v>
      </c>
      <c r="X18" s="883">
        <v>9</v>
      </c>
      <c r="Y18" s="883">
        <v>43</v>
      </c>
      <c r="Z18" s="884">
        <v>31</v>
      </c>
      <c r="AA18" s="883">
        <v>20</v>
      </c>
      <c r="AB18" s="884">
        <v>31</v>
      </c>
      <c r="AC18" s="883">
        <v>16</v>
      </c>
    </row>
    <row r="19" spans="1:29" ht="10.5">
      <c r="A19" s="883" t="s">
        <v>139</v>
      </c>
      <c r="B19" s="884">
        <v>20</v>
      </c>
      <c r="C19" s="884">
        <v>20</v>
      </c>
      <c r="D19" s="884">
        <v>13</v>
      </c>
      <c r="E19" s="883" t="str">
        <f>"LI-YACY-"&amp;$G$14</f>
        <v>LI-YACY-11</v>
      </c>
      <c r="F19" s="883" t="s">
        <v>246</v>
      </c>
      <c r="G19" s="884">
        <v>3</v>
      </c>
      <c r="H19" s="884">
        <v>5</v>
      </c>
      <c r="I19" s="884">
        <v>4</v>
      </c>
      <c r="J19" s="884">
        <v>6</v>
      </c>
      <c r="K19" s="884">
        <v>7</v>
      </c>
      <c r="L19" s="884">
        <v>8</v>
      </c>
      <c r="M19" s="884">
        <v>9</v>
      </c>
      <c r="N19" s="884">
        <v>12</v>
      </c>
      <c r="O19" s="884">
        <v>13</v>
      </c>
      <c r="P19" s="884">
        <v>16</v>
      </c>
      <c r="Q19" s="884">
        <v>19</v>
      </c>
      <c r="R19" s="884">
        <v>30</v>
      </c>
      <c r="S19" s="884">
        <v>0</v>
      </c>
      <c r="T19" s="884">
        <v>0</v>
      </c>
      <c r="U19" s="884">
        <v>0</v>
      </c>
      <c r="V19" s="884">
        <v>0</v>
      </c>
      <c r="W19" s="884">
        <v>18</v>
      </c>
      <c r="X19" s="884">
        <v>9</v>
      </c>
      <c r="Y19" s="884">
        <v>41</v>
      </c>
      <c r="Z19" s="884">
        <v>31</v>
      </c>
      <c r="AA19" s="883">
        <v>20</v>
      </c>
      <c r="AB19" s="884">
        <v>31</v>
      </c>
      <c r="AC19" s="884">
        <v>16</v>
      </c>
    </row>
    <row r="20" spans="1:29" ht="10.5">
      <c r="A20" s="883" t="s">
        <v>140</v>
      </c>
      <c r="B20" s="883">
        <v>22</v>
      </c>
      <c r="C20" s="883">
        <v>20</v>
      </c>
      <c r="D20" s="883">
        <v>13</v>
      </c>
      <c r="E20" s="883" t="str">
        <f>"LI-LITSA-"&amp;$G$14</f>
        <v>LI-LITSA-11</v>
      </c>
      <c r="F20" s="883" t="s">
        <v>247</v>
      </c>
      <c r="G20" s="883">
        <v>3</v>
      </c>
      <c r="H20" s="884">
        <v>5</v>
      </c>
      <c r="I20" s="884">
        <v>4</v>
      </c>
      <c r="J20" s="883">
        <v>6</v>
      </c>
      <c r="K20" s="883">
        <v>7</v>
      </c>
      <c r="L20" s="883">
        <v>8</v>
      </c>
      <c r="M20" s="883">
        <v>9</v>
      </c>
      <c r="N20" s="883">
        <v>12</v>
      </c>
      <c r="O20" s="883">
        <v>13</v>
      </c>
      <c r="P20" s="883">
        <v>16</v>
      </c>
      <c r="Q20" s="883">
        <v>19</v>
      </c>
      <c r="R20" s="883">
        <v>30</v>
      </c>
      <c r="S20" s="883">
        <v>0</v>
      </c>
      <c r="T20" s="883">
        <v>0</v>
      </c>
      <c r="U20" s="883">
        <v>0</v>
      </c>
      <c r="V20" s="883">
        <v>0</v>
      </c>
      <c r="W20" s="884">
        <v>19</v>
      </c>
      <c r="X20" s="883">
        <v>9</v>
      </c>
      <c r="Y20" s="883">
        <v>43</v>
      </c>
      <c r="Z20" s="884">
        <v>32</v>
      </c>
      <c r="AA20" s="883">
        <v>20</v>
      </c>
      <c r="AB20" s="884">
        <v>32</v>
      </c>
      <c r="AC20" s="883">
        <v>16</v>
      </c>
    </row>
    <row r="21" spans="1:29" ht="10.5">
      <c r="A21" s="883" t="s">
        <v>184</v>
      </c>
      <c r="B21" s="883">
        <v>22</v>
      </c>
      <c r="C21" s="884">
        <v>20</v>
      </c>
      <c r="D21" s="883">
        <v>13</v>
      </c>
      <c r="E21" s="883" t="str">
        <f>"LI-IV-"&amp;$G$14</f>
        <v>LI-IV-11</v>
      </c>
      <c r="F21" s="883" t="s">
        <v>248</v>
      </c>
      <c r="G21" s="883">
        <v>3</v>
      </c>
      <c r="H21" s="884">
        <v>5</v>
      </c>
      <c r="I21" s="884">
        <v>4</v>
      </c>
      <c r="J21" s="883">
        <v>6</v>
      </c>
      <c r="K21" s="883">
        <v>7</v>
      </c>
      <c r="L21" s="883">
        <v>8</v>
      </c>
      <c r="M21" s="883">
        <v>9</v>
      </c>
      <c r="N21" s="883">
        <v>12</v>
      </c>
      <c r="O21" s="883">
        <v>13</v>
      </c>
      <c r="P21" s="883">
        <v>16</v>
      </c>
      <c r="Q21" s="883">
        <v>19</v>
      </c>
      <c r="R21" s="883">
        <v>30</v>
      </c>
      <c r="S21" s="883">
        <v>0</v>
      </c>
      <c r="T21" s="883">
        <v>0</v>
      </c>
      <c r="U21" s="883">
        <v>0</v>
      </c>
      <c r="V21" s="883">
        <v>0</v>
      </c>
      <c r="W21" s="884">
        <v>20</v>
      </c>
      <c r="X21" s="884">
        <v>9</v>
      </c>
      <c r="Y21" s="883">
        <v>43</v>
      </c>
      <c r="Z21" s="884">
        <v>31</v>
      </c>
      <c r="AA21" s="883">
        <v>20</v>
      </c>
      <c r="AB21" s="884">
        <v>31</v>
      </c>
      <c r="AC21" s="883">
        <v>16</v>
      </c>
    </row>
    <row r="22" spans="1:29" ht="10.5">
      <c r="A22" s="884" t="s">
        <v>228</v>
      </c>
      <c r="B22" s="884">
        <v>20</v>
      </c>
      <c r="C22" s="884">
        <v>20</v>
      </c>
      <c r="D22" s="884">
        <v>13</v>
      </c>
      <c r="E22" s="884" t="str">
        <f>"LI-INTESAR-"&amp;$G$14</f>
        <v>LI-INTESAR-11</v>
      </c>
      <c r="F22" s="884" t="s">
        <v>249</v>
      </c>
      <c r="G22" s="884">
        <v>3</v>
      </c>
      <c r="H22" s="884">
        <v>5</v>
      </c>
      <c r="I22" s="884">
        <v>4</v>
      </c>
      <c r="J22" s="884">
        <v>6</v>
      </c>
      <c r="K22" s="884">
        <v>7</v>
      </c>
      <c r="L22" s="884">
        <v>8</v>
      </c>
      <c r="M22" s="884">
        <v>9</v>
      </c>
      <c r="N22" s="884">
        <v>12</v>
      </c>
      <c r="O22" s="884">
        <v>13</v>
      </c>
      <c r="P22" s="884">
        <v>16</v>
      </c>
      <c r="Q22" s="884">
        <v>19</v>
      </c>
      <c r="R22" s="884">
        <v>30</v>
      </c>
      <c r="S22" s="884">
        <v>0</v>
      </c>
      <c r="T22" s="884">
        <v>0</v>
      </c>
      <c r="U22" s="884">
        <v>0</v>
      </c>
      <c r="V22" s="884">
        <v>0</v>
      </c>
      <c r="W22" s="884">
        <v>21</v>
      </c>
      <c r="X22" s="884">
        <v>9</v>
      </c>
      <c r="Y22" s="884">
        <v>41</v>
      </c>
      <c r="Z22" s="884">
        <v>31</v>
      </c>
      <c r="AA22" s="883">
        <v>20</v>
      </c>
      <c r="AB22" s="884">
        <v>31</v>
      </c>
      <c r="AC22" s="884">
        <v>16</v>
      </c>
    </row>
    <row r="23" spans="1:29" ht="10.5">
      <c r="A23" s="884" t="s">
        <v>229</v>
      </c>
      <c r="B23" s="884">
        <v>20</v>
      </c>
      <c r="C23" s="884">
        <v>20</v>
      </c>
      <c r="D23" s="884">
        <v>13</v>
      </c>
      <c r="E23" s="884" t="str">
        <f>"LI-CUYANA-"&amp;$G$14</f>
        <v>LI-CUYANA-11</v>
      </c>
      <c r="F23" s="884" t="s">
        <v>250</v>
      </c>
      <c r="G23" s="884">
        <v>3</v>
      </c>
      <c r="H23" s="884">
        <v>5</v>
      </c>
      <c r="I23" s="884">
        <v>4</v>
      </c>
      <c r="J23" s="884">
        <v>6</v>
      </c>
      <c r="K23" s="884">
        <v>7</v>
      </c>
      <c r="L23" s="884">
        <v>8</v>
      </c>
      <c r="M23" s="884">
        <v>9</v>
      </c>
      <c r="N23" s="884">
        <v>12</v>
      </c>
      <c r="O23" s="884">
        <v>13</v>
      </c>
      <c r="P23" s="884">
        <v>16</v>
      </c>
      <c r="Q23" s="884">
        <v>19</v>
      </c>
      <c r="R23" s="884">
        <v>30</v>
      </c>
      <c r="S23" s="884">
        <v>0</v>
      </c>
      <c r="T23" s="884">
        <v>0</v>
      </c>
      <c r="U23" s="884">
        <v>0</v>
      </c>
      <c r="V23" s="884">
        <v>0</v>
      </c>
      <c r="W23" s="884">
        <v>22</v>
      </c>
      <c r="X23" s="884">
        <v>9</v>
      </c>
      <c r="Y23" s="884">
        <v>41</v>
      </c>
      <c r="Z23" s="884">
        <v>31</v>
      </c>
      <c r="AA23" s="883">
        <v>20</v>
      </c>
      <c r="AB23" s="884">
        <v>31</v>
      </c>
      <c r="AC23" s="884">
        <v>16</v>
      </c>
    </row>
    <row r="24" spans="1:29" ht="10.5">
      <c r="A24" s="884" t="s">
        <v>225</v>
      </c>
      <c r="B24" s="884">
        <v>20</v>
      </c>
      <c r="C24" s="884">
        <v>20</v>
      </c>
      <c r="D24" s="884">
        <v>13</v>
      </c>
      <c r="E24" s="884" t="str">
        <f>"LI-LIMSA-"&amp;$G$14</f>
        <v>LI-LIMSA-11</v>
      </c>
      <c r="F24" s="884" t="s">
        <v>251</v>
      </c>
      <c r="G24" s="884">
        <v>3</v>
      </c>
      <c r="H24" s="884">
        <v>5</v>
      </c>
      <c r="I24" s="884">
        <v>4</v>
      </c>
      <c r="J24" s="884">
        <v>6</v>
      </c>
      <c r="K24" s="884">
        <v>7</v>
      </c>
      <c r="L24" s="884">
        <v>8</v>
      </c>
      <c r="M24" s="884">
        <v>9</v>
      </c>
      <c r="N24" s="884">
        <v>12</v>
      </c>
      <c r="O24" s="884">
        <v>13</v>
      </c>
      <c r="P24" s="884">
        <v>16</v>
      </c>
      <c r="Q24" s="884">
        <v>19</v>
      </c>
      <c r="R24" s="884">
        <v>30</v>
      </c>
      <c r="S24" s="884">
        <v>0</v>
      </c>
      <c r="T24" s="884">
        <v>0</v>
      </c>
      <c r="U24" s="884">
        <v>0</v>
      </c>
      <c r="V24" s="884">
        <v>0</v>
      </c>
      <c r="W24" s="884">
        <v>23</v>
      </c>
      <c r="X24" s="884">
        <v>9</v>
      </c>
      <c r="Y24" s="884">
        <v>41</v>
      </c>
      <c r="Z24" s="884">
        <v>31</v>
      </c>
      <c r="AA24" s="883">
        <v>20</v>
      </c>
      <c r="AB24" s="884">
        <v>31</v>
      </c>
      <c r="AC24" s="884">
        <v>16</v>
      </c>
    </row>
    <row r="25" spans="1:29" ht="10.5">
      <c r="A25" s="884" t="s">
        <v>271</v>
      </c>
      <c r="B25" s="884">
        <v>20</v>
      </c>
      <c r="C25" s="884">
        <v>20</v>
      </c>
      <c r="D25" s="884">
        <v>13</v>
      </c>
      <c r="E25" s="884" t="str">
        <f>"LI-RIOJA-"&amp;$G$14</f>
        <v>LI-RIOJA-11</v>
      </c>
      <c r="F25" s="884" t="s">
        <v>272</v>
      </c>
      <c r="G25" s="884">
        <v>3</v>
      </c>
      <c r="H25" s="884">
        <v>5</v>
      </c>
      <c r="I25" s="884">
        <v>4</v>
      </c>
      <c r="J25" s="884">
        <v>6</v>
      </c>
      <c r="K25" s="884">
        <v>7</v>
      </c>
      <c r="L25" s="884">
        <v>8</v>
      </c>
      <c r="M25" s="884">
        <v>9</v>
      </c>
      <c r="N25" s="884">
        <v>12</v>
      </c>
      <c r="O25" s="884">
        <v>13</v>
      </c>
      <c r="P25" s="884">
        <v>16</v>
      </c>
      <c r="Q25" s="884">
        <v>19</v>
      </c>
      <c r="R25" s="884">
        <v>30</v>
      </c>
      <c r="S25" s="884">
        <v>0</v>
      </c>
      <c r="T25" s="884">
        <v>0</v>
      </c>
      <c r="U25" s="884">
        <v>0</v>
      </c>
      <c r="V25" s="884">
        <v>0</v>
      </c>
      <c r="W25" s="884">
        <v>24</v>
      </c>
      <c r="X25" s="884">
        <v>9</v>
      </c>
      <c r="Y25" s="884">
        <v>41</v>
      </c>
      <c r="Z25" s="884">
        <v>31</v>
      </c>
      <c r="AA25" s="883">
        <v>20</v>
      </c>
      <c r="AB25" s="884">
        <v>31</v>
      </c>
      <c r="AC25" s="884">
        <v>16</v>
      </c>
    </row>
    <row r="26" spans="1:29" ht="10.5">
      <c r="A26" s="886" t="s">
        <v>137</v>
      </c>
      <c r="B26" s="886">
        <v>22</v>
      </c>
      <c r="C26" s="887">
        <v>20</v>
      </c>
      <c r="D26" s="886">
        <v>14</v>
      </c>
      <c r="E26" s="886" t="str">
        <f>"TR-"&amp;$G$14</f>
        <v>TR-11</v>
      </c>
      <c r="F26" s="886" t="s">
        <v>252</v>
      </c>
      <c r="G26" s="884">
        <v>3</v>
      </c>
      <c r="H26" s="884">
        <v>5</v>
      </c>
      <c r="I26" s="884">
        <v>4</v>
      </c>
      <c r="J26" s="884">
        <v>6</v>
      </c>
      <c r="K26" s="884">
        <v>7</v>
      </c>
      <c r="L26" s="887">
        <v>8</v>
      </c>
      <c r="M26" s="887">
        <v>9</v>
      </c>
      <c r="N26" s="887">
        <v>11</v>
      </c>
      <c r="O26" s="887">
        <v>12</v>
      </c>
      <c r="P26" s="887">
        <v>15</v>
      </c>
      <c r="Q26" s="887">
        <v>17</v>
      </c>
      <c r="R26" s="887">
        <v>18</v>
      </c>
      <c r="S26" s="887">
        <v>28</v>
      </c>
      <c r="T26" s="887">
        <v>0</v>
      </c>
      <c r="U26" s="887">
        <v>0</v>
      </c>
      <c r="V26" s="887">
        <v>0</v>
      </c>
      <c r="W26" s="887">
        <v>28</v>
      </c>
      <c r="X26" s="884">
        <v>9</v>
      </c>
      <c r="Y26" s="886">
        <v>43</v>
      </c>
      <c r="Z26" s="886">
        <v>29</v>
      </c>
      <c r="AA26" s="886">
        <v>20</v>
      </c>
      <c r="AB26" s="886">
        <v>29</v>
      </c>
      <c r="AC26" s="886">
        <v>15</v>
      </c>
    </row>
    <row r="27" spans="1:29" ht="10.5">
      <c r="A27" s="883" t="s">
        <v>141</v>
      </c>
      <c r="B27" s="883">
        <v>22</v>
      </c>
      <c r="C27" s="884">
        <v>20</v>
      </c>
      <c r="D27" s="886">
        <v>14</v>
      </c>
      <c r="E27" s="883" t="str">
        <f>"TR-LITSA-"&amp;$G$14</f>
        <v>TR-LITSA-11</v>
      </c>
      <c r="F27" s="883" t="s">
        <v>253</v>
      </c>
      <c r="G27" s="884">
        <v>3</v>
      </c>
      <c r="H27" s="884">
        <v>5</v>
      </c>
      <c r="I27" s="884">
        <v>4</v>
      </c>
      <c r="J27" s="884">
        <v>6</v>
      </c>
      <c r="K27" s="884">
        <v>7</v>
      </c>
      <c r="L27" s="887">
        <v>8</v>
      </c>
      <c r="M27" s="887">
        <v>9</v>
      </c>
      <c r="N27" s="887">
        <v>11</v>
      </c>
      <c r="O27" s="887">
        <v>12</v>
      </c>
      <c r="P27" s="887">
        <v>15</v>
      </c>
      <c r="Q27" s="887">
        <v>17</v>
      </c>
      <c r="R27" s="887">
        <v>18</v>
      </c>
      <c r="S27" s="887">
        <v>28</v>
      </c>
      <c r="T27" s="887">
        <v>0</v>
      </c>
      <c r="U27" s="887">
        <v>0</v>
      </c>
      <c r="V27" s="887">
        <v>0</v>
      </c>
      <c r="W27" s="887">
        <v>29</v>
      </c>
      <c r="X27" s="884">
        <v>9</v>
      </c>
      <c r="Y27" s="886">
        <v>43</v>
      </c>
      <c r="Z27" s="886">
        <v>29</v>
      </c>
      <c r="AA27" s="886">
        <v>20</v>
      </c>
      <c r="AB27" s="886">
        <v>29</v>
      </c>
      <c r="AC27" s="886">
        <v>15</v>
      </c>
    </row>
    <row r="28" spans="1:29" ht="10.5">
      <c r="A28" s="883" t="s">
        <v>142</v>
      </c>
      <c r="B28" s="883">
        <v>20</v>
      </c>
      <c r="C28" s="884">
        <v>20</v>
      </c>
      <c r="D28" s="886">
        <v>14</v>
      </c>
      <c r="E28" s="883" t="str">
        <f>"TR-TIBA-"&amp;$G$14</f>
        <v>TR-TIBA-11</v>
      </c>
      <c r="F28" s="883" t="s">
        <v>254</v>
      </c>
      <c r="G28" s="884">
        <v>3</v>
      </c>
      <c r="H28" s="884">
        <v>5</v>
      </c>
      <c r="I28" s="884">
        <v>4</v>
      </c>
      <c r="J28" s="884">
        <v>6</v>
      </c>
      <c r="K28" s="884">
        <v>7</v>
      </c>
      <c r="L28" s="887">
        <v>8</v>
      </c>
      <c r="M28" s="887">
        <v>9</v>
      </c>
      <c r="N28" s="887">
        <v>11</v>
      </c>
      <c r="O28" s="887">
        <v>12</v>
      </c>
      <c r="P28" s="887">
        <v>15</v>
      </c>
      <c r="Q28" s="887">
        <v>17</v>
      </c>
      <c r="R28" s="887">
        <v>18</v>
      </c>
      <c r="S28" s="887">
        <v>28</v>
      </c>
      <c r="T28" s="887">
        <v>0</v>
      </c>
      <c r="U28" s="887">
        <v>0</v>
      </c>
      <c r="V28" s="887">
        <v>0</v>
      </c>
      <c r="W28" s="887">
        <v>30</v>
      </c>
      <c r="X28" s="884">
        <v>9</v>
      </c>
      <c r="Y28" s="886">
        <v>41</v>
      </c>
      <c r="Z28" s="886">
        <v>29</v>
      </c>
      <c r="AA28" s="886">
        <v>18</v>
      </c>
      <c r="AB28" s="886">
        <v>29</v>
      </c>
      <c r="AC28" s="886">
        <v>15</v>
      </c>
    </row>
    <row r="29" spans="1:29" ht="10.5">
      <c r="A29" s="883" t="s">
        <v>143</v>
      </c>
      <c r="B29" s="883">
        <v>20</v>
      </c>
      <c r="C29" s="884">
        <v>20</v>
      </c>
      <c r="D29" s="886">
        <v>14</v>
      </c>
      <c r="E29" s="883" t="str">
        <f>"TR-ENECOR-"&amp;$G$14</f>
        <v>TR-ENECOR-11</v>
      </c>
      <c r="F29" s="883" t="s">
        <v>255</v>
      </c>
      <c r="G29" s="884">
        <v>3</v>
      </c>
      <c r="H29" s="884">
        <v>5</v>
      </c>
      <c r="I29" s="884">
        <v>4</v>
      </c>
      <c r="J29" s="884">
        <v>6</v>
      </c>
      <c r="K29" s="884">
        <v>7</v>
      </c>
      <c r="L29" s="887">
        <v>8</v>
      </c>
      <c r="M29" s="887">
        <v>9</v>
      </c>
      <c r="N29" s="887">
        <v>11</v>
      </c>
      <c r="O29" s="887">
        <v>12</v>
      </c>
      <c r="P29" s="887">
        <v>15</v>
      </c>
      <c r="Q29" s="887">
        <v>17</v>
      </c>
      <c r="R29" s="887">
        <v>18</v>
      </c>
      <c r="S29" s="887">
        <v>28</v>
      </c>
      <c r="T29" s="887">
        <v>0</v>
      </c>
      <c r="U29" s="887">
        <v>0</v>
      </c>
      <c r="V29" s="887">
        <v>0</v>
      </c>
      <c r="W29" s="887">
        <v>31</v>
      </c>
      <c r="X29" s="884">
        <v>9</v>
      </c>
      <c r="Y29" s="886">
        <v>41</v>
      </c>
      <c r="Z29" s="886">
        <v>29</v>
      </c>
      <c r="AA29" s="886">
        <v>20</v>
      </c>
      <c r="AB29" s="886">
        <v>29</v>
      </c>
      <c r="AC29" s="886">
        <v>15</v>
      </c>
    </row>
    <row r="30" spans="1:29" ht="10.5">
      <c r="A30" s="884" t="s">
        <v>237</v>
      </c>
      <c r="B30" s="884">
        <v>20</v>
      </c>
      <c r="C30" s="884">
        <v>20</v>
      </c>
      <c r="D30" s="887">
        <v>14</v>
      </c>
      <c r="E30" s="884" t="str">
        <f>"TR-INTESAR-"&amp;$G$14</f>
        <v>TR-INTESAR-11</v>
      </c>
      <c r="F30" s="884" t="s">
        <v>256</v>
      </c>
      <c r="G30" s="884">
        <v>3</v>
      </c>
      <c r="H30" s="884">
        <v>5</v>
      </c>
      <c r="I30" s="884">
        <v>4</v>
      </c>
      <c r="J30" s="884">
        <v>6</v>
      </c>
      <c r="K30" s="884">
        <v>7</v>
      </c>
      <c r="L30" s="887">
        <v>8</v>
      </c>
      <c r="M30" s="887">
        <v>9</v>
      </c>
      <c r="N30" s="887">
        <v>11</v>
      </c>
      <c r="O30" s="887">
        <v>12</v>
      </c>
      <c r="P30" s="887">
        <v>15</v>
      </c>
      <c r="Q30" s="887">
        <v>17</v>
      </c>
      <c r="R30" s="887">
        <v>18</v>
      </c>
      <c r="S30" s="887">
        <v>28</v>
      </c>
      <c r="T30" s="887">
        <v>0</v>
      </c>
      <c r="U30" s="887">
        <v>0</v>
      </c>
      <c r="V30" s="887">
        <v>0</v>
      </c>
      <c r="W30" s="887">
        <v>32</v>
      </c>
      <c r="X30" s="884">
        <v>9</v>
      </c>
      <c r="Y30" s="886">
        <v>41</v>
      </c>
      <c r="Z30" s="887">
        <v>29</v>
      </c>
      <c r="AA30" s="887">
        <v>20</v>
      </c>
      <c r="AB30" s="887">
        <v>29</v>
      </c>
      <c r="AC30" s="887">
        <v>15</v>
      </c>
    </row>
    <row r="31" spans="1:29" ht="10.5">
      <c r="A31" s="884" t="s">
        <v>226</v>
      </c>
      <c r="B31" s="884">
        <v>20</v>
      </c>
      <c r="C31" s="884">
        <v>20</v>
      </c>
      <c r="D31" s="887">
        <v>14</v>
      </c>
      <c r="E31" s="884" t="str">
        <f>"TR-LIMSA-"&amp;$G$14</f>
        <v>TR-LIMSA-11</v>
      </c>
      <c r="F31" s="884" t="s">
        <v>257</v>
      </c>
      <c r="G31" s="884">
        <v>3</v>
      </c>
      <c r="H31" s="884">
        <v>5</v>
      </c>
      <c r="I31" s="884">
        <v>4</v>
      </c>
      <c r="J31" s="884">
        <v>6</v>
      </c>
      <c r="K31" s="884">
        <v>7</v>
      </c>
      <c r="L31" s="887">
        <v>8</v>
      </c>
      <c r="M31" s="887">
        <v>9</v>
      </c>
      <c r="N31" s="887">
        <v>11</v>
      </c>
      <c r="O31" s="887">
        <v>12</v>
      </c>
      <c r="P31" s="887">
        <v>15</v>
      </c>
      <c r="Q31" s="887">
        <v>17</v>
      </c>
      <c r="R31" s="887">
        <v>18</v>
      </c>
      <c r="S31" s="887">
        <v>28</v>
      </c>
      <c r="T31" s="887">
        <v>0</v>
      </c>
      <c r="U31" s="887">
        <v>0</v>
      </c>
      <c r="V31" s="887">
        <v>0</v>
      </c>
      <c r="W31" s="887">
        <v>33</v>
      </c>
      <c r="X31" s="884">
        <v>9</v>
      </c>
      <c r="Y31" s="886">
        <v>41</v>
      </c>
      <c r="Z31" s="887">
        <v>29</v>
      </c>
      <c r="AA31" s="887">
        <v>20</v>
      </c>
      <c r="AB31" s="887">
        <v>29</v>
      </c>
      <c r="AC31" s="887">
        <v>15</v>
      </c>
    </row>
    <row r="32" spans="1:29" ht="10.5">
      <c r="A32" s="884" t="s">
        <v>230</v>
      </c>
      <c r="B32" s="884">
        <v>20</v>
      </c>
      <c r="C32" s="884">
        <v>20</v>
      </c>
      <c r="D32" s="887">
        <v>14</v>
      </c>
      <c r="E32" s="884" t="str">
        <f>"TR-CUYANA-"&amp;$G$14</f>
        <v>TR-CUYANA-11</v>
      </c>
      <c r="F32" s="884" t="s">
        <v>258</v>
      </c>
      <c r="G32" s="884">
        <v>3</v>
      </c>
      <c r="H32" s="884">
        <v>5</v>
      </c>
      <c r="I32" s="884">
        <v>4</v>
      </c>
      <c r="J32" s="884">
        <v>6</v>
      </c>
      <c r="K32" s="884">
        <v>7</v>
      </c>
      <c r="L32" s="887">
        <v>8</v>
      </c>
      <c r="M32" s="887">
        <v>9</v>
      </c>
      <c r="N32" s="887">
        <v>11</v>
      </c>
      <c r="O32" s="887">
        <v>12</v>
      </c>
      <c r="P32" s="887">
        <v>15</v>
      </c>
      <c r="Q32" s="887">
        <v>17</v>
      </c>
      <c r="R32" s="887">
        <v>18</v>
      </c>
      <c r="S32" s="887">
        <v>28</v>
      </c>
      <c r="T32" s="887">
        <v>0</v>
      </c>
      <c r="U32" s="887">
        <v>0</v>
      </c>
      <c r="V32" s="887">
        <v>0</v>
      </c>
      <c r="W32" s="887">
        <v>34</v>
      </c>
      <c r="X32" s="884">
        <v>9</v>
      </c>
      <c r="Y32" s="886">
        <v>41</v>
      </c>
      <c r="Z32" s="887">
        <v>29</v>
      </c>
      <c r="AA32" s="887">
        <v>20</v>
      </c>
      <c r="AB32" s="887">
        <v>29</v>
      </c>
      <c r="AC32" s="887">
        <v>15</v>
      </c>
    </row>
    <row r="33" spans="1:29" ht="10.5">
      <c r="A33" s="884" t="s">
        <v>273</v>
      </c>
      <c r="B33" s="884">
        <v>20</v>
      </c>
      <c r="C33" s="884">
        <v>20</v>
      </c>
      <c r="D33" s="887">
        <v>14</v>
      </c>
      <c r="E33" s="884" t="str">
        <f>"TR-COBRA-"&amp;$G$14</f>
        <v>TR-COBRA-11</v>
      </c>
      <c r="F33" s="884" t="s">
        <v>274</v>
      </c>
      <c r="G33" s="884">
        <v>3</v>
      </c>
      <c r="H33" s="884">
        <v>5</v>
      </c>
      <c r="I33" s="884">
        <v>4</v>
      </c>
      <c r="J33" s="884">
        <v>6</v>
      </c>
      <c r="K33" s="884">
        <v>7</v>
      </c>
      <c r="L33" s="887">
        <v>8</v>
      </c>
      <c r="M33" s="887">
        <v>9</v>
      </c>
      <c r="N33" s="887">
        <v>11</v>
      </c>
      <c r="O33" s="887">
        <v>12</v>
      </c>
      <c r="P33" s="887">
        <v>15</v>
      </c>
      <c r="Q33" s="887">
        <v>17</v>
      </c>
      <c r="R33" s="887">
        <v>18</v>
      </c>
      <c r="S33" s="887">
        <v>28</v>
      </c>
      <c r="T33" s="887">
        <v>0</v>
      </c>
      <c r="U33" s="887">
        <v>0</v>
      </c>
      <c r="V33" s="887">
        <v>0</v>
      </c>
      <c r="W33" s="887">
        <v>35</v>
      </c>
      <c r="X33" s="884">
        <v>9</v>
      </c>
      <c r="Y33" s="886">
        <v>41</v>
      </c>
      <c r="Z33" s="887">
        <v>29</v>
      </c>
      <c r="AA33" s="887">
        <v>20</v>
      </c>
      <c r="AB33" s="887">
        <v>29</v>
      </c>
      <c r="AC33" s="887">
        <v>15</v>
      </c>
    </row>
    <row r="34" spans="1:29" ht="10.5">
      <c r="A34" s="883" t="s">
        <v>138</v>
      </c>
      <c r="B34" s="883">
        <v>24</v>
      </c>
      <c r="C34" s="884">
        <v>20</v>
      </c>
      <c r="D34" s="884">
        <v>11</v>
      </c>
      <c r="E34" s="883" t="str">
        <f>"SA-"&amp;$G$14</f>
        <v>SA-11</v>
      </c>
      <c r="F34" s="883" t="s">
        <v>259</v>
      </c>
      <c r="G34" s="883">
        <v>3</v>
      </c>
      <c r="H34" s="884">
        <v>5</v>
      </c>
      <c r="I34" s="884">
        <v>4</v>
      </c>
      <c r="J34" s="883">
        <v>6</v>
      </c>
      <c r="K34" s="883">
        <v>7</v>
      </c>
      <c r="L34" s="883">
        <v>8</v>
      </c>
      <c r="M34" s="883">
        <v>10</v>
      </c>
      <c r="N34" s="883">
        <v>11</v>
      </c>
      <c r="O34" s="883">
        <v>14</v>
      </c>
      <c r="P34" s="883">
        <v>15</v>
      </c>
      <c r="Q34" s="883">
        <v>21</v>
      </c>
      <c r="R34" s="883">
        <v>0</v>
      </c>
      <c r="S34" s="883">
        <v>0</v>
      </c>
      <c r="T34" s="883">
        <v>0</v>
      </c>
      <c r="U34" s="883">
        <v>0</v>
      </c>
      <c r="V34" s="883">
        <v>0</v>
      </c>
      <c r="W34" s="884">
        <v>37</v>
      </c>
      <c r="X34" s="884">
        <v>9</v>
      </c>
      <c r="Y34" s="883">
        <v>45</v>
      </c>
      <c r="Z34" s="883">
        <v>22</v>
      </c>
      <c r="AA34" s="883">
        <v>22</v>
      </c>
      <c r="AB34" s="883">
        <v>22</v>
      </c>
      <c r="AC34" s="884">
        <v>14</v>
      </c>
    </row>
    <row r="35" spans="1:29" ht="10.5">
      <c r="A35" s="883" t="s">
        <v>144</v>
      </c>
      <c r="B35" s="883">
        <v>22</v>
      </c>
      <c r="C35" s="884">
        <v>20</v>
      </c>
      <c r="D35" s="884">
        <v>11</v>
      </c>
      <c r="E35" s="883" t="str">
        <f>"SA-TIBA-"&amp;$G$14</f>
        <v>SA-TIBA-11</v>
      </c>
      <c r="F35" s="883" t="s">
        <v>260</v>
      </c>
      <c r="G35" s="883">
        <v>3</v>
      </c>
      <c r="H35" s="884">
        <v>5</v>
      </c>
      <c r="I35" s="884">
        <v>4</v>
      </c>
      <c r="J35" s="883">
        <v>6</v>
      </c>
      <c r="K35" s="883">
        <v>7</v>
      </c>
      <c r="L35" s="883">
        <v>8</v>
      </c>
      <c r="M35" s="883">
        <v>10</v>
      </c>
      <c r="N35" s="883">
        <v>11</v>
      </c>
      <c r="O35" s="883">
        <v>14</v>
      </c>
      <c r="P35" s="883">
        <v>15</v>
      </c>
      <c r="Q35" s="883">
        <v>21</v>
      </c>
      <c r="R35" s="883">
        <v>0</v>
      </c>
      <c r="S35" s="883">
        <v>0</v>
      </c>
      <c r="T35" s="883">
        <v>0</v>
      </c>
      <c r="U35" s="883">
        <v>0</v>
      </c>
      <c r="V35" s="883">
        <v>0</v>
      </c>
      <c r="W35" s="884">
        <v>38</v>
      </c>
      <c r="X35" s="884">
        <v>9</v>
      </c>
      <c r="Y35" s="883">
        <v>43</v>
      </c>
      <c r="Z35" s="883">
        <v>22</v>
      </c>
      <c r="AA35" s="883">
        <v>20</v>
      </c>
      <c r="AB35" s="883">
        <v>22</v>
      </c>
      <c r="AC35" s="884">
        <v>14</v>
      </c>
    </row>
    <row r="36" spans="1:29" ht="10.5">
      <c r="A36" s="883" t="s">
        <v>145</v>
      </c>
      <c r="B36" s="883">
        <v>22</v>
      </c>
      <c r="C36" s="884">
        <v>20</v>
      </c>
      <c r="D36" s="884">
        <v>11</v>
      </c>
      <c r="E36" s="883" t="str">
        <f>"SA-ENECOR-"&amp;$G$14</f>
        <v>SA-ENECOR-11</v>
      </c>
      <c r="F36" s="883" t="s">
        <v>261</v>
      </c>
      <c r="G36" s="883">
        <v>3</v>
      </c>
      <c r="H36" s="884">
        <v>5</v>
      </c>
      <c r="I36" s="884">
        <v>4</v>
      </c>
      <c r="J36" s="883">
        <v>6</v>
      </c>
      <c r="K36" s="883">
        <v>7</v>
      </c>
      <c r="L36" s="883">
        <v>8</v>
      </c>
      <c r="M36" s="883">
        <v>10</v>
      </c>
      <c r="N36" s="883">
        <v>11</v>
      </c>
      <c r="O36" s="883">
        <v>14</v>
      </c>
      <c r="P36" s="883">
        <v>15</v>
      </c>
      <c r="Q36" s="883">
        <v>21</v>
      </c>
      <c r="R36" s="883">
        <v>0</v>
      </c>
      <c r="S36" s="883">
        <v>0</v>
      </c>
      <c r="T36" s="883">
        <v>0</v>
      </c>
      <c r="U36" s="883">
        <v>0</v>
      </c>
      <c r="V36" s="883">
        <v>0</v>
      </c>
      <c r="W36" s="884">
        <v>39</v>
      </c>
      <c r="X36" s="884">
        <v>9</v>
      </c>
      <c r="Y36" s="883">
        <v>43</v>
      </c>
      <c r="Z36" s="883">
        <v>22</v>
      </c>
      <c r="AA36" s="883">
        <v>20</v>
      </c>
      <c r="AB36" s="883">
        <v>22</v>
      </c>
      <c r="AC36" s="884">
        <v>14</v>
      </c>
    </row>
    <row r="37" spans="1:29" ht="10.5">
      <c r="A37" s="883" t="s">
        <v>244</v>
      </c>
      <c r="B37" s="883">
        <v>24</v>
      </c>
      <c r="C37" s="884">
        <v>20</v>
      </c>
      <c r="D37" s="884">
        <v>11</v>
      </c>
      <c r="E37" s="883" t="str">
        <f>"SA-LITSA-"&amp;$G$14</f>
        <v>SA-LITSA-11</v>
      </c>
      <c r="F37" s="883" t="s">
        <v>262</v>
      </c>
      <c r="G37" s="883">
        <v>3</v>
      </c>
      <c r="H37" s="884">
        <v>5</v>
      </c>
      <c r="I37" s="884">
        <v>4</v>
      </c>
      <c r="J37" s="883">
        <v>6</v>
      </c>
      <c r="K37" s="883">
        <v>7</v>
      </c>
      <c r="L37" s="883">
        <v>8</v>
      </c>
      <c r="M37" s="883">
        <v>10</v>
      </c>
      <c r="N37" s="883">
        <v>11</v>
      </c>
      <c r="O37" s="883">
        <v>14</v>
      </c>
      <c r="P37" s="883">
        <v>15</v>
      </c>
      <c r="Q37" s="883">
        <v>21</v>
      </c>
      <c r="R37" s="883">
        <v>0</v>
      </c>
      <c r="S37" s="883">
        <v>0</v>
      </c>
      <c r="T37" s="883">
        <v>0</v>
      </c>
      <c r="U37" s="883">
        <v>0</v>
      </c>
      <c r="V37" s="883">
        <v>0</v>
      </c>
      <c r="W37" s="884">
        <v>43</v>
      </c>
      <c r="X37" s="884">
        <v>9</v>
      </c>
      <c r="Y37" s="883">
        <v>45</v>
      </c>
      <c r="Z37" s="883">
        <v>22</v>
      </c>
      <c r="AA37" s="883">
        <v>22</v>
      </c>
      <c r="AB37" s="883">
        <v>22</v>
      </c>
      <c r="AC37" s="884">
        <v>14</v>
      </c>
    </row>
    <row r="38" spans="1:29" ht="10.5">
      <c r="A38" s="883" t="s">
        <v>243</v>
      </c>
      <c r="B38" s="883">
        <v>24</v>
      </c>
      <c r="C38" s="884">
        <v>20</v>
      </c>
      <c r="D38" s="884">
        <v>11</v>
      </c>
      <c r="E38" s="883" t="str">
        <f>"SA-LIMSA-"&amp;$G$14</f>
        <v>SA-LIMSA-11</v>
      </c>
      <c r="F38" s="883" t="s">
        <v>263</v>
      </c>
      <c r="G38" s="883">
        <v>3</v>
      </c>
      <c r="H38" s="884">
        <v>5</v>
      </c>
      <c r="I38" s="884">
        <v>4</v>
      </c>
      <c r="J38" s="883">
        <v>6</v>
      </c>
      <c r="K38" s="883">
        <v>7</v>
      </c>
      <c r="L38" s="883">
        <v>8</v>
      </c>
      <c r="M38" s="883">
        <v>10</v>
      </c>
      <c r="N38" s="883">
        <v>11</v>
      </c>
      <c r="O38" s="883">
        <v>14</v>
      </c>
      <c r="P38" s="883">
        <v>15</v>
      </c>
      <c r="Q38" s="883">
        <v>21</v>
      </c>
      <c r="R38" s="883">
        <v>0</v>
      </c>
      <c r="S38" s="883">
        <v>0</v>
      </c>
      <c r="T38" s="883">
        <v>0</v>
      </c>
      <c r="U38" s="883">
        <v>0</v>
      </c>
      <c r="V38" s="883">
        <v>0</v>
      </c>
      <c r="W38" s="884">
        <v>42</v>
      </c>
      <c r="X38" s="884">
        <v>9</v>
      </c>
      <c r="Y38" s="883">
        <v>45</v>
      </c>
      <c r="Z38" s="883">
        <v>22</v>
      </c>
      <c r="AA38" s="883">
        <v>22</v>
      </c>
      <c r="AB38" s="883">
        <v>22</v>
      </c>
      <c r="AC38" s="884">
        <v>14</v>
      </c>
    </row>
    <row r="39" spans="1:29" ht="10.5">
      <c r="A39" s="884" t="s">
        <v>231</v>
      </c>
      <c r="B39" s="883">
        <v>24</v>
      </c>
      <c r="C39" s="883">
        <v>20</v>
      </c>
      <c r="D39" s="884">
        <v>11</v>
      </c>
      <c r="E39" s="884" t="str">
        <f>"SA-TESA-"&amp;$G$14</f>
        <v>SA-TESA-11</v>
      </c>
      <c r="F39" s="884" t="s">
        <v>264</v>
      </c>
      <c r="G39" s="884">
        <v>3</v>
      </c>
      <c r="H39" s="884">
        <v>5</v>
      </c>
      <c r="I39" s="884">
        <v>4</v>
      </c>
      <c r="J39" s="884">
        <v>6</v>
      </c>
      <c r="K39" s="884">
        <v>7</v>
      </c>
      <c r="L39" s="884">
        <v>8</v>
      </c>
      <c r="M39" s="884">
        <v>10</v>
      </c>
      <c r="N39" s="884">
        <v>11</v>
      </c>
      <c r="O39" s="884">
        <v>14</v>
      </c>
      <c r="P39" s="884">
        <v>15</v>
      </c>
      <c r="Q39" s="883">
        <v>21</v>
      </c>
      <c r="R39" s="884">
        <v>0</v>
      </c>
      <c r="S39" s="884">
        <v>0</v>
      </c>
      <c r="T39" s="884">
        <v>0</v>
      </c>
      <c r="U39" s="884">
        <v>0</v>
      </c>
      <c r="V39" s="884">
        <v>0</v>
      </c>
      <c r="W39" s="884">
        <v>40</v>
      </c>
      <c r="X39" s="884">
        <v>9</v>
      </c>
      <c r="Y39" s="883">
        <v>45</v>
      </c>
      <c r="Z39" s="884">
        <v>22</v>
      </c>
      <c r="AA39" s="884">
        <v>22</v>
      </c>
      <c r="AB39" s="884">
        <v>22</v>
      </c>
      <c r="AC39" s="884">
        <v>14</v>
      </c>
    </row>
    <row r="40" spans="1:29" ht="10.5">
      <c r="A40" s="884" t="s">
        <v>232</v>
      </c>
      <c r="B40" s="883">
        <v>24</v>
      </c>
      <c r="C40" s="883">
        <v>20</v>
      </c>
      <c r="D40" s="884">
        <v>11</v>
      </c>
      <c r="E40" s="884" t="str">
        <f>"SA-CTM-"&amp;$G$14</f>
        <v>SA-CTM-11</v>
      </c>
      <c r="F40" s="884" t="s">
        <v>265</v>
      </c>
      <c r="G40" s="884">
        <v>3</v>
      </c>
      <c r="H40" s="884">
        <v>5</v>
      </c>
      <c r="I40" s="884">
        <v>4</v>
      </c>
      <c r="J40" s="884">
        <v>6</v>
      </c>
      <c r="K40" s="884">
        <v>7</v>
      </c>
      <c r="L40" s="884">
        <v>8</v>
      </c>
      <c r="M40" s="884">
        <v>10</v>
      </c>
      <c r="N40" s="884">
        <v>11</v>
      </c>
      <c r="O40" s="884">
        <v>14</v>
      </c>
      <c r="P40" s="884">
        <v>15</v>
      </c>
      <c r="Q40" s="883">
        <v>21</v>
      </c>
      <c r="R40" s="884">
        <v>0</v>
      </c>
      <c r="S40" s="884">
        <v>0</v>
      </c>
      <c r="T40" s="884">
        <v>0</v>
      </c>
      <c r="U40" s="884">
        <v>0</v>
      </c>
      <c r="V40" s="884">
        <v>0</v>
      </c>
      <c r="W40" s="884">
        <v>41</v>
      </c>
      <c r="X40" s="884">
        <v>9</v>
      </c>
      <c r="Y40" s="883">
        <v>45</v>
      </c>
      <c r="Z40" s="884">
        <v>22</v>
      </c>
      <c r="AA40" s="884">
        <v>22</v>
      </c>
      <c r="AB40" s="884">
        <v>22</v>
      </c>
      <c r="AC40" s="884">
        <v>14</v>
      </c>
    </row>
    <row r="41" spans="1:29" ht="10.5">
      <c r="A41" s="883" t="s">
        <v>146</v>
      </c>
      <c r="B41" s="883">
        <v>22</v>
      </c>
      <c r="C41" s="883">
        <v>20</v>
      </c>
      <c r="D41" s="883">
        <v>12</v>
      </c>
      <c r="E41" s="883" t="str">
        <f>"RE-"&amp;$G$14</f>
        <v>RE-11</v>
      </c>
      <c r="F41" s="883" t="s">
        <v>266</v>
      </c>
      <c r="G41" s="883">
        <v>3</v>
      </c>
      <c r="H41" s="884">
        <v>5</v>
      </c>
      <c r="I41" s="884">
        <v>4</v>
      </c>
      <c r="J41" s="883">
        <v>6</v>
      </c>
      <c r="K41" s="883">
        <v>7</v>
      </c>
      <c r="L41" s="883">
        <v>8</v>
      </c>
      <c r="M41" s="883">
        <v>10</v>
      </c>
      <c r="N41" s="883">
        <v>11</v>
      </c>
      <c r="O41" s="883">
        <v>14</v>
      </c>
      <c r="P41" s="883">
        <v>16</v>
      </c>
      <c r="Q41" s="883">
        <v>25</v>
      </c>
      <c r="R41" s="883">
        <v>15</v>
      </c>
      <c r="S41" s="883">
        <v>0</v>
      </c>
      <c r="T41" s="883">
        <v>0</v>
      </c>
      <c r="U41" s="883">
        <v>0</v>
      </c>
      <c r="V41" s="883">
        <v>0</v>
      </c>
      <c r="W41" s="884">
        <v>46</v>
      </c>
      <c r="X41" s="884">
        <v>9</v>
      </c>
      <c r="Y41" s="883">
        <v>43</v>
      </c>
      <c r="Z41" s="883">
        <v>26</v>
      </c>
      <c r="AA41" s="883">
        <v>20</v>
      </c>
      <c r="AB41" s="883">
        <v>23</v>
      </c>
      <c r="AC41" s="883">
        <v>14</v>
      </c>
    </row>
    <row r="42" spans="1:29" ht="10.5">
      <c r="A42" s="883" t="s">
        <v>150</v>
      </c>
      <c r="B42" s="883">
        <v>22</v>
      </c>
      <c r="C42" s="883">
        <v>20</v>
      </c>
      <c r="D42" s="883">
        <v>12</v>
      </c>
      <c r="E42" s="883" t="str">
        <f>"RE-YACY-"&amp;$G$14</f>
        <v>RE-YACY-11</v>
      </c>
      <c r="F42" s="883" t="s">
        <v>267</v>
      </c>
      <c r="G42" s="883">
        <v>3</v>
      </c>
      <c r="H42" s="884">
        <v>5</v>
      </c>
      <c r="I42" s="884">
        <v>4</v>
      </c>
      <c r="J42" s="883">
        <v>6</v>
      </c>
      <c r="K42" s="883">
        <v>7</v>
      </c>
      <c r="L42" s="883">
        <v>8</v>
      </c>
      <c r="M42" s="883">
        <v>10</v>
      </c>
      <c r="N42" s="883">
        <v>11</v>
      </c>
      <c r="O42" s="883">
        <v>14</v>
      </c>
      <c r="P42" s="883">
        <v>16</v>
      </c>
      <c r="Q42" s="883">
        <v>25</v>
      </c>
      <c r="R42" s="883">
        <v>15</v>
      </c>
      <c r="S42" s="883">
        <v>0</v>
      </c>
      <c r="T42" s="883">
        <v>0</v>
      </c>
      <c r="U42" s="883">
        <v>0</v>
      </c>
      <c r="V42" s="883">
        <v>0</v>
      </c>
      <c r="W42" s="884">
        <v>48</v>
      </c>
      <c r="X42" s="884">
        <v>9</v>
      </c>
      <c r="Y42" s="883">
        <v>43</v>
      </c>
      <c r="Z42" s="883">
        <v>26</v>
      </c>
      <c r="AA42" s="883">
        <v>20</v>
      </c>
      <c r="AB42" s="883">
        <v>23</v>
      </c>
      <c r="AC42" s="883">
        <v>14</v>
      </c>
    </row>
    <row r="43" spans="1:29" ht="10.5">
      <c r="A43" s="883" t="s">
        <v>151</v>
      </c>
      <c r="B43" s="883">
        <v>24</v>
      </c>
      <c r="C43" s="883">
        <v>20</v>
      </c>
      <c r="D43" s="883">
        <v>12</v>
      </c>
      <c r="E43" s="883" t="str">
        <f>"RE-LITSA-"&amp;$G$14</f>
        <v>RE-LITSA-11</v>
      </c>
      <c r="F43" s="883" t="s">
        <v>268</v>
      </c>
      <c r="G43" s="883">
        <v>3</v>
      </c>
      <c r="H43" s="884">
        <v>5</v>
      </c>
      <c r="I43" s="884">
        <v>4</v>
      </c>
      <c r="J43" s="883">
        <v>6</v>
      </c>
      <c r="K43" s="883">
        <v>7</v>
      </c>
      <c r="L43" s="883">
        <v>8</v>
      </c>
      <c r="M43" s="883">
        <v>10</v>
      </c>
      <c r="N43" s="883">
        <v>11</v>
      </c>
      <c r="O43" s="883">
        <v>14</v>
      </c>
      <c r="P43" s="883">
        <v>16</v>
      </c>
      <c r="Q43" s="883">
        <v>22</v>
      </c>
      <c r="R43" s="883">
        <v>15</v>
      </c>
      <c r="S43" s="883">
        <v>0</v>
      </c>
      <c r="T43" s="883">
        <v>0</v>
      </c>
      <c r="U43" s="883">
        <v>0</v>
      </c>
      <c r="V43" s="883">
        <v>0</v>
      </c>
      <c r="W43" s="884">
        <v>49</v>
      </c>
      <c r="X43" s="884">
        <v>9</v>
      </c>
      <c r="Y43" s="883">
        <v>45</v>
      </c>
      <c r="Z43" s="883">
        <v>24</v>
      </c>
      <c r="AA43" s="883">
        <v>22</v>
      </c>
      <c r="AB43" s="883">
        <v>24</v>
      </c>
      <c r="AC43" s="883">
        <v>15</v>
      </c>
    </row>
    <row r="44" spans="1:29" ht="10.5">
      <c r="A44" s="883" t="s">
        <v>203</v>
      </c>
      <c r="B44" s="883">
        <v>22</v>
      </c>
      <c r="C44" s="883">
        <v>20</v>
      </c>
      <c r="D44" s="883">
        <v>12</v>
      </c>
      <c r="E44" s="883" t="str">
        <f>"RE-IV-"&amp;$G$14</f>
        <v>RE-IV-11</v>
      </c>
      <c r="F44" s="883" t="s">
        <v>269</v>
      </c>
      <c r="G44" s="883">
        <v>3</v>
      </c>
      <c r="H44" s="884">
        <v>5</v>
      </c>
      <c r="I44" s="884">
        <v>4</v>
      </c>
      <c r="J44" s="883">
        <v>6</v>
      </c>
      <c r="K44" s="883">
        <v>7</v>
      </c>
      <c r="L44" s="883">
        <v>8</v>
      </c>
      <c r="M44" s="883">
        <v>10</v>
      </c>
      <c r="N44" s="883">
        <v>11</v>
      </c>
      <c r="O44" s="883">
        <v>14</v>
      </c>
      <c r="P44" s="883">
        <v>16</v>
      </c>
      <c r="Q44" s="883">
        <v>22</v>
      </c>
      <c r="R44" s="883">
        <v>15</v>
      </c>
      <c r="S44" s="883">
        <v>0</v>
      </c>
      <c r="T44" s="883">
        <v>0</v>
      </c>
      <c r="U44" s="883">
        <v>0</v>
      </c>
      <c r="V44" s="883">
        <v>0</v>
      </c>
      <c r="W44" s="884">
        <v>50</v>
      </c>
      <c r="X44" s="883">
        <v>9</v>
      </c>
      <c r="Y44" s="883">
        <v>43</v>
      </c>
      <c r="Z44" s="883">
        <v>24</v>
      </c>
      <c r="AA44" s="883">
        <v>20</v>
      </c>
      <c r="AB44" s="883">
        <v>23</v>
      </c>
      <c r="AC44" s="883">
        <v>14</v>
      </c>
    </row>
    <row r="45" spans="1:29" ht="10.5">
      <c r="A45" s="883" t="s">
        <v>278</v>
      </c>
      <c r="B45" s="883">
        <v>22</v>
      </c>
      <c r="C45" s="883">
        <v>20</v>
      </c>
      <c r="D45" s="883">
        <v>12</v>
      </c>
      <c r="E45" s="883" t="str">
        <f>"RE-LIMSA-"&amp;$G$14</f>
        <v>RE-LIMSA-11</v>
      </c>
      <c r="F45" s="883" t="s">
        <v>279</v>
      </c>
      <c r="G45" s="883">
        <v>3</v>
      </c>
      <c r="H45" s="884">
        <v>5</v>
      </c>
      <c r="I45" s="884">
        <v>4</v>
      </c>
      <c r="J45" s="883">
        <v>6</v>
      </c>
      <c r="K45" s="883">
        <v>7</v>
      </c>
      <c r="L45" s="883">
        <v>8</v>
      </c>
      <c r="M45" s="883">
        <v>10</v>
      </c>
      <c r="N45" s="883">
        <v>11</v>
      </c>
      <c r="O45" s="883">
        <v>14</v>
      </c>
      <c r="P45" s="883">
        <v>16</v>
      </c>
      <c r="Q45" s="883">
        <v>25</v>
      </c>
      <c r="R45" s="883">
        <v>15</v>
      </c>
      <c r="S45" s="883">
        <v>0</v>
      </c>
      <c r="T45" s="883">
        <v>0</v>
      </c>
      <c r="U45" s="883">
        <v>0</v>
      </c>
      <c r="V45" s="883">
        <v>0</v>
      </c>
      <c r="W45" s="884">
        <v>51</v>
      </c>
      <c r="X45" s="884">
        <v>9</v>
      </c>
      <c r="Y45" s="883">
        <v>43</v>
      </c>
      <c r="Z45" s="883">
        <v>26</v>
      </c>
      <c r="AA45" s="883">
        <v>20</v>
      </c>
      <c r="AB45" s="883">
        <v>23</v>
      </c>
      <c r="AC45" s="883">
        <v>14</v>
      </c>
    </row>
    <row r="46" spans="1:29" ht="10.5">
      <c r="A46" s="890" t="s">
        <v>185</v>
      </c>
      <c r="B46" s="888">
        <v>32</v>
      </c>
      <c r="C46" s="888">
        <v>25</v>
      </c>
      <c r="D46" s="888">
        <v>11</v>
      </c>
      <c r="E46" s="890" t="s">
        <v>185</v>
      </c>
      <c r="F46" s="888" t="s">
        <v>246</v>
      </c>
      <c r="G46" s="888">
        <v>0</v>
      </c>
      <c r="H46" s="888">
        <v>0</v>
      </c>
      <c r="I46" s="888">
        <v>0</v>
      </c>
      <c r="J46" s="888">
        <v>4</v>
      </c>
      <c r="K46" s="888">
        <v>5</v>
      </c>
      <c r="L46" s="888">
        <v>6</v>
      </c>
      <c r="M46" s="888">
        <v>7</v>
      </c>
      <c r="N46" s="888">
        <v>10</v>
      </c>
      <c r="O46" s="888">
        <v>11</v>
      </c>
      <c r="P46" s="888">
        <v>14</v>
      </c>
      <c r="Q46" s="888">
        <v>17</v>
      </c>
      <c r="R46" s="888">
        <v>28</v>
      </c>
      <c r="S46" s="888">
        <v>0</v>
      </c>
      <c r="T46" s="888">
        <v>0</v>
      </c>
      <c r="U46" s="888">
        <v>0</v>
      </c>
      <c r="V46" s="888">
        <v>0</v>
      </c>
      <c r="W46" s="888">
        <v>0</v>
      </c>
      <c r="X46" s="888">
        <v>0</v>
      </c>
      <c r="Y46" s="888">
        <v>0</v>
      </c>
      <c r="Z46" s="888">
        <v>0</v>
      </c>
      <c r="AA46" s="888">
        <v>0</v>
      </c>
      <c r="AB46" s="888">
        <v>0</v>
      </c>
      <c r="AC46" s="888">
        <v>0</v>
      </c>
    </row>
    <row r="47" spans="1:29" s="920" customFormat="1" ht="10.5">
      <c r="A47" s="890" t="s">
        <v>185</v>
      </c>
      <c r="B47" s="890">
        <v>70</v>
      </c>
      <c r="C47" s="890">
        <v>4</v>
      </c>
      <c r="D47" s="890">
        <v>11</v>
      </c>
      <c r="E47" s="890" t="s">
        <v>185</v>
      </c>
      <c r="F47" s="888" t="s">
        <v>267</v>
      </c>
      <c r="G47" s="890">
        <v>0</v>
      </c>
      <c r="H47" s="890">
        <v>0</v>
      </c>
      <c r="I47" s="890">
        <v>0</v>
      </c>
      <c r="J47" s="890">
        <v>4</v>
      </c>
      <c r="K47" s="890">
        <v>5</v>
      </c>
      <c r="L47" s="890">
        <v>6</v>
      </c>
      <c r="M47" s="890">
        <v>10</v>
      </c>
      <c r="N47" s="890">
        <v>11</v>
      </c>
      <c r="O47" s="890">
        <v>14</v>
      </c>
      <c r="P47" s="890">
        <v>16</v>
      </c>
      <c r="Q47" s="890">
        <v>28</v>
      </c>
      <c r="R47" s="890">
        <v>0</v>
      </c>
      <c r="S47" s="890">
        <v>0</v>
      </c>
      <c r="T47" s="890">
        <v>0</v>
      </c>
      <c r="U47" s="890">
        <v>0</v>
      </c>
      <c r="V47" s="890">
        <v>0</v>
      </c>
      <c r="W47" s="890">
        <v>0</v>
      </c>
      <c r="X47" s="890">
        <v>0</v>
      </c>
      <c r="Y47" s="890">
        <v>0</v>
      </c>
      <c r="Z47" s="890">
        <v>0</v>
      </c>
      <c r="AA47" s="890">
        <v>0</v>
      </c>
      <c r="AB47" s="890">
        <v>0</v>
      </c>
      <c r="AC47" s="890">
        <v>0</v>
      </c>
    </row>
    <row r="48" spans="1:29" ht="10.5">
      <c r="A48" s="890" t="s">
        <v>198</v>
      </c>
      <c r="B48" s="888">
        <v>90</v>
      </c>
      <c r="C48" s="888">
        <v>10</v>
      </c>
      <c r="D48" s="889">
        <v>12</v>
      </c>
      <c r="E48" s="890" t="s">
        <v>198</v>
      </c>
      <c r="F48" s="888" t="s">
        <v>262</v>
      </c>
      <c r="G48" s="888">
        <v>0</v>
      </c>
      <c r="H48" s="888">
        <v>0</v>
      </c>
      <c r="I48" s="888">
        <v>0</v>
      </c>
      <c r="J48" s="888">
        <v>4</v>
      </c>
      <c r="K48" s="888">
        <v>5</v>
      </c>
      <c r="L48" s="888">
        <v>6</v>
      </c>
      <c r="M48" s="888">
        <v>10</v>
      </c>
      <c r="N48" s="888">
        <v>11</v>
      </c>
      <c r="O48" s="888">
        <v>14</v>
      </c>
      <c r="P48" s="888">
        <v>15</v>
      </c>
      <c r="Q48" s="888">
        <v>28</v>
      </c>
      <c r="R48" s="888">
        <v>0</v>
      </c>
      <c r="S48" s="888">
        <v>0</v>
      </c>
      <c r="T48" s="888">
        <v>0</v>
      </c>
      <c r="U48" s="888">
        <v>0</v>
      </c>
      <c r="V48" s="888">
        <v>0</v>
      </c>
      <c r="W48" s="888">
        <v>0</v>
      </c>
      <c r="X48" s="888">
        <v>0</v>
      </c>
      <c r="Y48" s="888">
        <v>0</v>
      </c>
      <c r="Z48" s="888">
        <v>0</v>
      </c>
      <c r="AA48" s="888">
        <v>0</v>
      </c>
      <c r="AB48" s="888">
        <v>0</v>
      </c>
      <c r="AC48" s="888">
        <v>0</v>
      </c>
    </row>
    <row r="49" spans="1:29" ht="10.5">
      <c r="A49" s="890" t="s">
        <v>198</v>
      </c>
      <c r="B49" s="888">
        <v>61</v>
      </c>
      <c r="C49" s="888">
        <v>24</v>
      </c>
      <c r="D49" s="889">
        <v>12</v>
      </c>
      <c r="E49" s="890" t="s">
        <v>198</v>
      </c>
      <c r="F49" s="888" t="s">
        <v>253</v>
      </c>
      <c r="G49" s="888">
        <v>0</v>
      </c>
      <c r="H49" s="888">
        <v>0</v>
      </c>
      <c r="I49" s="888">
        <v>0</v>
      </c>
      <c r="J49" s="888">
        <v>4</v>
      </c>
      <c r="K49" s="888">
        <v>5</v>
      </c>
      <c r="L49" s="888">
        <v>6</v>
      </c>
      <c r="M49" s="888">
        <v>8</v>
      </c>
      <c r="N49" s="888">
        <v>9</v>
      </c>
      <c r="O49" s="888">
        <v>10</v>
      </c>
      <c r="P49" s="888">
        <v>13</v>
      </c>
      <c r="Q49" s="888">
        <v>15</v>
      </c>
      <c r="R49" s="888">
        <v>16</v>
      </c>
      <c r="S49" s="888">
        <v>0</v>
      </c>
      <c r="T49" s="888">
        <v>0</v>
      </c>
      <c r="U49" s="888">
        <v>0</v>
      </c>
      <c r="V49" s="888">
        <v>0</v>
      </c>
      <c r="W49" s="888">
        <v>0</v>
      </c>
      <c r="X49" s="888">
        <v>0</v>
      </c>
      <c r="Y49" s="888">
        <v>0</v>
      </c>
      <c r="Z49" s="888">
        <v>0</v>
      </c>
      <c r="AA49" s="888">
        <v>0</v>
      </c>
      <c r="AB49" s="888">
        <v>0</v>
      </c>
      <c r="AC49" s="888">
        <v>0</v>
      </c>
    </row>
    <row r="50" spans="1:29" ht="10.5">
      <c r="A50" s="890" t="s">
        <v>198</v>
      </c>
      <c r="B50" s="888">
        <v>32</v>
      </c>
      <c r="C50" s="888">
        <v>24</v>
      </c>
      <c r="D50" s="888">
        <v>11</v>
      </c>
      <c r="E50" s="890" t="s">
        <v>198</v>
      </c>
      <c r="F50" s="888" t="s">
        <v>247</v>
      </c>
      <c r="G50" s="888">
        <v>0</v>
      </c>
      <c r="H50" s="888">
        <v>0</v>
      </c>
      <c r="I50" s="888">
        <v>0</v>
      </c>
      <c r="J50" s="888">
        <v>4</v>
      </c>
      <c r="K50" s="888">
        <v>5</v>
      </c>
      <c r="L50" s="888">
        <v>6</v>
      </c>
      <c r="M50" s="888">
        <v>7</v>
      </c>
      <c r="N50" s="888">
        <v>10</v>
      </c>
      <c r="O50" s="888">
        <v>11</v>
      </c>
      <c r="P50" s="888">
        <v>14</v>
      </c>
      <c r="Q50" s="888">
        <v>17</v>
      </c>
      <c r="R50" s="888">
        <v>28</v>
      </c>
      <c r="S50" s="888">
        <v>0</v>
      </c>
      <c r="T50" s="888">
        <v>0</v>
      </c>
      <c r="U50" s="888">
        <v>0</v>
      </c>
      <c r="V50" s="888">
        <v>0</v>
      </c>
      <c r="W50" s="888">
        <v>0</v>
      </c>
      <c r="X50" s="888">
        <v>0</v>
      </c>
      <c r="Y50" s="888">
        <v>0</v>
      </c>
      <c r="Z50" s="888">
        <v>0</v>
      </c>
      <c r="AA50" s="888">
        <v>0</v>
      </c>
      <c r="AB50" s="888">
        <v>0</v>
      </c>
      <c r="AC50" s="888">
        <v>0</v>
      </c>
    </row>
    <row r="51" spans="1:29" s="920" customFormat="1" ht="10.5">
      <c r="A51" s="890" t="s">
        <v>198</v>
      </c>
      <c r="B51" s="890">
        <v>105</v>
      </c>
      <c r="C51" s="890">
        <v>8</v>
      </c>
      <c r="D51" s="890">
        <v>11</v>
      </c>
      <c r="E51" s="890" t="s">
        <v>198</v>
      </c>
      <c r="F51" s="888" t="s">
        <v>268</v>
      </c>
      <c r="G51" s="890">
        <v>0</v>
      </c>
      <c r="H51" s="890">
        <v>0</v>
      </c>
      <c r="I51" s="890">
        <v>0</v>
      </c>
      <c r="J51" s="890">
        <v>4</v>
      </c>
      <c r="K51" s="890">
        <v>5</v>
      </c>
      <c r="L51" s="890">
        <v>6</v>
      </c>
      <c r="M51" s="890">
        <v>10</v>
      </c>
      <c r="N51" s="890">
        <v>11</v>
      </c>
      <c r="O51" s="890">
        <v>14</v>
      </c>
      <c r="P51" s="890">
        <v>16</v>
      </c>
      <c r="Q51" s="890">
        <v>28</v>
      </c>
      <c r="R51" s="890">
        <v>0</v>
      </c>
      <c r="S51" s="890">
        <v>0</v>
      </c>
      <c r="T51" s="890">
        <v>0</v>
      </c>
      <c r="U51" s="890">
        <v>0</v>
      </c>
      <c r="V51" s="890">
        <v>0</v>
      </c>
      <c r="W51" s="890">
        <v>0</v>
      </c>
      <c r="X51" s="890">
        <v>0</v>
      </c>
      <c r="Y51" s="890">
        <v>0</v>
      </c>
      <c r="Z51" s="890">
        <v>0</v>
      </c>
      <c r="AA51" s="890">
        <v>0</v>
      </c>
      <c r="AB51" s="890">
        <v>0</v>
      </c>
      <c r="AC51" s="890">
        <v>0</v>
      </c>
    </row>
    <row r="52" spans="1:29" ht="10.5">
      <c r="A52" s="890" t="s">
        <v>199</v>
      </c>
      <c r="B52" s="888">
        <v>60</v>
      </c>
      <c r="C52" s="888">
        <v>36</v>
      </c>
      <c r="D52" s="888">
        <v>9</v>
      </c>
      <c r="E52" s="890" t="s">
        <v>199</v>
      </c>
      <c r="F52" s="888" t="s">
        <v>260</v>
      </c>
      <c r="G52" s="888">
        <v>0</v>
      </c>
      <c r="H52" s="888">
        <v>0</v>
      </c>
      <c r="I52" s="888">
        <v>0</v>
      </c>
      <c r="J52" s="888">
        <v>4</v>
      </c>
      <c r="K52" s="888">
        <v>5</v>
      </c>
      <c r="L52" s="888">
        <v>7</v>
      </c>
      <c r="M52" s="888">
        <v>9</v>
      </c>
      <c r="N52" s="888">
        <v>10</v>
      </c>
      <c r="O52" s="888">
        <v>13</v>
      </c>
      <c r="P52" s="888">
        <v>14</v>
      </c>
      <c r="Q52" s="888">
        <v>21</v>
      </c>
      <c r="R52" s="888">
        <v>0</v>
      </c>
      <c r="S52" s="888">
        <v>0</v>
      </c>
      <c r="T52" s="888">
        <v>0</v>
      </c>
      <c r="U52" s="888">
        <v>0</v>
      </c>
      <c r="V52" s="888">
        <v>0</v>
      </c>
      <c r="W52" s="888">
        <v>0</v>
      </c>
      <c r="X52" s="888">
        <v>0</v>
      </c>
      <c r="Y52" s="888">
        <v>0</v>
      </c>
      <c r="Z52" s="888">
        <v>0</v>
      </c>
      <c r="AA52" s="888">
        <v>0</v>
      </c>
      <c r="AB52" s="888">
        <v>0</v>
      </c>
      <c r="AC52" s="888">
        <v>0</v>
      </c>
    </row>
    <row r="53" spans="1:29" ht="10.5">
      <c r="A53" s="890" t="s">
        <v>199</v>
      </c>
      <c r="B53" s="888">
        <v>31</v>
      </c>
      <c r="C53" s="888">
        <v>25</v>
      </c>
      <c r="D53" s="889">
        <v>12</v>
      </c>
      <c r="E53" s="890" t="s">
        <v>199</v>
      </c>
      <c r="F53" s="888" t="s">
        <v>254</v>
      </c>
      <c r="G53" s="888">
        <v>0</v>
      </c>
      <c r="H53" s="888">
        <v>0</v>
      </c>
      <c r="I53" s="888">
        <v>0</v>
      </c>
      <c r="J53" s="888">
        <v>4</v>
      </c>
      <c r="K53" s="888">
        <v>5</v>
      </c>
      <c r="L53" s="888">
        <v>6</v>
      </c>
      <c r="M53" s="888">
        <v>7</v>
      </c>
      <c r="N53" s="888">
        <v>9</v>
      </c>
      <c r="O53" s="888">
        <v>10</v>
      </c>
      <c r="P53" s="888">
        <v>13</v>
      </c>
      <c r="Q53" s="888">
        <v>15</v>
      </c>
      <c r="R53" s="888">
        <v>16</v>
      </c>
      <c r="S53" s="888">
        <v>0</v>
      </c>
      <c r="T53" s="888">
        <v>0</v>
      </c>
      <c r="U53" s="888">
        <v>0</v>
      </c>
      <c r="V53" s="888">
        <v>0</v>
      </c>
      <c r="W53" s="888">
        <v>0</v>
      </c>
      <c r="X53" s="888">
        <v>0</v>
      </c>
      <c r="Y53" s="888">
        <v>0</v>
      </c>
      <c r="Z53" s="888">
        <v>0</v>
      </c>
      <c r="AA53" s="888">
        <v>0</v>
      </c>
      <c r="AB53" s="888">
        <v>0</v>
      </c>
      <c r="AC53" s="888">
        <v>0</v>
      </c>
    </row>
    <row r="54" spans="1:29" ht="10.5">
      <c r="A54" s="890" t="s">
        <v>200</v>
      </c>
      <c r="B54" s="888">
        <v>60</v>
      </c>
      <c r="C54" s="888">
        <v>25</v>
      </c>
      <c r="D54" s="888">
        <v>9</v>
      </c>
      <c r="E54" s="890" t="s">
        <v>200</v>
      </c>
      <c r="F54" s="888" t="s">
        <v>261</v>
      </c>
      <c r="G54" s="888">
        <v>0</v>
      </c>
      <c r="H54" s="888">
        <v>0</v>
      </c>
      <c r="I54" s="888">
        <v>0</v>
      </c>
      <c r="J54" s="888">
        <v>4</v>
      </c>
      <c r="K54" s="888">
        <v>5</v>
      </c>
      <c r="L54" s="888">
        <v>7</v>
      </c>
      <c r="M54" s="888">
        <v>9</v>
      </c>
      <c r="N54" s="888">
        <v>10</v>
      </c>
      <c r="O54" s="888">
        <v>13</v>
      </c>
      <c r="P54" s="888">
        <v>14</v>
      </c>
      <c r="Q54" s="888">
        <v>21</v>
      </c>
      <c r="R54" s="888">
        <v>0</v>
      </c>
      <c r="S54" s="888">
        <v>0</v>
      </c>
      <c r="T54" s="888">
        <v>0</v>
      </c>
      <c r="U54" s="888">
        <v>0</v>
      </c>
      <c r="V54" s="888">
        <v>0</v>
      </c>
      <c r="W54" s="888">
        <v>0</v>
      </c>
      <c r="X54" s="888">
        <v>0</v>
      </c>
      <c r="Y54" s="888">
        <v>0</v>
      </c>
      <c r="Z54" s="888">
        <v>0</v>
      </c>
      <c r="AA54" s="888">
        <v>0</v>
      </c>
      <c r="AB54" s="888">
        <v>0</v>
      </c>
      <c r="AC54" s="888">
        <v>0</v>
      </c>
    </row>
    <row r="55" spans="1:29" ht="10.5">
      <c r="A55" s="890" t="s">
        <v>200</v>
      </c>
      <c r="B55" s="888">
        <v>31</v>
      </c>
      <c r="C55" s="888">
        <v>25</v>
      </c>
      <c r="D55" s="889">
        <v>12</v>
      </c>
      <c r="E55" s="890" t="s">
        <v>200</v>
      </c>
      <c r="F55" s="888" t="s">
        <v>255</v>
      </c>
      <c r="G55" s="888">
        <v>0</v>
      </c>
      <c r="H55" s="888">
        <v>0</v>
      </c>
      <c r="I55" s="888">
        <v>0</v>
      </c>
      <c r="J55" s="888">
        <v>4</v>
      </c>
      <c r="K55" s="888">
        <v>5</v>
      </c>
      <c r="L55" s="888">
        <v>6</v>
      </c>
      <c r="M55" s="888">
        <v>7</v>
      </c>
      <c r="N55" s="888">
        <v>9</v>
      </c>
      <c r="O55" s="888">
        <v>10</v>
      </c>
      <c r="P55" s="888">
        <v>13</v>
      </c>
      <c r="Q55" s="888">
        <v>15</v>
      </c>
      <c r="R55" s="888">
        <v>16</v>
      </c>
      <c r="S55" s="888">
        <v>0</v>
      </c>
      <c r="T55" s="888">
        <v>0</v>
      </c>
      <c r="U55" s="888">
        <v>0</v>
      </c>
      <c r="V55" s="888">
        <v>0</v>
      </c>
      <c r="W55" s="888">
        <v>0</v>
      </c>
      <c r="X55" s="888">
        <v>0</v>
      </c>
      <c r="Y55" s="888">
        <v>0</v>
      </c>
      <c r="Z55" s="888">
        <v>0</v>
      </c>
      <c r="AA55" s="888">
        <v>0</v>
      </c>
      <c r="AB55" s="888">
        <v>0</v>
      </c>
      <c r="AC55" s="888">
        <v>0</v>
      </c>
    </row>
    <row r="56" spans="1:29" ht="10.5">
      <c r="A56" s="890" t="s">
        <v>233</v>
      </c>
      <c r="B56" s="890">
        <v>32</v>
      </c>
      <c r="C56" s="890">
        <v>3</v>
      </c>
      <c r="D56" s="890">
        <v>9</v>
      </c>
      <c r="E56" s="890" t="s">
        <v>233</v>
      </c>
      <c r="F56" s="890" t="s">
        <v>264</v>
      </c>
      <c r="G56" s="890">
        <v>0</v>
      </c>
      <c r="H56" s="890">
        <v>0</v>
      </c>
      <c r="I56" s="890">
        <v>0</v>
      </c>
      <c r="J56" s="890">
        <v>4</v>
      </c>
      <c r="K56" s="890">
        <v>5</v>
      </c>
      <c r="L56" s="890">
        <v>7</v>
      </c>
      <c r="M56" s="890">
        <v>9</v>
      </c>
      <c r="N56" s="890">
        <v>10</v>
      </c>
      <c r="O56" s="890">
        <v>13</v>
      </c>
      <c r="P56" s="890">
        <v>14</v>
      </c>
      <c r="Q56" s="890">
        <v>21</v>
      </c>
      <c r="R56" s="890">
        <v>0</v>
      </c>
      <c r="S56" s="890">
        <v>0</v>
      </c>
      <c r="T56" s="890">
        <v>0</v>
      </c>
      <c r="U56" s="890">
        <v>0</v>
      </c>
      <c r="V56" s="890">
        <v>0</v>
      </c>
      <c r="W56" s="890">
        <v>0</v>
      </c>
      <c r="X56" s="890">
        <v>0</v>
      </c>
      <c r="Y56" s="890">
        <v>0</v>
      </c>
      <c r="Z56" s="890">
        <v>0</v>
      </c>
      <c r="AA56" s="890">
        <v>0</v>
      </c>
      <c r="AB56" s="890">
        <v>0</v>
      </c>
      <c r="AC56" s="890">
        <v>0</v>
      </c>
    </row>
    <row r="57" spans="1:29" ht="10.5">
      <c r="A57" s="890" t="s">
        <v>234</v>
      </c>
      <c r="B57" s="890">
        <v>32</v>
      </c>
      <c r="C57" s="890">
        <v>3</v>
      </c>
      <c r="D57" s="890">
        <v>9</v>
      </c>
      <c r="E57" s="890" t="s">
        <v>234</v>
      </c>
      <c r="F57" s="890" t="s">
        <v>265</v>
      </c>
      <c r="G57" s="890">
        <v>0</v>
      </c>
      <c r="H57" s="890">
        <v>0</v>
      </c>
      <c r="I57" s="890">
        <v>0</v>
      </c>
      <c r="J57" s="890">
        <v>4</v>
      </c>
      <c r="K57" s="890">
        <v>5</v>
      </c>
      <c r="L57" s="890">
        <v>7</v>
      </c>
      <c r="M57" s="890">
        <v>9</v>
      </c>
      <c r="N57" s="890">
        <v>10</v>
      </c>
      <c r="O57" s="890">
        <v>13</v>
      </c>
      <c r="P57" s="890">
        <v>14</v>
      </c>
      <c r="Q57" s="890">
        <v>21</v>
      </c>
      <c r="R57" s="890">
        <v>0</v>
      </c>
      <c r="S57" s="890">
        <v>0</v>
      </c>
      <c r="T57" s="890">
        <v>0</v>
      </c>
      <c r="U57" s="890">
        <v>0</v>
      </c>
      <c r="V57" s="890">
        <v>0</v>
      </c>
      <c r="W57" s="890">
        <v>0</v>
      </c>
      <c r="X57" s="890">
        <v>0</v>
      </c>
      <c r="Y57" s="890">
        <v>0</v>
      </c>
      <c r="Z57" s="890">
        <v>0</v>
      </c>
      <c r="AA57" s="890">
        <v>0</v>
      </c>
      <c r="AB57" s="890">
        <v>0</v>
      </c>
      <c r="AC57" s="890">
        <v>0</v>
      </c>
    </row>
    <row r="58" spans="1:29" ht="10.5">
      <c r="A58" s="890" t="s">
        <v>236</v>
      </c>
      <c r="B58" s="890">
        <v>32</v>
      </c>
      <c r="C58" s="890">
        <v>4</v>
      </c>
      <c r="D58" s="890">
        <v>11</v>
      </c>
      <c r="E58" s="890" t="s">
        <v>236</v>
      </c>
      <c r="F58" s="890" t="s">
        <v>249</v>
      </c>
      <c r="G58" s="890">
        <v>0</v>
      </c>
      <c r="H58" s="890">
        <v>0</v>
      </c>
      <c r="I58" s="890">
        <v>0</v>
      </c>
      <c r="J58" s="890">
        <v>4</v>
      </c>
      <c r="K58" s="890">
        <v>5</v>
      </c>
      <c r="L58" s="890">
        <v>6</v>
      </c>
      <c r="M58" s="890">
        <v>7</v>
      </c>
      <c r="N58" s="890">
        <v>10</v>
      </c>
      <c r="O58" s="890">
        <v>11</v>
      </c>
      <c r="P58" s="890">
        <v>14</v>
      </c>
      <c r="Q58" s="890">
        <v>17</v>
      </c>
      <c r="R58" s="890">
        <v>28</v>
      </c>
      <c r="S58" s="890">
        <v>0</v>
      </c>
      <c r="T58" s="890">
        <v>0</v>
      </c>
      <c r="U58" s="890">
        <v>0</v>
      </c>
      <c r="V58" s="890">
        <v>0</v>
      </c>
      <c r="W58" s="890">
        <v>0</v>
      </c>
      <c r="X58" s="890">
        <v>0</v>
      </c>
      <c r="Y58" s="890">
        <v>0</v>
      </c>
      <c r="Z58" s="890">
        <v>0</v>
      </c>
      <c r="AA58" s="890">
        <v>0</v>
      </c>
      <c r="AB58" s="890">
        <v>0</v>
      </c>
      <c r="AC58" s="890">
        <v>0</v>
      </c>
    </row>
    <row r="59" spans="1:29" ht="10.5">
      <c r="A59" s="890" t="s">
        <v>236</v>
      </c>
      <c r="B59" s="890">
        <v>40</v>
      </c>
      <c r="C59" s="890">
        <v>4</v>
      </c>
      <c r="D59" s="890">
        <v>12</v>
      </c>
      <c r="E59" s="890" t="s">
        <v>236</v>
      </c>
      <c r="F59" s="890" t="s">
        <v>256</v>
      </c>
      <c r="G59" s="890">
        <v>0</v>
      </c>
      <c r="H59" s="890">
        <v>0</v>
      </c>
      <c r="I59" s="890">
        <v>0</v>
      </c>
      <c r="J59" s="890">
        <v>4</v>
      </c>
      <c r="K59" s="890">
        <v>5</v>
      </c>
      <c r="L59" s="890">
        <v>6</v>
      </c>
      <c r="M59" s="890">
        <v>8</v>
      </c>
      <c r="N59" s="890">
        <v>9</v>
      </c>
      <c r="O59" s="890">
        <v>10</v>
      </c>
      <c r="P59" s="890">
        <v>13</v>
      </c>
      <c r="Q59" s="890">
        <v>15</v>
      </c>
      <c r="R59" s="890">
        <v>16</v>
      </c>
      <c r="S59" s="890">
        <v>0</v>
      </c>
      <c r="T59" s="890">
        <v>0</v>
      </c>
      <c r="U59" s="890">
        <v>0</v>
      </c>
      <c r="V59" s="890">
        <v>0</v>
      </c>
      <c r="W59" s="890">
        <v>0</v>
      </c>
      <c r="X59" s="890">
        <v>0</v>
      </c>
      <c r="Y59" s="890">
        <v>0</v>
      </c>
      <c r="Z59" s="890">
        <v>0</v>
      </c>
      <c r="AA59" s="890">
        <v>0</v>
      </c>
      <c r="AB59" s="890">
        <v>0</v>
      </c>
      <c r="AC59" s="890">
        <v>0</v>
      </c>
    </row>
    <row r="60" spans="1:29" ht="10.5">
      <c r="A60" s="890" t="s">
        <v>235</v>
      </c>
      <c r="B60" s="890">
        <v>32</v>
      </c>
      <c r="C60" s="890">
        <v>4</v>
      </c>
      <c r="D60" s="890">
        <v>11</v>
      </c>
      <c r="E60" s="890" t="s">
        <v>235</v>
      </c>
      <c r="F60" s="890" t="s">
        <v>250</v>
      </c>
      <c r="G60" s="890">
        <v>0</v>
      </c>
      <c r="H60" s="890">
        <v>0</v>
      </c>
      <c r="I60" s="890">
        <v>0</v>
      </c>
      <c r="J60" s="890">
        <v>4</v>
      </c>
      <c r="K60" s="890">
        <v>5</v>
      </c>
      <c r="L60" s="890">
        <v>6</v>
      </c>
      <c r="M60" s="890">
        <v>7</v>
      </c>
      <c r="N60" s="890">
        <v>10</v>
      </c>
      <c r="O60" s="890">
        <v>11</v>
      </c>
      <c r="P60" s="890">
        <v>14</v>
      </c>
      <c r="Q60" s="890">
        <v>17</v>
      </c>
      <c r="R60" s="890">
        <v>28</v>
      </c>
      <c r="S60" s="890">
        <v>0</v>
      </c>
      <c r="T60" s="890">
        <v>0</v>
      </c>
      <c r="U60" s="890">
        <v>0</v>
      </c>
      <c r="V60" s="890">
        <v>0</v>
      </c>
      <c r="W60" s="890">
        <v>0</v>
      </c>
      <c r="X60" s="890">
        <v>0</v>
      </c>
      <c r="Y60" s="890">
        <v>0</v>
      </c>
      <c r="Z60" s="890">
        <v>0</v>
      </c>
      <c r="AA60" s="890">
        <v>0</v>
      </c>
      <c r="AB60" s="890">
        <v>0</v>
      </c>
      <c r="AC60" s="890">
        <v>0</v>
      </c>
    </row>
    <row r="61" spans="1:29" ht="10.5">
      <c r="A61" s="890" t="s">
        <v>235</v>
      </c>
      <c r="B61" s="890">
        <v>40</v>
      </c>
      <c r="C61" s="890">
        <v>4</v>
      </c>
      <c r="D61" s="891">
        <v>12</v>
      </c>
      <c r="E61" s="890" t="s">
        <v>235</v>
      </c>
      <c r="F61" s="890" t="s">
        <v>258</v>
      </c>
      <c r="G61" s="890">
        <v>0</v>
      </c>
      <c r="H61" s="890">
        <v>0</v>
      </c>
      <c r="I61" s="890">
        <v>0</v>
      </c>
      <c r="J61" s="890">
        <v>4</v>
      </c>
      <c r="K61" s="890">
        <v>5</v>
      </c>
      <c r="L61" s="890">
        <v>6</v>
      </c>
      <c r="M61" s="890">
        <v>8</v>
      </c>
      <c r="N61" s="890">
        <v>9</v>
      </c>
      <c r="O61" s="890">
        <v>10</v>
      </c>
      <c r="P61" s="890">
        <v>13</v>
      </c>
      <c r="Q61" s="890">
        <v>15</v>
      </c>
      <c r="R61" s="890">
        <v>16</v>
      </c>
      <c r="S61" s="890">
        <v>0</v>
      </c>
      <c r="T61" s="890">
        <v>0</v>
      </c>
      <c r="U61" s="890">
        <v>0</v>
      </c>
      <c r="V61" s="890">
        <v>0</v>
      </c>
      <c r="W61" s="890">
        <v>0</v>
      </c>
      <c r="X61" s="890">
        <v>0</v>
      </c>
      <c r="Y61" s="890">
        <v>0</v>
      </c>
      <c r="Z61" s="890">
        <v>0</v>
      </c>
      <c r="AA61" s="890">
        <v>0</v>
      </c>
      <c r="AB61" s="890">
        <v>0</v>
      </c>
      <c r="AC61" s="890">
        <v>0</v>
      </c>
    </row>
    <row r="62" spans="1:29" ht="10.5">
      <c r="A62" s="890" t="s">
        <v>227</v>
      </c>
      <c r="B62" s="890">
        <v>52</v>
      </c>
      <c r="C62" s="890">
        <v>10</v>
      </c>
      <c r="D62" s="891">
        <v>12</v>
      </c>
      <c r="E62" s="890" t="s">
        <v>227</v>
      </c>
      <c r="F62" s="890" t="s">
        <v>263</v>
      </c>
      <c r="G62" s="890">
        <v>0</v>
      </c>
      <c r="H62" s="890">
        <v>0</v>
      </c>
      <c r="I62" s="890">
        <v>0</v>
      </c>
      <c r="J62" s="888">
        <v>4</v>
      </c>
      <c r="K62" s="888">
        <v>5</v>
      </c>
      <c r="L62" s="888">
        <v>6</v>
      </c>
      <c r="M62" s="888">
        <v>10</v>
      </c>
      <c r="N62" s="888">
        <v>11</v>
      </c>
      <c r="O62" s="888">
        <v>14</v>
      </c>
      <c r="P62" s="888">
        <v>15</v>
      </c>
      <c r="Q62" s="888">
        <v>28</v>
      </c>
      <c r="R62" s="890">
        <v>0</v>
      </c>
      <c r="S62" s="890">
        <v>0</v>
      </c>
      <c r="T62" s="890">
        <v>0</v>
      </c>
      <c r="U62" s="890">
        <v>0</v>
      </c>
      <c r="V62" s="890">
        <v>0</v>
      </c>
      <c r="W62" s="890">
        <v>0</v>
      </c>
      <c r="X62" s="890">
        <v>0</v>
      </c>
      <c r="Y62" s="890">
        <v>0</v>
      </c>
      <c r="Z62" s="890">
        <v>0</v>
      </c>
      <c r="AA62" s="890">
        <v>0</v>
      </c>
      <c r="AB62" s="890">
        <v>0</v>
      </c>
      <c r="AC62" s="890">
        <v>0</v>
      </c>
    </row>
    <row r="63" spans="1:29" ht="10.5">
      <c r="A63" s="890" t="s">
        <v>227</v>
      </c>
      <c r="B63" s="890">
        <v>45</v>
      </c>
      <c r="C63" s="890">
        <v>2</v>
      </c>
      <c r="D63" s="891">
        <v>12</v>
      </c>
      <c r="E63" s="890" t="s">
        <v>227</v>
      </c>
      <c r="F63" s="890" t="s">
        <v>257</v>
      </c>
      <c r="G63" s="890">
        <v>0</v>
      </c>
      <c r="H63" s="890">
        <v>0</v>
      </c>
      <c r="I63" s="890">
        <v>0</v>
      </c>
      <c r="J63" s="890">
        <v>4</v>
      </c>
      <c r="K63" s="890">
        <v>5</v>
      </c>
      <c r="L63" s="890">
        <v>6</v>
      </c>
      <c r="M63" s="890">
        <v>8</v>
      </c>
      <c r="N63" s="890">
        <v>9</v>
      </c>
      <c r="O63" s="890">
        <v>10</v>
      </c>
      <c r="P63" s="890">
        <v>13</v>
      </c>
      <c r="Q63" s="890">
        <v>15</v>
      </c>
      <c r="R63" s="890">
        <v>16</v>
      </c>
      <c r="S63" s="890">
        <v>0</v>
      </c>
      <c r="T63" s="890">
        <v>0</v>
      </c>
      <c r="U63" s="890">
        <v>0</v>
      </c>
      <c r="V63" s="890">
        <v>0</v>
      </c>
      <c r="W63" s="890">
        <v>0</v>
      </c>
      <c r="X63" s="890">
        <v>0</v>
      </c>
      <c r="Y63" s="890">
        <v>0</v>
      </c>
      <c r="Z63" s="890">
        <v>0</v>
      </c>
      <c r="AA63" s="890">
        <v>0</v>
      </c>
      <c r="AB63" s="890">
        <v>0</v>
      </c>
      <c r="AC63" s="890">
        <v>0</v>
      </c>
    </row>
    <row r="64" spans="1:29" ht="10.5">
      <c r="A64" s="890" t="s">
        <v>227</v>
      </c>
      <c r="B64" s="890">
        <v>33</v>
      </c>
      <c r="C64" s="890">
        <v>7</v>
      </c>
      <c r="D64" s="890">
        <v>11</v>
      </c>
      <c r="E64" s="890" t="s">
        <v>227</v>
      </c>
      <c r="F64" s="890" t="s">
        <v>251</v>
      </c>
      <c r="G64" s="890">
        <v>0</v>
      </c>
      <c r="H64" s="890">
        <v>0</v>
      </c>
      <c r="I64" s="890">
        <v>0</v>
      </c>
      <c r="J64" s="890">
        <v>4</v>
      </c>
      <c r="K64" s="890">
        <v>5</v>
      </c>
      <c r="L64" s="890">
        <v>6</v>
      </c>
      <c r="M64" s="890">
        <v>7</v>
      </c>
      <c r="N64" s="890">
        <v>10</v>
      </c>
      <c r="O64" s="890">
        <v>11</v>
      </c>
      <c r="P64" s="890">
        <v>14</v>
      </c>
      <c r="Q64" s="890">
        <v>17</v>
      </c>
      <c r="R64" s="890">
        <v>28</v>
      </c>
      <c r="S64" s="890">
        <v>0</v>
      </c>
      <c r="T64" s="890">
        <v>0</v>
      </c>
      <c r="U64" s="890">
        <v>0</v>
      </c>
      <c r="V64" s="890">
        <v>0</v>
      </c>
      <c r="W64" s="890">
        <v>0</v>
      </c>
      <c r="X64" s="890">
        <v>0</v>
      </c>
      <c r="Y64" s="890">
        <v>0</v>
      </c>
      <c r="Z64" s="890">
        <v>0</v>
      </c>
      <c r="AA64" s="890">
        <v>0</v>
      </c>
      <c r="AB64" s="890">
        <v>0</v>
      </c>
      <c r="AC64" s="890">
        <v>0</v>
      </c>
    </row>
    <row r="65" spans="1:29" s="920" customFormat="1" ht="10.5">
      <c r="A65" s="890" t="s">
        <v>227</v>
      </c>
      <c r="B65" s="890">
        <v>67</v>
      </c>
      <c r="C65" s="890">
        <v>8</v>
      </c>
      <c r="D65" s="890">
        <v>11</v>
      </c>
      <c r="E65" s="890" t="s">
        <v>227</v>
      </c>
      <c r="F65" s="888" t="s">
        <v>279</v>
      </c>
      <c r="G65" s="890">
        <v>0</v>
      </c>
      <c r="H65" s="890">
        <v>0</v>
      </c>
      <c r="I65" s="890">
        <v>0</v>
      </c>
      <c r="J65" s="890">
        <v>4</v>
      </c>
      <c r="K65" s="890">
        <v>5</v>
      </c>
      <c r="L65" s="890">
        <v>6</v>
      </c>
      <c r="M65" s="890">
        <v>10</v>
      </c>
      <c r="N65" s="890">
        <v>11</v>
      </c>
      <c r="O65" s="890">
        <v>14</v>
      </c>
      <c r="P65" s="890">
        <v>16</v>
      </c>
      <c r="Q65" s="890">
        <v>28</v>
      </c>
      <c r="R65" s="890">
        <v>0</v>
      </c>
      <c r="S65" s="890">
        <v>0</v>
      </c>
      <c r="T65" s="890">
        <v>0</v>
      </c>
      <c r="U65" s="890">
        <v>0</v>
      </c>
      <c r="V65" s="890">
        <v>0</v>
      </c>
      <c r="W65" s="890">
        <v>0</v>
      </c>
      <c r="X65" s="890">
        <v>0</v>
      </c>
      <c r="Y65" s="890">
        <v>0</v>
      </c>
      <c r="Z65" s="890">
        <v>0</v>
      </c>
      <c r="AA65" s="890">
        <v>0</v>
      </c>
      <c r="AB65" s="890">
        <v>0</v>
      </c>
      <c r="AC65" s="890">
        <v>0</v>
      </c>
    </row>
    <row r="66" spans="1:29" ht="10.5">
      <c r="A66" s="890" t="s">
        <v>275</v>
      </c>
      <c r="B66" s="890">
        <v>32</v>
      </c>
      <c r="C66" s="890">
        <v>4</v>
      </c>
      <c r="D66" s="890">
        <v>11</v>
      </c>
      <c r="E66" s="890" t="s">
        <v>275</v>
      </c>
      <c r="F66" s="890" t="s">
        <v>272</v>
      </c>
      <c r="G66" s="890">
        <v>0</v>
      </c>
      <c r="H66" s="890">
        <v>0</v>
      </c>
      <c r="I66" s="890">
        <v>0</v>
      </c>
      <c r="J66" s="890">
        <v>4</v>
      </c>
      <c r="K66" s="890">
        <v>5</v>
      </c>
      <c r="L66" s="890">
        <v>6</v>
      </c>
      <c r="M66" s="890">
        <v>7</v>
      </c>
      <c r="N66" s="890">
        <v>10</v>
      </c>
      <c r="O66" s="890">
        <v>11</v>
      </c>
      <c r="P66" s="890">
        <v>14</v>
      </c>
      <c r="Q66" s="890">
        <v>17</v>
      </c>
      <c r="R66" s="890">
        <v>28</v>
      </c>
      <c r="S66" s="890">
        <v>0</v>
      </c>
      <c r="T66" s="890">
        <v>0</v>
      </c>
      <c r="U66" s="890">
        <v>0</v>
      </c>
      <c r="V66" s="890">
        <v>0</v>
      </c>
      <c r="W66" s="890">
        <v>0</v>
      </c>
      <c r="X66" s="890">
        <v>0</v>
      </c>
      <c r="Y66" s="890">
        <v>0</v>
      </c>
      <c r="Z66" s="890">
        <v>0</v>
      </c>
      <c r="AA66" s="890">
        <v>0</v>
      </c>
      <c r="AB66" s="890">
        <v>0</v>
      </c>
      <c r="AC66" s="890">
        <v>0</v>
      </c>
    </row>
    <row r="67" spans="1:29" ht="10.5">
      <c r="A67" s="890" t="s">
        <v>276</v>
      </c>
      <c r="B67" s="890">
        <v>40</v>
      </c>
      <c r="C67" s="890">
        <v>4</v>
      </c>
      <c r="D67" s="890">
        <v>12</v>
      </c>
      <c r="E67" s="890" t="s">
        <v>276</v>
      </c>
      <c r="F67" s="890" t="s">
        <v>274</v>
      </c>
      <c r="G67" s="890">
        <v>0</v>
      </c>
      <c r="H67" s="890">
        <v>0</v>
      </c>
      <c r="I67" s="890">
        <v>0</v>
      </c>
      <c r="J67" s="890">
        <v>4</v>
      </c>
      <c r="K67" s="890">
        <v>5</v>
      </c>
      <c r="L67" s="890">
        <v>6</v>
      </c>
      <c r="M67" s="890">
        <v>8</v>
      </c>
      <c r="N67" s="890">
        <v>9</v>
      </c>
      <c r="O67" s="890">
        <v>10</v>
      </c>
      <c r="P67" s="890">
        <v>13</v>
      </c>
      <c r="Q67" s="890">
        <v>15</v>
      </c>
      <c r="R67" s="890">
        <v>16</v>
      </c>
      <c r="S67" s="890">
        <v>0</v>
      </c>
      <c r="T67" s="890">
        <v>0</v>
      </c>
      <c r="U67" s="890">
        <v>0</v>
      </c>
      <c r="V67" s="890">
        <v>0</v>
      </c>
      <c r="W67" s="890">
        <v>0</v>
      </c>
      <c r="X67" s="890">
        <v>0</v>
      </c>
      <c r="Y67" s="890">
        <v>0</v>
      </c>
      <c r="Z67" s="890">
        <v>0</v>
      </c>
      <c r="AA67" s="890">
        <v>0</v>
      </c>
      <c r="AB67" s="890">
        <v>0</v>
      </c>
      <c r="AC67" s="890">
        <v>0</v>
      </c>
    </row>
    <row r="68" spans="1:29" ht="10.5">
      <c r="A68" s="890" t="s">
        <v>239</v>
      </c>
      <c r="B68" s="890">
        <v>19</v>
      </c>
      <c r="C68" s="890">
        <v>24</v>
      </c>
      <c r="D68" s="891">
        <v>4</v>
      </c>
      <c r="E68" s="890" t="str">
        <f>"CAUSAS-VST-"&amp;$G$14</f>
        <v>CAUSAS-VST-11</v>
      </c>
      <c r="F68" s="890" t="s">
        <v>240</v>
      </c>
      <c r="G68" s="890">
        <v>3</v>
      </c>
      <c r="H68" s="890">
        <v>4</v>
      </c>
      <c r="I68" s="890">
        <v>5</v>
      </c>
      <c r="J68" s="890">
        <v>6</v>
      </c>
      <c r="K68" s="890">
        <v>7</v>
      </c>
      <c r="L68" s="890">
        <v>0</v>
      </c>
      <c r="M68" s="890">
        <v>0</v>
      </c>
      <c r="N68" s="890">
        <v>0</v>
      </c>
      <c r="O68" s="890">
        <v>0</v>
      </c>
      <c r="P68" s="890">
        <v>0</v>
      </c>
      <c r="Q68" s="890">
        <v>0</v>
      </c>
      <c r="R68" s="890">
        <v>0</v>
      </c>
      <c r="S68" s="890">
        <v>0</v>
      </c>
      <c r="T68" s="890">
        <v>0</v>
      </c>
      <c r="U68" s="890">
        <v>0</v>
      </c>
      <c r="V68" s="890">
        <v>0</v>
      </c>
      <c r="W68" s="890">
        <v>999</v>
      </c>
      <c r="X68" s="890">
        <v>999</v>
      </c>
      <c r="Y68" s="890">
        <v>0</v>
      </c>
      <c r="Z68" s="890">
        <v>0</v>
      </c>
      <c r="AA68" s="890">
        <v>0</v>
      </c>
      <c r="AB68" s="890">
        <v>0</v>
      </c>
      <c r="AC68" s="890">
        <v>0</v>
      </c>
    </row>
    <row r="69" spans="1:29" ht="10.5">
      <c r="A69" s="892"/>
      <c r="B69" s="892">
        <v>30</v>
      </c>
      <c r="C69" s="892">
        <v>10</v>
      </c>
      <c r="D69" s="893">
        <v>11</v>
      </c>
      <c r="E69" s="892" t="s">
        <v>238</v>
      </c>
      <c r="F69" s="894" t="s">
        <v>270</v>
      </c>
      <c r="G69" s="892">
        <v>3</v>
      </c>
      <c r="H69" s="892">
        <v>5</v>
      </c>
      <c r="I69" s="894">
        <v>0</v>
      </c>
      <c r="J69" s="894">
        <v>4</v>
      </c>
      <c r="K69" s="894">
        <v>5</v>
      </c>
      <c r="L69" s="894">
        <v>6</v>
      </c>
      <c r="M69" s="894">
        <v>8</v>
      </c>
      <c r="N69" s="894">
        <v>9</v>
      </c>
      <c r="O69" s="894">
        <v>10</v>
      </c>
      <c r="P69" s="894">
        <v>13</v>
      </c>
      <c r="Q69" s="894">
        <v>15</v>
      </c>
      <c r="R69" s="894">
        <v>16</v>
      </c>
      <c r="S69" s="894">
        <v>0</v>
      </c>
      <c r="T69" s="894">
        <v>0</v>
      </c>
      <c r="U69" s="894">
        <v>0</v>
      </c>
      <c r="V69" s="894">
        <v>0</v>
      </c>
      <c r="W69" s="892">
        <v>0</v>
      </c>
      <c r="X69" s="892">
        <v>0</v>
      </c>
      <c r="Y69" s="892">
        <v>0</v>
      </c>
      <c r="Z69" s="892">
        <v>0</v>
      </c>
      <c r="AA69" s="892">
        <v>0</v>
      </c>
      <c r="AB69" s="892">
        <v>0</v>
      </c>
      <c r="AC69" s="892">
        <v>0</v>
      </c>
    </row>
    <row r="72" spans="6:9" ht="12.75">
      <c r="F72" s="905"/>
      <c r="G72" s="905"/>
      <c r="H72" s="905"/>
      <c r="I72" s="90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5"/>
  <sheetViews>
    <sheetView zoomScale="75" zoomScaleNormal="75" workbookViewId="0" topLeftCell="A10">
      <selection activeCell="A27" sqref="A27:IV40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+'TOT-1110'!B2</f>
        <v>ANEXO  VI al Memorandum  D.T.E.E.  N°     381 /2012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3.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3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67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133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'TOT-1110'!B14</f>
        <v>Desde el 01 al 30 de noviembre de 2010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6"/>
      <c r="Q14" s="19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8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7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86</v>
      </c>
      <c r="G16" s="799">
        <v>165.16</v>
      </c>
      <c r="H16" s="19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87</v>
      </c>
      <c r="G17" s="799">
        <v>137.633</v>
      </c>
      <c r="H17" s="198"/>
      <c r="I17" s="4"/>
      <c r="J17" s="4"/>
      <c r="K17" s="4"/>
      <c r="L17" s="199"/>
      <c r="M17" s="200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6.5" customHeight="1" thickBot="1" thickTop="1">
      <c r="B18" s="50"/>
      <c r="C18" s="906">
        <v>3</v>
      </c>
      <c r="D18" s="906">
        <v>4</v>
      </c>
      <c r="E18" s="906">
        <v>5</v>
      </c>
      <c r="F18" s="906">
        <v>6</v>
      </c>
      <c r="G18" s="906">
        <v>7</v>
      </c>
      <c r="H18" s="906">
        <v>8</v>
      </c>
      <c r="I18" s="906">
        <v>9</v>
      </c>
      <c r="J18" s="906">
        <v>10</v>
      </c>
      <c r="K18" s="906">
        <v>11</v>
      </c>
      <c r="L18" s="906">
        <v>12</v>
      </c>
      <c r="M18" s="906">
        <v>13</v>
      </c>
      <c r="N18" s="906">
        <v>14</v>
      </c>
      <c r="O18" s="906">
        <v>15</v>
      </c>
      <c r="P18" s="906">
        <v>16</v>
      </c>
      <c r="Q18" s="906">
        <v>17</v>
      </c>
      <c r="R18" s="906">
        <v>18</v>
      </c>
      <c r="S18" s="906">
        <v>19</v>
      </c>
      <c r="T18" s="906">
        <v>20</v>
      </c>
      <c r="U18" s="906">
        <v>21</v>
      </c>
      <c r="V18" s="906">
        <v>22</v>
      </c>
      <c r="W18" s="906">
        <v>23</v>
      </c>
      <c r="X18" s="906">
        <v>24</v>
      </c>
      <c r="Y18" s="906">
        <v>25</v>
      </c>
      <c r="Z18" s="906">
        <v>26</v>
      </c>
      <c r="AA18" s="906">
        <v>27</v>
      </c>
      <c r="AB18" s="906">
        <v>28</v>
      </c>
      <c r="AC18" s="906">
        <v>29</v>
      </c>
      <c r="AD18" s="906">
        <v>30</v>
      </c>
      <c r="AE18" s="906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223</v>
      </c>
      <c r="E19" s="84" t="s">
        <v>224</v>
      </c>
      <c r="F19" s="85" t="s">
        <v>0</v>
      </c>
      <c r="G19" s="732" t="s">
        <v>13</v>
      </c>
      <c r="H19" s="86" t="s">
        <v>14</v>
      </c>
      <c r="I19" s="203" t="s">
        <v>70</v>
      </c>
      <c r="J19" s="733" t="s">
        <v>35</v>
      </c>
      <c r="K19" s="734" t="s">
        <v>15</v>
      </c>
      <c r="L19" s="85" t="s">
        <v>16</v>
      </c>
      <c r="M19" s="176" t="s">
        <v>17</v>
      </c>
      <c r="N19" s="88" t="s">
        <v>34</v>
      </c>
      <c r="O19" s="86" t="s">
        <v>29</v>
      </c>
      <c r="P19" s="88" t="s">
        <v>18</v>
      </c>
      <c r="Q19" s="86" t="s">
        <v>56</v>
      </c>
      <c r="R19" s="176" t="s">
        <v>57</v>
      </c>
      <c r="S19" s="85" t="s">
        <v>30</v>
      </c>
      <c r="T19" s="136" t="s">
        <v>19</v>
      </c>
      <c r="U19" s="735" t="s">
        <v>20</v>
      </c>
      <c r="V19" s="205" t="s">
        <v>58</v>
      </c>
      <c r="W19" s="206"/>
      <c r="X19" s="207"/>
      <c r="Y19" s="736" t="s">
        <v>134</v>
      </c>
      <c r="Z19" s="737"/>
      <c r="AA19" s="738"/>
      <c r="AB19" s="208" t="s">
        <v>21</v>
      </c>
      <c r="AC19" s="209" t="s">
        <v>72</v>
      </c>
      <c r="AD19" s="132" t="s">
        <v>73</v>
      </c>
      <c r="AE19" s="132" t="s">
        <v>23</v>
      </c>
      <c r="AF19" s="210"/>
    </row>
    <row r="20" spans="2:32" s="5" customFormat="1" ht="16.5" customHeight="1" thickTop="1">
      <c r="B20" s="50"/>
      <c r="C20" s="178"/>
      <c r="D20" s="178"/>
      <c r="E20" s="178"/>
      <c r="F20" s="782"/>
      <c r="G20" s="782"/>
      <c r="H20" s="800"/>
      <c r="I20" s="781"/>
      <c r="J20" s="783"/>
      <c r="K20" s="784"/>
      <c r="L20" s="795"/>
      <c r="M20" s="795"/>
      <c r="N20" s="781"/>
      <c r="O20" s="781"/>
      <c r="P20" s="781"/>
      <c r="Q20" s="781"/>
      <c r="R20" s="781"/>
      <c r="S20" s="781"/>
      <c r="T20" s="785"/>
      <c r="U20" s="786"/>
      <c r="V20" s="787"/>
      <c r="W20" s="788"/>
      <c r="X20" s="789"/>
      <c r="Y20" s="790"/>
      <c r="Z20" s="791"/>
      <c r="AA20" s="792"/>
      <c r="AB20" s="793"/>
      <c r="AC20" s="794"/>
      <c r="AD20" s="781"/>
      <c r="AE20" s="739"/>
      <c r="AF20" s="17"/>
    </row>
    <row r="21" spans="2:32" s="5" customFormat="1" ht="16.5" customHeight="1">
      <c r="B21" s="50"/>
      <c r="C21" s="274"/>
      <c r="D21" s="274"/>
      <c r="E21" s="274"/>
      <c r="F21" s="180"/>
      <c r="G21" s="7"/>
      <c r="H21" s="801"/>
      <c r="I21" s="180"/>
      <c r="J21" s="740"/>
      <c r="K21" s="741"/>
      <c r="L21" s="211"/>
      <c r="M21" s="115"/>
      <c r="N21" s="180"/>
      <c r="O21" s="180"/>
      <c r="P21" s="181"/>
      <c r="Q21" s="180"/>
      <c r="R21" s="180"/>
      <c r="S21" s="180"/>
      <c r="T21" s="742"/>
      <c r="U21" s="743"/>
      <c r="V21" s="744"/>
      <c r="W21" s="745"/>
      <c r="X21" s="746"/>
      <c r="Y21" s="747"/>
      <c r="Z21" s="748"/>
      <c r="AA21" s="749"/>
      <c r="AB21" s="215"/>
      <c r="AC21" s="216"/>
      <c r="AD21" s="180"/>
      <c r="AE21" s="217"/>
      <c r="AF21" s="17"/>
    </row>
    <row r="22" spans="2:32" s="5" customFormat="1" ht="16.5" customHeight="1">
      <c r="B22" s="50"/>
      <c r="C22" s="152">
        <v>1</v>
      </c>
      <c r="D22" s="152">
        <v>227627</v>
      </c>
      <c r="E22" s="152">
        <v>4820</v>
      </c>
      <c r="F22" s="152" t="s">
        <v>385</v>
      </c>
      <c r="G22" s="183">
        <v>500</v>
      </c>
      <c r="H22" s="802">
        <v>64.99</v>
      </c>
      <c r="I22" s="183" t="s">
        <v>285</v>
      </c>
      <c r="J22" s="750">
        <f aca="true" t="shared" si="0" ref="J22:J41">IF(I22="A",200,IF(I22="B",60,20))</f>
        <v>60</v>
      </c>
      <c r="K22" s="751">
        <f aca="true" t="shared" si="1" ref="K22:K41">IF(G22=500,IF(H22&lt;100,100*$G$16/100,H22*$G$16/100),IF(H22&lt;100,100*$G$17/100,H22*$G$17/100))</f>
        <v>165.16</v>
      </c>
      <c r="L22" s="752">
        <v>40485.10277777778</v>
      </c>
      <c r="M22" s="753">
        <v>40485.24930555555</v>
      </c>
      <c r="N22" s="186">
        <f aca="true" t="shared" si="2" ref="N22:N41">IF(F22="","",(M22-L22)*24)</f>
        <v>3.5166666666045785</v>
      </c>
      <c r="O22" s="187">
        <f aca="true" t="shared" si="3" ref="O22:O41">IF(F22="","",ROUND((M22-L22)*24*60,0))</f>
        <v>211</v>
      </c>
      <c r="P22" s="220" t="s">
        <v>283</v>
      </c>
      <c r="Q22" s="864" t="str">
        <f aca="true" t="shared" si="4" ref="Q22:Q41">IF(F22="","","--")</f>
        <v>--</v>
      </c>
      <c r="R22" s="221" t="str">
        <f aca="true" t="shared" si="5" ref="R22:R41">IF(F22="","","NO")</f>
        <v>NO</v>
      </c>
      <c r="S22" s="221" t="str">
        <f aca="true" t="shared" si="6" ref="S22:S41">IF(F22="","",IF(OR(P22="P",P22="RP"),"--","NO"))</f>
        <v>--</v>
      </c>
      <c r="T22" s="754">
        <f aca="true" t="shared" si="7" ref="T22:T41">IF(P22="P",K22*J22*ROUND(O22/60,2)*0.01,"--")</f>
        <v>348.81792</v>
      </c>
      <c r="U22" s="755" t="str">
        <f aca="true" t="shared" si="8" ref="U22:U41">IF(P22="RP",K22*J22*ROUND(O22/60,2)*0.01*Q22/100,"--")</f>
        <v>--</v>
      </c>
      <c r="V22" s="222" t="str">
        <f aca="true" t="shared" si="9" ref="V22:V41">IF(AND(P22="F",S22="NO"),K22*J22*IF(R22="SI",1.2,1),"--")</f>
        <v>--</v>
      </c>
      <c r="W22" s="223" t="str">
        <f aca="true" t="shared" si="10" ref="W22:W41">IF(AND(P22="F",O22&gt;=10),K22*J22*IF(R22="SI",1.2,1)*IF(O22&lt;=300,ROUND(O22/60,2),5),"--")</f>
        <v>--</v>
      </c>
      <c r="X22" s="224" t="str">
        <f aca="true" t="shared" si="11" ref="X22:X41">IF(AND(P22="F",O22&gt;300),(ROUND(O22/60,2)-5)*K22*J22*0.1*IF(R22="SI",1.2,1),"--")</f>
        <v>--</v>
      </c>
      <c r="Y22" s="756" t="str">
        <f aca="true" t="shared" si="12" ref="Y22:Y41">IF(AND(P22="R",S22="NO"),K22*J22*Q22/100*IF(R22="SI",1.2,1),"--")</f>
        <v>--</v>
      </c>
      <c r="Z22" s="757" t="str">
        <f aca="true" t="shared" si="13" ref="Z22:Z41">IF(AND(P22="R",O22&gt;=10),K22*J22*Q22/100*IF(R22="SI",1.2,1)*IF(O22&lt;=300,ROUND(O22/60,2),5),"--")</f>
        <v>--</v>
      </c>
      <c r="AA22" s="758" t="str">
        <f aca="true" t="shared" si="14" ref="AA22:AA41">IF(AND(P22="R",O22&gt;300),(ROUND(O22/60,2)-5)*K22*J22*0.1*Q22/100*IF(R22="SI",1.2,1),"--")</f>
        <v>--</v>
      </c>
      <c r="AB22" s="225" t="str">
        <f aca="true" t="shared" si="15" ref="AB22:AB41">IF(P22="RF",ROUND(O22/60,2)*K22*J22*0.1*IF(R22="SI",1.2,1),"--")</f>
        <v>--</v>
      </c>
      <c r="AC22" s="226" t="str">
        <f aca="true" t="shared" si="16" ref="AC22:AC41">IF(P22="RR",ROUND(O22/60,2)*K22*J22*0.1*Q22/100*IF(R22="SI",1.2,1),"--")</f>
        <v>--</v>
      </c>
      <c r="AD22" s="867" t="s">
        <v>202</v>
      </c>
      <c r="AE22" s="16">
        <f aca="true" t="shared" si="17" ref="AE22:AE41">IF(F22="","",SUM(T22:AC22)*IF(AD22="SI",1,2))</f>
        <v>348.81792</v>
      </c>
      <c r="AF22" s="759"/>
    </row>
    <row r="23" spans="2:32" s="5" customFormat="1" ht="16.5" customHeight="1">
      <c r="B23" s="50"/>
      <c r="C23" s="274">
        <v>2</v>
      </c>
      <c r="D23" s="274">
        <v>227648</v>
      </c>
      <c r="E23" s="274">
        <v>45</v>
      </c>
      <c r="F23" s="152" t="s">
        <v>284</v>
      </c>
      <c r="G23" s="183">
        <v>500</v>
      </c>
      <c r="H23" s="802">
        <v>345</v>
      </c>
      <c r="I23" s="183" t="s">
        <v>290</v>
      </c>
      <c r="J23" s="750">
        <f t="shared" si="0"/>
        <v>200</v>
      </c>
      <c r="K23" s="751">
        <f t="shared" si="1"/>
        <v>569.802</v>
      </c>
      <c r="L23" s="752">
        <v>40489.31319444445</v>
      </c>
      <c r="M23" s="753">
        <v>40489.336805555555</v>
      </c>
      <c r="N23" s="186">
        <f t="shared" si="2"/>
        <v>0.566666666592937</v>
      </c>
      <c r="O23" s="187">
        <f t="shared" si="3"/>
        <v>34</v>
      </c>
      <c r="P23" s="220" t="s">
        <v>283</v>
      </c>
      <c r="Q23" s="864" t="str">
        <f t="shared" si="4"/>
        <v>--</v>
      </c>
      <c r="R23" s="221" t="str">
        <f t="shared" si="5"/>
        <v>NO</v>
      </c>
      <c r="S23" s="221" t="str">
        <f t="shared" si="6"/>
        <v>--</v>
      </c>
      <c r="T23" s="754">
        <f t="shared" si="7"/>
        <v>649.57428</v>
      </c>
      <c r="U23" s="755" t="str">
        <f t="shared" si="8"/>
        <v>--</v>
      </c>
      <c r="V23" s="222" t="str">
        <f t="shared" si="9"/>
        <v>--</v>
      </c>
      <c r="W23" s="223" t="str">
        <f t="shared" si="10"/>
        <v>--</v>
      </c>
      <c r="X23" s="224" t="str">
        <f t="shared" si="11"/>
        <v>--</v>
      </c>
      <c r="Y23" s="756" t="str">
        <f t="shared" si="12"/>
        <v>--</v>
      </c>
      <c r="Z23" s="757" t="str">
        <f t="shared" si="13"/>
        <v>--</v>
      </c>
      <c r="AA23" s="758" t="str">
        <f t="shared" si="14"/>
        <v>--</v>
      </c>
      <c r="AB23" s="225" t="str">
        <f t="shared" si="15"/>
        <v>--</v>
      </c>
      <c r="AC23" s="226" t="str">
        <f t="shared" si="16"/>
        <v>--</v>
      </c>
      <c r="AD23" s="867" t="s">
        <v>202</v>
      </c>
      <c r="AE23" s="16">
        <f t="shared" si="17"/>
        <v>649.57428</v>
      </c>
      <c r="AF23" s="759"/>
    </row>
    <row r="24" spans="2:32" s="5" customFormat="1" ht="16.5" customHeight="1">
      <c r="B24" s="50"/>
      <c r="C24" s="152">
        <v>3</v>
      </c>
      <c r="D24" s="152">
        <v>227992</v>
      </c>
      <c r="E24" s="152">
        <v>2</v>
      </c>
      <c r="F24" s="760" t="s">
        <v>286</v>
      </c>
      <c r="G24" s="761">
        <v>500</v>
      </c>
      <c r="H24" s="803">
        <v>58</v>
      </c>
      <c r="I24" s="761" t="s">
        <v>287</v>
      </c>
      <c r="J24" s="750">
        <f t="shared" si="0"/>
        <v>20</v>
      </c>
      <c r="K24" s="751">
        <f t="shared" si="1"/>
        <v>165.16</v>
      </c>
      <c r="L24" s="762">
        <v>40493.21319444444</v>
      </c>
      <c r="M24" s="763">
        <v>40493.26388888889</v>
      </c>
      <c r="N24" s="186">
        <f t="shared" si="2"/>
        <v>1.216666666790843</v>
      </c>
      <c r="O24" s="187">
        <f t="shared" si="3"/>
        <v>73</v>
      </c>
      <c r="P24" s="220" t="s">
        <v>283</v>
      </c>
      <c r="Q24" s="864" t="str">
        <f t="shared" si="4"/>
        <v>--</v>
      </c>
      <c r="R24" s="221" t="str">
        <f t="shared" si="5"/>
        <v>NO</v>
      </c>
      <c r="S24" s="221" t="str">
        <f t="shared" si="6"/>
        <v>--</v>
      </c>
      <c r="T24" s="754">
        <f t="shared" si="7"/>
        <v>40.29904</v>
      </c>
      <c r="U24" s="755" t="str">
        <f t="shared" si="8"/>
        <v>--</v>
      </c>
      <c r="V24" s="222" t="str">
        <f t="shared" si="9"/>
        <v>--</v>
      </c>
      <c r="W24" s="223" t="str">
        <f t="shared" si="10"/>
        <v>--</v>
      </c>
      <c r="X24" s="224" t="str">
        <f t="shared" si="11"/>
        <v>--</v>
      </c>
      <c r="Y24" s="756" t="str">
        <f t="shared" si="12"/>
        <v>--</v>
      </c>
      <c r="Z24" s="757" t="str">
        <f t="shared" si="13"/>
        <v>--</v>
      </c>
      <c r="AA24" s="758" t="str">
        <f t="shared" si="14"/>
        <v>--</v>
      </c>
      <c r="AB24" s="225" t="str">
        <f t="shared" si="15"/>
        <v>--</v>
      </c>
      <c r="AC24" s="226" t="str">
        <f t="shared" si="16"/>
        <v>--</v>
      </c>
      <c r="AD24" s="867" t="s">
        <v>202</v>
      </c>
      <c r="AE24" s="16">
        <f t="shared" si="17"/>
        <v>40.29904</v>
      </c>
      <c r="AF24" s="759"/>
    </row>
    <row r="25" spans="2:32" s="5" customFormat="1" ht="16.5" customHeight="1">
      <c r="B25" s="50"/>
      <c r="C25" s="274">
        <v>4</v>
      </c>
      <c r="D25" s="274">
        <v>227993</v>
      </c>
      <c r="E25" s="274">
        <v>1</v>
      </c>
      <c r="F25" s="760" t="s">
        <v>288</v>
      </c>
      <c r="G25" s="761">
        <v>500</v>
      </c>
      <c r="H25" s="803">
        <v>58</v>
      </c>
      <c r="I25" s="761" t="s">
        <v>287</v>
      </c>
      <c r="J25" s="750">
        <f t="shared" si="0"/>
        <v>20</v>
      </c>
      <c r="K25" s="751">
        <f t="shared" si="1"/>
        <v>165.16</v>
      </c>
      <c r="L25" s="762">
        <v>40493.27361111111</v>
      </c>
      <c r="M25" s="763">
        <v>40493.29583333333</v>
      </c>
      <c r="N25" s="186">
        <f t="shared" si="2"/>
        <v>0.5333333333255723</v>
      </c>
      <c r="O25" s="187">
        <f t="shared" si="3"/>
        <v>32</v>
      </c>
      <c r="P25" s="220" t="s">
        <v>283</v>
      </c>
      <c r="Q25" s="864" t="str">
        <f t="shared" si="4"/>
        <v>--</v>
      </c>
      <c r="R25" s="221" t="str">
        <f t="shared" si="5"/>
        <v>NO</v>
      </c>
      <c r="S25" s="221" t="str">
        <f t="shared" si="6"/>
        <v>--</v>
      </c>
      <c r="T25" s="754">
        <f t="shared" si="7"/>
        <v>17.50696</v>
      </c>
      <c r="U25" s="755" t="str">
        <f t="shared" si="8"/>
        <v>--</v>
      </c>
      <c r="V25" s="222" t="str">
        <f t="shared" si="9"/>
        <v>--</v>
      </c>
      <c r="W25" s="223" t="str">
        <f t="shared" si="10"/>
        <v>--</v>
      </c>
      <c r="X25" s="224" t="str">
        <f t="shared" si="11"/>
        <v>--</v>
      </c>
      <c r="Y25" s="756" t="str">
        <f t="shared" si="12"/>
        <v>--</v>
      </c>
      <c r="Z25" s="757" t="str">
        <f t="shared" si="13"/>
        <v>--</v>
      </c>
      <c r="AA25" s="758" t="str">
        <f t="shared" si="14"/>
        <v>--</v>
      </c>
      <c r="AB25" s="225" t="str">
        <f t="shared" si="15"/>
        <v>--</v>
      </c>
      <c r="AC25" s="226" t="str">
        <f t="shared" si="16"/>
        <v>--</v>
      </c>
      <c r="AD25" s="867" t="s">
        <v>202</v>
      </c>
      <c r="AE25" s="16">
        <f t="shared" si="17"/>
        <v>17.50696</v>
      </c>
      <c r="AF25" s="759"/>
    </row>
    <row r="26" spans="2:32" s="5" customFormat="1" ht="16.5" customHeight="1">
      <c r="B26" s="50"/>
      <c r="C26" s="152">
        <v>5</v>
      </c>
      <c r="D26" s="152">
        <v>228006</v>
      </c>
      <c r="E26" s="152">
        <v>36</v>
      </c>
      <c r="F26" s="152" t="s">
        <v>289</v>
      </c>
      <c r="G26" s="183">
        <v>500</v>
      </c>
      <c r="H26" s="802">
        <v>313</v>
      </c>
      <c r="I26" s="183" t="s">
        <v>290</v>
      </c>
      <c r="J26" s="750">
        <f t="shared" si="0"/>
        <v>200</v>
      </c>
      <c r="K26" s="751">
        <f t="shared" si="1"/>
        <v>516.9508000000001</v>
      </c>
      <c r="L26" s="752">
        <v>40496.35</v>
      </c>
      <c r="M26" s="753">
        <v>40496.38611111111</v>
      </c>
      <c r="N26" s="186">
        <f t="shared" si="2"/>
        <v>0.8666666666977108</v>
      </c>
      <c r="O26" s="187">
        <f t="shared" si="3"/>
        <v>52</v>
      </c>
      <c r="P26" s="220" t="s">
        <v>283</v>
      </c>
      <c r="Q26" s="864" t="str">
        <f t="shared" si="4"/>
        <v>--</v>
      </c>
      <c r="R26" s="221" t="str">
        <f t="shared" si="5"/>
        <v>NO</v>
      </c>
      <c r="S26" s="221" t="str">
        <f t="shared" si="6"/>
        <v>--</v>
      </c>
      <c r="T26" s="754">
        <f t="shared" si="7"/>
        <v>899.4943920000001</v>
      </c>
      <c r="U26" s="755" t="str">
        <f t="shared" si="8"/>
        <v>--</v>
      </c>
      <c r="V26" s="222" t="str">
        <f t="shared" si="9"/>
        <v>--</v>
      </c>
      <c r="W26" s="223" t="str">
        <f t="shared" si="10"/>
        <v>--</v>
      </c>
      <c r="X26" s="224" t="str">
        <f t="shared" si="11"/>
        <v>--</v>
      </c>
      <c r="Y26" s="756" t="str">
        <f t="shared" si="12"/>
        <v>--</v>
      </c>
      <c r="Z26" s="757" t="str">
        <f t="shared" si="13"/>
        <v>--</v>
      </c>
      <c r="AA26" s="758" t="str">
        <f t="shared" si="14"/>
        <v>--</v>
      </c>
      <c r="AB26" s="225" t="str">
        <f t="shared" si="15"/>
        <v>--</v>
      </c>
      <c r="AC26" s="226" t="str">
        <f t="shared" si="16"/>
        <v>--</v>
      </c>
      <c r="AD26" s="867" t="s">
        <v>202</v>
      </c>
      <c r="AE26" s="16">
        <f t="shared" si="17"/>
        <v>899.4943920000001</v>
      </c>
      <c r="AF26" s="759"/>
    </row>
    <row r="27" spans="2:32" s="90" customFormat="1" ht="16.5" customHeight="1">
      <c r="B27" s="95"/>
      <c r="C27" s="274">
        <v>6</v>
      </c>
      <c r="D27" s="274">
        <v>228008</v>
      </c>
      <c r="E27" s="274">
        <v>52</v>
      </c>
      <c r="F27" s="152" t="s">
        <v>291</v>
      </c>
      <c r="G27" s="183">
        <v>220</v>
      </c>
      <c r="H27" s="802">
        <v>61</v>
      </c>
      <c r="I27" s="183" t="s">
        <v>287</v>
      </c>
      <c r="J27" s="1009">
        <f t="shared" si="0"/>
        <v>20</v>
      </c>
      <c r="K27" s="1010">
        <f t="shared" si="1"/>
        <v>137.633</v>
      </c>
      <c r="L27" s="752">
        <v>40496.37013888889</v>
      </c>
      <c r="M27" s="753">
        <v>40496.71527777778</v>
      </c>
      <c r="N27" s="513">
        <f t="shared" si="2"/>
        <v>8.283333333441988</v>
      </c>
      <c r="O27" s="380">
        <f t="shared" si="3"/>
        <v>497</v>
      </c>
      <c r="P27" s="1011" t="s">
        <v>283</v>
      </c>
      <c r="Q27" s="1015" t="str">
        <f t="shared" si="4"/>
        <v>--</v>
      </c>
      <c r="R27" s="13" t="str">
        <f t="shared" si="5"/>
        <v>NO</v>
      </c>
      <c r="S27" s="13" t="str">
        <f t="shared" si="6"/>
        <v>--</v>
      </c>
      <c r="T27" s="1016">
        <f t="shared" si="7"/>
        <v>227.920248</v>
      </c>
      <c r="U27" s="1017" t="str">
        <f t="shared" si="8"/>
        <v>--</v>
      </c>
      <c r="V27" s="1018" t="str">
        <f t="shared" si="9"/>
        <v>--</v>
      </c>
      <c r="W27" s="1019" t="str">
        <f t="shared" si="10"/>
        <v>--</v>
      </c>
      <c r="X27" s="1020" t="str">
        <f t="shared" si="11"/>
        <v>--</v>
      </c>
      <c r="Y27" s="1021" t="str">
        <f t="shared" si="12"/>
        <v>--</v>
      </c>
      <c r="Z27" s="1022" t="str">
        <f t="shared" si="13"/>
        <v>--</v>
      </c>
      <c r="AA27" s="1023" t="str">
        <f t="shared" si="14"/>
        <v>--</v>
      </c>
      <c r="AB27" s="1024" t="str">
        <f t="shared" si="15"/>
        <v>--</v>
      </c>
      <c r="AC27" s="1025" t="str">
        <f t="shared" si="16"/>
        <v>--</v>
      </c>
      <c r="AD27" s="292" t="s">
        <v>202</v>
      </c>
      <c r="AE27" s="16">
        <v>0</v>
      </c>
      <c r="AF27" s="759"/>
    </row>
    <row r="28" spans="2:32" s="90" customFormat="1" ht="16.5" customHeight="1">
      <c r="B28" s="95"/>
      <c r="C28" s="152">
        <v>7</v>
      </c>
      <c r="D28" s="152">
        <v>228261</v>
      </c>
      <c r="E28" s="152">
        <v>47</v>
      </c>
      <c r="F28" s="152" t="s">
        <v>292</v>
      </c>
      <c r="G28" s="183">
        <v>500</v>
      </c>
      <c r="H28" s="802">
        <v>289</v>
      </c>
      <c r="I28" s="183" t="s">
        <v>287</v>
      </c>
      <c r="J28" s="1009">
        <f t="shared" si="0"/>
        <v>20</v>
      </c>
      <c r="K28" s="1010">
        <f t="shared" si="1"/>
        <v>477.31239999999997</v>
      </c>
      <c r="L28" s="752">
        <v>40501.285416666666</v>
      </c>
      <c r="M28" s="753">
        <v>40501.36319444444</v>
      </c>
      <c r="N28" s="513">
        <f t="shared" si="2"/>
        <v>1.866666666639503</v>
      </c>
      <c r="O28" s="380">
        <f t="shared" si="3"/>
        <v>112</v>
      </c>
      <c r="P28" s="1011" t="s">
        <v>283</v>
      </c>
      <c r="Q28" s="1015" t="str">
        <f t="shared" si="4"/>
        <v>--</v>
      </c>
      <c r="R28" s="13" t="str">
        <f t="shared" si="5"/>
        <v>NO</v>
      </c>
      <c r="S28" s="13" t="str">
        <f t="shared" si="6"/>
        <v>--</v>
      </c>
      <c r="T28" s="1016">
        <f t="shared" si="7"/>
        <v>178.5148376</v>
      </c>
      <c r="U28" s="1017" t="str">
        <f t="shared" si="8"/>
        <v>--</v>
      </c>
      <c r="V28" s="1018" t="str">
        <f t="shared" si="9"/>
        <v>--</v>
      </c>
      <c r="W28" s="1019" t="str">
        <f t="shared" si="10"/>
        <v>--</v>
      </c>
      <c r="X28" s="1020" t="str">
        <f t="shared" si="11"/>
        <v>--</v>
      </c>
      <c r="Y28" s="1021" t="str">
        <f t="shared" si="12"/>
        <v>--</v>
      </c>
      <c r="Z28" s="1022" t="str">
        <f t="shared" si="13"/>
        <v>--</v>
      </c>
      <c r="AA28" s="1023" t="str">
        <f t="shared" si="14"/>
        <v>--</v>
      </c>
      <c r="AB28" s="1024" t="str">
        <f t="shared" si="15"/>
        <v>--</v>
      </c>
      <c r="AC28" s="1025" t="str">
        <f t="shared" si="16"/>
        <v>--</v>
      </c>
      <c r="AD28" s="292" t="s">
        <v>202</v>
      </c>
      <c r="AE28" s="16">
        <v>0</v>
      </c>
      <c r="AF28" s="759"/>
    </row>
    <row r="29" spans="2:32" s="90" customFormat="1" ht="16.5" customHeight="1">
      <c r="B29" s="95"/>
      <c r="C29" s="274">
        <v>8</v>
      </c>
      <c r="D29" s="274">
        <v>228262</v>
      </c>
      <c r="E29" s="274">
        <v>43</v>
      </c>
      <c r="F29" s="152" t="s">
        <v>293</v>
      </c>
      <c r="G29" s="183">
        <v>500</v>
      </c>
      <c r="H29" s="802">
        <v>256</v>
      </c>
      <c r="I29" s="183" t="s">
        <v>287</v>
      </c>
      <c r="J29" s="1009">
        <f t="shared" si="0"/>
        <v>20</v>
      </c>
      <c r="K29" s="1010">
        <f t="shared" si="1"/>
        <v>422.8096</v>
      </c>
      <c r="L29" s="752">
        <v>40502.291666666664</v>
      </c>
      <c r="M29" s="753">
        <v>40502.74375</v>
      </c>
      <c r="N29" s="513">
        <f t="shared" si="2"/>
        <v>10.850000000093132</v>
      </c>
      <c r="O29" s="380">
        <f t="shared" si="3"/>
        <v>651</v>
      </c>
      <c r="P29" s="1011" t="s">
        <v>283</v>
      </c>
      <c r="Q29" s="1015" t="str">
        <f t="shared" si="4"/>
        <v>--</v>
      </c>
      <c r="R29" s="13" t="str">
        <f t="shared" si="5"/>
        <v>NO</v>
      </c>
      <c r="S29" s="13" t="str">
        <f t="shared" si="6"/>
        <v>--</v>
      </c>
      <c r="T29" s="1016">
        <f t="shared" si="7"/>
        <v>917.4968319999998</v>
      </c>
      <c r="U29" s="1017" t="str">
        <f t="shared" si="8"/>
        <v>--</v>
      </c>
      <c r="V29" s="1018" t="str">
        <f t="shared" si="9"/>
        <v>--</v>
      </c>
      <c r="W29" s="1019" t="str">
        <f t="shared" si="10"/>
        <v>--</v>
      </c>
      <c r="X29" s="1020" t="str">
        <f t="shared" si="11"/>
        <v>--</v>
      </c>
      <c r="Y29" s="1021" t="str">
        <f t="shared" si="12"/>
        <v>--</v>
      </c>
      <c r="Z29" s="1022" t="str">
        <f t="shared" si="13"/>
        <v>--</v>
      </c>
      <c r="AA29" s="1023" t="str">
        <f t="shared" si="14"/>
        <v>--</v>
      </c>
      <c r="AB29" s="1024" t="str">
        <f t="shared" si="15"/>
        <v>--</v>
      </c>
      <c r="AC29" s="1025" t="str">
        <f t="shared" si="16"/>
        <v>--</v>
      </c>
      <c r="AD29" s="292" t="s">
        <v>202</v>
      </c>
      <c r="AE29" s="16">
        <v>0</v>
      </c>
      <c r="AF29" s="759"/>
    </row>
    <row r="30" spans="2:32" s="90" customFormat="1" ht="16.5" customHeight="1">
      <c r="B30" s="95"/>
      <c r="C30" s="152">
        <v>9</v>
      </c>
      <c r="D30" s="152">
        <v>228275</v>
      </c>
      <c r="E30" s="152">
        <v>3696</v>
      </c>
      <c r="F30" s="152" t="s">
        <v>294</v>
      </c>
      <c r="G30" s="183">
        <v>500</v>
      </c>
      <c r="H30" s="802">
        <v>183.89999389648438</v>
      </c>
      <c r="I30" s="183" t="s">
        <v>287</v>
      </c>
      <c r="J30" s="1009">
        <f t="shared" si="0"/>
        <v>20</v>
      </c>
      <c r="K30" s="1010">
        <f t="shared" si="1"/>
        <v>303.7292299194336</v>
      </c>
      <c r="L30" s="752">
        <v>40503.263194444444</v>
      </c>
      <c r="M30" s="753">
        <v>40503.33611111111</v>
      </c>
      <c r="N30" s="513">
        <f t="shared" si="2"/>
        <v>1.7499999999417923</v>
      </c>
      <c r="O30" s="380">
        <f t="shared" si="3"/>
        <v>105</v>
      </c>
      <c r="P30" s="1011" t="s">
        <v>283</v>
      </c>
      <c r="Q30" s="1015" t="str">
        <f t="shared" si="4"/>
        <v>--</v>
      </c>
      <c r="R30" s="13" t="str">
        <f t="shared" si="5"/>
        <v>NO</v>
      </c>
      <c r="S30" s="13" t="str">
        <f t="shared" si="6"/>
        <v>--</v>
      </c>
      <c r="T30" s="1016">
        <f t="shared" si="7"/>
        <v>106.30523047180178</v>
      </c>
      <c r="U30" s="1017" t="str">
        <f t="shared" si="8"/>
        <v>--</v>
      </c>
      <c r="V30" s="1018" t="str">
        <f t="shared" si="9"/>
        <v>--</v>
      </c>
      <c r="W30" s="1019" t="str">
        <f t="shared" si="10"/>
        <v>--</v>
      </c>
      <c r="X30" s="1020" t="str">
        <f t="shared" si="11"/>
        <v>--</v>
      </c>
      <c r="Y30" s="1021" t="str">
        <f t="shared" si="12"/>
        <v>--</v>
      </c>
      <c r="Z30" s="1022" t="str">
        <f t="shared" si="13"/>
        <v>--</v>
      </c>
      <c r="AA30" s="1023" t="str">
        <f t="shared" si="14"/>
        <v>--</v>
      </c>
      <c r="AB30" s="1024" t="str">
        <f t="shared" si="15"/>
        <v>--</v>
      </c>
      <c r="AC30" s="1025" t="str">
        <f t="shared" si="16"/>
        <v>--</v>
      </c>
      <c r="AD30" s="292" t="s">
        <v>202</v>
      </c>
      <c r="AE30" s="16">
        <f t="shared" si="17"/>
        <v>106.30523047180178</v>
      </c>
      <c r="AF30" s="759"/>
    </row>
    <row r="31" spans="2:32" s="90" customFormat="1" ht="16.5" customHeight="1">
      <c r="B31" s="95"/>
      <c r="C31" s="274">
        <v>10</v>
      </c>
      <c r="D31" s="274">
        <v>228273</v>
      </c>
      <c r="E31" s="274">
        <v>45</v>
      </c>
      <c r="F31" s="152" t="s">
        <v>284</v>
      </c>
      <c r="G31" s="183">
        <v>500</v>
      </c>
      <c r="H31" s="802">
        <v>345</v>
      </c>
      <c r="I31" s="183" t="s">
        <v>290</v>
      </c>
      <c r="J31" s="1009">
        <f t="shared" si="0"/>
        <v>200</v>
      </c>
      <c r="K31" s="1010">
        <f t="shared" si="1"/>
        <v>569.802</v>
      </c>
      <c r="L31" s="752">
        <v>40503.381944444445</v>
      </c>
      <c r="M31" s="753">
        <v>40503.75069444445</v>
      </c>
      <c r="N31" s="513">
        <f t="shared" si="2"/>
        <v>8.850000000034925</v>
      </c>
      <c r="O31" s="380">
        <f t="shared" si="3"/>
        <v>531</v>
      </c>
      <c r="P31" s="1011" t="s">
        <v>283</v>
      </c>
      <c r="Q31" s="1015" t="str">
        <f t="shared" si="4"/>
        <v>--</v>
      </c>
      <c r="R31" s="13" t="str">
        <f t="shared" si="5"/>
        <v>NO</v>
      </c>
      <c r="S31" s="13" t="str">
        <f t="shared" si="6"/>
        <v>--</v>
      </c>
      <c r="T31" s="1016">
        <f t="shared" si="7"/>
        <v>10085.4954</v>
      </c>
      <c r="U31" s="1017" t="str">
        <f t="shared" si="8"/>
        <v>--</v>
      </c>
      <c r="V31" s="1018" t="str">
        <f t="shared" si="9"/>
        <v>--</v>
      </c>
      <c r="W31" s="1019" t="str">
        <f t="shared" si="10"/>
        <v>--</v>
      </c>
      <c r="X31" s="1020" t="str">
        <f t="shared" si="11"/>
        <v>--</v>
      </c>
      <c r="Y31" s="1021" t="str">
        <f t="shared" si="12"/>
        <v>--</v>
      </c>
      <c r="Z31" s="1022" t="str">
        <f t="shared" si="13"/>
        <v>--</v>
      </c>
      <c r="AA31" s="1023" t="str">
        <f t="shared" si="14"/>
        <v>--</v>
      </c>
      <c r="AB31" s="1024" t="str">
        <f t="shared" si="15"/>
        <v>--</v>
      </c>
      <c r="AC31" s="1025" t="str">
        <f t="shared" si="16"/>
        <v>--</v>
      </c>
      <c r="AD31" s="292" t="s">
        <v>202</v>
      </c>
      <c r="AE31" s="16">
        <f t="shared" si="17"/>
        <v>10085.4954</v>
      </c>
      <c r="AF31" s="759"/>
    </row>
    <row r="32" spans="2:32" s="90" customFormat="1" ht="16.5" customHeight="1">
      <c r="B32" s="95"/>
      <c r="C32" s="152">
        <v>11</v>
      </c>
      <c r="D32" s="152">
        <v>228281</v>
      </c>
      <c r="E32" s="152">
        <v>1344</v>
      </c>
      <c r="F32" s="152" t="s">
        <v>295</v>
      </c>
      <c r="G32" s="183">
        <v>500</v>
      </c>
      <c r="H32" s="802">
        <v>194</v>
      </c>
      <c r="I32" s="183" t="s">
        <v>287</v>
      </c>
      <c r="J32" s="1009">
        <f t="shared" si="0"/>
        <v>20</v>
      </c>
      <c r="K32" s="1010">
        <f t="shared" si="1"/>
        <v>320.4104</v>
      </c>
      <c r="L32" s="752">
        <v>40503.56736111111</v>
      </c>
      <c r="M32" s="753">
        <v>40503.575694444444</v>
      </c>
      <c r="N32" s="513">
        <f t="shared" si="2"/>
        <v>0.19999999995343387</v>
      </c>
      <c r="O32" s="380">
        <f t="shared" si="3"/>
        <v>12</v>
      </c>
      <c r="P32" s="1011" t="s">
        <v>296</v>
      </c>
      <c r="Q32" s="1015" t="str">
        <f t="shared" si="4"/>
        <v>--</v>
      </c>
      <c r="R32" s="13" t="str">
        <f t="shared" si="5"/>
        <v>NO</v>
      </c>
      <c r="S32" s="13" t="str">
        <f t="shared" si="6"/>
        <v>NO</v>
      </c>
      <c r="T32" s="1016" t="str">
        <f t="shared" si="7"/>
        <v>--</v>
      </c>
      <c r="U32" s="1017" t="str">
        <f t="shared" si="8"/>
        <v>--</v>
      </c>
      <c r="V32" s="1018">
        <f t="shared" si="9"/>
        <v>6408.208</v>
      </c>
      <c r="W32" s="1019">
        <f t="shared" si="10"/>
        <v>1281.6416</v>
      </c>
      <c r="X32" s="1020" t="str">
        <f t="shared" si="11"/>
        <v>--</v>
      </c>
      <c r="Y32" s="1021" t="str">
        <f t="shared" si="12"/>
        <v>--</v>
      </c>
      <c r="Z32" s="1022" t="str">
        <f t="shared" si="13"/>
        <v>--</v>
      </c>
      <c r="AA32" s="1023" t="str">
        <f t="shared" si="14"/>
        <v>--</v>
      </c>
      <c r="AB32" s="1024" t="str">
        <f t="shared" si="15"/>
        <v>--</v>
      </c>
      <c r="AC32" s="1025" t="str">
        <f t="shared" si="16"/>
        <v>--</v>
      </c>
      <c r="AD32" s="292" t="s">
        <v>202</v>
      </c>
      <c r="AE32" s="16">
        <f t="shared" si="17"/>
        <v>7689.8496</v>
      </c>
      <c r="AF32" s="759"/>
    </row>
    <row r="33" spans="2:32" s="90" customFormat="1" ht="16.5" customHeight="1">
      <c r="B33" s="95"/>
      <c r="C33" s="274">
        <v>12</v>
      </c>
      <c r="D33" s="274">
        <v>228272</v>
      </c>
      <c r="E33" s="274">
        <v>1344</v>
      </c>
      <c r="F33" s="152" t="s">
        <v>295</v>
      </c>
      <c r="G33" s="183">
        <v>500</v>
      </c>
      <c r="H33" s="802">
        <v>194</v>
      </c>
      <c r="I33" s="183" t="s">
        <v>287</v>
      </c>
      <c r="J33" s="1009">
        <f t="shared" si="0"/>
        <v>20</v>
      </c>
      <c r="K33" s="1010">
        <f t="shared" si="1"/>
        <v>320.4104</v>
      </c>
      <c r="L33" s="752">
        <v>40503.589583333334</v>
      </c>
      <c r="M33" s="1026">
        <v>40503.62986111111</v>
      </c>
      <c r="N33" s="513">
        <f t="shared" si="2"/>
        <v>0.9666666666744277</v>
      </c>
      <c r="O33" s="380">
        <f t="shared" si="3"/>
        <v>58</v>
      </c>
      <c r="P33" s="1011" t="s">
        <v>296</v>
      </c>
      <c r="Q33" s="1015" t="str">
        <f t="shared" si="4"/>
        <v>--</v>
      </c>
      <c r="R33" s="13" t="str">
        <f t="shared" si="5"/>
        <v>NO</v>
      </c>
      <c r="S33" s="13" t="str">
        <f t="shared" si="6"/>
        <v>NO</v>
      </c>
      <c r="T33" s="1016" t="str">
        <f t="shared" si="7"/>
        <v>--</v>
      </c>
      <c r="U33" s="1017" t="str">
        <f t="shared" si="8"/>
        <v>--</v>
      </c>
      <c r="V33" s="1018">
        <f t="shared" si="9"/>
        <v>6408.208</v>
      </c>
      <c r="W33" s="1019">
        <f t="shared" si="10"/>
        <v>6215.961759999999</v>
      </c>
      <c r="X33" s="1020" t="str">
        <f t="shared" si="11"/>
        <v>--</v>
      </c>
      <c r="Y33" s="1021" t="str">
        <f t="shared" si="12"/>
        <v>--</v>
      </c>
      <c r="Z33" s="1022" t="str">
        <f t="shared" si="13"/>
        <v>--</v>
      </c>
      <c r="AA33" s="1023" t="str">
        <f t="shared" si="14"/>
        <v>--</v>
      </c>
      <c r="AB33" s="1024" t="str">
        <f t="shared" si="15"/>
        <v>--</v>
      </c>
      <c r="AC33" s="1025" t="str">
        <f t="shared" si="16"/>
        <v>--</v>
      </c>
      <c r="AD33" s="292" t="s">
        <v>202</v>
      </c>
      <c r="AE33" s="16">
        <f t="shared" si="17"/>
        <v>12624.169759999999</v>
      </c>
      <c r="AF33" s="759"/>
    </row>
    <row r="34" spans="2:32" s="90" customFormat="1" ht="16.5" customHeight="1">
      <c r="B34" s="95"/>
      <c r="C34" s="152">
        <v>13</v>
      </c>
      <c r="D34" s="152">
        <v>228516</v>
      </c>
      <c r="E34" s="152">
        <v>4733</v>
      </c>
      <c r="F34" s="152" t="s">
        <v>297</v>
      </c>
      <c r="G34" s="183">
        <v>220</v>
      </c>
      <c r="H34" s="802">
        <v>77</v>
      </c>
      <c r="I34" s="183" t="s">
        <v>285</v>
      </c>
      <c r="J34" s="1009">
        <f t="shared" si="0"/>
        <v>60</v>
      </c>
      <c r="K34" s="1010">
        <f t="shared" si="1"/>
        <v>137.633</v>
      </c>
      <c r="L34" s="752">
        <v>40507.42638888889</v>
      </c>
      <c r="M34" s="1026">
        <v>40507.49375</v>
      </c>
      <c r="N34" s="513">
        <f t="shared" si="2"/>
        <v>1.6166666666977108</v>
      </c>
      <c r="O34" s="380">
        <f t="shared" si="3"/>
        <v>97</v>
      </c>
      <c r="P34" s="1011" t="s">
        <v>296</v>
      </c>
      <c r="Q34" s="1015" t="str">
        <f t="shared" si="4"/>
        <v>--</v>
      </c>
      <c r="R34" s="13" t="str">
        <f t="shared" si="5"/>
        <v>NO</v>
      </c>
      <c r="S34" s="13" t="s">
        <v>202</v>
      </c>
      <c r="T34" s="1016" t="str">
        <f t="shared" si="7"/>
        <v>--</v>
      </c>
      <c r="U34" s="1017" t="str">
        <f t="shared" si="8"/>
        <v>--</v>
      </c>
      <c r="V34" s="1018" t="str">
        <f t="shared" si="9"/>
        <v>--</v>
      </c>
      <c r="W34" s="1019">
        <f t="shared" si="10"/>
        <v>13377.927600000003</v>
      </c>
      <c r="X34" s="1020" t="str">
        <f t="shared" si="11"/>
        <v>--</v>
      </c>
      <c r="Y34" s="1021" t="str">
        <f t="shared" si="12"/>
        <v>--</v>
      </c>
      <c r="Z34" s="1022" t="str">
        <f t="shared" si="13"/>
        <v>--</v>
      </c>
      <c r="AA34" s="1023" t="str">
        <f t="shared" si="14"/>
        <v>--</v>
      </c>
      <c r="AB34" s="1024" t="str">
        <f t="shared" si="15"/>
        <v>--</v>
      </c>
      <c r="AC34" s="1025" t="str">
        <f t="shared" si="16"/>
        <v>--</v>
      </c>
      <c r="AD34" s="292" t="s">
        <v>202</v>
      </c>
      <c r="AE34" s="16">
        <f t="shared" si="17"/>
        <v>13377.927600000003</v>
      </c>
      <c r="AF34" s="759"/>
    </row>
    <row r="35" spans="2:32" s="90" customFormat="1" ht="16.5" customHeight="1">
      <c r="B35" s="95"/>
      <c r="C35" s="274">
        <v>14</v>
      </c>
      <c r="D35" s="274">
        <v>228514</v>
      </c>
      <c r="E35" s="274">
        <v>4734</v>
      </c>
      <c r="F35" s="152" t="s">
        <v>298</v>
      </c>
      <c r="G35" s="183">
        <v>220</v>
      </c>
      <c r="H35" s="802">
        <v>77</v>
      </c>
      <c r="I35" s="183" t="s">
        <v>287</v>
      </c>
      <c r="J35" s="1009">
        <f t="shared" si="0"/>
        <v>20</v>
      </c>
      <c r="K35" s="1010">
        <f t="shared" si="1"/>
        <v>137.633</v>
      </c>
      <c r="L35" s="752">
        <v>40507.50902777778</v>
      </c>
      <c r="M35" s="1026">
        <v>40507.62708333333</v>
      </c>
      <c r="N35" s="513">
        <f t="shared" si="2"/>
        <v>2.833333333313931</v>
      </c>
      <c r="O35" s="380">
        <f t="shared" si="3"/>
        <v>170</v>
      </c>
      <c r="P35" s="1011" t="s">
        <v>296</v>
      </c>
      <c r="Q35" s="1015" t="str">
        <f t="shared" si="4"/>
        <v>--</v>
      </c>
      <c r="R35" s="13" t="str">
        <f t="shared" si="5"/>
        <v>NO</v>
      </c>
      <c r="S35" s="13" t="s">
        <v>202</v>
      </c>
      <c r="T35" s="1016" t="str">
        <f t="shared" si="7"/>
        <v>--</v>
      </c>
      <c r="U35" s="1017" t="str">
        <f t="shared" si="8"/>
        <v>--</v>
      </c>
      <c r="V35" s="1018" t="str">
        <f t="shared" si="9"/>
        <v>--</v>
      </c>
      <c r="W35" s="1019">
        <f t="shared" si="10"/>
        <v>7790.027800000001</v>
      </c>
      <c r="X35" s="1020" t="str">
        <f t="shared" si="11"/>
        <v>--</v>
      </c>
      <c r="Y35" s="1021" t="str">
        <f t="shared" si="12"/>
        <v>--</v>
      </c>
      <c r="Z35" s="1022" t="str">
        <f t="shared" si="13"/>
        <v>--</v>
      </c>
      <c r="AA35" s="1023" t="str">
        <f t="shared" si="14"/>
        <v>--</v>
      </c>
      <c r="AB35" s="1024" t="str">
        <f t="shared" si="15"/>
        <v>--</v>
      </c>
      <c r="AC35" s="1025" t="str">
        <f t="shared" si="16"/>
        <v>--</v>
      </c>
      <c r="AD35" s="292" t="s">
        <v>202</v>
      </c>
      <c r="AE35" s="16">
        <f t="shared" si="17"/>
        <v>7790.027800000001</v>
      </c>
      <c r="AF35" s="759"/>
    </row>
    <row r="36" spans="2:32" s="90" customFormat="1" ht="16.5" customHeight="1">
      <c r="B36" s="95"/>
      <c r="C36" s="152">
        <v>15</v>
      </c>
      <c r="D36" s="152">
        <v>228529</v>
      </c>
      <c r="E36" s="152">
        <v>3525</v>
      </c>
      <c r="F36" s="152" t="s">
        <v>299</v>
      </c>
      <c r="G36" s="183">
        <v>500</v>
      </c>
      <c r="H36" s="802">
        <v>52</v>
      </c>
      <c r="I36" s="183" t="s">
        <v>287</v>
      </c>
      <c r="J36" s="1009">
        <f t="shared" si="0"/>
        <v>20</v>
      </c>
      <c r="K36" s="1010">
        <f t="shared" si="1"/>
        <v>165.16</v>
      </c>
      <c r="L36" s="752">
        <v>40509.32013888889</v>
      </c>
      <c r="M36" s="1026">
        <v>40509.736805555556</v>
      </c>
      <c r="N36" s="513">
        <f t="shared" si="2"/>
        <v>9.999999999941792</v>
      </c>
      <c r="O36" s="380">
        <f t="shared" si="3"/>
        <v>600</v>
      </c>
      <c r="P36" s="1011" t="s">
        <v>283</v>
      </c>
      <c r="Q36" s="1015" t="str">
        <f t="shared" si="4"/>
        <v>--</v>
      </c>
      <c r="R36" s="13" t="str">
        <f t="shared" si="5"/>
        <v>NO</v>
      </c>
      <c r="S36" s="13" t="str">
        <f t="shared" si="6"/>
        <v>--</v>
      </c>
      <c r="T36" s="1016">
        <f t="shared" si="7"/>
        <v>330.32</v>
      </c>
      <c r="U36" s="1017" t="str">
        <f t="shared" si="8"/>
        <v>--</v>
      </c>
      <c r="V36" s="1018" t="str">
        <f t="shared" si="9"/>
        <v>--</v>
      </c>
      <c r="W36" s="1019" t="str">
        <f t="shared" si="10"/>
        <v>--</v>
      </c>
      <c r="X36" s="1020" t="str">
        <f t="shared" si="11"/>
        <v>--</v>
      </c>
      <c r="Y36" s="1021" t="str">
        <f t="shared" si="12"/>
        <v>--</v>
      </c>
      <c r="Z36" s="1022" t="str">
        <f t="shared" si="13"/>
        <v>--</v>
      </c>
      <c r="AA36" s="1023" t="str">
        <f t="shared" si="14"/>
        <v>--</v>
      </c>
      <c r="AB36" s="1024" t="str">
        <f t="shared" si="15"/>
        <v>--</v>
      </c>
      <c r="AC36" s="1025" t="str">
        <f t="shared" si="16"/>
        <v>--</v>
      </c>
      <c r="AD36" s="292" t="s">
        <v>202</v>
      </c>
      <c r="AE36" s="16">
        <v>0</v>
      </c>
      <c r="AF36" s="759"/>
    </row>
    <row r="37" spans="2:32" s="90" customFormat="1" ht="16.5" customHeight="1">
      <c r="B37" s="95"/>
      <c r="C37" s="274">
        <v>16</v>
      </c>
      <c r="D37" s="274">
        <v>228540</v>
      </c>
      <c r="E37" s="274">
        <v>51</v>
      </c>
      <c r="F37" s="152" t="s">
        <v>300</v>
      </c>
      <c r="G37" s="183">
        <v>220</v>
      </c>
      <c r="H37" s="802">
        <v>61</v>
      </c>
      <c r="I37" s="183" t="s">
        <v>287</v>
      </c>
      <c r="J37" s="1009">
        <f t="shared" si="0"/>
        <v>20</v>
      </c>
      <c r="K37" s="1010">
        <f t="shared" si="1"/>
        <v>137.633</v>
      </c>
      <c r="L37" s="752">
        <v>40510.32013888889</v>
      </c>
      <c r="M37" s="1026">
        <v>40510.65069444444</v>
      </c>
      <c r="N37" s="513">
        <f t="shared" si="2"/>
        <v>7.933333333174232</v>
      </c>
      <c r="O37" s="380">
        <f t="shared" si="3"/>
        <v>476</v>
      </c>
      <c r="P37" s="1011" t="s">
        <v>283</v>
      </c>
      <c r="Q37" s="1015" t="str">
        <f t="shared" si="4"/>
        <v>--</v>
      </c>
      <c r="R37" s="13" t="str">
        <f t="shared" si="5"/>
        <v>NO</v>
      </c>
      <c r="S37" s="13" t="str">
        <f t="shared" si="6"/>
        <v>--</v>
      </c>
      <c r="T37" s="1016">
        <f t="shared" si="7"/>
        <v>218.28593800000002</v>
      </c>
      <c r="U37" s="1017" t="str">
        <f t="shared" si="8"/>
        <v>--</v>
      </c>
      <c r="V37" s="1018" t="str">
        <f t="shared" si="9"/>
        <v>--</v>
      </c>
      <c r="W37" s="1019" t="str">
        <f t="shared" si="10"/>
        <v>--</v>
      </c>
      <c r="X37" s="1020" t="str">
        <f t="shared" si="11"/>
        <v>--</v>
      </c>
      <c r="Y37" s="1021" t="str">
        <f t="shared" si="12"/>
        <v>--</v>
      </c>
      <c r="Z37" s="1022" t="str">
        <f t="shared" si="13"/>
        <v>--</v>
      </c>
      <c r="AA37" s="1023" t="str">
        <f t="shared" si="14"/>
        <v>--</v>
      </c>
      <c r="AB37" s="1024" t="str">
        <f t="shared" si="15"/>
        <v>--</v>
      </c>
      <c r="AC37" s="1025" t="str">
        <f t="shared" si="16"/>
        <v>--</v>
      </c>
      <c r="AD37" s="292" t="s">
        <v>202</v>
      </c>
      <c r="AE37" s="16">
        <v>0</v>
      </c>
      <c r="AF37" s="759"/>
    </row>
    <row r="38" spans="2:32" s="90" customFormat="1" ht="16.5" customHeight="1">
      <c r="B38" s="95"/>
      <c r="C38" s="152">
        <v>17</v>
      </c>
      <c r="D38" s="152">
        <v>228539</v>
      </c>
      <c r="E38" s="152">
        <v>45</v>
      </c>
      <c r="F38" s="152" t="s">
        <v>284</v>
      </c>
      <c r="G38" s="183">
        <v>500</v>
      </c>
      <c r="H38" s="802">
        <v>345</v>
      </c>
      <c r="I38" s="183" t="s">
        <v>290</v>
      </c>
      <c r="J38" s="1009">
        <f t="shared" si="0"/>
        <v>200</v>
      </c>
      <c r="K38" s="1010">
        <f t="shared" si="1"/>
        <v>569.802</v>
      </c>
      <c r="L38" s="752">
        <v>40510.44305555556</v>
      </c>
      <c r="M38" s="1026">
        <v>40510.794444444444</v>
      </c>
      <c r="N38" s="513">
        <f t="shared" si="2"/>
        <v>8.43333333323244</v>
      </c>
      <c r="O38" s="380">
        <f t="shared" si="3"/>
        <v>506</v>
      </c>
      <c r="P38" s="1011" t="s">
        <v>283</v>
      </c>
      <c r="Q38" s="1015" t="str">
        <f t="shared" si="4"/>
        <v>--</v>
      </c>
      <c r="R38" s="13" t="str">
        <f t="shared" si="5"/>
        <v>NO</v>
      </c>
      <c r="S38" s="13" t="str">
        <f t="shared" si="6"/>
        <v>--</v>
      </c>
      <c r="T38" s="1016">
        <f t="shared" si="7"/>
        <v>9606.86172</v>
      </c>
      <c r="U38" s="1017" t="str">
        <f t="shared" si="8"/>
        <v>--</v>
      </c>
      <c r="V38" s="1018" t="str">
        <f t="shared" si="9"/>
        <v>--</v>
      </c>
      <c r="W38" s="1019" t="str">
        <f t="shared" si="10"/>
        <v>--</v>
      </c>
      <c r="X38" s="1020" t="str">
        <f t="shared" si="11"/>
        <v>--</v>
      </c>
      <c r="Y38" s="1021" t="str">
        <f t="shared" si="12"/>
        <v>--</v>
      </c>
      <c r="Z38" s="1022" t="str">
        <f t="shared" si="13"/>
        <v>--</v>
      </c>
      <c r="AA38" s="1023" t="str">
        <f t="shared" si="14"/>
        <v>--</v>
      </c>
      <c r="AB38" s="1024" t="str">
        <f t="shared" si="15"/>
        <v>--</v>
      </c>
      <c r="AC38" s="1025" t="str">
        <f t="shared" si="16"/>
        <v>--</v>
      </c>
      <c r="AD38" s="292" t="s">
        <v>202</v>
      </c>
      <c r="AE38" s="16">
        <f t="shared" si="17"/>
        <v>9606.86172</v>
      </c>
      <c r="AF38" s="759"/>
    </row>
    <row r="39" spans="2:32" s="90" customFormat="1" ht="16.5" customHeight="1">
      <c r="B39" s="95"/>
      <c r="C39" s="274"/>
      <c r="D39" s="274"/>
      <c r="E39" s="274"/>
      <c r="F39" s="152"/>
      <c r="G39" s="183"/>
      <c r="H39" s="802"/>
      <c r="I39" s="183"/>
      <c r="J39" s="1009">
        <f t="shared" si="0"/>
        <v>20</v>
      </c>
      <c r="K39" s="1010">
        <f t="shared" si="1"/>
        <v>137.633</v>
      </c>
      <c r="L39" s="752"/>
      <c r="M39" s="1026"/>
      <c r="N39" s="513">
        <f t="shared" si="2"/>
      </c>
      <c r="O39" s="380">
        <f t="shared" si="3"/>
      </c>
      <c r="P39" s="1011"/>
      <c r="Q39" s="1015">
        <f t="shared" si="4"/>
      </c>
      <c r="R39" s="13">
        <f t="shared" si="5"/>
      </c>
      <c r="S39" s="13">
        <f t="shared" si="6"/>
      </c>
      <c r="T39" s="1016" t="str">
        <f t="shared" si="7"/>
        <v>--</v>
      </c>
      <c r="U39" s="1017" t="str">
        <f t="shared" si="8"/>
        <v>--</v>
      </c>
      <c r="V39" s="1018" t="str">
        <f t="shared" si="9"/>
        <v>--</v>
      </c>
      <c r="W39" s="1019" t="str">
        <f t="shared" si="10"/>
        <v>--</v>
      </c>
      <c r="X39" s="1020" t="str">
        <f t="shared" si="11"/>
        <v>--</v>
      </c>
      <c r="Y39" s="1021" t="str">
        <f t="shared" si="12"/>
        <v>--</v>
      </c>
      <c r="Z39" s="1022" t="str">
        <f t="shared" si="13"/>
        <v>--</v>
      </c>
      <c r="AA39" s="1023" t="str">
        <f t="shared" si="14"/>
        <v>--</v>
      </c>
      <c r="AB39" s="1024" t="str">
        <f t="shared" si="15"/>
        <v>--</v>
      </c>
      <c r="AC39" s="1025" t="str">
        <f t="shared" si="16"/>
        <v>--</v>
      </c>
      <c r="AD39" s="1027">
        <f>IF(F39="","","SI")</f>
      </c>
      <c r="AE39" s="16">
        <f t="shared" si="17"/>
      </c>
      <c r="AF39" s="759"/>
    </row>
    <row r="40" spans="2:32" s="90" customFormat="1" ht="16.5" customHeight="1">
      <c r="B40" s="95"/>
      <c r="C40" s="152"/>
      <c r="D40" s="152"/>
      <c r="E40" s="152"/>
      <c r="F40" s="152"/>
      <c r="G40" s="183"/>
      <c r="H40" s="802"/>
      <c r="I40" s="183"/>
      <c r="J40" s="1009">
        <f t="shared" si="0"/>
        <v>20</v>
      </c>
      <c r="K40" s="1010">
        <f t="shared" si="1"/>
        <v>137.633</v>
      </c>
      <c r="L40" s="752"/>
      <c r="M40" s="1026"/>
      <c r="N40" s="513">
        <f t="shared" si="2"/>
      </c>
      <c r="O40" s="380">
        <f t="shared" si="3"/>
      </c>
      <c r="P40" s="1011"/>
      <c r="Q40" s="1015">
        <f t="shared" si="4"/>
      </c>
      <c r="R40" s="13">
        <f t="shared" si="5"/>
      </c>
      <c r="S40" s="13">
        <f t="shared" si="6"/>
      </c>
      <c r="T40" s="1016" t="str">
        <f t="shared" si="7"/>
        <v>--</v>
      </c>
      <c r="U40" s="1017" t="str">
        <f t="shared" si="8"/>
        <v>--</v>
      </c>
      <c r="V40" s="1018" t="str">
        <f t="shared" si="9"/>
        <v>--</v>
      </c>
      <c r="W40" s="1019" t="str">
        <f t="shared" si="10"/>
        <v>--</v>
      </c>
      <c r="X40" s="1020" t="str">
        <f t="shared" si="11"/>
        <v>--</v>
      </c>
      <c r="Y40" s="1021" t="str">
        <f t="shared" si="12"/>
        <v>--</v>
      </c>
      <c r="Z40" s="1022" t="str">
        <f t="shared" si="13"/>
        <v>--</v>
      </c>
      <c r="AA40" s="1023" t="str">
        <f t="shared" si="14"/>
        <v>--</v>
      </c>
      <c r="AB40" s="1024" t="str">
        <f t="shared" si="15"/>
        <v>--</v>
      </c>
      <c r="AC40" s="1025" t="str">
        <f t="shared" si="16"/>
        <v>--</v>
      </c>
      <c r="AD40" s="1027">
        <f>IF(F40="","","SI")</f>
      </c>
      <c r="AE40" s="16">
        <f t="shared" si="17"/>
      </c>
      <c r="AF40" s="759"/>
    </row>
    <row r="41" spans="2:32" s="5" customFormat="1" ht="16.5" customHeight="1">
      <c r="B41" s="50"/>
      <c r="C41" s="274"/>
      <c r="D41" s="274"/>
      <c r="E41" s="274"/>
      <c r="F41" s="146"/>
      <c r="G41" s="147"/>
      <c r="H41" s="804"/>
      <c r="I41" s="147"/>
      <c r="J41" s="750">
        <f t="shared" si="0"/>
        <v>20</v>
      </c>
      <c r="K41" s="751">
        <f t="shared" si="1"/>
        <v>137.633</v>
      </c>
      <c r="L41" s="184"/>
      <c r="M41" s="185"/>
      <c r="N41" s="186">
        <f t="shared" si="2"/>
      </c>
      <c r="O41" s="187">
        <f t="shared" si="3"/>
      </c>
      <c r="P41" s="220"/>
      <c r="Q41" s="864">
        <f t="shared" si="4"/>
      </c>
      <c r="R41" s="221">
        <f t="shared" si="5"/>
      </c>
      <c r="S41" s="221">
        <f t="shared" si="6"/>
      </c>
      <c r="T41" s="754" t="str">
        <f t="shared" si="7"/>
        <v>--</v>
      </c>
      <c r="U41" s="755" t="str">
        <f t="shared" si="8"/>
        <v>--</v>
      </c>
      <c r="V41" s="222" t="str">
        <f t="shared" si="9"/>
        <v>--</v>
      </c>
      <c r="W41" s="223" t="str">
        <f t="shared" si="10"/>
        <v>--</v>
      </c>
      <c r="X41" s="224" t="str">
        <f t="shared" si="11"/>
        <v>--</v>
      </c>
      <c r="Y41" s="756" t="str">
        <f t="shared" si="12"/>
        <v>--</v>
      </c>
      <c r="Z41" s="757" t="str">
        <f t="shared" si="13"/>
        <v>--</v>
      </c>
      <c r="AA41" s="758" t="str">
        <f t="shared" si="14"/>
        <v>--</v>
      </c>
      <c r="AB41" s="225" t="str">
        <f t="shared" si="15"/>
        <v>--</v>
      </c>
      <c r="AC41" s="226" t="str">
        <f t="shared" si="16"/>
        <v>--</v>
      </c>
      <c r="AD41" s="865">
        <f>IF(F41="","","SI")</f>
      </c>
      <c r="AE41" s="16">
        <f t="shared" si="17"/>
      </c>
      <c r="AF41" s="759"/>
    </row>
    <row r="42" spans="2:32" s="5" customFormat="1" ht="16.5" customHeight="1" thickBot="1">
      <c r="B42" s="50"/>
      <c r="C42" s="863"/>
      <c r="D42" s="866"/>
      <c r="E42" s="152"/>
      <c r="F42" s="149"/>
      <c r="G42" s="228"/>
      <c r="H42" s="798"/>
      <c r="I42" s="229"/>
      <c r="J42" s="764"/>
      <c r="K42" s="765"/>
      <c r="L42" s="796"/>
      <c r="M42" s="796"/>
      <c r="N42" s="9"/>
      <c r="O42" s="9"/>
      <c r="P42" s="151"/>
      <c r="Q42" s="189"/>
      <c r="R42" s="151"/>
      <c r="S42" s="151"/>
      <c r="T42" s="766"/>
      <c r="U42" s="767"/>
      <c r="V42" s="230"/>
      <c r="W42" s="231"/>
      <c r="X42" s="232"/>
      <c r="Y42" s="768"/>
      <c r="Z42" s="769"/>
      <c r="AA42" s="770"/>
      <c r="AB42" s="233"/>
      <c r="AC42" s="234"/>
      <c r="AD42" s="771"/>
      <c r="AE42" s="235"/>
      <c r="AF42" s="759"/>
    </row>
    <row r="43" spans="2:32" s="5" customFormat="1" ht="16.5" customHeight="1" thickBot="1" thickTop="1">
      <c r="B43" s="50"/>
      <c r="C43" s="933" t="s">
        <v>391</v>
      </c>
      <c r="D43" s="921" t="s">
        <v>390</v>
      </c>
      <c r="E43" s="127"/>
      <c r="F43" s="128"/>
      <c r="G43" s="236"/>
      <c r="H43" s="201"/>
      <c r="I43" s="237"/>
      <c r="J43" s="201"/>
      <c r="K43" s="190"/>
      <c r="L43" s="190"/>
      <c r="M43" s="190"/>
      <c r="N43" s="190"/>
      <c r="O43" s="190"/>
      <c r="P43" s="190"/>
      <c r="Q43" s="238"/>
      <c r="R43" s="190"/>
      <c r="S43" s="190"/>
      <c r="T43" s="772">
        <f aca="true" t="shared" si="18" ref="T43:AC43">SUM(T20:T42)</f>
        <v>23626.892798071804</v>
      </c>
      <c r="U43" s="773">
        <f t="shared" si="18"/>
        <v>0</v>
      </c>
      <c r="V43" s="774">
        <f t="shared" si="18"/>
        <v>12816.416</v>
      </c>
      <c r="W43" s="774">
        <f t="shared" si="18"/>
        <v>28665.558760000004</v>
      </c>
      <c r="X43" s="774">
        <f t="shared" si="18"/>
        <v>0</v>
      </c>
      <c r="Y43" s="775">
        <f t="shared" si="18"/>
        <v>0</v>
      </c>
      <c r="Z43" s="775">
        <f t="shared" si="18"/>
        <v>0</v>
      </c>
      <c r="AA43" s="775">
        <f t="shared" si="18"/>
        <v>0</v>
      </c>
      <c r="AB43" s="239">
        <f t="shared" si="18"/>
        <v>0</v>
      </c>
      <c r="AC43" s="240">
        <f t="shared" si="18"/>
        <v>0</v>
      </c>
      <c r="AD43" s="241"/>
      <c r="AE43" s="242">
        <f>ROUND(SUM(AE20:AE42),2)</f>
        <v>63236.33</v>
      </c>
      <c r="AF43" s="759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F43"/>
  <sheetViews>
    <sheetView zoomScale="70" zoomScaleNormal="70" workbookViewId="0" topLeftCell="E1">
      <selection activeCell="M13" sqref="M1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+'TOT-1110'!B2</f>
        <v>ANEXO  VI al Memorandum  D.T.E.E.  N°     381 /2012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3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67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812" customFormat="1" ht="33" customHeight="1">
      <c r="B10" s="813"/>
      <c r="C10" s="811"/>
      <c r="D10" s="811"/>
      <c r="E10" s="811"/>
      <c r="F10" s="810" t="s">
        <v>11</v>
      </c>
      <c r="G10" s="811"/>
      <c r="H10" s="811"/>
      <c r="I10" s="811"/>
      <c r="K10" s="811"/>
      <c r="L10" s="811"/>
      <c r="M10" s="811"/>
      <c r="N10" s="811"/>
      <c r="O10" s="811"/>
      <c r="P10" s="811"/>
      <c r="Q10" s="811"/>
      <c r="R10" s="810"/>
      <c r="S10" s="810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811"/>
      <c r="AE10" s="811"/>
      <c r="AF10" s="814"/>
    </row>
    <row r="11" spans="2:32" s="815" customFormat="1" ht="33" customHeight="1">
      <c r="B11" s="816"/>
      <c r="C11" s="817"/>
      <c r="D11" s="817"/>
      <c r="E11" s="817"/>
      <c r="F11" s="810" t="s">
        <v>68</v>
      </c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7"/>
      <c r="U11" s="817"/>
      <c r="V11" s="817"/>
      <c r="W11" s="817"/>
      <c r="X11" s="817"/>
      <c r="Y11" s="817"/>
      <c r="Z11" s="817"/>
      <c r="AA11" s="817"/>
      <c r="AB11" s="817"/>
      <c r="AC11" s="817"/>
      <c r="AD11" s="817"/>
      <c r="AE11" s="817"/>
      <c r="AF11" s="819"/>
    </row>
    <row r="12" spans="2:32" s="36" customFormat="1" ht="19.5">
      <c r="B12" s="37" t="str">
        <f>'TOT-1110'!B14</f>
        <v>Desde el 01 al 30 de noviembre de 2010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6"/>
      <c r="Q12" s="19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8"/>
    </row>
    <row r="13" spans="2:32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7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6.5" customHeight="1" thickBot="1" thickTop="1">
      <c r="B14" s="50"/>
      <c r="C14" s="4"/>
      <c r="D14" s="4"/>
      <c r="E14" s="4"/>
      <c r="F14" s="82" t="s">
        <v>86</v>
      </c>
      <c r="G14" s="799">
        <v>117.179</v>
      </c>
      <c r="H14" s="19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6.5" customHeight="1" thickBot="1" thickTop="1">
      <c r="B15" s="50"/>
      <c r="C15" s="4"/>
      <c r="D15" s="4"/>
      <c r="E15" s="4"/>
      <c r="F15" s="82" t="s">
        <v>87</v>
      </c>
      <c r="G15" s="799" t="s">
        <v>406</v>
      </c>
      <c r="H15" s="198"/>
      <c r="I15" s="4"/>
      <c r="J15" s="4"/>
      <c r="K15" s="4"/>
      <c r="L15" s="199"/>
      <c r="M15" s="200"/>
      <c r="N15" s="4"/>
      <c r="O15" s="4"/>
      <c r="P15" s="4"/>
      <c r="Q15" s="4"/>
      <c r="R15" s="4"/>
      <c r="S15" s="4"/>
      <c r="T15" s="4"/>
      <c r="U15" s="4"/>
      <c r="V15" s="4"/>
      <c r="W15" s="4"/>
      <c r="X15" s="115"/>
      <c r="Y15" s="115"/>
      <c r="Z15" s="115"/>
      <c r="AA15" s="115"/>
      <c r="AB15" s="115"/>
      <c r="AC15" s="115"/>
      <c r="AD15" s="115"/>
      <c r="AF15" s="17"/>
    </row>
    <row r="16" spans="2:32" s="5" customFormat="1" ht="16.5" customHeight="1" thickBot="1" thickTop="1">
      <c r="B16" s="50"/>
      <c r="C16" s="906">
        <v>3</v>
      </c>
      <c r="D16" s="906">
        <v>4</v>
      </c>
      <c r="E16" s="906">
        <v>5</v>
      </c>
      <c r="F16" s="906">
        <v>6</v>
      </c>
      <c r="G16" s="906">
        <v>7</v>
      </c>
      <c r="H16" s="906">
        <v>8</v>
      </c>
      <c r="I16" s="906">
        <v>9</v>
      </c>
      <c r="J16" s="906">
        <v>10</v>
      </c>
      <c r="K16" s="906">
        <v>11</v>
      </c>
      <c r="L16" s="906">
        <v>12</v>
      </c>
      <c r="M16" s="906">
        <v>13</v>
      </c>
      <c r="N16" s="906">
        <v>14</v>
      </c>
      <c r="O16" s="906">
        <v>15</v>
      </c>
      <c r="P16" s="906">
        <v>16</v>
      </c>
      <c r="Q16" s="906">
        <v>17</v>
      </c>
      <c r="R16" s="906">
        <v>18</v>
      </c>
      <c r="S16" s="906">
        <v>19</v>
      </c>
      <c r="T16" s="906">
        <v>20</v>
      </c>
      <c r="U16" s="906">
        <v>21</v>
      </c>
      <c r="V16" s="906">
        <v>22</v>
      </c>
      <c r="W16" s="906">
        <v>23</v>
      </c>
      <c r="X16" s="906">
        <v>24</v>
      </c>
      <c r="Y16" s="906">
        <v>25</v>
      </c>
      <c r="Z16" s="906">
        <v>26</v>
      </c>
      <c r="AA16" s="906">
        <v>27</v>
      </c>
      <c r="AB16" s="906">
        <v>28</v>
      </c>
      <c r="AC16" s="906">
        <v>29</v>
      </c>
      <c r="AD16" s="906">
        <v>30</v>
      </c>
      <c r="AE16" s="906">
        <v>31</v>
      </c>
      <c r="AF16" s="17"/>
    </row>
    <row r="17" spans="2:32" s="5" customFormat="1" ht="33.75" customHeight="1" thickBot="1" thickTop="1">
      <c r="B17" s="50"/>
      <c r="C17" s="84" t="s">
        <v>12</v>
      </c>
      <c r="D17" s="84" t="s">
        <v>223</v>
      </c>
      <c r="E17" s="84" t="s">
        <v>224</v>
      </c>
      <c r="F17" s="85" t="s">
        <v>0</v>
      </c>
      <c r="G17" s="732" t="s">
        <v>13</v>
      </c>
      <c r="H17" s="86" t="s">
        <v>14</v>
      </c>
      <c r="I17" s="203" t="s">
        <v>70</v>
      </c>
      <c r="J17" s="733" t="s">
        <v>35</v>
      </c>
      <c r="K17" s="734" t="s">
        <v>15</v>
      </c>
      <c r="L17" s="85" t="s">
        <v>16</v>
      </c>
      <c r="M17" s="176" t="s">
        <v>17</v>
      </c>
      <c r="N17" s="88" t="s">
        <v>34</v>
      </c>
      <c r="O17" s="86" t="s">
        <v>29</v>
      </c>
      <c r="P17" s="88" t="s">
        <v>18</v>
      </c>
      <c r="Q17" s="86" t="s">
        <v>56</v>
      </c>
      <c r="R17" s="176" t="s">
        <v>57</v>
      </c>
      <c r="S17" s="85" t="s">
        <v>30</v>
      </c>
      <c r="T17" s="136" t="s">
        <v>19</v>
      </c>
      <c r="U17" s="735" t="s">
        <v>20</v>
      </c>
      <c r="V17" s="205" t="s">
        <v>58</v>
      </c>
      <c r="W17" s="206"/>
      <c r="X17" s="207"/>
      <c r="Y17" s="736" t="s">
        <v>134</v>
      </c>
      <c r="Z17" s="737"/>
      <c r="AA17" s="738"/>
      <c r="AB17" s="208" t="s">
        <v>21</v>
      </c>
      <c r="AC17" s="209" t="s">
        <v>72</v>
      </c>
      <c r="AD17" s="132" t="s">
        <v>73</v>
      </c>
      <c r="AE17" s="132" t="s">
        <v>23</v>
      </c>
      <c r="AF17" s="210"/>
    </row>
    <row r="18" spans="2:32" s="5" customFormat="1" ht="16.5" customHeight="1" thickTop="1">
      <c r="B18" s="50"/>
      <c r="C18" s="178"/>
      <c r="D18" s="178"/>
      <c r="E18" s="178"/>
      <c r="F18" s="782"/>
      <c r="G18" s="782"/>
      <c r="H18" s="800"/>
      <c r="I18" s="781"/>
      <c r="J18" s="783"/>
      <c r="K18" s="784"/>
      <c r="L18" s="795"/>
      <c r="M18" s="795"/>
      <c r="N18" s="781"/>
      <c r="O18" s="781"/>
      <c r="P18" s="781"/>
      <c r="Q18" s="781"/>
      <c r="R18" s="781"/>
      <c r="S18" s="781"/>
      <c r="T18" s="785"/>
      <c r="U18" s="786"/>
      <c r="V18" s="787"/>
      <c r="W18" s="788"/>
      <c r="X18" s="789"/>
      <c r="Y18" s="790"/>
      <c r="Z18" s="791"/>
      <c r="AA18" s="792"/>
      <c r="AB18" s="793"/>
      <c r="AC18" s="794"/>
      <c r="AD18" s="781"/>
      <c r="AE18" s="739"/>
      <c r="AF18" s="17"/>
    </row>
    <row r="19" spans="2:32" s="5" customFormat="1" ht="16.5" customHeight="1">
      <c r="B19" s="50"/>
      <c r="C19" s="10"/>
      <c r="D19" s="10"/>
      <c r="E19" s="10"/>
      <c r="F19" s="760"/>
      <c r="G19" s="761"/>
      <c r="H19" s="803"/>
      <c r="I19" s="761"/>
      <c r="J19" s="750">
        <f aca="true" t="shared" si="0" ref="J19:J39">IF(I19="A",200,IF(I19="B",60,20))</f>
        <v>20</v>
      </c>
      <c r="K19" s="751" t="e">
        <f aca="true" t="shared" si="1" ref="K19:K39">IF(G19=500,IF(H19&lt;100,100*$G$14/100,H19*$G$14/100),IF(H19&lt;100,100*$G$15/100,H19*$G$15/100))</f>
        <v>#VALUE!</v>
      </c>
      <c r="L19" s="752"/>
      <c r="M19" s="753"/>
      <c r="N19" s="186">
        <f aca="true" t="shared" si="2" ref="N19:N39">IF(F19="","",(M19-L19)*24)</f>
      </c>
      <c r="O19" s="187">
        <f aca="true" t="shared" si="3" ref="O19:O39">IF(F19="","",ROUND((M19-L19)*24*60,0))</f>
      </c>
      <c r="P19" s="220"/>
      <c r="Q19" s="864">
        <f aca="true" t="shared" si="4" ref="Q19:Q39">IF(F19="","","--")</f>
      </c>
      <c r="R19" s="221">
        <f aca="true" t="shared" si="5" ref="R19:R39">IF(F19="","","NO")</f>
      </c>
      <c r="S19" s="221">
        <f aca="true" t="shared" si="6" ref="S19:S39">IF(F19="","",IF(OR(P19="P",P19="RP"),"--","NO"))</f>
      </c>
      <c r="T19" s="868" t="str">
        <f aca="true" t="shared" si="7" ref="T19:T39">IF(P19="P",K19*J19*ROUND(O19/60,2)*0.01,"--")</f>
        <v>--</v>
      </c>
      <c r="U19" s="869" t="str">
        <f aca="true" t="shared" si="8" ref="U19:U39">IF(P19="RP",K19*J19*ROUND(O19/60,2)*0.01*Q19/100,"--")</f>
        <v>--</v>
      </c>
      <c r="V19" s="212" t="str">
        <f aca="true" t="shared" si="9" ref="V19:V39">IF(AND(P19="F",S19="NO"),K19*J19*IF(R19="SI",1.2,1),"--")</f>
        <v>--</v>
      </c>
      <c r="W19" s="213" t="str">
        <f aca="true" t="shared" si="10" ref="W19:W39">IF(AND(P19="F",O19&gt;=10),K19*J19*IF(R19="SI",1.2,1)*IF(O19&lt;=300,ROUND(O19/60,2),5),"--")</f>
        <v>--</v>
      </c>
      <c r="X19" s="214" t="str">
        <f aca="true" t="shared" si="11" ref="X19:X39">IF(AND(P19="F",O19&gt;300),(ROUND(O19/60,2)-5)*K19*J19*0.1*IF(R19="SI",1.2,1),"--")</f>
        <v>--</v>
      </c>
      <c r="Y19" s="870" t="str">
        <f aca="true" t="shared" si="12" ref="Y19:Y39">IF(AND(P19="R",S19="NO"),K19*J19*Q19/100*IF(R19="SI",1.2,1),"--")</f>
        <v>--</v>
      </c>
      <c r="Z19" s="871" t="str">
        <f aca="true" t="shared" si="13" ref="Z19:Z39">IF(AND(P19="R",O19&gt;=10),K19*J19*Q19/100*IF(R19="SI",1.2,1)*IF(O19&lt;=300,ROUND(O19/60,2),5),"--")</f>
        <v>--</v>
      </c>
      <c r="AA19" s="872" t="str">
        <f aca="true" t="shared" si="14" ref="AA19:AA39">IF(AND(P19="R",O19&gt;300),(ROUND(O19/60,2)-5)*K19*J19*0.1*Q19/100*IF(R19="SI",1.2,1),"--")</f>
        <v>--</v>
      </c>
      <c r="AB19" s="873" t="str">
        <f aca="true" t="shared" si="15" ref="AB19:AB39">IF(P19="RF",ROUND(O19/60,2)*K19*J19*0.1*IF(R19="SI",1.2,1),"--")</f>
        <v>--</v>
      </c>
      <c r="AC19" s="874" t="str">
        <f aca="true" t="shared" si="16" ref="AC19:AC39">IF(P19="RR",ROUND(O19/60,2)*K19*J19*0.1*Q19/100*IF(R19="SI",1.2,1),"--")</f>
        <v>--</v>
      </c>
      <c r="AD19" s="867">
        <f aca="true" t="shared" si="17" ref="AD19:AD39">IF(F19="","","SI")</f>
      </c>
      <c r="AE19" s="16">
        <f aca="true" t="shared" si="18" ref="AE19:AE39">IF(F19="","",SUM(T19:AC19)*IF(AD19="SI",1,2))</f>
      </c>
      <c r="AF19" s="17"/>
    </row>
    <row r="20" spans="2:32" s="5" customFormat="1" ht="16.5" customHeight="1">
      <c r="B20" s="50"/>
      <c r="C20" s="10">
        <v>18</v>
      </c>
      <c r="D20" s="10">
        <v>228254</v>
      </c>
      <c r="E20" s="10">
        <v>1616</v>
      </c>
      <c r="F20" s="760" t="s">
        <v>301</v>
      </c>
      <c r="G20" s="761">
        <v>500</v>
      </c>
      <c r="H20" s="803">
        <v>3.5999999046325684</v>
      </c>
      <c r="I20" s="761" t="s">
        <v>287</v>
      </c>
      <c r="J20" s="750">
        <f t="shared" si="0"/>
        <v>20</v>
      </c>
      <c r="K20" s="751">
        <f t="shared" si="1"/>
        <v>117.179</v>
      </c>
      <c r="L20" s="752">
        <v>40499.3625</v>
      </c>
      <c r="M20" s="753">
        <v>40499.52361111111</v>
      </c>
      <c r="N20" s="186">
        <f t="shared" si="2"/>
        <v>3.8666666665230878</v>
      </c>
      <c r="O20" s="187">
        <f t="shared" si="3"/>
        <v>232</v>
      </c>
      <c r="P20" s="220" t="s">
        <v>283</v>
      </c>
      <c r="Q20" s="864" t="str">
        <f t="shared" si="4"/>
        <v>--</v>
      </c>
      <c r="R20" s="221" t="str">
        <f t="shared" si="5"/>
        <v>NO</v>
      </c>
      <c r="S20" s="221" t="str">
        <f t="shared" si="6"/>
        <v>--</v>
      </c>
      <c r="T20" s="868">
        <f t="shared" si="7"/>
        <v>90.696546</v>
      </c>
      <c r="U20" s="869" t="str">
        <f t="shared" si="8"/>
        <v>--</v>
      </c>
      <c r="V20" s="212" t="str">
        <f t="shared" si="9"/>
        <v>--</v>
      </c>
      <c r="W20" s="213" t="str">
        <f t="shared" si="10"/>
        <v>--</v>
      </c>
      <c r="X20" s="214" t="str">
        <f t="shared" si="11"/>
        <v>--</v>
      </c>
      <c r="Y20" s="870" t="str">
        <f t="shared" si="12"/>
        <v>--</v>
      </c>
      <c r="Z20" s="871" t="str">
        <f t="shared" si="13"/>
        <v>--</v>
      </c>
      <c r="AA20" s="872" t="str">
        <f t="shared" si="14"/>
        <v>--</v>
      </c>
      <c r="AB20" s="873" t="str">
        <f t="shared" si="15"/>
        <v>--</v>
      </c>
      <c r="AC20" s="874" t="str">
        <f t="shared" si="16"/>
        <v>--</v>
      </c>
      <c r="AD20" s="867" t="s">
        <v>202</v>
      </c>
      <c r="AE20" s="16">
        <f t="shared" si="18"/>
        <v>90.696546</v>
      </c>
      <c r="AF20" s="759"/>
    </row>
    <row r="21" spans="2:32" s="5" customFormat="1" ht="16.5" customHeight="1">
      <c r="B21" s="50"/>
      <c r="C21" s="274">
        <v>19</v>
      </c>
      <c r="D21" s="274">
        <v>228258</v>
      </c>
      <c r="E21" s="274">
        <v>1617</v>
      </c>
      <c r="F21" s="760" t="s">
        <v>302</v>
      </c>
      <c r="G21" s="761">
        <v>500</v>
      </c>
      <c r="H21" s="803">
        <v>40</v>
      </c>
      <c r="I21" s="761" t="s">
        <v>287</v>
      </c>
      <c r="J21" s="750">
        <f t="shared" si="0"/>
        <v>20</v>
      </c>
      <c r="K21" s="751">
        <f t="shared" si="1"/>
        <v>117.179</v>
      </c>
      <c r="L21" s="752">
        <v>40500.350694444445</v>
      </c>
      <c r="M21" s="753">
        <v>40500.52013888889</v>
      </c>
      <c r="N21" s="186">
        <f t="shared" si="2"/>
        <v>4.066666666651145</v>
      </c>
      <c r="O21" s="187">
        <f t="shared" si="3"/>
        <v>244</v>
      </c>
      <c r="P21" s="220" t="s">
        <v>283</v>
      </c>
      <c r="Q21" s="864" t="str">
        <f t="shared" si="4"/>
        <v>--</v>
      </c>
      <c r="R21" s="221" t="str">
        <f t="shared" si="5"/>
        <v>NO</v>
      </c>
      <c r="S21" s="221" t="str">
        <f t="shared" si="6"/>
        <v>--</v>
      </c>
      <c r="T21" s="868">
        <f t="shared" si="7"/>
        <v>95.383706</v>
      </c>
      <c r="U21" s="869" t="str">
        <f t="shared" si="8"/>
        <v>--</v>
      </c>
      <c r="V21" s="212" t="str">
        <f t="shared" si="9"/>
        <v>--</v>
      </c>
      <c r="W21" s="213" t="str">
        <f t="shared" si="10"/>
        <v>--</v>
      </c>
      <c r="X21" s="214" t="str">
        <f t="shared" si="11"/>
        <v>--</v>
      </c>
      <c r="Y21" s="870" t="str">
        <f t="shared" si="12"/>
        <v>--</v>
      </c>
      <c r="Z21" s="871" t="str">
        <f t="shared" si="13"/>
        <v>--</v>
      </c>
      <c r="AA21" s="872" t="str">
        <f t="shared" si="14"/>
        <v>--</v>
      </c>
      <c r="AB21" s="873" t="str">
        <f t="shared" si="15"/>
        <v>--</v>
      </c>
      <c r="AC21" s="874" t="str">
        <f t="shared" si="16"/>
        <v>--</v>
      </c>
      <c r="AD21" s="867" t="s">
        <v>202</v>
      </c>
      <c r="AE21" s="16">
        <f t="shared" si="18"/>
        <v>95.383706</v>
      </c>
      <c r="AF21" s="759"/>
    </row>
    <row r="22" spans="2:32" s="5" customFormat="1" ht="16.5" customHeight="1">
      <c r="B22" s="50"/>
      <c r="C22" s="152"/>
      <c r="D22" s="152"/>
      <c r="E22" s="152"/>
      <c r="F22" s="760"/>
      <c r="G22" s="761"/>
      <c r="H22" s="803"/>
      <c r="I22" s="761"/>
      <c r="J22" s="750">
        <f t="shared" si="0"/>
        <v>20</v>
      </c>
      <c r="K22" s="751" t="e">
        <f t="shared" si="1"/>
        <v>#VALUE!</v>
      </c>
      <c r="L22" s="762"/>
      <c r="M22" s="763"/>
      <c r="N22" s="186">
        <f t="shared" si="2"/>
      </c>
      <c r="O22" s="187">
        <f t="shared" si="3"/>
      </c>
      <c r="P22" s="220"/>
      <c r="Q22" s="864">
        <f t="shared" si="4"/>
      </c>
      <c r="R22" s="221">
        <f t="shared" si="5"/>
      </c>
      <c r="S22" s="221">
        <f t="shared" si="6"/>
      </c>
      <c r="T22" s="868" t="str">
        <f t="shared" si="7"/>
        <v>--</v>
      </c>
      <c r="U22" s="869" t="str">
        <f t="shared" si="8"/>
        <v>--</v>
      </c>
      <c r="V22" s="212" t="str">
        <f t="shared" si="9"/>
        <v>--</v>
      </c>
      <c r="W22" s="213" t="str">
        <f t="shared" si="10"/>
        <v>--</v>
      </c>
      <c r="X22" s="214" t="str">
        <f t="shared" si="11"/>
        <v>--</v>
      </c>
      <c r="Y22" s="870" t="str">
        <f t="shared" si="12"/>
        <v>--</v>
      </c>
      <c r="Z22" s="871" t="str">
        <f t="shared" si="13"/>
        <v>--</v>
      </c>
      <c r="AA22" s="872" t="str">
        <f t="shared" si="14"/>
        <v>--</v>
      </c>
      <c r="AB22" s="873" t="str">
        <f t="shared" si="15"/>
        <v>--</v>
      </c>
      <c r="AC22" s="874" t="str">
        <f t="shared" si="16"/>
        <v>--</v>
      </c>
      <c r="AD22" s="865">
        <f t="shared" si="17"/>
      </c>
      <c r="AE22" s="16">
        <f t="shared" si="18"/>
      </c>
      <c r="AF22" s="759"/>
    </row>
    <row r="23" spans="2:32" s="5" customFormat="1" ht="16.5" customHeight="1">
      <c r="B23" s="50"/>
      <c r="C23" s="274"/>
      <c r="D23" s="274"/>
      <c r="E23" s="274"/>
      <c r="F23" s="760"/>
      <c r="G23" s="761"/>
      <c r="H23" s="803"/>
      <c r="I23" s="761"/>
      <c r="J23" s="750">
        <f t="shared" si="0"/>
        <v>20</v>
      </c>
      <c r="K23" s="751" t="e">
        <f t="shared" si="1"/>
        <v>#VALUE!</v>
      </c>
      <c r="L23" s="762"/>
      <c r="M23" s="763"/>
      <c r="N23" s="186">
        <f t="shared" si="2"/>
      </c>
      <c r="O23" s="187">
        <f t="shared" si="3"/>
      </c>
      <c r="P23" s="220"/>
      <c r="Q23" s="864">
        <f t="shared" si="4"/>
      </c>
      <c r="R23" s="221">
        <f t="shared" si="5"/>
      </c>
      <c r="S23" s="221">
        <f t="shared" si="6"/>
      </c>
      <c r="T23" s="868" t="str">
        <f t="shared" si="7"/>
        <v>--</v>
      </c>
      <c r="U23" s="869" t="str">
        <f t="shared" si="8"/>
        <v>--</v>
      </c>
      <c r="V23" s="212" t="str">
        <f t="shared" si="9"/>
        <v>--</v>
      </c>
      <c r="W23" s="213" t="str">
        <f t="shared" si="10"/>
        <v>--</v>
      </c>
      <c r="X23" s="214" t="str">
        <f t="shared" si="11"/>
        <v>--</v>
      </c>
      <c r="Y23" s="870" t="str">
        <f t="shared" si="12"/>
        <v>--</v>
      </c>
      <c r="Z23" s="871" t="str">
        <f t="shared" si="13"/>
        <v>--</v>
      </c>
      <c r="AA23" s="872" t="str">
        <f t="shared" si="14"/>
        <v>--</v>
      </c>
      <c r="AB23" s="873" t="str">
        <f t="shared" si="15"/>
        <v>--</v>
      </c>
      <c r="AC23" s="874" t="str">
        <f t="shared" si="16"/>
        <v>--</v>
      </c>
      <c r="AD23" s="865">
        <f t="shared" si="17"/>
      </c>
      <c r="AE23" s="16">
        <f t="shared" si="18"/>
      </c>
      <c r="AF23" s="759"/>
    </row>
    <row r="24" spans="2:32" s="5" customFormat="1" ht="16.5" customHeight="1">
      <c r="B24" s="50"/>
      <c r="C24" s="152"/>
      <c r="D24" s="152"/>
      <c r="E24" s="152"/>
      <c r="F24" s="152"/>
      <c r="G24" s="183"/>
      <c r="H24" s="802"/>
      <c r="I24" s="183"/>
      <c r="J24" s="750">
        <f t="shared" si="0"/>
        <v>20</v>
      </c>
      <c r="K24" s="751" t="e">
        <f t="shared" si="1"/>
        <v>#VALUE!</v>
      </c>
      <c r="L24" s="752"/>
      <c r="M24" s="753"/>
      <c r="N24" s="186">
        <f t="shared" si="2"/>
      </c>
      <c r="O24" s="187">
        <f t="shared" si="3"/>
      </c>
      <c r="P24" s="220"/>
      <c r="Q24" s="864">
        <f t="shared" si="4"/>
      </c>
      <c r="R24" s="221">
        <f t="shared" si="5"/>
      </c>
      <c r="S24" s="221">
        <f t="shared" si="6"/>
      </c>
      <c r="T24" s="868" t="str">
        <f t="shared" si="7"/>
        <v>--</v>
      </c>
      <c r="U24" s="869" t="str">
        <f t="shared" si="8"/>
        <v>--</v>
      </c>
      <c r="V24" s="212" t="str">
        <f t="shared" si="9"/>
        <v>--</v>
      </c>
      <c r="W24" s="213" t="str">
        <f t="shared" si="10"/>
        <v>--</v>
      </c>
      <c r="X24" s="214" t="str">
        <f t="shared" si="11"/>
        <v>--</v>
      </c>
      <c r="Y24" s="870" t="str">
        <f t="shared" si="12"/>
        <v>--</v>
      </c>
      <c r="Z24" s="871" t="str">
        <f t="shared" si="13"/>
        <v>--</v>
      </c>
      <c r="AA24" s="872" t="str">
        <f t="shared" si="14"/>
        <v>--</v>
      </c>
      <c r="AB24" s="873" t="str">
        <f t="shared" si="15"/>
        <v>--</v>
      </c>
      <c r="AC24" s="874" t="str">
        <f t="shared" si="16"/>
        <v>--</v>
      </c>
      <c r="AD24" s="865">
        <f t="shared" si="17"/>
      </c>
      <c r="AE24" s="16">
        <f t="shared" si="18"/>
      </c>
      <c r="AF24" s="759"/>
    </row>
    <row r="25" spans="2:32" s="5" customFormat="1" ht="16.5" customHeight="1">
      <c r="B25" s="50"/>
      <c r="C25" s="274"/>
      <c r="D25" s="274"/>
      <c r="E25" s="274"/>
      <c r="F25" s="152"/>
      <c r="G25" s="183"/>
      <c r="H25" s="802"/>
      <c r="I25" s="183"/>
      <c r="J25" s="750">
        <f t="shared" si="0"/>
        <v>20</v>
      </c>
      <c r="K25" s="751" t="e">
        <f t="shared" si="1"/>
        <v>#VALUE!</v>
      </c>
      <c r="L25" s="752"/>
      <c r="M25" s="753"/>
      <c r="N25" s="186">
        <f t="shared" si="2"/>
      </c>
      <c r="O25" s="187">
        <f t="shared" si="3"/>
      </c>
      <c r="P25" s="220"/>
      <c r="Q25" s="864">
        <f t="shared" si="4"/>
      </c>
      <c r="R25" s="221">
        <f t="shared" si="5"/>
      </c>
      <c r="S25" s="221">
        <f t="shared" si="6"/>
      </c>
      <c r="T25" s="868" t="str">
        <f t="shared" si="7"/>
        <v>--</v>
      </c>
      <c r="U25" s="869" t="str">
        <f t="shared" si="8"/>
        <v>--</v>
      </c>
      <c r="V25" s="212" t="str">
        <f t="shared" si="9"/>
        <v>--</v>
      </c>
      <c r="W25" s="213" t="str">
        <f t="shared" si="10"/>
        <v>--</v>
      </c>
      <c r="X25" s="214" t="str">
        <f t="shared" si="11"/>
        <v>--</v>
      </c>
      <c r="Y25" s="870" t="str">
        <f t="shared" si="12"/>
        <v>--</v>
      </c>
      <c r="Z25" s="871" t="str">
        <f t="shared" si="13"/>
        <v>--</v>
      </c>
      <c r="AA25" s="872" t="str">
        <f t="shared" si="14"/>
        <v>--</v>
      </c>
      <c r="AB25" s="873" t="str">
        <f t="shared" si="15"/>
        <v>--</v>
      </c>
      <c r="AC25" s="874" t="str">
        <f t="shared" si="16"/>
        <v>--</v>
      </c>
      <c r="AD25" s="865">
        <f t="shared" si="17"/>
      </c>
      <c r="AE25" s="16">
        <f t="shared" si="18"/>
      </c>
      <c r="AF25" s="759"/>
    </row>
    <row r="26" spans="2:32" s="5" customFormat="1" ht="16.5" customHeight="1">
      <c r="B26" s="50"/>
      <c r="C26" s="152"/>
      <c r="D26" s="152"/>
      <c r="E26" s="152"/>
      <c r="F26" s="146"/>
      <c r="G26" s="147"/>
      <c r="H26" s="804"/>
      <c r="I26" s="147"/>
      <c r="J26" s="750">
        <f t="shared" si="0"/>
        <v>20</v>
      </c>
      <c r="K26" s="751" t="e">
        <f t="shared" si="1"/>
        <v>#VALUE!</v>
      </c>
      <c r="L26" s="184"/>
      <c r="M26" s="219"/>
      <c r="N26" s="186">
        <f t="shared" si="2"/>
      </c>
      <c r="O26" s="187">
        <f t="shared" si="3"/>
      </c>
      <c r="P26" s="220"/>
      <c r="Q26" s="864">
        <f t="shared" si="4"/>
      </c>
      <c r="R26" s="221">
        <f t="shared" si="5"/>
      </c>
      <c r="S26" s="221">
        <f t="shared" si="6"/>
      </c>
      <c r="T26" s="868" t="str">
        <f t="shared" si="7"/>
        <v>--</v>
      </c>
      <c r="U26" s="869" t="str">
        <f t="shared" si="8"/>
        <v>--</v>
      </c>
      <c r="V26" s="212" t="str">
        <f t="shared" si="9"/>
        <v>--</v>
      </c>
      <c r="W26" s="213" t="str">
        <f t="shared" si="10"/>
        <v>--</v>
      </c>
      <c r="X26" s="214" t="str">
        <f t="shared" si="11"/>
        <v>--</v>
      </c>
      <c r="Y26" s="870" t="str">
        <f t="shared" si="12"/>
        <v>--</v>
      </c>
      <c r="Z26" s="871" t="str">
        <f t="shared" si="13"/>
        <v>--</v>
      </c>
      <c r="AA26" s="872" t="str">
        <f t="shared" si="14"/>
        <v>--</v>
      </c>
      <c r="AB26" s="873" t="str">
        <f t="shared" si="15"/>
        <v>--</v>
      </c>
      <c r="AC26" s="874" t="str">
        <f t="shared" si="16"/>
        <v>--</v>
      </c>
      <c r="AD26" s="865">
        <f t="shared" si="17"/>
      </c>
      <c r="AE26" s="16">
        <f t="shared" si="18"/>
      </c>
      <c r="AF26" s="759"/>
    </row>
    <row r="27" spans="2:32" s="5" customFormat="1" ht="16.5" customHeight="1">
      <c r="B27" s="50"/>
      <c r="C27" s="274"/>
      <c r="D27" s="274"/>
      <c r="E27" s="274"/>
      <c r="F27" s="146"/>
      <c r="G27" s="147"/>
      <c r="H27" s="804"/>
      <c r="I27" s="147"/>
      <c r="J27" s="750">
        <f t="shared" si="0"/>
        <v>20</v>
      </c>
      <c r="K27" s="751" t="e">
        <f t="shared" si="1"/>
        <v>#VALUE!</v>
      </c>
      <c r="L27" s="184"/>
      <c r="M27" s="219"/>
      <c r="N27" s="186">
        <f t="shared" si="2"/>
      </c>
      <c r="O27" s="187">
        <f t="shared" si="3"/>
      </c>
      <c r="P27" s="220"/>
      <c r="Q27" s="864">
        <f t="shared" si="4"/>
      </c>
      <c r="R27" s="221">
        <f t="shared" si="5"/>
      </c>
      <c r="S27" s="221">
        <f t="shared" si="6"/>
      </c>
      <c r="T27" s="868" t="str">
        <f t="shared" si="7"/>
        <v>--</v>
      </c>
      <c r="U27" s="869" t="str">
        <f t="shared" si="8"/>
        <v>--</v>
      </c>
      <c r="V27" s="212" t="str">
        <f t="shared" si="9"/>
        <v>--</v>
      </c>
      <c r="W27" s="213" t="str">
        <f t="shared" si="10"/>
        <v>--</v>
      </c>
      <c r="X27" s="214" t="str">
        <f t="shared" si="11"/>
        <v>--</v>
      </c>
      <c r="Y27" s="870" t="str">
        <f t="shared" si="12"/>
        <v>--</v>
      </c>
      <c r="Z27" s="871" t="str">
        <f t="shared" si="13"/>
        <v>--</v>
      </c>
      <c r="AA27" s="872" t="str">
        <f t="shared" si="14"/>
        <v>--</v>
      </c>
      <c r="AB27" s="873" t="str">
        <f t="shared" si="15"/>
        <v>--</v>
      </c>
      <c r="AC27" s="874" t="str">
        <f t="shared" si="16"/>
        <v>--</v>
      </c>
      <c r="AD27" s="865">
        <f t="shared" si="17"/>
      </c>
      <c r="AE27" s="16">
        <f t="shared" si="18"/>
      </c>
      <c r="AF27" s="759"/>
    </row>
    <row r="28" spans="2:32" s="5" customFormat="1" ht="16.5" customHeight="1">
      <c r="B28" s="50"/>
      <c r="C28" s="152"/>
      <c r="D28" s="152"/>
      <c r="E28" s="152"/>
      <c r="F28" s="146"/>
      <c r="G28" s="147"/>
      <c r="H28" s="804"/>
      <c r="I28" s="147"/>
      <c r="J28" s="750">
        <f t="shared" si="0"/>
        <v>20</v>
      </c>
      <c r="K28" s="751" t="e">
        <f t="shared" si="1"/>
        <v>#VALUE!</v>
      </c>
      <c r="L28" s="184"/>
      <c r="M28" s="219"/>
      <c r="N28" s="186">
        <f t="shared" si="2"/>
      </c>
      <c r="O28" s="187">
        <f t="shared" si="3"/>
      </c>
      <c r="P28" s="220"/>
      <c r="Q28" s="864">
        <f t="shared" si="4"/>
      </c>
      <c r="R28" s="221">
        <f t="shared" si="5"/>
      </c>
      <c r="S28" s="221">
        <f t="shared" si="6"/>
      </c>
      <c r="T28" s="868" t="str">
        <f t="shared" si="7"/>
        <v>--</v>
      </c>
      <c r="U28" s="869" t="str">
        <f t="shared" si="8"/>
        <v>--</v>
      </c>
      <c r="V28" s="212" t="str">
        <f t="shared" si="9"/>
        <v>--</v>
      </c>
      <c r="W28" s="213" t="str">
        <f t="shared" si="10"/>
        <v>--</v>
      </c>
      <c r="X28" s="214" t="str">
        <f t="shared" si="11"/>
        <v>--</v>
      </c>
      <c r="Y28" s="870" t="str">
        <f t="shared" si="12"/>
        <v>--</v>
      </c>
      <c r="Z28" s="871" t="str">
        <f t="shared" si="13"/>
        <v>--</v>
      </c>
      <c r="AA28" s="872" t="str">
        <f t="shared" si="14"/>
        <v>--</v>
      </c>
      <c r="AB28" s="873" t="str">
        <f t="shared" si="15"/>
        <v>--</v>
      </c>
      <c r="AC28" s="874" t="str">
        <f t="shared" si="16"/>
        <v>--</v>
      </c>
      <c r="AD28" s="865">
        <f t="shared" si="17"/>
      </c>
      <c r="AE28" s="16">
        <f t="shared" si="18"/>
      </c>
      <c r="AF28" s="759"/>
    </row>
    <row r="29" spans="2:32" s="5" customFormat="1" ht="16.5" customHeight="1">
      <c r="B29" s="50"/>
      <c r="C29" s="274"/>
      <c r="D29" s="274"/>
      <c r="E29" s="274"/>
      <c r="F29" s="146"/>
      <c r="G29" s="147"/>
      <c r="H29" s="804"/>
      <c r="I29" s="147"/>
      <c r="J29" s="750">
        <f t="shared" si="0"/>
        <v>20</v>
      </c>
      <c r="K29" s="751" t="e">
        <f t="shared" si="1"/>
        <v>#VALUE!</v>
      </c>
      <c r="L29" s="184"/>
      <c r="M29" s="219"/>
      <c r="N29" s="186">
        <f t="shared" si="2"/>
      </c>
      <c r="O29" s="187">
        <f t="shared" si="3"/>
      </c>
      <c r="P29" s="220"/>
      <c r="Q29" s="864">
        <f t="shared" si="4"/>
      </c>
      <c r="R29" s="221">
        <f t="shared" si="5"/>
      </c>
      <c r="S29" s="221">
        <f t="shared" si="6"/>
      </c>
      <c r="T29" s="868" t="str">
        <f t="shared" si="7"/>
        <v>--</v>
      </c>
      <c r="U29" s="869" t="str">
        <f t="shared" si="8"/>
        <v>--</v>
      </c>
      <c r="V29" s="212" t="str">
        <f t="shared" si="9"/>
        <v>--</v>
      </c>
      <c r="W29" s="213" t="str">
        <f t="shared" si="10"/>
        <v>--</v>
      </c>
      <c r="X29" s="214" t="str">
        <f t="shared" si="11"/>
        <v>--</v>
      </c>
      <c r="Y29" s="870" t="str">
        <f t="shared" si="12"/>
        <v>--</v>
      </c>
      <c r="Z29" s="871" t="str">
        <f t="shared" si="13"/>
        <v>--</v>
      </c>
      <c r="AA29" s="872" t="str">
        <f t="shared" si="14"/>
        <v>--</v>
      </c>
      <c r="AB29" s="873" t="str">
        <f t="shared" si="15"/>
        <v>--</v>
      </c>
      <c r="AC29" s="874" t="str">
        <f t="shared" si="16"/>
        <v>--</v>
      </c>
      <c r="AD29" s="865">
        <f t="shared" si="17"/>
      </c>
      <c r="AE29" s="16">
        <f t="shared" si="18"/>
      </c>
      <c r="AF29" s="759"/>
    </row>
    <row r="30" spans="2:32" s="5" customFormat="1" ht="16.5" customHeight="1">
      <c r="B30" s="50"/>
      <c r="C30" s="152"/>
      <c r="D30" s="152"/>
      <c r="E30" s="152"/>
      <c r="F30" s="146"/>
      <c r="G30" s="147"/>
      <c r="H30" s="804"/>
      <c r="I30" s="147"/>
      <c r="J30" s="750">
        <f t="shared" si="0"/>
        <v>20</v>
      </c>
      <c r="K30" s="751" t="e">
        <f t="shared" si="1"/>
        <v>#VALUE!</v>
      </c>
      <c r="L30" s="184"/>
      <c r="M30" s="219"/>
      <c r="N30" s="186">
        <f t="shared" si="2"/>
      </c>
      <c r="O30" s="187">
        <f t="shared" si="3"/>
      </c>
      <c r="P30" s="220"/>
      <c r="Q30" s="864">
        <f t="shared" si="4"/>
      </c>
      <c r="R30" s="221">
        <f t="shared" si="5"/>
      </c>
      <c r="S30" s="221">
        <f t="shared" si="6"/>
      </c>
      <c r="T30" s="868" t="str">
        <f t="shared" si="7"/>
        <v>--</v>
      </c>
      <c r="U30" s="869" t="str">
        <f t="shared" si="8"/>
        <v>--</v>
      </c>
      <c r="V30" s="212" t="str">
        <f t="shared" si="9"/>
        <v>--</v>
      </c>
      <c r="W30" s="213" t="str">
        <f t="shared" si="10"/>
        <v>--</v>
      </c>
      <c r="X30" s="214" t="str">
        <f t="shared" si="11"/>
        <v>--</v>
      </c>
      <c r="Y30" s="870" t="str">
        <f t="shared" si="12"/>
        <v>--</v>
      </c>
      <c r="Z30" s="871" t="str">
        <f t="shared" si="13"/>
        <v>--</v>
      </c>
      <c r="AA30" s="872" t="str">
        <f t="shared" si="14"/>
        <v>--</v>
      </c>
      <c r="AB30" s="873" t="str">
        <f t="shared" si="15"/>
        <v>--</v>
      </c>
      <c r="AC30" s="874" t="str">
        <f t="shared" si="16"/>
        <v>--</v>
      </c>
      <c r="AD30" s="865">
        <f t="shared" si="17"/>
      </c>
      <c r="AE30" s="16">
        <f t="shared" si="18"/>
      </c>
      <c r="AF30" s="759"/>
    </row>
    <row r="31" spans="2:32" s="5" customFormat="1" ht="16.5" customHeight="1">
      <c r="B31" s="50"/>
      <c r="C31" s="274"/>
      <c r="D31" s="274"/>
      <c r="E31" s="274"/>
      <c r="F31" s="146"/>
      <c r="G31" s="147"/>
      <c r="H31" s="804"/>
      <c r="I31" s="147"/>
      <c r="J31" s="750">
        <f t="shared" si="0"/>
        <v>20</v>
      </c>
      <c r="K31" s="751" t="e">
        <f t="shared" si="1"/>
        <v>#VALUE!</v>
      </c>
      <c r="L31" s="184"/>
      <c r="M31" s="185"/>
      <c r="N31" s="186">
        <f t="shared" si="2"/>
      </c>
      <c r="O31" s="187">
        <f t="shared" si="3"/>
      </c>
      <c r="P31" s="220"/>
      <c r="Q31" s="864">
        <f t="shared" si="4"/>
      </c>
      <c r="R31" s="221">
        <f t="shared" si="5"/>
      </c>
      <c r="S31" s="221">
        <f t="shared" si="6"/>
      </c>
      <c r="T31" s="868" t="str">
        <f t="shared" si="7"/>
        <v>--</v>
      </c>
      <c r="U31" s="869" t="str">
        <f t="shared" si="8"/>
        <v>--</v>
      </c>
      <c r="V31" s="212" t="str">
        <f t="shared" si="9"/>
        <v>--</v>
      </c>
      <c r="W31" s="213" t="str">
        <f t="shared" si="10"/>
        <v>--</v>
      </c>
      <c r="X31" s="214" t="str">
        <f t="shared" si="11"/>
        <v>--</v>
      </c>
      <c r="Y31" s="870" t="str">
        <f t="shared" si="12"/>
        <v>--</v>
      </c>
      <c r="Z31" s="871" t="str">
        <f t="shared" si="13"/>
        <v>--</v>
      </c>
      <c r="AA31" s="872" t="str">
        <f t="shared" si="14"/>
        <v>--</v>
      </c>
      <c r="AB31" s="873" t="str">
        <f t="shared" si="15"/>
        <v>--</v>
      </c>
      <c r="AC31" s="874" t="str">
        <f t="shared" si="16"/>
        <v>--</v>
      </c>
      <c r="AD31" s="865">
        <f t="shared" si="17"/>
      </c>
      <c r="AE31" s="16">
        <f t="shared" si="18"/>
      </c>
      <c r="AF31" s="759"/>
    </row>
    <row r="32" spans="2:32" s="5" customFormat="1" ht="16.5" customHeight="1">
      <c r="B32" s="50"/>
      <c r="C32" s="152"/>
      <c r="D32" s="152"/>
      <c r="E32" s="152"/>
      <c r="F32" s="146"/>
      <c r="G32" s="147"/>
      <c r="H32" s="804"/>
      <c r="I32" s="147"/>
      <c r="J32" s="750">
        <f t="shared" si="0"/>
        <v>20</v>
      </c>
      <c r="K32" s="751" t="e">
        <f t="shared" si="1"/>
        <v>#VALUE!</v>
      </c>
      <c r="L32" s="184"/>
      <c r="M32" s="185"/>
      <c r="N32" s="186">
        <f t="shared" si="2"/>
      </c>
      <c r="O32" s="187">
        <f t="shared" si="3"/>
      </c>
      <c r="P32" s="220"/>
      <c r="Q32" s="864">
        <f t="shared" si="4"/>
      </c>
      <c r="R32" s="221">
        <f t="shared" si="5"/>
      </c>
      <c r="S32" s="221">
        <f t="shared" si="6"/>
      </c>
      <c r="T32" s="868" t="str">
        <f t="shared" si="7"/>
        <v>--</v>
      </c>
      <c r="U32" s="869" t="str">
        <f t="shared" si="8"/>
        <v>--</v>
      </c>
      <c r="V32" s="212" t="str">
        <f t="shared" si="9"/>
        <v>--</v>
      </c>
      <c r="W32" s="213" t="str">
        <f t="shared" si="10"/>
        <v>--</v>
      </c>
      <c r="X32" s="214" t="str">
        <f t="shared" si="11"/>
        <v>--</v>
      </c>
      <c r="Y32" s="870" t="str">
        <f t="shared" si="12"/>
        <v>--</v>
      </c>
      <c r="Z32" s="871" t="str">
        <f t="shared" si="13"/>
        <v>--</v>
      </c>
      <c r="AA32" s="872" t="str">
        <f t="shared" si="14"/>
        <v>--</v>
      </c>
      <c r="AB32" s="873" t="str">
        <f t="shared" si="15"/>
        <v>--</v>
      </c>
      <c r="AC32" s="874" t="str">
        <f t="shared" si="16"/>
        <v>--</v>
      </c>
      <c r="AD32" s="865">
        <f t="shared" si="17"/>
      </c>
      <c r="AE32" s="16">
        <f t="shared" si="18"/>
      </c>
      <c r="AF32" s="759"/>
    </row>
    <row r="33" spans="2:32" s="5" customFormat="1" ht="16.5" customHeight="1">
      <c r="B33" s="50"/>
      <c r="C33" s="274"/>
      <c r="D33" s="274"/>
      <c r="E33" s="274"/>
      <c r="F33" s="146"/>
      <c r="G33" s="147"/>
      <c r="H33" s="804"/>
      <c r="I33" s="147"/>
      <c r="J33" s="750">
        <f t="shared" si="0"/>
        <v>20</v>
      </c>
      <c r="K33" s="751" t="e">
        <f t="shared" si="1"/>
        <v>#VALUE!</v>
      </c>
      <c r="L33" s="184"/>
      <c r="M33" s="185"/>
      <c r="N33" s="186">
        <f t="shared" si="2"/>
      </c>
      <c r="O33" s="187">
        <f t="shared" si="3"/>
      </c>
      <c r="P33" s="220"/>
      <c r="Q33" s="864">
        <f t="shared" si="4"/>
      </c>
      <c r="R33" s="221">
        <f t="shared" si="5"/>
      </c>
      <c r="S33" s="221">
        <f t="shared" si="6"/>
      </c>
      <c r="T33" s="868" t="str">
        <f t="shared" si="7"/>
        <v>--</v>
      </c>
      <c r="U33" s="869" t="str">
        <f t="shared" si="8"/>
        <v>--</v>
      </c>
      <c r="V33" s="212" t="str">
        <f t="shared" si="9"/>
        <v>--</v>
      </c>
      <c r="W33" s="213" t="str">
        <f t="shared" si="10"/>
        <v>--</v>
      </c>
      <c r="X33" s="214" t="str">
        <f t="shared" si="11"/>
        <v>--</v>
      </c>
      <c r="Y33" s="870" t="str">
        <f t="shared" si="12"/>
        <v>--</v>
      </c>
      <c r="Z33" s="871" t="str">
        <f t="shared" si="13"/>
        <v>--</v>
      </c>
      <c r="AA33" s="872" t="str">
        <f t="shared" si="14"/>
        <v>--</v>
      </c>
      <c r="AB33" s="873" t="str">
        <f t="shared" si="15"/>
        <v>--</v>
      </c>
      <c r="AC33" s="874" t="str">
        <f t="shared" si="16"/>
        <v>--</v>
      </c>
      <c r="AD33" s="865">
        <f t="shared" si="17"/>
      </c>
      <c r="AE33" s="16">
        <f t="shared" si="18"/>
      </c>
      <c r="AF33" s="759"/>
    </row>
    <row r="34" spans="2:32" s="5" customFormat="1" ht="16.5" customHeight="1">
      <c r="B34" s="50"/>
      <c r="C34" s="152"/>
      <c r="D34" s="152"/>
      <c r="E34" s="152"/>
      <c r="F34" s="146"/>
      <c r="G34" s="147"/>
      <c r="H34" s="804"/>
      <c r="I34" s="147"/>
      <c r="J34" s="750">
        <f t="shared" si="0"/>
        <v>20</v>
      </c>
      <c r="K34" s="751" t="e">
        <f t="shared" si="1"/>
        <v>#VALUE!</v>
      </c>
      <c r="L34" s="184"/>
      <c r="M34" s="185"/>
      <c r="N34" s="186">
        <f t="shared" si="2"/>
      </c>
      <c r="O34" s="187">
        <f t="shared" si="3"/>
      </c>
      <c r="P34" s="220"/>
      <c r="Q34" s="864">
        <f t="shared" si="4"/>
      </c>
      <c r="R34" s="221">
        <f t="shared" si="5"/>
      </c>
      <c r="S34" s="221">
        <f t="shared" si="6"/>
      </c>
      <c r="T34" s="868" t="str">
        <f t="shared" si="7"/>
        <v>--</v>
      </c>
      <c r="U34" s="869" t="str">
        <f t="shared" si="8"/>
        <v>--</v>
      </c>
      <c r="V34" s="212" t="str">
        <f t="shared" si="9"/>
        <v>--</v>
      </c>
      <c r="W34" s="213" t="str">
        <f t="shared" si="10"/>
        <v>--</v>
      </c>
      <c r="X34" s="214" t="str">
        <f t="shared" si="11"/>
        <v>--</v>
      </c>
      <c r="Y34" s="870" t="str">
        <f t="shared" si="12"/>
        <v>--</v>
      </c>
      <c r="Z34" s="871" t="str">
        <f t="shared" si="13"/>
        <v>--</v>
      </c>
      <c r="AA34" s="872" t="str">
        <f t="shared" si="14"/>
        <v>--</v>
      </c>
      <c r="AB34" s="873" t="str">
        <f t="shared" si="15"/>
        <v>--</v>
      </c>
      <c r="AC34" s="874" t="str">
        <f t="shared" si="16"/>
        <v>--</v>
      </c>
      <c r="AD34" s="865">
        <f t="shared" si="17"/>
      </c>
      <c r="AE34" s="16">
        <f t="shared" si="18"/>
      </c>
      <c r="AF34" s="759"/>
    </row>
    <row r="35" spans="2:32" s="5" customFormat="1" ht="16.5" customHeight="1">
      <c r="B35" s="50"/>
      <c r="C35" s="274"/>
      <c r="D35" s="274"/>
      <c r="E35" s="274"/>
      <c r="F35" s="146"/>
      <c r="G35" s="147"/>
      <c r="H35" s="804"/>
      <c r="I35" s="147"/>
      <c r="J35" s="750">
        <f t="shared" si="0"/>
        <v>20</v>
      </c>
      <c r="K35" s="751" t="e">
        <f t="shared" si="1"/>
        <v>#VALUE!</v>
      </c>
      <c r="L35" s="184"/>
      <c r="M35" s="185"/>
      <c r="N35" s="186">
        <f t="shared" si="2"/>
      </c>
      <c r="O35" s="187">
        <f t="shared" si="3"/>
      </c>
      <c r="P35" s="220"/>
      <c r="Q35" s="864">
        <f t="shared" si="4"/>
      </c>
      <c r="R35" s="221">
        <f t="shared" si="5"/>
      </c>
      <c r="S35" s="221">
        <f t="shared" si="6"/>
      </c>
      <c r="T35" s="868" t="str">
        <f t="shared" si="7"/>
        <v>--</v>
      </c>
      <c r="U35" s="869" t="str">
        <f t="shared" si="8"/>
        <v>--</v>
      </c>
      <c r="V35" s="212" t="str">
        <f t="shared" si="9"/>
        <v>--</v>
      </c>
      <c r="W35" s="213" t="str">
        <f t="shared" si="10"/>
        <v>--</v>
      </c>
      <c r="X35" s="214" t="str">
        <f t="shared" si="11"/>
        <v>--</v>
      </c>
      <c r="Y35" s="870" t="str">
        <f t="shared" si="12"/>
        <v>--</v>
      </c>
      <c r="Z35" s="871" t="str">
        <f t="shared" si="13"/>
        <v>--</v>
      </c>
      <c r="AA35" s="872" t="str">
        <f t="shared" si="14"/>
        <v>--</v>
      </c>
      <c r="AB35" s="873" t="str">
        <f t="shared" si="15"/>
        <v>--</v>
      </c>
      <c r="AC35" s="874" t="str">
        <f t="shared" si="16"/>
        <v>--</v>
      </c>
      <c r="AD35" s="865">
        <f t="shared" si="17"/>
      </c>
      <c r="AE35" s="16">
        <f t="shared" si="18"/>
      </c>
      <c r="AF35" s="759"/>
    </row>
    <row r="36" spans="2:32" s="5" customFormat="1" ht="16.5" customHeight="1">
      <c r="B36" s="50"/>
      <c r="C36" s="152"/>
      <c r="D36" s="152"/>
      <c r="E36" s="152"/>
      <c r="F36" s="146"/>
      <c r="G36" s="147"/>
      <c r="H36" s="804"/>
      <c r="I36" s="147"/>
      <c r="J36" s="750">
        <f t="shared" si="0"/>
        <v>20</v>
      </c>
      <c r="K36" s="751" t="e">
        <f t="shared" si="1"/>
        <v>#VALUE!</v>
      </c>
      <c r="L36" s="184"/>
      <c r="M36" s="185"/>
      <c r="N36" s="186">
        <f t="shared" si="2"/>
      </c>
      <c r="O36" s="187">
        <f t="shared" si="3"/>
      </c>
      <c r="P36" s="220"/>
      <c r="Q36" s="864">
        <f t="shared" si="4"/>
      </c>
      <c r="R36" s="221">
        <f t="shared" si="5"/>
      </c>
      <c r="S36" s="221">
        <f t="shared" si="6"/>
      </c>
      <c r="T36" s="868" t="str">
        <f t="shared" si="7"/>
        <v>--</v>
      </c>
      <c r="U36" s="869" t="str">
        <f t="shared" si="8"/>
        <v>--</v>
      </c>
      <c r="V36" s="212" t="str">
        <f t="shared" si="9"/>
        <v>--</v>
      </c>
      <c r="W36" s="213" t="str">
        <f t="shared" si="10"/>
        <v>--</v>
      </c>
      <c r="X36" s="214" t="str">
        <f t="shared" si="11"/>
        <v>--</v>
      </c>
      <c r="Y36" s="870" t="str">
        <f t="shared" si="12"/>
        <v>--</v>
      </c>
      <c r="Z36" s="871" t="str">
        <f t="shared" si="13"/>
        <v>--</v>
      </c>
      <c r="AA36" s="872" t="str">
        <f t="shared" si="14"/>
        <v>--</v>
      </c>
      <c r="AB36" s="873" t="str">
        <f t="shared" si="15"/>
        <v>--</v>
      </c>
      <c r="AC36" s="874" t="str">
        <f t="shared" si="16"/>
        <v>--</v>
      </c>
      <c r="AD36" s="865">
        <f t="shared" si="17"/>
      </c>
      <c r="AE36" s="16">
        <f t="shared" si="18"/>
      </c>
      <c r="AF36" s="759"/>
    </row>
    <row r="37" spans="2:32" s="5" customFormat="1" ht="16.5" customHeight="1">
      <c r="B37" s="50"/>
      <c r="C37" s="274"/>
      <c r="D37" s="274"/>
      <c r="E37" s="274"/>
      <c r="F37" s="146"/>
      <c r="G37" s="147"/>
      <c r="H37" s="804"/>
      <c r="I37" s="147"/>
      <c r="J37" s="750">
        <f t="shared" si="0"/>
        <v>20</v>
      </c>
      <c r="K37" s="751" t="e">
        <f t="shared" si="1"/>
        <v>#VALUE!</v>
      </c>
      <c r="L37" s="184"/>
      <c r="M37" s="185"/>
      <c r="N37" s="186">
        <f t="shared" si="2"/>
      </c>
      <c r="O37" s="187">
        <f t="shared" si="3"/>
      </c>
      <c r="P37" s="220"/>
      <c r="Q37" s="864">
        <f t="shared" si="4"/>
      </c>
      <c r="R37" s="221">
        <f t="shared" si="5"/>
      </c>
      <c r="S37" s="221">
        <f t="shared" si="6"/>
      </c>
      <c r="T37" s="868" t="str">
        <f t="shared" si="7"/>
        <v>--</v>
      </c>
      <c r="U37" s="869" t="str">
        <f t="shared" si="8"/>
        <v>--</v>
      </c>
      <c r="V37" s="212" t="str">
        <f t="shared" si="9"/>
        <v>--</v>
      </c>
      <c r="W37" s="213" t="str">
        <f t="shared" si="10"/>
        <v>--</v>
      </c>
      <c r="X37" s="214" t="str">
        <f t="shared" si="11"/>
        <v>--</v>
      </c>
      <c r="Y37" s="870" t="str">
        <f t="shared" si="12"/>
        <v>--</v>
      </c>
      <c r="Z37" s="871" t="str">
        <f t="shared" si="13"/>
        <v>--</v>
      </c>
      <c r="AA37" s="872" t="str">
        <f t="shared" si="14"/>
        <v>--</v>
      </c>
      <c r="AB37" s="873" t="str">
        <f t="shared" si="15"/>
        <v>--</v>
      </c>
      <c r="AC37" s="874" t="str">
        <f t="shared" si="16"/>
        <v>--</v>
      </c>
      <c r="AD37" s="865">
        <f t="shared" si="17"/>
      </c>
      <c r="AE37" s="16">
        <f t="shared" si="18"/>
      </c>
      <c r="AF37" s="759"/>
    </row>
    <row r="38" spans="2:32" s="5" customFormat="1" ht="16.5" customHeight="1">
      <c r="B38" s="50"/>
      <c r="C38" s="152"/>
      <c r="D38" s="152"/>
      <c r="E38" s="152"/>
      <c r="F38" s="146"/>
      <c r="G38" s="147"/>
      <c r="H38" s="804"/>
      <c r="I38" s="147"/>
      <c r="J38" s="750">
        <f t="shared" si="0"/>
        <v>20</v>
      </c>
      <c r="K38" s="751" t="e">
        <f t="shared" si="1"/>
        <v>#VALUE!</v>
      </c>
      <c r="L38" s="184"/>
      <c r="M38" s="185"/>
      <c r="N38" s="186">
        <f t="shared" si="2"/>
      </c>
      <c r="O38" s="187">
        <f t="shared" si="3"/>
      </c>
      <c r="P38" s="220"/>
      <c r="Q38" s="864">
        <f t="shared" si="4"/>
      </c>
      <c r="R38" s="221">
        <f t="shared" si="5"/>
      </c>
      <c r="S38" s="221">
        <f t="shared" si="6"/>
      </c>
      <c r="T38" s="868" t="str">
        <f t="shared" si="7"/>
        <v>--</v>
      </c>
      <c r="U38" s="869" t="str">
        <f t="shared" si="8"/>
        <v>--</v>
      </c>
      <c r="V38" s="212" t="str">
        <f t="shared" si="9"/>
        <v>--</v>
      </c>
      <c r="W38" s="213" t="str">
        <f t="shared" si="10"/>
        <v>--</v>
      </c>
      <c r="X38" s="214" t="str">
        <f t="shared" si="11"/>
        <v>--</v>
      </c>
      <c r="Y38" s="870" t="str">
        <f t="shared" si="12"/>
        <v>--</v>
      </c>
      <c r="Z38" s="871" t="str">
        <f t="shared" si="13"/>
        <v>--</v>
      </c>
      <c r="AA38" s="872" t="str">
        <f t="shared" si="14"/>
        <v>--</v>
      </c>
      <c r="AB38" s="873" t="str">
        <f t="shared" si="15"/>
        <v>--</v>
      </c>
      <c r="AC38" s="874" t="str">
        <f t="shared" si="16"/>
        <v>--</v>
      </c>
      <c r="AD38" s="865">
        <f t="shared" si="17"/>
      </c>
      <c r="AE38" s="16">
        <f t="shared" si="18"/>
      </c>
      <c r="AF38" s="759"/>
    </row>
    <row r="39" spans="2:32" s="5" customFormat="1" ht="16.5" customHeight="1">
      <c r="B39" s="50"/>
      <c r="C39" s="274"/>
      <c r="D39" s="274"/>
      <c r="E39" s="274"/>
      <c r="F39" s="146"/>
      <c r="G39" s="147"/>
      <c r="H39" s="804"/>
      <c r="I39" s="147"/>
      <c r="J39" s="750">
        <f t="shared" si="0"/>
        <v>20</v>
      </c>
      <c r="K39" s="751" t="e">
        <f t="shared" si="1"/>
        <v>#VALUE!</v>
      </c>
      <c r="L39" s="184"/>
      <c r="M39" s="185"/>
      <c r="N39" s="186">
        <f t="shared" si="2"/>
      </c>
      <c r="O39" s="187">
        <f t="shared" si="3"/>
      </c>
      <c r="P39" s="220"/>
      <c r="Q39" s="864">
        <f t="shared" si="4"/>
      </c>
      <c r="R39" s="221">
        <f t="shared" si="5"/>
      </c>
      <c r="S39" s="221">
        <f t="shared" si="6"/>
      </c>
      <c r="T39" s="868" t="str">
        <f t="shared" si="7"/>
        <v>--</v>
      </c>
      <c r="U39" s="869" t="str">
        <f t="shared" si="8"/>
        <v>--</v>
      </c>
      <c r="V39" s="212" t="str">
        <f t="shared" si="9"/>
        <v>--</v>
      </c>
      <c r="W39" s="213" t="str">
        <f t="shared" si="10"/>
        <v>--</v>
      </c>
      <c r="X39" s="214" t="str">
        <f t="shared" si="11"/>
        <v>--</v>
      </c>
      <c r="Y39" s="870" t="str">
        <f t="shared" si="12"/>
        <v>--</v>
      </c>
      <c r="Z39" s="871" t="str">
        <f t="shared" si="13"/>
        <v>--</v>
      </c>
      <c r="AA39" s="872" t="str">
        <f t="shared" si="14"/>
        <v>--</v>
      </c>
      <c r="AB39" s="873" t="str">
        <f t="shared" si="15"/>
        <v>--</v>
      </c>
      <c r="AC39" s="874" t="str">
        <f t="shared" si="16"/>
        <v>--</v>
      </c>
      <c r="AD39" s="865">
        <f t="shared" si="17"/>
      </c>
      <c r="AE39" s="16">
        <f t="shared" si="18"/>
      </c>
      <c r="AF39" s="759"/>
    </row>
    <row r="40" spans="2:32" s="5" customFormat="1" ht="16.5" customHeight="1" thickBot="1">
      <c r="B40" s="50"/>
      <c r="C40" s="152"/>
      <c r="D40" s="863"/>
      <c r="E40" s="152"/>
      <c r="F40" s="149"/>
      <c r="G40" s="228"/>
      <c r="H40" s="798"/>
      <c r="I40" s="229"/>
      <c r="J40" s="764"/>
      <c r="K40" s="765"/>
      <c r="L40" s="796"/>
      <c r="M40" s="796"/>
      <c r="N40" s="9"/>
      <c r="O40" s="9"/>
      <c r="P40" s="151"/>
      <c r="Q40" s="189"/>
      <c r="R40" s="151"/>
      <c r="S40" s="151"/>
      <c r="T40" s="766"/>
      <c r="U40" s="767"/>
      <c r="V40" s="230"/>
      <c r="W40" s="231"/>
      <c r="X40" s="232"/>
      <c r="Y40" s="768"/>
      <c r="Z40" s="769"/>
      <c r="AA40" s="770"/>
      <c r="AB40" s="233"/>
      <c r="AC40" s="234"/>
      <c r="AD40" s="771"/>
      <c r="AE40" s="235"/>
      <c r="AF40" s="759"/>
    </row>
    <row r="41" spans="2:32" s="5" customFormat="1" ht="16.5" customHeight="1" thickBot="1" thickTop="1">
      <c r="B41" s="50"/>
      <c r="C41" s="933" t="s">
        <v>391</v>
      </c>
      <c r="D41" s="73" t="s">
        <v>392</v>
      </c>
      <c r="E41" s="127"/>
      <c r="F41" s="128"/>
      <c r="G41" s="236"/>
      <c r="H41" s="201"/>
      <c r="I41" s="237"/>
      <c r="J41" s="201"/>
      <c r="K41" s="190"/>
      <c r="L41" s="190"/>
      <c r="M41" s="190"/>
      <c r="N41" s="190"/>
      <c r="O41" s="190"/>
      <c r="P41" s="190"/>
      <c r="Q41" s="238"/>
      <c r="R41" s="190"/>
      <c r="S41" s="190"/>
      <c r="T41" s="772">
        <f aca="true" t="shared" si="19" ref="T41:AC41">SUM(T18:T40)</f>
        <v>186.080252</v>
      </c>
      <c r="U41" s="773">
        <f t="shared" si="19"/>
        <v>0</v>
      </c>
      <c r="V41" s="774">
        <f t="shared" si="19"/>
        <v>0</v>
      </c>
      <c r="W41" s="774">
        <f t="shared" si="19"/>
        <v>0</v>
      </c>
      <c r="X41" s="774">
        <f t="shared" si="19"/>
        <v>0</v>
      </c>
      <c r="Y41" s="775">
        <f t="shared" si="19"/>
        <v>0</v>
      </c>
      <c r="Z41" s="775">
        <f t="shared" si="19"/>
        <v>0</v>
      </c>
      <c r="AA41" s="775">
        <f t="shared" si="19"/>
        <v>0</v>
      </c>
      <c r="AB41" s="239">
        <f t="shared" si="19"/>
        <v>0</v>
      </c>
      <c r="AC41" s="240">
        <f t="shared" si="19"/>
        <v>0</v>
      </c>
      <c r="AD41" s="241"/>
      <c r="AE41" s="242">
        <f>ROUND(SUM(AE18:AE40),2)</f>
        <v>186.08</v>
      </c>
      <c r="AF41" s="759"/>
    </row>
    <row r="42" spans="2:32" s="5" customFormat="1" ht="16.5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6.5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4"/>
  <sheetViews>
    <sheetView zoomScale="70" zoomScaleNormal="70" workbookViewId="0" topLeftCell="A10">
      <selection activeCell="A25" sqref="A25:IV3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3" t="str">
        <f>+'TOT-1110'!B2</f>
        <v>ANEXO  VI al Memorandum  D.T.E.E.  N°     381 /2012 </v>
      </c>
      <c r="C2" s="243"/>
      <c r="D2" s="243"/>
      <c r="E2" s="243"/>
      <c r="F2" s="243"/>
      <c r="G2" s="19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s="5" customFormat="1" ht="17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4" t="s">
        <v>74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4" t="s">
        <v>2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5" t="s">
        <v>67</v>
      </c>
      <c r="G8" s="105"/>
      <c r="H8" s="105"/>
      <c r="I8" s="246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7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26" customFormat="1" ht="30" customHeight="1">
      <c r="A10" s="820"/>
      <c r="B10" s="821"/>
      <c r="C10" s="824"/>
      <c r="D10" s="824"/>
      <c r="E10" s="820"/>
      <c r="F10" s="822" t="s">
        <v>212</v>
      </c>
      <c r="G10" s="820"/>
      <c r="H10" s="823"/>
      <c r="I10" s="824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4"/>
      <c r="U10" s="824"/>
      <c r="V10" s="824"/>
      <c r="W10" s="824"/>
      <c r="X10" s="824"/>
      <c r="Y10" s="824"/>
      <c r="Z10" s="824"/>
      <c r="AA10" s="824"/>
      <c r="AB10" s="824"/>
      <c r="AC10" s="824"/>
      <c r="AD10" s="825"/>
    </row>
    <row r="11" spans="1:30" s="831" customFormat="1" ht="9.75" customHeight="1">
      <c r="A11" s="827"/>
      <c r="B11" s="828"/>
      <c r="C11" s="829"/>
      <c r="D11" s="829"/>
      <c r="E11" s="827"/>
      <c r="G11" s="829"/>
      <c r="H11" s="829"/>
      <c r="I11" s="829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30"/>
    </row>
    <row r="12" spans="1:30" s="831" customFormat="1" ht="21" customHeight="1">
      <c r="A12" s="820"/>
      <c r="B12" s="821"/>
      <c r="C12" s="824"/>
      <c r="D12" s="824"/>
      <c r="E12" s="820"/>
      <c r="F12" s="832" t="s">
        <v>213</v>
      </c>
      <c r="G12" s="820"/>
      <c r="H12" s="820"/>
      <c r="I12" s="820"/>
      <c r="J12" s="833"/>
      <c r="K12" s="833"/>
      <c r="L12" s="833"/>
      <c r="M12" s="833"/>
      <c r="N12" s="833"/>
      <c r="O12" s="827"/>
      <c r="P12" s="827"/>
      <c r="Q12" s="827"/>
      <c r="R12" s="827"/>
      <c r="S12" s="827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30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'TOT-1110'!B14</f>
        <v>Desde el 01 al 30 de noviembre de 2010</v>
      </c>
      <c r="C14" s="40"/>
      <c r="D14" s="40"/>
      <c r="E14" s="248"/>
      <c r="F14" s="112"/>
      <c r="G14" s="112"/>
      <c r="H14" s="112"/>
      <c r="I14" s="112"/>
      <c r="J14" s="112"/>
      <c r="K14" s="112"/>
      <c r="L14" s="112"/>
      <c r="M14" s="112"/>
      <c r="N14" s="112"/>
      <c r="O14" s="248"/>
      <c r="P14" s="248"/>
      <c r="Q14" s="248"/>
      <c r="R14" s="248"/>
      <c r="S14" s="248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49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250" t="s">
        <v>75</v>
      </c>
      <c r="G16" s="251"/>
      <c r="H16" s="252">
        <v>0.45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24</v>
      </c>
      <c r="G17" s="111"/>
      <c r="H17" s="806">
        <v>200</v>
      </c>
      <c r="I17"/>
      <c r="J17" s="15"/>
      <c r="K17" s="199"/>
      <c r="L17" s="200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07">
        <v>3</v>
      </c>
      <c r="D18" s="907">
        <v>4</v>
      </c>
      <c r="E18" s="907">
        <v>5</v>
      </c>
      <c r="F18" s="907">
        <v>6</v>
      </c>
      <c r="G18" s="907">
        <v>7</v>
      </c>
      <c r="H18" s="907">
        <v>8</v>
      </c>
      <c r="I18" s="907">
        <v>9</v>
      </c>
      <c r="J18" s="907">
        <v>10</v>
      </c>
      <c r="K18" s="907">
        <v>11</v>
      </c>
      <c r="L18" s="907">
        <v>12</v>
      </c>
      <c r="M18" s="907">
        <v>13</v>
      </c>
      <c r="N18" s="907">
        <v>14</v>
      </c>
      <c r="O18" s="907">
        <v>15</v>
      </c>
      <c r="P18" s="907">
        <v>16</v>
      </c>
      <c r="Q18" s="907">
        <v>17</v>
      </c>
      <c r="R18" s="907">
        <v>18</v>
      </c>
      <c r="S18" s="907">
        <v>19</v>
      </c>
      <c r="T18" s="907">
        <v>20</v>
      </c>
      <c r="U18" s="907">
        <v>21</v>
      </c>
      <c r="V18" s="907">
        <v>22</v>
      </c>
      <c r="W18" s="907">
        <v>23</v>
      </c>
      <c r="X18" s="907">
        <v>24</v>
      </c>
      <c r="Y18" s="907">
        <v>25</v>
      </c>
      <c r="Z18" s="907">
        <v>26</v>
      </c>
      <c r="AA18" s="907">
        <v>27</v>
      </c>
      <c r="AB18" s="907">
        <v>28</v>
      </c>
      <c r="AC18" s="907">
        <v>29</v>
      </c>
      <c r="AD18" s="17"/>
    </row>
    <row r="19" spans="1:30" s="5" customFormat="1" ht="33.75" customHeight="1" thickBot="1" thickTop="1">
      <c r="A19" s="90"/>
      <c r="B19" s="95"/>
      <c r="C19" s="123" t="s">
        <v>12</v>
      </c>
      <c r="D19" s="84" t="s">
        <v>223</v>
      </c>
      <c r="E19" s="84" t="s">
        <v>224</v>
      </c>
      <c r="F19" s="119" t="s">
        <v>25</v>
      </c>
      <c r="G19" s="118" t="s">
        <v>26</v>
      </c>
      <c r="H19" s="120" t="s">
        <v>27</v>
      </c>
      <c r="I19" s="121" t="s">
        <v>13</v>
      </c>
      <c r="J19" s="129" t="s">
        <v>15</v>
      </c>
      <c r="K19" s="118" t="s">
        <v>16</v>
      </c>
      <c r="L19" s="118" t="s">
        <v>17</v>
      </c>
      <c r="M19" s="119" t="s">
        <v>28</v>
      </c>
      <c r="N19" s="119" t="s">
        <v>29</v>
      </c>
      <c r="O19" s="88" t="s">
        <v>18</v>
      </c>
      <c r="P19" s="88" t="s">
        <v>56</v>
      </c>
      <c r="Q19" s="122" t="s">
        <v>30</v>
      </c>
      <c r="R19" s="118" t="s">
        <v>31</v>
      </c>
      <c r="S19" s="253" t="s">
        <v>35</v>
      </c>
      <c r="T19" s="254" t="s">
        <v>19</v>
      </c>
      <c r="U19" s="255" t="s">
        <v>20</v>
      </c>
      <c r="V19" s="205" t="s">
        <v>76</v>
      </c>
      <c r="W19" s="207"/>
      <c r="X19" s="256" t="s">
        <v>77</v>
      </c>
      <c r="Y19" s="257"/>
      <c r="Z19" s="258" t="s">
        <v>21</v>
      </c>
      <c r="AA19" s="259" t="s">
        <v>72</v>
      </c>
      <c r="AB19" s="132" t="s">
        <v>73</v>
      </c>
      <c r="AC19" s="121" t="s">
        <v>23</v>
      </c>
      <c r="AD19" s="17"/>
    </row>
    <row r="20" spans="1:30" s="5" customFormat="1" ht="16.5" customHeight="1" thickTop="1">
      <c r="A20" s="90"/>
      <c r="B20" s="95"/>
      <c r="C20" s="260"/>
      <c r="D20" s="260"/>
      <c r="E20" s="260"/>
      <c r="F20" s="260"/>
      <c r="G20" s="260"/>
      <c r="H20" s="260"/>
      <c r="I20" s="261"/>
      <c r="J20" s="262"/>
      <c r="K20" s="260"/>
      <c r="L20" s="260"/>
      <c r="M20" s="260"/>
      <c r="N20" s="260"/>
      <c r="O20" s="260"/>
      <c r="P20" s="178"/>
      <c r="Q20" s="263"/>
      <c r="R20" s="260"/>
      <c r="S20" s="264"/>
      <c r="T20" s="265"/>
      <c r="U20" s="266"/>
      <c r="V20" s="267"/>
      <c r="W20" s="268"/>
      <c r="X20" s="269"/>
      <c r="Y20" s="270"/>
      <c r="Z20" s="271"/>
      <c r="AA20" s="272"/>
      <c r="AB20" s="263"/>
      <c r="AC20" s="273"/>
      <c r="AD20" s="17"/>
    </row>
    <row r="21" spans="1:30" s="5" customFormat="1" ht="16.5" customHeight="1">
      <c r="A21" s="90"/>
      <c r="B21" s="95"/>
      <c r="C21" s="274"/>
      <c r="D21" s="274"/>
      <c r="E21" s="274"/>
      <c r="F21" s="274"/>
      <c r="G21" s="274"/>
      <c r="H21" s="274"/>
      <c r="I21" s="275"/>
      <c r="J21" s="276"/>
      <c r="K21" s="274"/>
      <c r="L21" s="274"/>
      <c r="M21" s="274"/>
      <c r="N21" s="274"/>
      <c r="O21" s="274"/>
      <c r="P21" s="181"/>
      <c r="Q21" s="277"/>
      <c r="R21" s="274"/>
      <c r="S21" s="278"/>
      <c r="T21" s="279"/>
      <c r="U21" s="280"/>
      <c r="V21" s="281"/>
      <c r="W21" s="282"/>
      <c r="X21" s="283"/>
      <c r="Y21" s="284"/>
      <c r="Z21" s="285"/>
      <c r="AA21" s="286"/>
      <c r="AB21" s="277"/>
      <c r="AC21" s="287"/>
      <c r="AD21" s="17"/>
    </row>
    <row r="22" spans="1:30" s="5" customFormat="1" ht="16.5" customHeight="1">
      <c r="A22" s="90"/>
      <c r="B22" s="95"/>
      <c r="C22" s="152">
        <v>20</v>
      </c>
      <c r="D22" s="152">
        <v>227621</v>
      </c>
      <c r="E22" s="152">
        <v>3759</v>
      </c>
      <c r="F22" s="148" t="s">
        <v>303</v>
      </c>
      <c r="G22" s="288" t="s">
        <v>304</v>
      </c>
      <c r="H22" s="289">
        <v>150</v>
      </c>
      <c r="I22" s="922" t="s">
        <v>123</v>
      </c>
      <c r="J22" s="291">
        <f aca="true" t="shared" si="0" ref="J22:J39">H22*$H$16</f>
        <v>67.5</v>
      </c>
      <c r="K22" s="153">
        <v>40484.302083333336</v>
      </c>
      <c r="L22" s="153">
        <v>40484.606944444444</v>
      </c>
      <c r="M22" s="292">
        <f aca="true" t="shared" si="1" ref="M22:M39">IF(F22="","",(L22-K22)*24)</f>
        <v>7.316666666592937</v>
      </c>
      <c r="N22" s="14">
        <f aca="true" t="shared" si="2" ref="N22:N39">IF(F22="","",ROUND((L22-K22)*24*60,0))</f>
        <v>439</v>
      </c>
      <c r="O22" s="154" t="s">
        <v>283</v>
      </c>
      <c r="P22" s="515" t="str">
        <f aca="true" t="shared" si="3" ref="P22:P39">IF(F22="","","--")</f>
        <v>--</v>
      </c>
      <c r="Q22" s="8" t="str">
        <f aca="true" t="shared" si="4" ref="Q22:Q39">IF(F22="","",IF(OR(O22="P",O22="RP"),"--","NO"))</f>
        <v>--</v>
      </c>
      <c r="R22" s="221" t="str">
        <f aca="true" t="shared" si="5" ref="R22:R39">IF(F22="","","NO")</f>
        <v>NO</v>
      </c>
      <c r="S22" s="293">
        <f aca="true" t="shared" si="6" ref="S22:S39">$H$17*IF(OR(O22="P",O22="RP"),0.1,1)*IF(R22="SI",1,0.1)</f>
        <v>2</v>
      </c>
      <c r="T22" s="294">
        <f aca="true" t="shared" si="7" ref="T22:T39">IF(O22="P",J22*S22*ROUND(N22/60,2),"--")</f>
        <v>988.2</v>
      </c>
      <c r="U22" s="295" t="str">
        <f aca="true" t="shared" si="8" ref="U22:U39">IF(O22="RP",J22*S22*P22/100*ROUND(N22/60,2),"--")</f>
        <v>--</v>
      </c>
      <c r="V22" s="296" t="str">
        <f aca="true" t="shared" si="9" ref="V22:V39">IF(AND(O22="F",Q22="NO"),J22*S22,"--")</f>
        <v>--</v>
      </c>
      <c r="W22" s="297" t="str">
        <f aca="true" t="shared" si="10" ref="W22:W39">IF(O22="F",J22*S22*ROUND(N22/60,2),"--")</f>
        <v>--</v>
      </c>
      <c r="X22" s="298" t="str">
        <f aca="true" t="shared" si="11" ref="X22:X39">IF(AND(O22="R",Q22="NO"),J22*S22*P22/100,"--")</f>
        <v>--</v>
      </c>
      <c r="Y22" s="299" t="str">
        <f aca="true" t="shared" si="12" ref="Y22:Y39">IF(O22="R",J22*S22*P22/100*ROUND(N22/60,2),"--")</f>
        <v>--</v>
      </c>
      <c r="Z22" s="300" t="str">
        <f aca="true" t="shared" si="13" ref="Z22:Z39">IF(O22="RF",J22*S22*ROUND(N22/60,2),"--")</f>
        <v>--</v>
      </c>
      <c r="AA22" s="301" t="str">
        <f aca="true" t="shared" si="14" ref="AA22:AA39">IF(O22="RR",J22*S22*P22/100*ROUND(N22/60,2),"--")</f>
        <v>--</v>
      </c>
      <c r="AB22" s="302" t="s">
        <v>202</v>
      </c>
      <c r="AC22" s="16">
        <f aca="true" t="shared" si="15" ref="AC22:AC39">IF(F22="","",(SUM(T22:AA22)*IF(AB22="SI",1,2)*IF(AND(P22&lt;&gt;"--",O22="RF"),P22/100,1)))</f>
        <v>988.2</v>
      </c>
      <c r="AD22" s="17"/>
    </row>
    <row r="23" spans="1:30" s="5" customFormat="1" ht="16.5" customHeight="1">
      <c r="A23" s="90"/>
      <c r="B23" s="95"/>
      <c r="C23" s="274">
        <v>21</v>
      </c>
      <c r="D23" s="274">
        <v>227628</v>
      </c>
      <c r="E23" s="274">
        <v>4436</v>
      </c>
      <c r="F23" s="148" t="s">
        <v>307</v>
      </c>
      <c r="G23" s="288" t="s">
        <v>375</v>
      </c>
      <c r="H23" s="289">
        <v>300</v>
      </c>
      <c r="I23" s="922" t="s">
        <v>313</v>
      </c>
      <c r="J23" s="291">
        <f t="shared" si="0"/>
        <v>135</v>
      </c>
      <c r="K23" s="153">
        <v>40485.11597222222</v>
      </c>
      <c r="L23" s="153">
        <v>40485.25069444445</v>
      </c>
      <c r="M23" s="292">
        <f t="shared" si="1"/>
        <v>3.2333333333954215</v>
      </c>
      <c r="N23" s="14">
        <f t="shared" si="2"/>
        <v>194</v>
      </c>
      <c r="O23" s="154" t="s">
        <v>283</v>
      </c>
      <c r="P23" s="515" t="str">
        <f t="shared" si="3"/>
        <v>--</v>
      </c>
      <c r="Q23" s="8" t="str">
        <f t="shared" si="4"/>
        <v>--</v>
      </c>
      <c r="R23" s="221" t="str">
        <f t="shared" si="5"/>
        <v>NO</v>
      </c>
      <c r="S23" s="293">
        <f t="shared" si="6"/>
        <v>2</v>
      </c>
      <c r="T23" s="294">
        <f t="shared" si="7"/>
        <v>872.1</v>
      </c>
      <c r="U23" s="295" t="str">
        <f t="shared" si="8"/>
        <v>--</v>
      </c>
      <c r="V23" s="296" t="str">
        <f t="shared" si="9"/>
        <v>--</v>
      </c>
      <c r="W23" s="297" t="str">
        <f t="shared" si="10"/>
        <v>--</v>
      </c>
      <c r="X23" s="298" t="str">
        <f t="shared" si="11"/>
        <v>--</v>
      </c>
      <c r="Y23" s="299" t="str">
        <f t="shared" si="12"/>
        <v>--</v>
      </c>
      <c r="Z23" s="300" t="str">
        <f t="shared" si="13"/>
        <v>--</v>
      </c>
      <c r="AA23" s="301" t="str">
        <f t="shared" si="14"/>
        <v>--</v>
      </c>
      <c r="AB23" s="302" t="s">
        <v>202</v>
      </c>
      <c r="AC23" s="16">
        <f t="shared" si="15"/>
        <v>872.1</v>
      </c>
      <c r="AD23" s="17"/>
    </row>
    <row r="24" spans="1:30" s="5" customFormat="1" ht="16.5" customHeight="1">
      <c r="A24" s="90"/>
      <c r="B24" s="95"/>
      <c r="C24" s="152">
        <v>22</v>
      </c>
      <c r="D24" s="152">
        <v>227631</v>
      </c>
      <c r="E24" s="152">
        <v>3759</v>
      </c>
      <c r="F24" s="148" t="s">
        <v>303</v>
      </c>
      <c r="G24" s="288" t="s">
        <v>304</v>
      </c>
      <c r="H24" s="289">
        <v>150</v>
      </c>
      <c r="I24" s="922" t="s">
        <v>123</v>
      </c>
      <c r="J24" s="291">
        <f t="shared" si="0"/>
        <v>67.5</v>
      </c>
      <c r="K24" s="153">
        <v>40485.35555555556</v>
      </c>
      <c r="L24" s="153">
        <v>40485.700694444444</v>
      </c>
      <c r="M24" s="292">
        <f t="shared" si="1"/>
        <v>8.283333333267365</v>
      </c>
      <c r="N24" s="14">
        <f t="shared" si="2"/>
        <v>497</v>
      </c>
      <c r="O24" s="154" t="s">
        <v>283</v>
      </c>
      <c r="P24" s="515" t="str">
        <f t="shared" si="3"/>
        <v>--</v>
      </c>
      <c r="Q24" s="8" t="str">
        <f t="shared" si="4"/>
        <v>--</v>
      </c>
      <c r="R24" s="221" t="str">
        <f t="shared" si="5"/>
        <v>NO</v>
      </c>
      <c r="S24" s="293">
        <f t="shared" si="6"/>
        <v>2</v>
      </c>
      <c r="T24" s="294">
        <f t="shared" si="7"/>
        <v>1117.8</v>
      </c>
      <c r="U24" s="295" t="str">
        <f t="shared" si="8"/>
        <v>--</v>
      </c>
      <c r="V24" s="296" t="str">
        <f t="shared" si="9"/>
        <v>--</v>
      </c>
      <c r="W24" s="297" t="str">
        <f t="shared" si="10"/>
        <v>--</v>
      </c>
      <c r="X24" s="298" t="str">
        <f t="shared" si="11"/>
        <v>--</v>
      </c>
      <c r="Y24" s="299" t="str">
        <f t="shared" si="12"/>
        <v>--</v>
      </c>
      <c r="Z24" s="300" t="str">
        <f t="shared" si="13"/>
        <v>--</v>
      </c>
      <c r="AA24" s="301" t="str">
        <f t="shared" si="14"/>
        <v>--</v>
      </c>
      <c r="AB24" s="302" t="s">
        <v>202</v>
      </c>
      <c r="AC24" s="16">
        <f t="shared" si="15"/>
        <v>1117.8</v>
      </c>
      <c r="AD24" s="17"/>
    </row>
    <row r="25" spans="2:30" s="90" customFormat="1" ht="16.5" customHeight="1">
      <c r="B25" s="95"/>
      <c r="C25" s="274">
        <v>23</v>
      </c>
      <c r="D25" s="274">
        <v>227635</v>
      </c>
      <c r="E25" s="274">
        <v>81</v>
      </c>
      <c r="F25" s="1028" t="s">
        <v>305</v>
      </c>
      <c r="G25" s="1029" t="s">
        <v>306</v>
      </c>
      <c r="H25" s="1030">
        <v>300</v>
      </c>
      <c r="I25" s="1031" t="s">
        <v>123</v>
      </c>
      <c r="J25" s="1032">
        <f t="shared" si="0"/>
        <v>135</v>
      </c>
      <c r="K25" s="153">
        <v>40485.46666666667</v>
      </c>
      <c r="L25" s="153">
        <v>40485.768055555556</v>
      </c>
      <c r="M25" s="292">
        <f t="shared" si="1"/>
        <v>7.233333333337214</v>
      </c>
      <c r="N25" s="14">
        <f t="shared" si="2"/>
        <v>434</v>
      </c>
      <c r="O25" s="154" t="s">
        <v>283</v>
      </c>
      <c r="P25" s="1037" t="str">
        <f t="shared" si="3"/>
        <v>--</v>
      </c>
      <c r="Q25" s="1038" t="str">
        <f t="shared" si="4"/>
        <v>--</v>
      </c>
      <c r="R25" s="13" t="str">
        <f t="shared" si="5"/>
        <v>NO</v>
      </c>
      <c r="S25" s="1039">
        <f t="shared" si="6"/>
        <v>2</v>
      </c>
      <c r="T25" s="1040">
        <f t="shared" si="7"/>
        <v>1952.1000000000001</v>
      </c>
      <c r="U25" s="1041" t="str">
        <f t="shared" si="8"/>
        <v>--</v>
      </c>
      <c r="V25" s="1042" t="str">
        <f t="shared" si="9"/>
        <v>--</v>
      </c>
      <c r="W25" s="1043" t="str">
        <f t="shared" si="10"/>
        <v>--</v>
      </c>
      <c r="X25" s="1044" t="str">
        <f t="shared" si="11"/>
        <v>--</v>
      </c>
      <c r="Y25" s="1045" t="str">
        <f t="shared" si="12"/>
        <v>--</v>
      </c>
      <c r="Z25" s="1046" t="str">
        <f t="shared" si="13"/>
        <v>--</v>
      </c>
      <c r="AA25" s="1047" t="str">
        <f t="shared" si="14"/>
        <v>--</v>
      </c>
      <c r="AB25" s="302" t="s">
        <v>202</v>
      </c>
      <c r="AC25" s="16">
        <v>0</v>
      </c>
      <c r="AD25" s="17"/>
    </row>
    <row r="26" spans="2:30" s="90" customFormat="1" ht="16.5" customHeight="1">
      <c r="B26" s="95"/>
      <c r="C26" s="152">
        <v>24</v>
      </c>
      <c r="D26" s="152">
        <v>227636</v>
      </c>
      <c r="E26" s="152">
        <v>82</v>
      </c>
      <c r="F26" s="1028" t="s">
        <v>305</v>
      </c>
      <c r="G26" s="1029" t="s">
        <v>304</v>
      </c>
      <c r="H26" s="1030">
        <v>300</v>
      </c>
      <c r="I26" s="1031" t="s">
        <v>123</v>
      </c>
      <c r="J26" s="1032">
        <f t="shared" si="0"/>
        <v>135</v>
      </c>
      <c r="K26" s="153">
        <v>40486.23541666667</v>
      </c>
      <c r="L26" s="153">
        <v>40486.55902777778</v>
      </c>
      <c r="M26" s="292">
        <f t="shared" si="1"/>
        <v>7.766666666662786</v>
      </c>
      <c r="N26" s="14">
        <f t="shared" si="2"/>
        <v>466</v>
      </c>
      <c r="O26" s="154" t="s">
        <v>283</v>
      </c>
      <c r="P26" s="1037" t="str">
        <f t="shared" si="3"/>
        <v>--</v>
      </c>
      <c r="Q26" s="1038" t="str">
        <f t="shared" si="4"/>
        <v>--</v>
      </c>
      <c r="R26" s="13" t="str">
        <f t="shared" si="5"/>
        <v>NO</v>
      </c>
      <c r="S26" s="1039">
        <f t="shared" si="6"/>
        <v>2</v>
      </c>
      <c r="T26" s="1040">
        <f t="shared" si="7"/>
        <v>2097.9</v>
      </c>
      <c r="U26" s="1041" t="str">
        <f t="shared" si="8"/>
        <v>--</v>
      </c>
      <c r="V26" s="1042" t="str">
        <f t="shared" si="9"/>
        <v>--</v>
      </c>
      <c r="W26" s="1043" t="str">
        <f t="shared" si="10"/>
        <v>--</v>
      </c>
      <c r="X26" s="1044" t="str">
        <f t="shared" si="11"/>
        <v>--</v>
      </c>
      <c r="Y26" s="1045" t="str">
        <f t="shared" si="12"/>
        <v>--</v>
      </c>
      <c r="Z26" s="1046" t="str">
        <f t="shared" si="13"/>
        <v>--</v>
      </c>
      <c r="AA26" s="1047" t="str">
        <f t="shared" si="14"/>
        <v>--</v>
      </c>
      <c r="AB26" s="302" t="s">
        <v>202</v>
      </c>
      <c r="AC26" s="16">
        <v>0</v>
      </c>
      <c r="AD26" s="17"/>
    </row>
    <row r="27" spans="2:30" s="90" customFormat="1" ht="16.5" customHeight="1">
      <c r="B27" s="95"/>
      <c r="C27" s="274">
        <v>25</v>
      </c>
      <c r="D27" s="274">
        <v>227637</v>
      </c>
      <c r="E27" s="274">
        <v>3759</v>
      </c>
      <c r="F27" s="1028" t="s">
        <v>303</v>
      </c>
      <c r="G27" s="1029" t="s">
        <v>304</v>
      </c>
      <c r="H27" s="1030">
        <v>150</v>
      </c>
      <c r="I27" s="1031" t="s">
        <v>123</v>
      </c>
      <c r="J27" s="1032">
        <f t="shared" si="0"/>
        <v>67.5</v>
      </c>
      <c r="K27" s="153">
        <v>40486.29652777778</v>
      </c>
      <c r="L27" s="153">
        <v>40486.72222222222</v>
      </c>
      <c r="M27" s="292">
        <f t="shared" si="1"/>
        <v>10.21666666661622</v>
      </c>
      <c r="N27" s="14">
        <f t="shared" si="2"/>
        <v>613</v>
      </c>
      <c r="O27" s="154" t="s">
        <v>283</v>
      </c>
      <c r="P27" s="1037" t="str">
        <f t="shared" si="3"/>
        <v>--</v>
      </c>
      <c r="Q27" s="1038" t="str">
        <f t="shared" si="4"/>
        <v>--</v>
      </c>
      <c r="R27" s="13" t="str">
        <f t="shared" si="5"/>
        <v>NO</v>
      </c>
      <c r="S27" s="1039">
        <f t="shared" si="6"/>
        <v>2</v>
      </c>
      <c r="T27" s="1040">
        <f t="shared" si="7"/>
        <v>1379.7</v>
      </c>
      <c r="U27" s="1041" t="str">
        <f t="shared" si="8"/>
        <v>--</v>
      </c>
      <c r="V27" s="1042" t="str">
        <f t="shared" si="9"/>
        <v>--</v>
      </c>
      <c r="W27" s="1043" t="str">
        <f t="shared" si="10"/>
        <v>--</v>
      </c>
      <c r="X27" s="1044" t="str">
        <f t="shared" si="11"/>
        <v>--</v>
      </c>
      <c r="Y27" s="1045" t="str">
        <f t="shared" si="12"/>
        <v>--</v>
      </c>
      <c r="Z27" s="1046" t="str">
        <f t="shared" si="13"/>
        <v>--</v>
      </c>
      <c r="AA27" s="1047" t="str">
        <f t="shared" si="14"/>
        <v>--</v>
      </c>
      <c r="AB27" s="302" t="s">
        <v>202</v>
      </c>
      <c r="AC27" s="16">
        <f t="shared" si="15"/>
        <v>1379.7</v>
      </c>
      <c r="AD27" s="17"/>
    </row>
    <row r="28" spans="2:31" s="90" customFormat="1" ht="16.5" customHeight="1">
      <c r="B28" s="95"/>
      <c r="C28" s="152">
        <v>26</v>
      </c>
      <c r="D28" s="152">
        <v>227644</v>
      </c>
      <c r="E28" s="152">
        <v>81</v>
      </c>
      <c r="F28" s="1028" t="s">
        <v>305</v>
      </c>
      <c r="G28" s="1029" t="s">
        <v>306</v>
      </c>
      <c r="H28" s="1030">
        <v>300</v>
      </c>
      <c r="I28" s="1031" t="s">
        <v>123</v>
      </c>
      <c r="J28" s="1032">
        <f t="shared" si="0"/>
        <v>135</v>
      </c>
      <c r="K28" s="153">
        <v>40488.26944444444</v>
      </c>
      <c r="L28" s="153">
        <v>40488.68958333333</v>
      </c>
      <c r="M28" s="292">
        <f t="shared" si="1"/>
        <v>10.083333333372138</v>
      </c>
      <c r="N28" s="14">
        <f t="shared" si="2"/>
        <v>605</v>
      </c>
      <c r="O28" s="154" t="s">
        <v>283</v>
      </c>
      <c r="P28" s="1037" t="str">
        <f t="shared" si="3"/>
        <v>--</v>
      </c>
      <c r="Q28" s="1038" t="str">
        <f t="shared" si="4"/>
        <v>--</v>
      </c>
      <c r="R28" s="13" t="str">
        <f t="shared" si="5"/>
        <v>NO</v>
      </c>
      <c r="S28" s="1039">
        <f t="shared" si="6"/>
        <v>2</v>
      </c>
      <c r="T28" s="1040">
        <f t="shared" si="7"/>
        <v>2721.6</v>
      </c>
      <c r="U28" s="1041" t="str">
        <f t="shared" si="8"/>
        <v>--</v>
      </c>
      <c r="V28" s="1042" t="str">
        <f t="shared" si="9"/>
        <v>--</v>
      </c>
      <c r="W28" s="1043" t="str">
        <f t="shared" si="10"/>
        <v>--</v>
      </c>
      <c r="X28" s="1044" t="str">
        <f t="shared" si="11"/>
        <v>--</v>
      </c>
      <c r="Y28" s="1045" t="str">
        <f t="shared" si="12"/>
        <v>--</v>
      </c>
      <c r="Z28" s="1046" t="str">
        <f t="shared" si="13"/>
        <v>--</v>
      </c>
      <c r="AA28" s="1047" t="str">
        <f t="shared" si="14"/>
        <v>--</v>
      </c>
      <c r="AB28" s="302" t="s">
        <v>202</v>
      </c>
      <c r="AC28" s="16">
        <v>0</v>
      </c>
      <c r="AD28" s="17"/>
      <c r="AE28" s="15"/>
    </row>
    <row r="29" spans="2:30" s="90" customFormat="1" ht="16.5" customHeight="1">
      <c r="B29" s="95"/>
      <c r="C29" s="274">
        <v>27</v>
      </c>
      <c r="D29" s="274">
        <v>227651</v>
      </c>
      <c r="E29" s="274">
        <v>77</v>
      </c>
      <c r="F29" s="1028" t="s">
        <v>307</v>
      </c>
      <c r="G29" s="1029" t="s">
        <v>308</v>
      </c>
      <c r="H29" s="1030">
        <v>300</v>
      </c>
      <c r="I29" s="1031" t="s">
        <v>277</v>
      </c>
      <c r="J29" s="1032">
        <f t="shared" si="0"/>
        <v>135</v>
      </c>
      <c r="K29" s="153">
        <v>40489.36041666667</v>
      </c>
      <c r="L29" s="153">
        <v>40489.73611111111</v>
      </c>
      <c r="M29" s="292">
        <f t="shared" si="1"/>
        <v>9.01666666654637</v>
      </c>
      <c r="N29" s="14">
        <f t="shared" si="2"/>
        <v>541</v>
      </c>
      <c r="O29" s="154" t="s">
        <v>283</v>
      </c>
      <c r="P29" s="1037" t="str">
        <f t="shared" si="3"/>
        <v>--</v>
      </c>
      <c r="Q29" s="1038" t="str">
        <f t="shared" si="4"/>
        <v>--</v>
      </c>
      <c r="R29" s="13" t="str">
        <f t="shared" si="5"/>
        <v>NO</v>
      </c>
      <c r="S29" s="1039">
        <f t="shared" si="6"/>
        <v>2</v>
      </c>
      <c r="T29" s="1040">
        <f t="shared" si="7"/>
        <v>2435.4</v>
      </c>
      <c r="U29" s="1041" t="str">
        <f t="shared" si="8"/>
        <v>--</v>
      </c>
      <c r="V29" s="1042" t="str">
        <f t="shared" si="9"/>
        <v>--</v>
      </c>
      <c r="W29" s="1043" t="str">
        <f t="shared" si="10"/>
        <v>--</v>
      </c>
      <c r="X29" s="1044" t="str">
        <f t="shared" si="11"/>
        <v>--</v>
      </c>
      <c r="Y29" s="1045" t="str">
        <f t="shared" si="12"/>
        <v>--</v>
      </c>
      <c r="Z29" s="1046" t="str">
        <f t="shared" si="13"/>
        <v>--</v>
      </c>
      <c r="AA29" s="1047" t="str">
        <f t="shared" si="14"/>
        <v>--</v>
      </c>
      <c r="AB29" s="302" t="s">
        <v>202</v>
      </c>
      <c r="AC29" s="16">
        <f t="shared" si="15"/>
        <v>2435.4</v>
      </c>
      <c r="AD29" s="17"/>
    </row>
    <row r="30" spans="2:30" s="90" customFormat="1" ht="16.5" customHeight="1">
      <c r="B30" s="95"/>
      <c r="C30" s="152">
        <v>28</v>
      </c>
      <c r="D30" s="152">
        <v>227652</v>
      </c>
      <c r="E30" s="152">
        <v>1885</v>
      </c>
      <c r="F30" s="1028" t="s">
        <v>309</v>
      </c>
      <c r="G30" s="1029" t="s">
        <v>304</v>
      </c>
      <c r="H30" s="1030">
        <v>300</v>
      </c>
      <c r="I30" s="1031" t="s">
        <v>123</v>
      </c>
      <c r="J30" s="1032">
        <f t="shared" si="0"/>
        <v>135</v>
      </c>
      <c r="K30" s="153">
        <v>40489.36388888889</v>
      </c>
      <c r="L30" s="153">
        <v>40489.67361111111</v>
      </c>
      <c r="M30" s="292">
        <f t="shared" si="1"/>
        <v>7.433333333290648</v>
      </c>
      <c r="N30" s="14">
        <f t="shared" si="2"/>
        <v>446</v>
      </c>
      <c r="O30" s="154" t="s">
        <v>283</v>
      </c>
      <c r="P30" s="1037" t="str">
        <f t="shared" si="3"/>
        <v>--</v>
      </c>
      <c r="Q30" s="1038" t="str">
        <f t="shared" si="4"/>
        <v>--</v>
      </c>
      <c r="R30" s="13" t="str">
        <f t="shared" si="5"/>
        <v>NO</v>
      </c>
      <c r="S30" s="1039">
        <f t="shared" si="6"/>
        <v>2</v>
      </c>
      <c r="T30" s="1040">
        <f t="shared" si="7"/>
        <v>2006.1</v>
      </c>
      <c r="U30" s="1041" t="str">
        <f t="shared" si="8"/>
        <v>--</v>
      </c>
      <c r="V30" s="1042" t="str">
        <f t="shared" si="9"/>
        <v>--</v>
      </c>
      <c r="W30" s="1043" t="str">
        <f t="shared" si="10"/>
        <v>--</v>
      </c>
      <c r="X30" s="1044" t="str">
        <f t="shared" si="11"/>
        <v>--</v>
      </c>
      <c r="Y30" s="1045" t="str">
        <f t="shared" si="12"/>
        <v>--</v>
      </c>
      <c r="Z30" s="1046" t="str">
        <f t="shared" si="13"/>
        <v>--</v>
      </c>
      <c r="AA30" s="1047" t="str">
        <f t="shared" si="14"/>
        <v>--</v>
      </c>
      <c r="AB30" s="302" t="s">
        <v>202</v>
      </c>
      <c r="AC30" s="16">
        <f t="shared" si="15"/>
        <v>2006.1</v>
      </c>
      <c r="AD30" s="17"/>
    </row>
    <row r="31" spans="2:30" s="90" customFormat="1" ht="16.5" customHeight="1">
      <c r="B31" s="95"/>
      <c r="C31" s="274">
        <v>29</v>
      </c>
      <c r="D31" s="274">
        <v>227990</v>
      </c>
      <c r="E31" s="274">
        <v>64</v>
      </c>
      <c r="F31" s="1028" t="s">
        <v>310</v>
      </c>
      <c r="G31" s="1048" t="s">
        <v>304</v>
      </c>
      <c r="H31" s="1030">
        <v>100</v>
      </c>
      <c r="I31" s="1031" t="s">
        <v>277</v>
      </c>
      <c r="J31" s="1032">
        <f t="shared" si="0"/>
        <v>45</v>
      </c>
      <c r="K31" s="153">
        <v>40491.40625</v>
      </c>
      <c r="L31" s="153">
        <v>40491.60555555556</v>
      </c>
      <c r="M31" s="292">
        <f t="shared" si="1"/>
        <v>4.78333333338378</v>
      </c>
      <c r="N31" s="14">
        <f t="shared" si="2"/>
        <v>287</v>
      </c>
      <c r="O31" s="154" t="s">
        <v>283</v>
      </c>
      <c r="P31" s="1037" t="str">
        <f t="shared" si="3"/>
        <v>--</v>
      </c>
      <c r="Q31" s="1038" t="str">
        <f t="shared" si="4"/>
        <v>--</v>
      </c>
      <c r="R31" s="13" t="str">
        <f t="shared" si="5"/>
        <v>NO</v>
      </c>
      <c r="S31" s="1039">
        <f t="shared" si="6"/>
        <v>2</v>
      </c>
      <c r="T31" s="1040">
        <f t="shared" si="7"/>
        <v>430.20000000000005</v>
      </c>
      <c r="U31" s="1041" t="str">
        <f t="shared" si="8"/>
        <v>--</v>
      </c>
      <c r="V31" s="1042" t="str">
        <f t="shared" si="9"/>
        <v>--</v>
      </c>
      <c r="W31" s="1043" t="str">
        <f t="shared" si="10"/>
        <v>--</v>
      </c>
      <c r="X31" s="1044" t="str">
        <f t="shared" si="11"/>
        <v>--</v>
      </c>
      <c r="Y31" s="1045" t="str">
        <f t="shared" si="12"/>
        <v>--</v>
      </c>
      <c r="Z31" s="1046" t="str">
        <f t="shared" si="13"/>
        <v>--</v>
      </c>
      <c r="AA31" s="1047" t="str">
        <f t="shared" si="14"/>
        <v>--</v>
      </c>
      <c r="AB31" s="302" t="s">
        <v>202</v>
      </c>
      <c r="AC31" s="16">
        <v>0</v>
      </c>
      <c r="AD31" s="17"/>
    </row>
    <row r="32" spans="2:30" s="90" customFormat="1" ht="16.5" customHeight="1">
      <c r="B32" s="95"/>
      <c r="C32" s="152">
        <v>30</v>
      </c>
      <c r="D32" s="152">
        <v>227994</v>
      </c>
      <c r="E32" s="152">
        <v>81</v>
      </c>
      <c r="F32" s="1028" t="s">
        <v>305</v>
      </c>
      <c r="G32" s="1048" t="s">
        <v>306</v>
      </c>
      <c r="H32" s="1030">
        <v>300</v>
      </c>
      <c r="I32" s="1031" t="s">
        <v>376</v>
      </c>
      <c r="J32" s="1032">
        <f t="shared" si="0"/>
        <v>135</v>
      </c>
      <c r="K32" s="153">
        <v>40493.30763888889</v>
      </c>
      <c r="L32" s="153">
        <v>40493.322916666664</v>
      </c>
      <c r="M32" s="292">
        <f t="shared" si="1"/>
        <v>0.3666666666395031</v>
      </c>
      <c r="N32" s="14">
        <f t="shared" si="2"/>
        <v>22</v>
      </c>
      <c r="O32" s="154" t="s">
        <v>283</v>
      </c>
      <c r="P32" s="1037" t="str">
        <f t="shared" si="3"/>
        <v>--</v>
      </c>
      <c r="Q32" s="1038" t="str">
        <f t="shared" si="4"/>
        <v>--</v>
      </c>
      <c r="R32" s="13" t="str">
        <f t="shared" si="5"/>
        <v>NO</v>
      </c>
      <c r="S32" s="1039">
        <f t="shared" si="6"/>
        <v>2</v>
      </c>
      <c r="T32" s="1040">
        <f t="shared" si="7"/>
        <v>99.9</v>
      </c>
      <c r="U32" s="1041" t="str">
        <f t="shared" si="8"/>
        <v>--</v>
      </c>
      <c r="V32" s="1042" t="str">
        <f t="shared" si="9"/>
        <v>--</v>
      </c>
      <c r="W32" s="1043" t="str">
        <f t="shared" si="10"/>
        <v>--</v>
      </c>
      <c r="X32" s="1044" t="str">
        <f t="shared" si="11"/>
        <v>--</v>
      </c>
      <c r="Y32" s="1045" t="str">
        <f t="shared" si="12"/>
        <v>--</v>
      </c>
      <c r="Z32" s="1046" t="str">
        <f t="shared" si="13"/>
        <v>--</v>
      </c>
      <c r="AA32" s="1047" t="str">
        <f t="shared" si="14"/>
        <v>--</v>
      </c>
      <c r="AB32" s="302" t="s">
        <v>202</v>
      </c>
      <c r="AC32" s="16">
        <f t="shared" si="15"/>
        <v>99.9</v>
      </c>
      <c r="AD32" s="17"/>
    </row>
    <row r="33" spans="1:30" s="5" customFormat="1" ht="16.5" customHeight="1">
      <c r="A33" s="90"/>
      <c r="B33" s="95"/>
      <c r="C33" s="274">
        <v>31</v>
      </c>
      <c r="D33" s="274">
        <v>228000</v>
      </c>
      <c r="E33" s="274">
        <v>61</v>
      </c>
      <c r="F33" s="148" t="s">
        <v>311</v>
      </c>
      <c r="G33" s="304" t="s">
        <v>394</v>
      </c>
      <c r="H33" s="289">
        <v>150</v>
      </c>
      <c r="I33" s="922" t="s">
        <v>277</v>
      </c>
      <c r="J33" s="291">
        <f t="shared" si="0"/>
        <v>67.5</v>
      </c>
      <c r="K33" s="153">
        <v>40494.354166666664</v>
      </c>
      <c r="L33" s="153">
        <v>40494.66875</v>
      </c>
      <c r="M33" s="292">
        <f t="shared" si="1"/>
        <v>7.5499999999883585</v>
      </c>
      <c r="N33" s="14">
        <f t="shared" si="2"/>
        <v>453</v>
      </c>
      <c r="O33" s="154" t="s">
        <v>283</v>
      </c>
      <c r="P33" s="515" t="str">
        <f t="shared" si="3"/>
        <v>--</v>
      </c>
      <c r="Q33" s="8" t="str">
        <f t="shared" si="4"/>
        <v>--</v>
      </c>
      <c r="R33" s="221" t="str">
        <f t="shared" si="5"/>
        <v>NO</v>
      </c>
      <c r="S33" s="293">
        <f t="shared" si="6"/>
        <v>2</v>
      </c>
      <c r="T33" s="294">
        <f t="shared" si="7"/>
        <v>1019.25</v>
      </c>
      <c r="U33" s="295" t="str">
        <f t="shared" si="8"/>
        <v>--</v>
      </c>
      <c r="V33" s="296" t="str">
        <f t="shared" si="9"/>
        <v>--</v>
      </c>
      <c r="W33" s="297" t="str">
        <f t="shared" si="10"/>
        <v>--</v>
      </c>
      <c r="X33" s="298" t="str">
        <f t="shared" si="11"/>
        <v>--</v>
      </c>
      <c r="Y33" s="299" t="str">
        <f t="shared" si="12"/>
        <v>--</v>
      </c>
      <c r="Z33" s="300" t="str">
        <f t="shared" si="13"/>
        <v>--</v>
      </c>
      <c r="AA33" s="301" t="str">
        <f t="shared" si="14"/>
        <v>--</v>
      </c>
      <c r="AB33" s="302" t="s">
        <v>202</v>
      </c>
      <c r="AC33" s="16">
        <f t="shared" si="15"/>
        <v>1019.25</v>
      </c>
      <c r="AD33" s="17"/>
    </row>
    <row r="34" spans="1:30" s="5" customFormat="1" ht="16.5" customHeight="1">
      <c r="A34" s="90"/>
      <c r="B34" s="95"/>
      <c r="C34" s="274">
        <v>33</v>
      </c>
      <c r="D34" s="274">
        <v>228010</v>
      </c>
      <c r="E34" s="274">
        <v>4279</v>
      </c>
      <c r="F34" s="148" t="s">
        <v>310</v>
      </c>
      <c r="G34" s="304" t="s">
        <v>312</v>
      </c>
      <c r="H34" s="289">
        <v>300</v>
      </c>
      <c r="I34" s="922" t="s">
        <v>313</v>
      </c>
      <c r="J34" s="291">
        <f t="shared" si="0"/>
        <v>135</v>
      </c>
      <c r="K34" s="153">
        <v>40496.407638888886</v>
      </c>
      <c r="L34" s="153">
        <v>40496.566666666666</v>
      </c>
      <c r="M34" s="292">
        <f t="shared" si="1"/>
        <v>3.8166666667093523</v>
      </c>
      <c r="N34" s="14">
        <f t="shared" si="2"/>
        <v>229</v>
      </c>
      <c r="O34" s="154" t="s">
        <v>283</v>
      </c>
      <c r="P34" s="515" t="str">
        <f t="shared" si="3"/>
        <v>--</v>
      </c>
      <c r="Q34" s="8" t="str">
        <f t="shared" si="4"/>
        <v>--</v>
      </c>
      <c r="R34" s="221" t="str">
        <f t="shared" si="5"/>
        <v>NO</v>
      </c>
      <c r="S34" s="293">
        <f t="shared" si="6"/>
        <v>2</v>
      </c>
      <c r="T34" s="294">
        <f t="shared" si="7"/>
        <v>1031.3999999999999</v>
      </c>
      <c r="U34" s="295" t="str">
        <f t="shared" si="8"/>
        <v>--</v>
      </c>
      <c r="V34" s="296" t="str">
        <f t="shared" si="9"/>
        <v>--</v>
      </c>
      <c r="W34" s="297" t="str">
        <f t="shared" si="10"/>
        <v>--</v>
      </c>
      <c r="X34" s="298" t="str">
        <f t="shared" si="11"/>
        <v>--</v>
      </c>
      <c r="Y34" s="299" t="str">
        <f t="shared" si="12"/>
        <v>--</v>
      </c>
      <c r="Z34" s="300" t="str">
        <f t="shared" si="13"/>
        <v>--</v>
      </c>
      <c r="AA34" s="301" t="str">
        <f t="shared" si="14"/>
        <v>--</v>
      </c>
      <c r="AB34" s="302" t="s">
        <v>202</v>
      </c>
      <c r="AC34" s="16">
        <f t="shared" si="15"/>
        <v>1031.3999999999999</v>
      </c>
      <c r="AD34" s="17"/>
    </row>
    <row r="35" spans="1:30" s="5" customFormat="1" ht="16.5" customHeight="1">
      <c r="A35" s="90"/>
      <c r="B35" s="95"/>
      <c r="C35" s="152">
        <v>34</v>
      </c>
      <c r="D35" s="152">
        <v>228252</v>
      </c>
      <c r="E35" s="152">
        <v>3265</v>
      </c>
      <c r="F35" s="148" t="s">
        <v>303</v>
      </c>
      <c r="G35" s="304" t="s">
        <v>306</v>
      </c>
      <c r="H35" s="289">
        <v>150</v>
      </c>
      <c r="I35" s="922" t="s">
        <v>123</v>
      </c>
      <c r="J35" s="291">
        <f t="shared" si="0"/>
        <v>67.5</v>
      </c>
      <c r="K35" s="153">
        <v>40499.30625</v>
      </c>
      <c r="L35" s="153">
        <v>40499.77569444444</v>
      </c>
      <c r="M35" s="292">
        <f t="shared" si="1"/>
        <v>11.26666666654637</v>
      </c>
      <c r="N35" s="14">
        <f t="shared" si="2"/>
        <v>676</v>
      </c>
      <c r="O35" s="154" t="s">
        <v>283</v>
      </c>
      <c r="P35" s="515" t="str">
        <f t="shared" si="3"/>
        <v>--</v>
      </c>
      <c r="Q35" s="8" t="str">
        <f t="shared" si="4"/>
        <v>--</v>
      </c>
      <c r="R35" s="221" t="str">
        <f t="shared" si="5"/>
        <v>NO</v>
      </c>
      <c r="S35" s="293">
        <f t="shared" si="6"/>
        <v>2</v>
      </c>
      <c r="T35" s="294">
        <f t="shared" si="7"/>
        <v>1521.45</v>
      </c>
      <c r="U35" s="295" t="str">
        <f t="shared" si="8"/>
        <v>--</v>
      </c>
      <c r="V35" s="296" t="str">
        <f t="shared" si="9"/>
        <v>--</v>
      </c>
      <c r="W35" s="297" t="str">
        <f t="shared" si="10"/>
        <v>--</v>
      </c>
      <c r="X35" s="298" t="str">
        <f t="shared" si="11"/>
        <v>--</v>
      </c>
      <c r="Y35" s="299" t="str">
        <f t="shared" si="12"/>
        <v>--</v>
      </c>
      <c r="Z35" s="300" t="str">
        <f t="shared" si="13"/>
        <v>--</v>
      </c>
      <c r="AA35" s="301" t="str">
        <f t="shared" si="14"/>
        <v>--</v>
      </c>
      <c r="AB35" s="302" t="s">
        <v>202</v>
      </c>
      <c r="AC35" s="16">
        <f t="shared" si="15"/>
        <v>1521.45</v>
      </c>
      <c r="AD35" s="17"/>
    </row>
    <row r="36" spans="1:30" s="5" customFormat="1" ht="16.5" customHeight="1">
      <c r="A36" s="90"/>
      <c r="B36" s="95"/>
      <c r="C36" s="274">
        <v>35</v>
      </c>
      <c r="D36" s="274">
        <v>228257</v>
      </c>
      <c r="E36" s="274">
        <v>3265</v>
      </c>
      <c r="F36" s="148" t="s">
        <v>303</v>
      </c>
      <c r="G36" s="304" t="s">
        <v>306</v>
      </c>
      <c r="H36" s="289">
        <v>150</v>
      </c>
      <c r="I36" s="922" t="s">
        <v>123</v>
      </c>
      <c r="J36" s="291">
        <f t="shared" si="0"/>
        <v>67.5</v>
      </c>
      <c r="K36" s="153">
        <v>40500.43263888889</v>
      </c>
      <c r="L36" s="153">
        <v>40500.729166666664</v>
      </c>
      <c r="M36" s="292">
        <f t="shared" si="1"/>
        <v>7.116666666639503</v>
      </c>
      <c r="N36" s="14">
        <f t="shared" si="2"/>
        <v>427</v>
      </c>
      <c r="O36" s="154" t="s">
        <v>283</v>
      </c>
      <c r="P36" s="515" t="str">
        <f t="shared" si="3"/>
        <v>--</v>
      </c>
      <c r="Q36" s="8" t="str">
        <f t="shared" si="4"/>
        <v>--</v>
      </c>
      <c r="R36" s="221" t="str">
        <f t="shared" si="5"/>
        <v>NO</v>
      </c>
      <c r="S36" s="293">
        <f t="shared" si="6"/>
        <v>2</v>
      </c>
      <c r="T36" s="294">
        <f t="shared" si="7"/>
        <v>961.2</v>
      </c>
      <c r="U36" s="295" t="str">
        <f t="shared" si="8"/>
        <v>--</v>
      </c>
      <c r="V36" s="296" t="str">
        <f t="shared" si="9"/>
        <v>--</v>
      </c>
      <c r="W36" s="297" t="str">
        <f t="shared" si="10"/>
        <v>--</v>
      </c>
      <c r="X36" s="298" t="str">
        <f t="shared" si="11"/>
        <v>--</v>
      </c>
      <c r="Y36" s="299" t="str">
        <f t="shared" si="12"/>
        <v>--</v>
      </c>
      <c r="Z36" s="300" t="str">
        <f t="shared" si="13"/>
        <v>--</v>
      </c>
      <c r="AA36" s="301" t="str">
        <f t="shared" si="14"/>
        <v>--</v>
      </c>
      <c r="AB36" s="302" t="s">
        <v>202</v>
      </c>
      <c r="AC36" s="16">
        <f t="shared" si="15"/>
        <v>961.2</v>
      </c>
      <c r="AD36" s="17"/>
    </row>
    <row r="37" spans="1:30" s="5" customFormat="1" ht="16.5" customHeight="1">
      <c r="A37" s="90"/>
      <c r="B37" s="95"/>
      <c r="C37" s="152">
        <v>36</v>
      </c>
      <c r="D37" s="152">
        <v>228266</v>
      </c>
      <c r="E37" s="152">
        <v>56</v>
      </c>
      <c r="F37" s="148" t="s">
        <v>314</v>
      </c>
      <c r="G37" s="304" t="s">
        <v>304</v>
      </c>
      <c r="H37" s="289">
        <v>800</v>
      </c>
      <c r="I37" s="922" t="s">
        <v>315</v>
      </c>
      <c r="J37" s="291">
        <f t="shared" si="0"/>
        <v>360</v>
      </c>
      <c r="K37" s="153">
        <v>40502.36041666667</v>
      </c>
      <c r="L37" s="153">
        <v>40503.87708333333</v>
      </c>
      <c r="M37" s="292">
        <f t="shared" si="1"/>
        <v>36.39999999990687</v>
      </c>
      <c r="N37" s="14">
        <f t="shared" si="2"/>
        <v>2184</v>
      </c>
      <c r="O37" s="154" t="s">
        <v>283</v>
      </c>
      <c r="P37" s="515" t="str">
        <f t="shared" si="3"/>
        <v>--</v>
      </c>
      <c r="Q37" s="8" t="str">
        <f t="shared" si="4"/>
        <v>--</v>
      </c>
      <c r="R37" s="221" t="str">
        <f t="shared" si="5"/>
        <v>NO</v>
      </c>
      <c r="S37" s="293">
        <f t="shared" si="6"/>
        <v>2</v>
      </c>
      <c r="T37" s="294">
        <f t="shared" si="7"/>
        <v>26208</v>
      </c>
      <c r="U37" s="295" t="str">
        <f t="shared" si="8"/>
        <v>--</v>
      </c>
      <c r="V37" s="296" t="str">
        <f t="shared" si="9"/>
        <v>--</v>
      </c>
      <c r="W37" s="297" t="str">
        <f t="shared" si="10"/>
        <v>--</v>
      </c>
      <c r="X37" s="298" t="str">
        <f t="shared" si="11"/>
        <v>--</v>
      </c>
      <c r="Y37" s="299" t="str">
        <f t="shared" si="12"/>
        <v>--</v>
      </c>
      <c r="Z37" s="300" t="str">
        <f t="shared" si="13"/>
        <v>--</v>
      </c>
      <c r="AA37" s="301" t="str">
        <f t="shared" si="14"/>
        <v>--</v>
      </c>
      <c r="AB37" s="302" t="s">
        <v>202</v>
      </c>
      <c r="AC37" s="16">
        <f t="shared" si="15"/>
        <v>26208</v>
      </c>
      <c r="AD37" s="17"/>
    </row>
    <row r="38" spans="1:30" s="5" customFormat="1" ht="16.5" customHeight="1">
      <c r="A38" s="90"/>
      <c r="B38" s="95"/>
      <c r="C38" s="152">
        <v>38</v>
      </c>
      <c r="D38" s="152">
        <v>228276</v>
      </c>
      <c r="E38" s="152">
        <v>56</v>
      </c>
      <c r="F38" s="148" t="s">
        <v>314</v>
      </c>
      <c r="G38" s="304" t="s">
        <v>304</v>
      </c>
      <c r="H38" s="289">
        <v>800</v>
      </c>
      <c r="I38" s="922" t="s">
        <v>315</v>
      </c>
      <c r="J38" s="291">
        <f t="shared" si="0"/>
        <v>360</v>
      </c>
      <c r="K38" s="153">
        <v>40503.975</v>
      </c>
      <c r="L38" s="153">
        <v>40503.98888888889</v>
      </c>
      <c r="M38" s="292">
        <f t="shared" si="1"/>
        <v>0.33333333337213844</v>
      </c>
      <c r="N38" s="14">
        <f t="shared" si="2"/>
        <v>20</v>
      </c>
      <c r="O38" s="154" t="s">
        <v>296</v>
      </c>
      <c r="P38" s="515" t="str">
        <f t="shared" si="3"/>
        <v>--</v>
      </c>
      <c r="Q38" s="221" t="s">
        <v>202</v>
      </c>
      <c r="R38" s="221" t="str">
        <f t="shared" si="5"/>
        <v>NO</v>
      </c>
      <c r="S38" s="293">
        <f t="shared" si="6"/>
        <v>20</v>
      </c>
      <c r="T38" s="294" t="str">
        <f t="shared" si="7"/>
        <v>--</v>
      </c>
      <c r="U38" s="295" t="str">
        <f t="shared" si="8"/>
        <v>--</v>
      </c>
      <c r="V38" s="296" t="str">
        <f t="shared" si="9"/>
        <v>--</v>
      </c>
      <c r="W38" s="297">
        <f t="shared" si="10"/>
        <v>2376</v>
      </c>
      <c r="X38" s="298" t="str">
        <f t="shared" si="11"/>
        <v>--</v>
      </c>
      <c r="Y38" s="299" t="str">
        <f t="shared" si="12"/>
        <v>--</v>
      </c>
      <c r="Z38" s="300" t="str">
        <f t="shared" si="13"/>
        <v>--</v>
      </c>
      <c r="AA38" s="301" t="str">
        <f t="shared" si="14"/>
        <v>--</v>
      </c>
      <c r="AB38" s="302" t="s">
        <v>202</v>
      </c>
      <c r="AC38" s="16">
        <f t="shared" si="15"/>
        <v>2376</v>
      </c>
      <c r="AD38" s="17"/>
    </row>
    <row r="39" spans="1:30" s="5" customFormat="1" ht="16.5" customHeight="1">
      <c r="A39" s="90"/>
      <c r="B39" s="95"/>
      <c r="C39" s="274"/>
      <c r="D39" s="274"/>
      <c r="E39" s="274"/>
      <c r="F39" s="148"/>
      <c r="G39" s="304"/>
      <c r="H39" s="289"/>
      <c r="I39" s="290"/>
      <c r="J39" s="291">
        <f t="shared" si="0"/>
        <v>0</v>
      </c>
      <c r="K39" s="153"/>
      <c r="L39" s="153"/>
      <c r="M39" s="292">
        <f t="shared" si="1"/>
      </c>
      <c r="N39" s="14">
        <f t="shared" si="2"/>
      </c>
      <c r="O39" s="154"/>
      <c r="P39" s="515">
        <f t="shared" si="3"/>
      </c>
      <c r="Q39" s="8">
        <f t="shared" si="4"/>
      </c>
      <c r="R39" s="221">
        <f t="shared" si="5"/>
      </c>
      <c r="S39" s="293">
        <f t="shared" si="6"/>
        <v>20</v>
      </c>
      <c r="T39" s="294" t="str">
        <f t="shared" si="7"/>
        <v>--</v>
      </c>
      <c r="U39" s="295" t="str">
        <f t="shared" si="8"/>
        <v>--</v>
      </c>
      <c r="V39" s="296" t="str">
        <f t="shared" si="9"/>
        <v>--</v>
      </c>
      <c r="W39" s="297" t="str">
        <f t="shared" si="10"/>
        <v>--</v>
      </c>
      <c r="X39" s="298" t="str">
        <f t="shared" si="11"/>
        <v>--</v>
      </c>
      <c r="Y39" s="299" t="str">
        <f t="shared" si="12"/>
        <v>--</v>
      </c>
      <c r="Z39" s="300" t="str">
        <f t="shared" si="13"/>
        <v>--</v>
      </c>
      <c r="AA39" s="301" t="str">
        <f t="shared" si="14"/>
        <v>--</v>
      </c>
      <c r="AB39" s="302">
        <f>IF(F39="","","SI")</f>
      </c>
      <c r="AC39" s="16">
        <f t="shared" si="15"/>
      </c>
      <c r="AD39" s="17"/>
    </row>
    <row r="40" spans="1:30" s="5" customFormat="1" ht="16.5" customHeight="1" thickBot="1">
      <c r="A40" s="90"/>
      <c r="B40" s="95"/>
      <c r="C40" s="152"/>
      <c r="D40" s="152"/>
      <c r="E40" s="152"/>
      <c r="F40" s="305"/>
      <c r="G40" s="306"/>
      <c r="H40" s="305"/>
      <c r="I40" s="307"/>
      <c r="J40" s="131"/>
      <c r="K40" s="155"/>
      <c r="L40" s="308"/>
      <c r="M40" s="309"/>
      <c r="N40" s="310"/>
      <c r="O40" s="158"/>
      <c r="P40" s="189"/>
      <c r="Q40" s="156"/>
      <c r="R40" s="158"/>
      <c r="S40" s="311"/>
      <c r="T40" s="312"/>
      <c r="U40" s="313"/>
      <c r="V40" s="314"/>
      <c r="W40" s="315"/>
      <c r="X40" s="316"/>
      <c r="Y40" s="317"/>
      <c r="Z40" s="318"/>
      <c r="AA40" s="319"/>
      <c r="AB40" s="320"/>
      <c r="AC40" s="321"/>
      <c r="AD40" s="17"/>
    </row>
    <row r="41" spans="1:30" s="5" customFormat="1" ht="16.5" customHeight="1" thickBot="1" thickTop="1">
      <c r="A41" s="90"/>
      <c r="B41" s="95"/>
      <c r="C41" s="933" t="s">
        <v>391</v>
      </c>
      <c r="D41" s="921" t="s">
        <v>390</v>
      </c>
      <c r="E41" s="127"/>
      <c r="F41" s="128"/>
      <c r="G41" s="15"/>
      <c r="H41" s="15"/>
      <c r="I41" s="15"/>
      <c r="J41" s="15"/>
      <c r="K41" s="15"/>
      <c r="L41" s="99"/>
      <c r="M41" s="15"/>
      <c r="N41" s="15"/>
      <c r="O41" s="15"/>
      <c r="P41" s="15"/>
      <c r="Q41" s="15"/>
      <c r="R41" s="15"/>
      <c r="S41" s="15"/>
      <c r="T41" s="322">
        <f aca="true" t="shared" si="16" ref="T41:AA41">SUM(T20:T40)</f>
        <v>46842.3</v>
      </c>
      <c r="U41" s="323">
        <f t="shared" si="16"/>
        <v>0</v>
      </c>
      <c r="V41" s="324">
        <f t="shared" si="16"/>
        <v>0</v>
      </c>
      <c r="W41" s="325">
        <f t="shared" si="16"/>
        <v>2376</v>
      </c>
      <c r="X41" s="326">
        <f t="shared" si="16"/>
        <v>0</v>
      </c>
      <c r="Y41" s="327">
        <f t="shared" si="16"/>
        <v>0</v>
      </c>
      <c r="Z41" s="328">
        <f t="shared" si="16"/>
        <v>0</v>
      </c>
      <c r="AA41" s="329">
        <f t="shared" si="16"/>
        <v>0</v>
      </c>
      <c r="AB41" s="90"/>
      <c r="AC41" s="330">
        <f>ROUND(SUM(AC20:AC40),2)</f>
        <v>42016.5</v>
      </c>
      <c r="AD41" s="17"/>
    </row>
    <row r="42" spans="1:30" s="5" customFormat="1" ht="16.5" customHeight="1" thickBot="1" thickTop="1">
      <c r="A42" s="90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1" ht="16.5" customHeight="1" thickTop="1">
      <c r="A43" s="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1" ht="16.5" customHeight="1">
      <c r="A44" s="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31" ht="16.5" customHeight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6:31" ht="16.5" customHeight="1"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6:31" ht="16.5" customHeight="1"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ht="16.5" customHeight="1">
      <c r="AE151" s="172"/>
    </row>
    <row r="152" ht="16.5" customHeight="1">
      <c r="AE152" s="172"/>
    </row>
    <row r="153" ht="16.5" customHeight="1">
      <c r="AE153" s="172"/>
    </row>
    <row r="154" ht="16.5" customHeight="1">
      <c r="AE154" s="172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E156"/>
  <sheetViews>
    <sheetView zoomScale="70" zoomScaleNormal="70" workbookViewId="0" topLeftCell="A1">
      <selection activeCell="A23" sqref="A23:IV26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3" t="str">
        <f>+'TOT-1110'!B2</f>
        <v>ANEXO  VI al Memorandum  D.T.E.E.  N°     381 /2012 </v>
      </c>
      <c r="C2" s="243"/>
      <c r="D2" s="243"/>
      <c r="E2" s="243"/>
      <c r="F2" s="243"/>
      <c r="G2" s="19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s="5" customFormat="1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4" t="s">
        <v>74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4" t="s">
        <v>2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5" t="s">
        <v>67</v>
      </c>
      <c r="G8" s="105"/>
      <c r="H8" s="105"/>
      <c r="I8" s="246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7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26" customFormat="1" ht="30" customHeight="1">
      <c r="A10" s="820"/>
      <c r="B10" s="821"/>
      <c r="C10" s="824"/>
      <c r="D10" s="824"/>
      <c r="E10" s="820"/>
      <c r="F10" s="822" t="s">
        <v>212</v>
      </c>
      <c r="G10" s="820"/>
      <c r="H10" s="823"/>
      <c r="I10" s="824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4"/>
      <c r="U10" s="824"/>
      <c r="V10" s="824"/>
      <c r="W10" s="824"/>
      <c r="X10" s="824"/>
      <c r="Y10" s="824"/>
      <c r="Z10" s="824"/>
      <c r="AA10" s="824"/>
      <c r="AB10" s="824"/>
      <c r="AC10" s="824"/>
      <c r="AD10" s="825"/>
    </row>
    <row r="11" spans="1:30" s="831" customFormat="1" ht="9.75" customHeight="1">
      <c r="A11" s="827"/>
      <c r="B11" s="828"/>
      <c r="C11" s="829"/>
      <c r="D11" s="829"/>
      <c r="E11" s="827"/>
      <c r="G11" s="829"/>
      <c r="H11" s="829"/>
      <c r="I11" s="829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30"/>
    </row>
    <row r="12" spans="1:30" s="831" customFormat="1" ht="21" customHeight="1">
      <c r="A12" s="820"/>
      <c r="B12" s="821"/>
      <c r="C12" s="824"/>
      <c r="D12" s="824"/>
      <c r="E12" s="820"/>
      <c r="F12" s="832" t="s">
        <v>213</v>
      </c>
      <c r="G12" s="820"/>
      <c r="H12" s="820"/>
      <c r="I12" s="820"/>
      <c r="J12" s="833"/>
      <c r="K12" s="833"/>
      <c r="L12" s="833"/>
      <c r="M12" s="833"/>
      <c r="N12" s="833"/>
      <c r="O12" s="827"/>
      <c r="P12" s="827"/>
      <c r="Q12" s="827"/>
      <c r="R12" s="827"/>
      <c r="S12" s="827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30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'TOT-1110'!B14</f>
        <v>Desde el 01 al 30 de noviembre de 2010</v>
      </c>
      <c r="C14" s="40"/>
      <c r="D14" s="40"/>
      <c r="E14" s="248"/>
      <c r="F14" s="112"/>
      <c r="G14" s="112"/>
      <c r="H14" s="112"/>
      <c r="I14" s="112"/>
      <c r="J14" s="112"/>
      <c r="K14" s="112"/>
      <c r="L14" s="112"/>
      <c r="M14" s="112"/>
      <c r="N14" s="112"/>
      <c r="O14" s="248"/>
      <c r="P14" s="248"/>
      <c r="Q14" s="248"/>
      <c r="R14" s="248"/>
      <c r="S14" s="248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49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250" t="s">
        <v>75</v>
      </c>
      <c r="G16" s="251"/>
      <c r="H16" s="252">
        <v>0.45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24</v>
      </c>
      <c r="G17" s="111"/>
      <c r="H17" s="806">
        <v>200</v>
      </c>
      <c r="I17"/>
      <c r="J17" s="15"/>
      <c r="K17" s="199"/>
      <c r="L17" s="200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07">
        <v>3</v>
      </c>
      <c r="D18" s="907">
        <v>4</v>
      </c>
      <c r="E18" s="907">
        <v>5</v>
      </c>
      <c r="F18" s="907">
        <v>6</v>
      </c>
      <c r="G18" s="907">
        <v>7</v>
      </c>
      <c r="H18" s="907">
        <v>8</v>
      </c>
      <c r="I18" s="907">
        <v>9</v>
      </c>
      <c r="J18" s="907">
        <v>10</v>
      </c>
      <c r="K18" s="907">
        <v>11</v>
      </c>
      <c r="L18" s="907">
        <v>12</v>
      </c>
      <c r="M18" s="907">
        <v>13</v>
      </c>
      <c r="N18" s="907">
        <v>14</v>
      </c>
      <c r="O18" s="907">
        <v>15</v>
      </c>
      <c r="P18" s="907">
        <v>16</v>
      </c>
      <c r="Q18" s="907">
        <v>17</v>
      </c>
      <c r="R18" s="907">
        <v>18</v>
      </c>
      <c r="S18" s="907">
        <v>19</v>
      </c>
      <c r="T18" s="907">
        <v>20</v>
      </c>
      <c r="U18" s="907">
        <v>21</v>
      </c>
      <c r="V18" s="907">
        <v>22</v>
      </c>
      <c r="W18" s="907">
        <v>23</v>
      </c>
      <c r="X18" s="907">
        <v>24</v>
      </c>
      <c r="Y18" s="907">
        <v>25</v>
      </c>
      <c r="Z18" s="907">
        <v>26</v>
      </c>
      <c r="AA18" s="907">
        <v>27</v>
      </c>
      <c r="AB18" s="907">
        <v>28</v>
      </c>
      <c r="AC18" s="907">
        <v>29</v>
      </c>
      <c r="AD18" s="17"/>
    </row>
    <row r="19" spans="1:30" s="5" customFormat="1" ht="33.75" customHeight="1" thickBot="1" thickTop="1">
      <c r="A19" s="90"/>
      <c r="B19" s="95"/>
      <c r="C19" s="123" t="s">
        <v>12</v>
      </c>
      <c r="D19" s="84" t="s">
        <v>223</v>
      </c>
      <c r="E19" s="84" t="s">
        <v>224</v>
      </c>
      <c r="F19" s="119" t="s">
        <v>25</v>
      </c>
      <c r="G19" s="118" t="s">
        <v>26</v>
      </c>
      <c r="H19" s="120" t="s">
        <v>27</v>
      </c>
      <c r="I19" s="121" t="s">
        <v>13</v>
      </c>
      <c r="J19" s="129" t="s">
        <v>15</v>
      </c>
      <c r="K19" s="118" t="s">
        <v>16</v>
      </c>
      <c r="L19" s="118" t="s">
        <v>17</v>
      </c>
      <c r="M19" s="119" t="s">
        <v>28</v>
      </c>
      <c r="N19" s="119" t="s">
        <v>29</v>
      </c>
      <c r="O19" s="88" t="s">
        <v>18</v>
      </c>
      <c r="P19" s="88" t="s">
        <v>56</v>
      </c>
      <c r="Q19" s="122" t="s">
        <v>30</v>
      </c>
      <c r="R19" s="118" t="s">
        <v>31</v>
      </c>
      <c r="S19" s="253" t="s">
        <v>35</v>
      </c>
      <c r="T19" s="254" t="s">
        <v>19</v>
      </c>
      <c r="U19" s="255" t="s">
        <v>20</v>
      </c>
      <c r="V19" s="205" t="s">
        <v>76</v>
      </c>
      <c r="W19" s="207"/>
      <c r="X19" s="256" t="s">
        <v>77</v>
      </c>
      <c r="Y19" s="257"/>
      <c r="Z19" s="258" t="s">
        <v>21</v>
      </c>
      <c r="AA19" s="259" t="s">
        <v>72</v>
      </c>
      <c r="AB19" s="132" t="s">
        <v>73</v>
      </c>
      <c r="AC19" s="121" t="s">
        <v>23</v>
      </c>
      <c r="AD19" s="17"/>
    </row>
    <row r="20" spans="1:30" s="5" customFormat="1" ht="16.5" customHeight="1" thickTop="1">
      <c r="A20" s="90"/>
      <c r="B20" s="95"/>
      <c r="C20" s="260"/>
      <c r="D20" s="260"/>
      <c r="E20" s="260"/>
      <c r="F20" s="260"/>
      <c r="G20" s="260"/>
      <c r="H20" s="260"/>
      <c r="I20" s="261"/>
      <c r="J20" s="262"/>
      <c r="K20" s="260"/>
      <c r="L20" s="260"/>
      <c r="M20" s="260"/>
      <c r="N20" s="260"/>
      <c r="O20" s="260"/>
      <c r="P20" s="178"/>
      <c r="Q20" s="263"/>
      <c r="R20" s="260"/>
      <c r="S20" s="264"/>
      <c r="T20" s="265"/>
      <c r="U20" s="266"/>
      <c r="V20" s="267"/>
      <c r="W20" s="268"/>
      <c r="X20" s="269"/>
      <c r="Y20" s="270"/>
      <c r="Z20" s="271"/>
      <c r="AA20" s="272"/>
      <c r="AB20" s="263"/>
      <c r="AC20" s="273">
        <f>'TR-11 (1)'!AC41</f>
        <v>42016.5</v>
      </c>
      <c r="AD20" s="17"/>
    </row>
    <row r="21" spans="1:30" s="5" customFormat="1" ht="16.5" customHeight="1">
      <c r="A21" s="90"/>
      <c r="B21" s="95"/>
      <c r="C21" s="274"/>
      <c r="D21" s="274"/>
      <c r="E21" s="274"/>
      <c r="F21" s="274"/>
      <c r="G21" s="274"/>
      <c r="H21" s="274"/>
      <c r="I21" s="275"/>
      <c r="J21" s="276"/>
      <c r="K21" s="274"/>
      <c r="L21" s="274"/>
      <c r="M21" s="274"/>
      <c r="N21" s="274"/>
      <c r="O21" s="274"/>
      <c r="P21" s="181"/>
      <c r="Q21" s="277"/>
      <c r="R21" s="274"/>
      <c r="S21" s="278"/>
      <c r="T21" s="279"/>
      <c r="U21" s="280"/>
      <c r="V21" s="281"/>
      <c r="W21" s="282"/>
      <c r="X21" s="283"/>
      <c r="Y21" s="284"/>
      <c r="Z21" s="285"/>
      <c r="AA21" s="286"/>
      <c r="AB21" s="277"/>
      <c r="AC21" s="287"/>
      <c r="AD21" s="17"/>
    </row>
    <row r="22" spans="1:30" s="5" customFormat="1" ht="16.5" customHeight="1">
      <c r="A22" s="90"/>
      <c r="B22" s="95"/>
      <c r="C22" s="152">
        <v>39</v>
      </c>
      <c r="D22" s="152">
        <v>228525</v>
      </c>
      <c r="E22" s="152">
        <v>4574</v>
      </c>
      <c r="F22" s="148" t="s">
        <v>377</v>
      </c>
      <c r="G22" s="288" t="s">
        <v>304</v>
      </c>
      <c r="H22" s="289">
        <v>300</v>
      </c>
      <c r="I22" s="922" t="s">
        <v>277</v>
      </c>
      <c r="J22" s="291">
        <f aca="true" t="shared" si="0" ref="J22:J41">H22*$H$16</f>
        <v>135</v>
      </c>
      <c r="K22" s="153">
        <v>40508.66458333333</v>
      </c>
      <c r="L22" s="153">
        <v>40508.66736111111</v>
      </c>
      <c r="M22" s="292">
        <f aca="true" t="shared" si="1" ref="M22:M41">IF(F22="","",(L22-K22)*24)</f>
        <v>0.06666666670935228</v>
      </c>
      <c r="N22" s="14">
        <f aca="true" t="shared" si="2" ref="N22:N41">IF(F22="","",ROUND((L22-K22)*24*60,0))</f>
        <v>4</v>
      </c>
      <c r="O22" s="154" t="s">
        <v>296</v>
      </c>
      <c r="P22" s="515" t="str">
        <f aca="true" t="shared" si="3" ref="P22:P41">IF(F22="","","--")</f>
        <v>--</v>
      </c>
      <c r="Q22" s="8" t="str">
        <f aca="true" t="shared" si="4" ref="Q22:Q41">IF(F22="","",IF(OR(O22="P",O22="RP"),"--","NO"))</f>
        <v>NO</v>
      </c>
      <c r="R22" s="221" t="str">
        <f aca="true" t="shared" si="5" ref="R22:R41">IF(F22="","","NO")</f>
        <v>NO</v>
      </c>
      <c r="S22" s="293">
        <f aca="true" t="shared" si="6" ref="S22:S41">$H$17*IF(OR(O22="P",O22="RP"),0.1,1)*IF(R22="SI",1,0.1)</f>
        <v>20</v>
      </c>
      <c r="T22" s="294" t="str">
        <f aca="true" t="shared" si="7" ref="T22:T41">IF(O22="P",J22*S22*ROUND(N22/60,2),"--")</f>
        <v>--</v>
      </c>
      <c r="U22" s="295" t="str">
        <f aca="true" t="shared" si="8" ref="U22:U41">IF(O22="RP",J22*S22*P22/100*ROUND(N22/60,2),"--")</f>
        <v>--</v>
      </c>
      <c r="V22" s="296">
        <f aca="true" t="shared" si="9" ref="V22:V41">IF(AND(O22="F",Q22="NO"),J22*S22,"--")</f>
        <v>2700</v>
      </c>
      <c r="W22" s="297">
        <f aca="true" t="shared" si="10" ref="W22:W41">IF(O22="F",J22*S22*ROUND(N22/60,2),"--")</f>
        <v>189.00000000000003</v>
      </c>
      <c r="X22" s="298" t="str">
        <f aca="true" t="shared" si="11" ref="X22:X41">IF(AND(O22="R",Q22="NO"),J22*S22*P22/100,"--")</f>
        <v>--</v>
      </c>
      <c r="Y22" s="299" t="str">
        <f aca="true" t="shared" si="12" ref="Y22:Y41">IF(O22="R",J22*S22*P22/100*ROUND(N22/60,2),"--")</f>
        <v>--</v>
      </c>
      <c r="Z22" s="300" t="str">
        <f aca="true" t="shared" si="13" ref="Z22:Z41">IF(O22="RF",J22*S22*ROUND(N22/60,2),"--")</f>
        <v>--</v>
      </c>
      <c r="AA22" s="301" t="str">
        <f aca="true" t="shared" si="14" ref="AA22:AA41">IF(O22="RR",J22*S22*P22/100*ROUND(N22/60,2),"--")</f>
        <v>--</v>
      </c>
      <c r="AB22" s="302" t="s">
        <v>202</v>
      </c>
      <c r="AC22" s="16">
        <f aca="true" t="shared" si="15" ref="AC22:AC41">IF(F22="","",(SUM(T22:AA22)*IF(AB22="SI",1,2)*IF(AND(P22&lt;&gt;"--",O22="RF"),P22/100,1)))</f>
        <v>2889</v>
      </c>
      <c r="AD22" s="17"/>
    </row>
    <row r="23" spans="2:30" s="90" customFormat="1" ht="16.5" customHeight="1">
      <c r="B23" s="95"/>
      <c r="C23" s="274">
        <v>40</v>
      </c>
      <c r="D23" s="274">
        <v>228534</v>
      </c>
      <c r="E23" s="274">
        <v>55</v>
      </c>
      <c r="F23" s="1028" t="s">
        <v>314</v>
      </c>
      <c r="G23" s="1029" t="s">
        <v>306</v>
      </c>
      <c r="H23" s="1030">
        <v>800</v>
      </c>
      <c r="I23" s="1031" t="s">
        <v>315</v>
      </c>
      <c r="J23" s="1032">
        <f t="shared" si="0"/>
        <v>360</v>
      </c>
      <c r="K23" s="153">
        <v>40509.16458333333</v>
      </c>
      <c r="L23" s="153">
        <v>40509.58125</v>
      </c>
      <c r="M23" s="292">
        <f t="shared" si="1"/>
        <v>10.000000000116415</v>
      </c>
      <c r="N23" s="14">
        <f t="shared" si="2"/>
        <v>600</v>
      </c>
      <c r="O23" s="154" t="s">
        <v>283</v>
      </c>
      <c r="P23" s="1037" t="str">
        <f t="shared" si="3"/>
        <v>--</v>
      </c>
      <c r="Q23" s="1038" t="str">
        <f t="shared" si="4"/>
        <v>--</v>
      </c>
      <c r="R23" s="13" t="str">
        <f t="shared" si="5"/>
        <v>NO</v>
      </c>
      <c r="S23" s="1039">
        <f t="shared" si="6"/>
        <v>2</v>
      </c>
      <c r="T23" s="1040">
        <f t="shared" si="7"/>
        <v>7200</v>
      </c>
      <c r="U23" s="1041" t="str">
        <f t="shared" si="8"/>
        <v>--</v>
      </c>
      <c r="V23" s="1042" t="str">
        <f t="shared" si="9"/>
        <v>--</v>
      </c>
      <c r="W23" s="1043" t="str">
        <f t="shared" si="10"/>
        <v>--</v>
      </c>
      <c r="X23" s="1044" t="str">
        <f t="shared" si="11"/>
        <v>--</v>
      </c>
      <c r="Y23" s="1045" t="str">
        <f t="shared" si="12"/>
        <v>--</v>
      </c>
      <c r="Z23" s="1046" t="str">
        <f t="shared" si="13"/>
        <v>--</v>
      </c>
      <c r="AA23" s="1047" t="str">
        <f t="shared" si="14"/>
        <v>--</v>
      </c>
      <c r="AB23" s="302" t="s">
        <v>202</v>
      </c>
      <c r="AC23" s="16">
        <v>0</v>
      </c>
      <c r="AD23" s="17"/>
    </row>
    <row r="24" spans="2:30" s="90" customFormat="1" ht="16.5" customHeight="1">
      <c r="B24" s="95"/>
      <c r="C24" s="152">
        <v>41</v>
      </c>
      <c r="D24" s="152">
        <v>228526</v>
      </c>
      <c r="E24" s="152">
        <v>72</v>
      </c>
      <c r="F24" s="1028" t="s">
        <v>316</v>
      </c>
      <c r="G24" s="1029" t="s">
        <v>393</v>
      </c>
      <c r="H24" s="1030">
        <v>300</v>
      </c>
      <c r="I24" s="1031" t="s">
        <v>313</v>
      </c>
      <c r="J24" s="1032">
        <f t="shared" si="0"/>
        <v>135</v>
      </c>
      <c r="K24" s="153">
        <v>40509.34166666667</v>
      </c>
      <c r="L24" s="153">
        <v>40509.69305555556</v>
      </c>
      <c r="M24" s="292">
        <f t="shared" si="1"/>
        <v>8.433333333407063</v>
      </c>
      <c r="N24" s="14">
        <f t="shared" si="2"/>
        <v>506</v>
      </c>
      <c r="O24" s="154" t="s">
        <v>283</v>
      </c>
      <c r="P24" s="1037" t="str">
        <f t="shared" si="3"/>
        <v>--</v>
      </c>
      <c r="Q24" s="1038" t="str">
        <f t="shared" si="4"/>
        <v>--</v>
      </c>
      <c r="R24" s="13" t="str">
        <f t="shared" si="5"/>
        <v>NO</v>
      </c>
      <c r="S24" s="1039">
        <f t="shared" si="6"/>
        <v>2</v>
      </c>
      <c r="T24" s="1040">
        <f t="shared" si="7"/>
        <v>2276.1</v>
      </c>
      <c r="U24" s="1041" t="str">
        <f t="shared" si="8"/>
        <v>--</v>
      </c>
      <c r="V24" s="1042" t="str">
        <f t="shared" si="9"/>
        <v>--</v>
      </c>
      <c r="W24" s="1043" t="str">
        <f t="shared" si="10"/>
        <v>--</v>
      </c>
      <c r="X24" s="1044" t="str">
        <f t="shared" si="11"/>
        <v>--</v>
      </c>
      <c r="Y24" s="1045" t="str">
        <f t="shared" si="12"/>
        <v>--</v>
      </c>
      <c r="Z24" s="1046" t="str">
        <f t="shared" si="13"/>
        <v>--</v>
      </c>
      <c r="AA24" s="1047" t="str">
        <f t="shared" si="14"/>
        <v>--</v>
      </c>
      <c r="AB24" s="302" t="s">
        <v>202</v>
      </c>
      <c r="AC24" s="16">
        <f t="shared" si="15"/>
        <v>2276.1</v>
      </c>
      <c r="AD24" s="17"/>
    </row>
    <row r="25" spans="2:30" s="90" customFormat="1" ht="16.5" customHeight="1">
      <c r="B25" s="95"/>
      <c r="C25" s="274">
        <v>42</v>
      </c>
      <c r="D25" s="274">
        <v>228537</v>
      </c>
      <c r="E25" s="274">
        <v>55</v>
      </c>
      <c r="F25" s="1028" t="s">
        <v>314</v>
      </c>
      <c r="G25" s="1029" t="s">
        <v>306</v>
      </c>
      <c r="H25" s="1030">
        <v>800</v>
      </c>
      <c r="I25" s="1031" t="s">
        <v>315</v>
      </c>
      <c r="J25" s="1032">
        <f t="shared" si="0"/>
        <v>360</v>
      </c>
      <c r="K25" s="153">
        <v>40510.33888888889</v>
      </c>
      <c r="L25" s="153">
        <v>40510.80625</v>
      </c>
      <c r="M25" s="292">
        <f t="shared" si="1"/>
        <v>11.216666666732635</v>
      </c>
      <c r="N25" s="14">
        <f t="shared" si="2"/>
        <v>673</v>
      </c>
      <c r="O25" s="154" t="s">
        <v>283</v>
      </c>
      <c r="P25" s="1037" t="str">
        <f t="shared" si="3"/>
        <v>--</v>
      </c>
      <c r="Q25" s="1038" t="str">
        <f t="shared" si="4"/>
        <v>--</v>
      </c>
      <c r="R25" s="13" t="str">
        <f t="shared" si="5"/>
        <v>NO</v>
      </c>
      <c r="S25" s="1039">
        <f t="shared" si="6"/>
        <v>2</v>
      </c>
      <c r="T25" s="1040">
        <f t="shared" si="7"/>
        <v>8078.400000000001</v>
      </c>
      <c r="U25" s="1041" t="str">
        <f t="shared" si="8"/>
        <v>--</v>
      </c>
      <c r="V25" s="1042" t="str">
        <f t="shared" si="9"/>
        <v>--</v>
      </c>
      <c r="W25" s="1043" t="str">
        <f t="shared" si="10"/>
        <v>--</v>
      </c>
      <c r="X25" s="1044" t="str">
        <f t="shared" si="11"/>
        <v>--</v>
      </c>
      <c r="Y25" s="1045" t="str">
        <f t="shared" si="12"/>
        <v>--</v>
      </c>
      <c r="Z25" s="1046" t="str">
        <f t="shared" si="13"/>
        <v>--</v>
      </c>
      <c r="AA25" s="1047" t="str">
        <f t="shared" si="14"/>
        <v>--</v>
      </c>
      <c r="AB25" s="302" t="s">
        <v>202</v>
      </c>
      <c r="AC25" s="16">
        <v>0</v>
      </c>
      <c r="AD25" s="17"/>
    </row>
    <row r="26" spans="2:30" s="90" customFormat="1" ht="16.5" customHeight="1">
      <c r="B26" s="95"/>
      <c r="C26" s="152"/>
      <c r="D26" s="152"/>
      <c r="E26" s="152"/>
      <c r="F26" s="1028"/>
      <c r="G26" s="1029"/>
      <c r="H26" s="1030"/>
      <c r="I26" s="1049"/>
      <c r="J26" s="1032">
        <f t="shared" si="0"/>
        <v>0</v>
      </c>
      <c r="K26" s="153"/>
      <c r="L26" s="153"/>
      <c r="M26" s="292">
        <f t="shared" si="1"/>
      </c>
      <c r="N26" s="14">
        <f t="shared" si="2"/>
      </c>
      <c r="O26" s="154"/>
      <c r="P26" s="1037">
        <f t="shared" si="3"/>
      </c>
      <c r="Q26" s="1038">
        <f t="shared" si="4"/>
      </c>
      <c r="R26" s="13">
        <f t="shared" si="5"/>
      </c>
      <c r="S26" s="1039">
        <f t="shared" si="6"/>
        <v>20</v>
      </c>
      <c r="T26" s="1040" t="str">
        <f t="shared" si="7"/>
        <v>--</v>
      </c>
      <c r="U26" s="1041" t="str">
        <f t="shared" si="8"/>
        <v>--</v>
      </c>
      <c r="V26" s="1042" t="str">
        <f t="shared" si="9"/>
        <v>--</v>
      </c>
      <c r="W26" s="1043" t="str">
        <f t="shared" si="10"/>
        <v>--</v>
      </c>
      <c r="X26" s="1044" t="str">
        <f t="shared" si="11"/>
        <v>--</v>
      </c>
      <c r="Y26" s="1045" t="str">
        <f t="shared" si="12"/>
        <v>--</v>
      </c>
      <c r="Z26" s="1046" t="str">
        <f t="shared" si="13"/>
        <v>--</v>
      </c>
      <c r="AA26" s="1047" t="str">
        <f t="shared" si="14"/>
        <v>--</v>
      </c>
      <c r="AB26" s="302">
        <f aca="true" t="shared" si="16" ref="AB26:AB41">IF(F26="","","SI")</f>
      </c>
      <c r="AC26" s="16">
        <f t="shared" si="15"/>
      </c>
      <c r="AD26" s="17"/>
    </row>
    <row r="27" spans="1:30" s="5" customFormat="1" ht="16.5" customHeight="1">
      <c r="A27" s="90"/>
      <c r="B27" s="95"/>
      <c r="C27" s="274"/>
      <c r="D27" s="274"/>
      <c r="E27" s="274"/>
      <c r="F27" s="148"/>
      <c r="G27" s="288"/>
      <c r="H27" s="289"/>
      <c r="I27" s="290"/>
      <c r="J27" s="291">
        <f t="shared" si="0"/>
        <v>0</v>
      </c>
      <c r="K27" s="153"/>
      <c r="L27" s="153"/>
      <c r="M27" s="292">
        <f t="shared" si="1"/>
      </c>
      <c r="N27" s="14">
        <f t="shared" si="2"/>
      </c>
      <c r="O27" s="154"/>
      <c r="P27" s="515">
        <f t="shared" si="3"/>
      </c>
      <c r="Q27" s="8">
        <f t="shared" si="4"/>
      </c>
      <c r="R27" s="221">
        <f t="shared" si="5"/>
      </c>
      <c r="S27" s="293">
        <f t="shared" si="6"/>
        <v>20</v>
      </c>
      <c r="T27" s="294" t="str">
        <f t="shared" si="7"/>
        <v>--</v>
      </c>
      <c r="U27" s="295" t="str">
        <f t="shared" si="8"/>
        <v>--</v>
      </c>
      <c r="V27" s="296" t="str">
        <f t="shared" si="9"/>
        <v>--</v>
      </c>
      <c r="W27" s="297" t="str">
        <f t="shared" si="10"/>
        <v>--</v>
      </c>
      <c r="X27" s="298" t="str">
        <f t="shared" si="11"/>
        <v>--</v>
      </c>
      <c r="Y27" s="299" t="str">
        <f t="shared" si="12"/>
        <v>--</v>
      </c>
      <c r="Z27" s="300" t="str">
        <f t="shared" si="13"/>
        <v>--</v>
      </c>
      <c r="AA27" s="301" t="str">
        <f t="shared" si="14"/>
        <v>--</v>
      </c>
      <c r="AB27" s="302">
        <f t="shared" si="16"/>
      </c>
      <c r="AC27" s="16">
        <f t="shared" si="15"/>
      </c>
      <c r="AD27" s="17"/>
    </row>
    <row r="28" spans="1:31" s="5" customFormat="1" ht="16.5" customHeight="1">
      <c r="A28" s="90"/>
      <c r="B28" s="95"/>
      <c r="C28" s="152"/>
      <c r="D28" s="152"/>
      <c r="E28" s="152"/>
      <c r="F28" s="148"/>
      <c r="G28" s="288"/>
      <c r="H28" s="289"/>
      <c r="I28" s="290"/>
      <c r="J28" s="291">
        <f t="shared" si="0"/>
        <v>0</v>
      </c>
      <c r="K28" s="153"/>
      <c r="L28" s="153"/>
      <c r="M28" s="292">
        <f t="shared" si="1"/>
      </c>
      <c r="N28" s="14">
        <f t="shared" si="2"/>
      </c>
      <c r="O28" s="154"/>
      <c r="P28" s="515">
        <f t="shared" si="3"/>
      </c>
      <c r="Q28" s="8">
        <f t="shared" si="4"/>
      </c>
      <c r="R28" s="221">
        <f t="shared" si="5"/>
      </c>
      <c r="S28" s="293">
        <f t="shared" si="6"/>
        <v>20</v>
      </c>
      <c r="T28" s="294" t="str">
        <f t="shared" si="7"/>
        <v>--</v>
      </c>
      <c r="U28" s="295" t="str">
        <f t="shared" si="8"/>
        <v>--</v>
      </c>
      <c r="V28" s="296" t="str">
        <f t="shared" si="9"/>
        <v>--</v>
      </c>
      <c r="W28" s="297" t="str">
        <f t="shared" si="10"/>
        <v>--</v>
      </c>
      <c r="X28" s="298" t="str">
        <f t="shared" si="11"/>
        <v>--</v>
      </c>
      <c r="Y28" s="299" t="str">
        <f t="shared" si="12"/>
        <v>--</v>
      </c>
      <c r="Z28" s="300" t="str">
        <f t="shared" si="13"/>
        <v>--</v>
      </c>
      <c r="AA28" s="301" t="str">
        <f t="shared" si="14"/>
        <v>--</v>
      </c>
      <c r="AB28" s="302">
        <f t="shared" si="16"/>
      </c>
      <c r="AC28" s="16">
        <f t="shared" si="15"/>
      </c>
      <c r="AD28" s="17"/>
      <c r="AE28" s="15"/>
    </row>
    <row r="29" spans="1:30" s="5" customFormat="1" ht="16.5" customHeight="1">
      <c r="A29" s="90"/>
      <c r="B29" s="95"/>
      <c r="C29" s="274"/>
      <c r="D29" s="274"/>
      <c r="E29" s="274"/>
      <c r="F29" s="148"/>
      <c r="G29" s="288"/>
      <c r="H29" s="289"/>
      <c r="I29" s="290"/>
      <c r="J29" s="291">
        <f t="shared" si="0"/>
        <v>0</v>
      </c>
      <c r="K29" s="153"/>
      <c r="L29" s="153"/>
      <c r="M29" s="292">
        <f t="shared" si="1"/>
      </c>
      <c r="N29" s="14">
        <f t="shared" si="2"/>
      </c>
      <c r="O29" s="154"/>
      <c r="P29" s="515">
        <f t="shared" si="3"/>
      </c>
      <c r="Q29" s="8">
        <f t="shared" si="4"/>
      </c>
      <c r="R29" s="221">
        <f t="shared" si="5"/>
      </c>
      <c r="S29" s="293">
        <f t="shared" si="6"/>
        <v>20</v>
      </c>
      <c r="T29" s="294" t="str">
        <f t="shared" si="7"/>
        <v>--</v>
      </c>
      <c r="U29" s="295" t="str">
        <f t="shared" si="8"/>
        <v>--</v>
      </c>
      <c r="V29" s="296" t="str">
        <f t="shared" si="9"/>
        <v>--</v>
      </c>
      <c r="W29" s="297" t="str">
        <f t="shared" si="10"/>
        <v>--</v>
      </c>
      <c r="X29" s="298" t="str">
        <f t="shared" si="11"/>
        <v>--</v>
      </c>
      <c r="Y29" s="299" t="str">
        <f t="shared" si="12"/>
        <v>--</v>
      </c>
      <c r="Z29" s="300" t="str">
        <f t="shared" si="13"/>
        <v>--</v>
      </c>
      <c r="AA29" s="301" t="str">
        <f t="shared" si="14"/>
        <v>--</v>
      </c>
      <c r="AB29" s="302">
        <f t="shared" si="16"/>
      </c>
      <c r="AC29" s="16">
        <f t="shared" si="15"/>
      </c>
      <c r="AD29" s="17"/>
    </row>
    <row r="30" spans="1:30" s="5" customFormat="1" ht="16.5" customHeight="1">
      <c r="A30" s="90"/>
      <c r="B30" s="95"/>
      <c r="C30" s="152"/>
      <c r="D30" s="152"/>
      <c r="E30" s="152"/>
      <c r="F30" s="148"/>
      <c r="G30" s="288"/>
      <c r="H30" s="289"/>
      <c r="I30" s="290"/>
      <c r="J30" s="291">
        <f t="shared" si="0"/>
        <v>0</v>
      </c>
      <c r="K30" s="153"/>
      <c r="L30" s="153"/>
      <c r="M30" s="292">
        <f t="shared" si="1"/>
      </c>
      <c r="N30" s="14">
        <f t="shared" si="2"/>
      </c>
      <c r="O30" s="154"/>
      <c r="P30" s="515">
        <f t="shared" si="3"/>
      </c>
      <c r="Q30" s="8">
        <f t="shared" si="4"/>
      </c>
      <c r="R30" s="221">
        <f t="shared" si="5"/>
      </c>
      <c r="S30" s="293">
        <f t="shared" si="6"/>
        <v>20</v>
      </c>
      <c r="T30" s="294" t="str">
        <f t="shared" si="7"/>
        <v>--</v>
      </c>
      <c r="U30" s="295" t="str">
        <f t="shared" si="8"/>
        <v>--</v>
      </c>
      <c r="V30" s="296" t="str">
        <f t="shared" si="9"/>
        <v>--</v>
      </c>
      <c r="W30" s="297" t="str">
        <f t="shared" si="10"/>
        <v>--</v>
      </c>
      <c r="X30" s="298" t="str">
        <f t="shared" si="11"/>
        <v>--</v>
      </c>
      <c r="Y30" s="299" t="str">
        <f t="shared" si="12"/>
        <v>--</v>
      </c>
      <c r="Z30" s="300" t="str">
        <f t="shared" si="13"/>
        <v>--</v>
      </c>
      <c r="AA30" s="301" t="str">
        <f t="shared" si="14"/>
        <v>--</v>
      </c>
      <c r="AB30" s="302">
        <f t="shared" si="16"/>
      </c>
      <c r="AC30" s="16">
        <f t="shared" si="15"/>
      </c>
      <c r="AD30" s="17"/>
    </row>
    <row r="31" spans="1:30" s="5" customFormat="1" ht="16.5" customHeight="1">
      <c r="A31" s="90"/>
      <c r="B31" s="95"/>
      <c r="C31" s="274"/>
      <c r="D31" s="274"/>
      <c r="E31" s="274"/>
      <c r="F31" s="148"/>
      <c r="G31" s="288"/>
      <c r="H31" s="289"/>
      <c r="I31" s="290"/>
      <c r="J31" s="291">
        <f t="shared" si="0"/>
        <v>0</v>
      </c>
      <c r="K31" s="153"/>
      <c r="L31" s="153"/>
      <c r="M31" s="292">
        <f t="shared" si="1"/>
      </c>
      <c r="N31" s="14">
        <f t="shared" si="2"/>
      </c>
      <c r="O31" s="154"/>
      <c r="P31" s="515">
        <f t="shared" si="3"/>
      </c>
      <c r="Q31" s="8">
        <f t="shared" si="4"/>
      </c>
      <c r="R31" s="221">
        <f t="shared" si="5"/>
      </c>
      <c r="S31" s="293">
        <f t="shared" si="6"/>
        <v>20</v>
      </c>
      <c r="T31" s="294" t="str">
        <f t="shared" si="7"/>
        <v>--</v>
      </c>
      <c r="U31" s="295" t="str">
        <f t="shared" si="8"/>
        <v>--</v>
      </c>
      <c r="V31" s="296" t="str">
        <f t="shared" si="9"/>
        <v>--</v>
      </c>
      <c r="W31" s="297" t="str">
        <f t="shared" si="10"/>
        <v>--</v>
      </c>
      <c r="X31" s="298" t="str">
        <f t="shared" si="11"/>
        <v>--</v>
      </c>
      <c r="Y31" s="299" t="str">
        <f t="shared" si="12"/>
        <v>--</v>
      </c>
      <c r="Z31" s="300" t="str">
        <f t="shared" si="13"/>
        <v>--</v>
      </c>
      <c r="AA31" s="301" t="str">
        <f t="shared" si="14"/>
        <v>--</v>
      </c>
      <c r="AB31" s="302">
        <f t="shared" si="16"/>
      </c>
      <c r="AC31" s="16">
        <f t="shared" si="15"/>
      </c>
      <c r="AD31" s="17"/>
    </row>
    <row r="32" spans="1:30" s="5" customFormat="1" ht="16.5" customHeight="1">
      <c r="A32" s="90"/>
      <c r="B32" s="95"/>
      <c r="C32" s="152"/>
      <c r="D32" s="152"/>
      <c r="E32" s="152"/>
      <c r="F32" s="148"/>
      <c r="G32" s="304"/>
      <c r="H32" s="289"/>
      <c r="I32" s="290"/>
      <c r="J32" s="291">
        <f t="shared" si="0"/>
        <v>0</v>
      </c>
      <c r="K32" s="153"/>
      <c r="L32" s="153"/>
      <c r="M32" s="292">
        <f t="shared" si="1"/>
      </c>
      <c r="N32" s="14">
        <f t="shared" si="2"/>
      </c>
      <c r="O32" s="154"/>
      <c r="P32" s="515">
        <f t="shared" si="3"/>
      </c>
      <c r="Q32" s="8">
        <f t="shared" si="4"/>
      </c>
      <c r="R32" s="221">
        <f t="shared" si="5"/>
      </c>
      <c r="S32" s="293">
        <f t="shared" si="6"/>
        <v>20</v>
      </c>
      <c r="T32" s="294" t="str">
        <f t="shared" si="7"/>
        <v>--</v>
      </c>
      <c r="U32" s="295" t="str">
        <f t="shared" si="8"/>
        <v>--</v>
      </c>
      <c r="V32" s="296" t="str">
        <f t="shared" si="9"/>
        <v>--</v>
      </c>
      <c r="W32" s="297" t="str">
        <f t="shared" si="10"/>
        <v>--</v>
      </c>
      <c r="X32" s="298" t="str">
        <f t="shared" si="11"/>
        <v>--</v>
      </c>
      <c r="Y32" s="299" t="str">
        <f t="shared" si="12"/>
        <v>--</v>
      </c>
      <c r="Z32" s="300" t="str">
        <f t="shared" si="13"/>
        <v>--</v>
      </c>
      <c r="AA32" s="301" t="str">
        <f t="shared" si="14"/>
        <v>--</v>
      </c>
      <c r="AB32" s="302">
        <f t="shared" si="16"/>
      </c>
      <c r="AC32" s="16">
        <f t="shared" si="15"/>
      </c>
      <c r="AD32" s="17"/>
    </row>
    <row r="33" spans="1:30" s="5" customFormat="1" ht="16.5" customHeight="1">
      <c r="A33" s="90"/>
      <c r="B33" s="95"/>
      <c r="C33" s="274"/>
      <c r="D33" s="274"/>
      <c r="E33" s="274"/>
      <c r="F33" s="148"/>
      <c r="G33" s="304"/>
      <c r="H33" s="289"/>
      <c r="I33" s="290"/>
      <c r="J33" s="291">
        <f t="shared" si="0"/>
        <v>0</v>
      </c>
      <c r="K33" s="153"/>
      <c r="L33" s="153"/>
      <c r="M33" s="292">
        <f t="shared" si="1"/>
      </c>
      <c r="N33" s="14">
        <f t="shared" si="2"/>
      </c>
      <c r="O33" s="154"/>
      <c r="P33" s="515">
        <f t="shared" si="3"/>
      </c>
      <c r="Q33" s="8">
        <f t="shared" si="4"/>
      </c>
      <c r="R33" s="221">
        <f t="shared" si="5"/>
      </c>
      <c r="S33" s="293">
        <f t="shared" si="6"/>
        <v>20</v>
      </c>
      <c r="T33" s="294" t="str">
        <f t="shared" si="7"/>
        <v>--</v>
      </c>
      <c r="U33" s="295" t="str">
        <f t="shared" si="8"/>
        <v>--</v>
      </c>
      <c r="V33" s="296" t="str">
        <f t="shared" si="9"/>
        <v>--</v>
      </c>
      <c r="W33" s="297" t="str">
        <f t="shared" si="10"/>
        <v>--</v>
      </c>
      <c r="X33" s="298" t="str">
        <f t="shared" si="11"/>
        <v>--</v>
      </c>
      <c r="Y33" s="299" t="str">
        <f t="shared" si="12"/>
        <v>--</v>
      </c>
      <c r="Z33" s="300" t="str">
        <f t="shared" si="13"/>
        <v>--</v>
      </c>
      <c r="AA33" s="301" t="str">
        <f t="shared" si="14"/>
        <v>--</v>
      </c>
      <c r="AB33" s="302">
        <f t="shared" si="16"/>
      </c>
      <c r="AC33" s="16">
        <f t="shared" si="15"/>
      </c>
      <c r="AD33" s="17"/>
    </row>
    <row r="34" spans="1:30" s="5" customFormat="1" ht="16.5" customHeight="1">
      <c r="A34" s="90"/>
      <c r="B34" s="95"/>
      <c r="C34" s="152"/>
      <c r="D34" s="152"/>
      <c r="E34" s="152"/>
      <c r="F34" s="148"/>
      <c r="G34" s="304"/>
      <c r="H34" s="289"/>
      <c r="I34" s="290"/>
      <c r="J34" s="291">
        <f t="shared" si="0"/>
        <v>0</v>
      </c>
      <c r="K34" s="153"/>
      <c r="L34" s="153"/>
      <c r="M34" s="292">
        <f t="shared" si="1"/>
      </c>
      <c r="N34" s="14">
        <f t="shared" si="2"/>
      </c>
      <c r="O34" s="154"/>
      <c r="P34" s="515">
        <f t="shared" si="3"/>
      </c>
      <c r="Q34" s="8">
        <f t="shared" si="4"/>
      </c>
      <c r="R34" s="221">
        <f t="shared" si="5"/>
      </c>
      <c r="S34" s="293">
        <f t="shared" si="6"/>
        <v>20</v>
      </c>
      <c r="T34" s="294" t="str">
        <f t="shared" si="7"/>
        <v>--</v>
      </c>
      <c r="U34" s="295" t="str">
        <f t="shared" si="8"/>
        <v>--</v>
      </c>
      <c r="V34" s="296" t="str">
        <f t="shared" si="9"/>
        <v>--</v>
      </c>
      <c r="W34" s="297" t="str">
        <f t="shared" si="10"/>
        <v>--</v>
      </c>
      <c r="X34" s="298" t="str">
        <f t="shared" si="11"/>
        <v>--</v>
      </c>
      <c r="Y34" s="299" t="str">
        <f t="shared" si="12"/>
        <v>--</v>
      </c>
      <c r="Z34" s="300" t="str">
        <f t="shared" si="13"/>
        <v>--</v>
      </c>
      <c r="AA34" s="301" t="str">
        <f t="shared" si="14"/>
        <v>--</v>
      </c>
      <c r="AB34" s="302">
        <f t="shared" si="16"/>
      </c>
      <c r="AC34" s="16">
        <f t="shared" si="15"/>
      </c>
      <c r="AD34" s="17"/>
    </row>
    <row r="35" spans="1:30" s="5" customFormat="1" ht="16.5" customHeight="1">
      <c r="A35" s="90"/>
      <c r="B35" s="95"/>
      <c r="C35" s="274"/>
      <c r="D35" s="274"/>
      <c r="E35" s="274"/>
      <c r="F35" s="148"/>
      <c r="G35" s="304"/>
      <c r="H35" s="289"/>
      <c r="I35" s="290"/>
      <c r="J35" s="291">
        <f t="shared" si="0"/>
        <v>0</v>
      </c>
      <c r="K35" s="153"/>
      <c r="L35" s="153"/>
      <c r="M35" s="292">
        <f t="shared" si="1"/>
      </c>
      <c r="N35" s="14">
        <f t="shared" si="2"/>
      </c>
      <c r="O35" s="154"/>
      <c r="P35" s="515">
        <f t="shared" si="3"/>
      </c>
      <c r="Q35" s="8">
        <f t="shared" si="4"/>
      </c>
      <c r="R35" s="221">
        <f t="shared" si="5"/>
      </c>
      <c r="S35" s="293">
        <f t="shared" si="6"/>
        <v>20</v>
      </c>
      <c r="T35" s="294" t="str">
        <f t="shared" si="7"/>
        <v>--</v>
      </c>
      <c r="U35" s="295" t="str">
        <f t="shared" si="8"/>
        <v>--</v>
      </c>
      <c r="V35" s="296" t="str">
        <f t="shared" si="9"/>
        <v>--</v>
      </c>
      <c r="W35" s="297" t="str">
        <f t="shared" si="10"/>
        <v>--</v>
      </c>
      <c r="X35" s="298" t="str">
        <f t="shared" si="11"/>
        <v>--</v>
      </c>
      <c r="Y35" s="299" t="str">
        <f t="shared" si="12"/>
        <v>--</v>
      </c>
      <c r="Z35" s="300" t="str">
        <f t="shared" si="13"/>
        <v>--</v>
      </c>
      <c r="AA35" s="301" t="str">
        <f t="shared" si="14"/>
        <v>--</v>
      </c>
      <c r="AB35" s="302">
        <f t="shared" si="16"/>
      </c>
      <c r="AC35" s="16">
        <f t="shared" si="15"/>
      </c>
      <c r="AD35" s="17"/>
    </row>
    <row r="36" spans="1:30" s="5" customFormat="1" ht="16.5" customHeight="1">
      <c r="A36" s="90"/>
      <c r="B36" s="95"/>
      <c r="C36" s="152"/>
      <c r="D36" s="152"/>
      <c r="E36" s="152"/>
      <c r="F36" s="148"/>
      <c r="G36" s="304"/>
      <c r="H36" s="289"/>
      <c r="I36" s="290"/>
      <c r="J36" s="291">
        <f t="shared" si="0"/>
        <v>0</v>
      </c>
      <c r="K36" s="153"/>
      <c r="L36" s="153"/>
      <c r="M36" s="292">
        <f t="shared" si="1"/>
      </c>
      <c r="N36" s="14">
        <f t="shared" si="2"/>
      </c>
      <c r="O36" s="154"/>
      <c r="P36" s="515">
        <f t="shared" si="3"/>
      </c>
      <c r="Q36" s="8">
        <f t="shared" si="4"/>
      </c>
      <c r="R36" s="221">
        <f t="shared" si="5"/>
      </c>
      <c r="S36" s="293">
        <f t="shared" si="6"/>
        <v>20</v>
      </c>
      <c r="T36" s="294" t="str">
        <f t="shared" si="7"/>
        <v>--</v>
      </c>
      <c r="U36" s="295" t="str">
        <f t="shared" si="8"/>
        <v>--</v>
      </c>
      <c r="V36" s="296" t="str">
        <f t="shared" si="9"/>
        <v>--</v>
      </c>
      <c r="W36" s="297" t="str">
        <f t="shared" si="10"/>
        <v>--</v>
      </c>
      <c r="X36" s="298" t="str">
        <f t="shared" si="11"/>
        <v>--</v>
      </c>
      <c r="Y36" s="299" t="str">
        <f t="shared" si="12"/>
        <v>--</v>
      </c>
      <c r="Z36" s="300" t="str">
        <f t="shared" si="13"/>
        <v>--</v>
      </c>
      <c r="AA36" s="301" t="str">
        <f t="shared" si="14"/>
        <v>--</v>
      </c>
      <c r="AB36" s="302">
        <f t="shared" si="16"/>
      </c>
      <c r="AC36" s="16">
        <f t="shared" si="15"/>
      </c>
      <c r="AD36" s="17"/>
    </row>
    <row r="37" spans="1:30" s="5" customFormat="1" ht="16.5" customHeight="1">
      <c r="A37" s="90"/>
      <c r="B37" s="95"/>
      <c r="C37" s="274"/>
      <c r="D37" s="274"/>
      <c r="E37" s="274"/>
      <c r="F37" s="148"/>
      <c r="G37" s="304"/>
      <c r="H37" s="289"/>
      <c r="I37" s="290"/>
      <c r="J37" s="291">
        <f t="shared" si="0"/>
        <v>0</v>
      </c>
      <c r="K37" s="153"/>
      <c r="L37" s="153"/>
      <c r="M37" s="292">
        <f t="shared" si="1"/>
      </c>
      <c r="N37" s="14">
        <f t="shared" si="2"/>
      </c>
      <c r="O37" s="154"/>
      <c r="P37" s="515">
        <f t="shared" si="3"/>
      </c>
      <c r="Q37" s="8">
        <f t="shared" si="4"/>
      </c>
      <c r="R37" s="221">
        <f t="shared" si="5"/>
      </c>
      <c r="S37" s="293">
        <f t="shared" si="6"/>
        <v>20</v>
      </c>
      <c r="T37" s="294" t="str">
        <f t="shared" si="7"/>
        <v>--</v>
      </c>
      <c r="U37" s="295" t="str">
        <f t="shared" si="8"/>
        <v>--</v>
      </c>
      <c r="V37" s="296" t="str">
        <f t="shared" si="9"/>
        <v>--</v>
      </c>
      <c r="W37" s="297" t="str">
        <f t="shared" si="10"/>
        <v>--</v>
      </c>
      <c r="X37" s="298" t="str">
        <f t="shared" si="11"/>
        <v>--</v>
      </c>
      <c r="Y37" s="299" t="str">
        <f t="shared" si="12"/>
        <v>--</v>
      </c>
      <c r="Z37" s="300" t="str">
        <f t="shared" si="13"/>
        <v>--</v>
      </c>
      <c r="AA37" s="301" t="str">
        <f t="shared" si="14"/>
        <v>--</v>
      </c>
      <c r="AB37" s="302">
        <f t="shared" si="16"/>
      </c>
      <c r="AC37" s="16">
        <f t="shared" si="15"/>
      </c>
      <c r="AD37" s="17"/>
    </row>
    <row r="38" spans="1:30" s="5" customFormat="1" ht="16.5" customHeight="1">
      <c r="A38" s="90"/>
      <c r="B38" s="95"/>
      <c r="C38" s="152"/>
      <c r="D38" s="152"/>
      <c r="E38" s="152"/>
      <c r="F38" s="148"/>
      <c r="G38" s="304"/>
      <c r="H38" s="289"/>
      <c r="I38" s="290"/>
      <c r="J38" s="291">
        <f t="shared" si="0"/>
        <v>0</v>
      </c>
      <c r="K38" s="153"/>
      <c r="L38" s="153"/>
      <c r="M38" s="292">
        <f t="shared" si="1"/>
      </c>
      <c r="N38" s="14">
        <f t="shared" si="2"/>
      </c>
      <c r="O38" s="154"/>
      <c r="P38" s="515">
        <f t="shared" si="3"/>
      </c>
      <c r="Q38" s="8">
        <f t="shared" si="4"/>
      </c>
      <c r="R38" s="221">
        <f t="shared" si="5"/>
      </c>
      <c r="S38" s="293">
        <f t="shared" si="6"/>
        <v>20</v>
      </c>
      <c r="T38" s="294" t="str">
        <f t="shared" si="7"/>
        <v>--</v>
      </c>
      <c r="U38" s="295" t="str">
        <f t="shared" si="8"/>
        <v>--</v>
      </c>
      <c r="V38" s="296" t="str">
        <f t="shared" si="9"/>
        <v>--</v>
      </c>
      <c r="W38" s="297" t="str">
        <f t="shared" si="10"/>
        <v>--</v>
      </c>
      <c r="X38" s="298" t="str">
        <f t="shared" si="11"/>
        <v>--</v>
      </c>
      <c r="Y38" s="299" t="str">
        <f t="shared" si="12"/>
        <v>--</v>
      </c>
      <c r="Z38" s="300" t="str">
        <f t="shared" si="13"/>
        <v>--</v>
      </c>
      <c r="AA38" s="301" t="str">
        <f t="shared" si="14"/>
        <v>--</v>
      </c>
      <c r="AB38" s="302">
        <f t="shared" si="16"/>
      </c>
      <c r="AC38" s="16">
        <f t="shared" si="15"/>
      </c>
      <c r="AD38" s="17"/>
    </row>
    <row r="39" spans="1:30" s="5" customFormat="1" ht="16.5" customHeight="1">
      <c r="A39" s="90"/>
      <c r="B39" s="95"/>
      <c r="C39" s="274"/>
      <c r="D39" s="274"/>
      <c r="E39" s="274"/>
      <c r="F39" s="148"/>
      <c r="G39" s="304"/>
      <c r="H39" s="289"/>
      <c r="I39" s="290"/>
      <c r="J39" s="291">
        <f t="shared" si="0"/>
        <v>0</v>
      </c>
      <c r="K39" s="153"/>
      <c r="L39" s="153"/>
      <c r="M39" s="292">
        <f t="shared" si="1"/>
      </c>
      <c r="N39" s="14">
        <f t="shared" si="2"/>
      </c>
      <c r="O39" s="154"/>
      <c r="P39" s="515">
        <f t="shared" si="3"/>
      </c>
      <c r="Q39" s="8">
        <f t="shared" si="4"/>
      </c>
      <c r="R39" s="221">
        <f t="shared" si="5"/>
      </c>
      <c r="S39" s="293">
        <f t="shared" si="6"/>
        <v>20</v>
      </c>
      <c r="T39" s="294" t="str">
        <f t="shared" si="7"/>
        <v>--</v>
      </c>
      <c r="U39" s="295" t="str">
        <f t="shared" si="8"/>
        <v>--</v>
      </c>
      <c r="V39" s="296" t="str">
        <f t="shared" si="9"/>
        <v>--</v>
      </c>
      <c r="W39" s="297" t="str">
        <f t="shared" si="10"/>
        <v>--</v>
      </c>
      <c r="X39" s="298" t="str">
        <f t="shared" si="11"/>
        <v>--</v>
      </c>
      <c r="Y39" s="299" t="str">
        <f t="shared" si="12"/>
        <v>--</v>
      </c>
      <c r="Z39" s="300" t="str">
        <f t="shared" si="13"/>
        <v>--</v>
      </c>
      <c r="AA39" s="301" t="str">
        <f t="shared" si="14"/>
        <v>--</v>
      </c>
      <c r="AB39" s="302">
        <f t="shared" si="16"/>
      </c>
      <c r="AC39" s="16">
        <f t="shared" si="15"/>
      </c>
      <c r="AD39" s="17"/>
    </row>
    <row r="40" spans="1:30" s="5" customFormat="1" ht="16.5" customHeight="1">
      <c r="A40" s="90"/>
      <c r="B40" s="95"/>
      <c r="C40" s="152"/>
      <c r="D40" s="152"/>
      <c r="E40" s="152"/>
      <c r="F40" s="148"/>
      <c r="G40" s="304"/>
      <c r="H40" s="289"/>
      <c r="I40" s="290"/>
      <c r="J40" s="291">
        <f t="shared" si="0"/>
        <v>0</v>
      </c>
      <c r="K40" s="153"/>
      <c r="L40" s="153"/>
      <c r="M40" s="292">
        <f t="shared" si="1"/>
      </c>
      <c r="N40" s="14">
        <f t="shared" si="2"/>
      </c>
      <c r="O40" s="154"/>
      <c r="P40" s="515">
        <f t="shared" si="3"/>
      </c>
      <c r="Q40" s="8">
        <f t="shared" si="4"/>
      </c>
      <c r="R40" s="221">
        <f t="shared" si="5"/>
      </c>
      <c r="S40" s="293">
        <f t="shared" si="6"/>
        <v>20</v>
      </c>
      <c r="T40" s="294" t="str">
        <f t="shared" si="7"/>
        <v>--</v>
      </c>
      <c r="U40" s="295" t="str">
        <f t="shared" si="8"/>
        <v>--</v>
      </c>
      <c r="V40" s="296" t="str">
        <f t="shared" si="9"/>
        <v>--</v>
      </c>
      <c r="W40" s="297" t="str">
        <f t="shared" si="10"/>
        <v>--</v>
      </c>
      <c r="X40" s="298" t="str">
        <f t="shared" si="11"/>
        <v>--</v>
      </c>
      <c r="Y40" s="299" t="str">
        <f t="shared" si="12"/>
        <v>--</v>
      </c>
      <c r="Z40" s="300" t="str">
        <f t="shared" si="13"/>
        <v>--</v>
      </c>
      <c r="AA40" s="301" t="str">
        <f t="shared" si="14"/>
        <v>--</v>
      </c>
      <c r="AB40" s="302">
        <f t="shared" si="16"/>
      </c>
      <c r="AC40" s="16">
        <f t="shared" si="15"/>
      </c>
      <c r="AD40" s="17"/>
    </row>
    <row r="41" spans="1:30" s="5" customFormat="1" ht="16.5" customHeight="1">
      <c r="A41" s="90"/>
      <c r="B41" s="95"/>
      <c r="C41" s="274"/>
      <c r="D41" s="274"/>
      <c r="E41" s="274"/>
      <c r="F41" s="148"/>
      <c r="G41" s="304"/>
      <c r="H41" s="289"/>
      <c r="I41" s="290"/>
      <c r="J41" s="291">
        <f t="shared" si="0"/>
        <v>0</v>
      </c>
      <c r="K41" s="153"/>
      <c r="L41" s="153"/>
      <c r="M41" s="292">
        <f t="shared" si="1"/>
      </c>
      <c r="N41" s="14">
        <f t="shared" si="2"/>
      </c>
      <c r="O41" s="154"/>
      <c r="P41" s="515">
        <f t="shared" si="3"/>
      </c>
      <c r="Q41" s="8">
        <f t="shared" si="4"/>
      </c>
      <c r="R41" s="221">
        <f t="shared" si="5"/>
      </c>
      <c r="S41" s="293">
        <f t="shared" si="6"/>
        <v>20</v>
      </c>
      <c r="T41" s="294" t="str">
        <f t="shared" si="7"/>
        <v>--</v>
      </c>
      <c r="U41" s="295" t="str">
        <f t="shared" si="8"/>
        <v>--</v>
      </c>
      <c r="V41" s="296" t="str">
        <f t="shared" si="9"/>
        <v>--</v>
      </c>
      <c r="W41" s="297" t="str">
        <f t="shared" si="10"/>
        <v>--</v>
      </c>
      <c r="X41" s="298" t="str">
        <f t="shared" si="11"/>
        <v>--</v>
      </c>
      <c r="Y41" s="299" t="str">
        <f t="shared" si="12"/>
        <v>--</v>
      </c>
      <c r="Z41" s="300" t="str">
        <f t="shared" si="13"/>
        <v>--</v>
      </c>
      <c r="AA41" s="301" t="str">
        <f t="shared" si="14"/>
        <v>--</v>
      </c>
      <c r="AB41" s="302">
        <f t="shared" si="16"/>
      </c>
      <c r="AC41" s="16">
        <f t="shared" si="15"/>
      </c>
      <c r="AD41" s="17"/>
    </row>
    <row r="42" spans="1:30" s="5" customFormat="1" ht="16.5" customHeight="1" thickBot="1">
      <c r="A42" s="90"/>
      <c r="B42" s="95"/>
      <c r="C42" s="152"/>
      <c r="D42" s="152"/>
      <c r="E42" s="152"/>
      <c r="F42" s="305"/>
      <c r="G42" s="306"/>
      <c r="H42" s="305"/>
      <c r="I42" s="307"/>
      <c r="J42" s="131"/>
      <c r="K42" s="155"/>
      <c r="L42" s="308"/>
      <c r="M42" s="309"/>
      <c r="N42" s="310"/>
      <c r="O42" s="158"/>
      <c r="P42" s="189"/>
      <c r="Q42" s="156"/>
      <c r="R42" s="158"/>
      <c r="S42" s="311"/>
      <c r="T42" s="312"/>
      <c r="U42" s="313"/>
      <c r="V42" s="314"/>
      <c r="W42" s="315"/>
      <c r="X42" s="316"/>
      <c r="Y42" s="317"/>
      <c r="Z42" s="318"/>
      <c r="AA42" s="319"/>
      <c r="AB42" s="320"/>
      <c r="AC42" s="321"/>
      <c r="AD42" s="17"/>
    </row>
    <row r="43" spans="1:30" s="5" customFormat="1" ht="16.5" customHeight="1" thickBot="1" thickTop="1">
      <c r="A43" s="90"/>
      <c r="B43" s="95"/>
      <c r="C43" s="933" t="s">
        <v>391</v>
      </c>
      <c r="D43" s="921" t="s">
        <v>390</v>
      </c>
      <c r="E43" s="127"/>
      <c r="F43" s="128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22">
        <f aca="true" t="shared" si="17" ref="T43:AA43">SUM(T20:T42)</f>
        <v>17554.5</v>
      </c>
      <c r="U43" s="323">
        <f t="shared" si="17"/>
        <v>0</v>
      </c>
      <c r="V43" s="324">
        <f t="shared" si="17"/>
        <v>2700</v>
      </c>
      <c r="W43" s="325">
        <f t="shared" si="17"/>
        <v>189.00000000000003</v>
      </c>
      <c r="X43" s="326">
        <f t="shared" si="17"/>
        <v>0</v>
      </c>
      <c r="Y43" s="327">
        <f t="shared" si="17"/>
        <v>0</v>
      </c>
      <c r="Z43" s="328">
        <f t="shared" si="17"/>
        <v>0</v>
      </c>
      <c r="AA43" s="329">
        <f t="shared" si="17"/>
        <v>0</v>
      </c>
      <c r="AB43" s="90"/>
      <c r="AC43" s="330">
        <f>ROUND(SUM(AC20:AC42),2)</f>
        <v>47181.6</v>
      </c>
      <c r="AD43" s="17"/>
    </row>
    <row r="44" spans="1:30" s="5" customFormat="1" ht="16.5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6.5" customHeight="1" thickTop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1:31" ht="16.5" customHeight="1">
      <c r="A47" s="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1:31" ht="16.5" customHeight="1">
      <c r="A48" s="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spans="6:31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</row>
    <row r="152" spans="6:31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</row>
    <row r="153" ht="16.5" customHeight="1">
      <c r="AE153" s="172"/>
    </row>
    <row r="154" ht="16.5" customHeight="1">
      <c r="AE154" s="172"/>
    </row>
    <row r="155" ht="16.5" customHeight="1">
      <c r="AE155" s="172"/>
    </row>
    <row r="156" ht="16.5" customHeight="1">
      <c r="AE156" s="172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70" zoomScaleNormal="70" workbookViewId="0" topLeftCell="A13">
      <selection activeCell="K23" sqref="K23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3" t="str">
        <f>+'TOT-1110'!B2</f>
        <v>ANEXO  VI al Memorandum  D.T.E.E.  N°     381 /2012 </v>
      </c>
      <c r="C2" s="243"/>
      <c r="D2" s="243"/>
      <c r="E2" s="243"/>
      <c r="F2" s="243"/>
      <c r="G2" s="19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s="5" customFormat="1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4" t="s">
        <v>74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4" t="s">
        <v>2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5" t="s">
        <v>67</v>
      </c>
      <c r="G8" s="105"/>
      <c r="H8" s="105"/>
      <c r="I8" s="246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7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12" customFormat="1" ht="33" customHeight="1">
      <c r="A10" s="836"/>
      <c r="B10" s="844"/>
      <c r="C10" s="847"/>
      <c r="D10" s="847"/>
      <c r="E10" s="836"/>
      <c r="F10" s="845" t="s">
        <v>212</v>
      </c>
      <c r="G10" s="836"/>
      <c r="H10" s="846"/>
      <c r="I10" s="847"/>
      <c r="J10" s="836"/>
      <c r="K10" s="836"/>
      <c r="L10" s="836"/>
      <c r="M10" s="836"/>
      <c r="N10" s="836"/>
      <c r="O10" s="836"/>
      <c r="P10" s="836"/>
      <c r="Q10" s="836"/>
      <c r="R10" s="836"/>
      <c r="S10" s="836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14"/>
    </row>
    <row r="11" spans="1:30" s="815" customFormat="1" ht="33" customHeight="1">
      <c r="A11" s="840"/>
      <c r="B11" s="848"/>
      <c r="C11" s="850"/>
      <c r="D11" s="850"/>
      <c r="E11" s="840"/>
      <c r="F11" s="849" t="s">
        <v>386</v>
      </c>
      <c r="G11" s="850"/>
      <c r="H11" s="850"/>
      <c r="I11" s="851"/>
      <c r="J11" s="850"/>
      <c r="K11" s="850"/>
      <c r="L11" s="850"/>
      <c r="M11" s="850"/>
      <c r="N11" s="850"/>
      <c r="O11" s="840"/>
      <c r="P11" s="840"/>
      <c r="Q11" s="840"/>
      <c r="R11" s="840"/>
      <c r="S11" s="840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19"/>
    </row>
    <row r="12" spans="1:30" s="36" customFormat="1" ht="19.5">
      <c r="A12" s="109"/>
      <c r="B12" s="37" t="str">
        <f>'TOT-1110'!B14</f>
        <v>Desde el 01 al 30 de noviembre de 2010</v>
      </c>
      <c r="C12" s="40"/>
      <c r="D12" s="40"/>
      <c r="E12" s="248"/>
      <c r="F12" s="112"/>
      <c r="G12" s="112"/>
      <c r="H12" s="112"/>
      <c r="I12" s="112"/>
      <c r="J12" s="112"/>
      <c r="K12" s="112"/>
      <c r="L12" s="112"/>
      <c r="M12" s="112"/>
      <c r="N12" s="112"/>
      <c r="O12" s="248"/>
      <c r="P12" s="248"/>
      <c r="Q12" s="248"/>
      <c r="R12" s="248"/>
      <c r="S12" s="248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249"/>
    </row>
    <row r="13" spans="1:30" s="5" customFormat="1" ht="13.5" thickBot="1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5" customFormat="1" ht="16.5" customHeight="1" thickBot="1" thickTop="1">
      <c r="A14" s="90"/>
      <c r="B14" s="95"/>
      <c r="C14" s="15"/>
      <c r="D14" s="15"/>
      <c r="E14" s="90"/>
      <c r="F14" s="250" t="s">
        <v>75</v>
      </c>
      <c r="G14" s="251"/>
      <c r="H14" s="252">
        <v>0.162</v>
      </c>
      <c r="J14" s="90"/>
      <c r="K14" s="90"/>
      <c r="L14" s="90"/>
      <c r="M14" s="90"/>
      <c r="N14" s="90"/>
      <c r="O14" s="90"/>
      <c r="P14" s="9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s="5" customFormat="1" ht="16.5" customHeight="1" thickBot="1" thickTop="1">
      <c r="A15" s="90"/>
      <c r="B15" s="95"/>
      <c r="C15" s="15"/>
      <c r="D15" s="15"/>
      <c r="E15" s="90"/>
      <c r="F15" s="110" t="s">
        <v>24</v>
      </c>
      <c r="G15" s="111"/>
      <c r="H15" s="806">
        <v>200</v>
      </c>
      <c r="I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9"/>
      <c r="X15" s="99"/>
      <c r="Y15" s="99"/>
      <c r="Z15" s="99"/>
      <c r="AA15" s="99"/>
      <c r="AB15" s="99"/>
      <c r="AC15" s="90"/>
      <c r="AD15" s="17"/>
    </row>
    <row r="16" spans="1:30" s="5" customFormat="1" ht="16.5" customHeight="1" thickBot="1" thickTop="1">
      <c r="A16" s="90"/>
      <c r="B16" s="95"/>
      <c r="C16" s="907">
        <v>3</v>
      </c>
      <c r="D16" s="907">
        <v>4</v>
      </c>
      <c r="E16" s="907">
        <v>5</v>
      </c>
      <c r="F16" s="907">
        <v>6</v>
      </c>
      <c r="G16" s="907">
        <v>7</v>
      </c>
      <c r="H16" s="907">
        <v>8</v>
      </c>
      <c r="I16" s="907">
        <v>9</v>
      </c>
      <c r="J16" s="907">
        <v>10</v>
      </c>
      <c r="K16" s="907">
        <v>11</v>
      </c>
      <c r="L16" s="907">
        <v>12</v>
      </c>
      <c r="M16" s="907">
        <v>13</v>
      </c>
      <c r="N16" s="907">
        <v>14</v>
      </c>
      <c r="O16" s="907">
        <v>15</v>
      </c>
      <c r="P16" s="907">
        <v>16</v>
      </c>
      <c r="Q16" s="907">
        <v>17</v>
      </c>
      <c r="R16" s="907">
        <v>18</v>
      </c>
      <c r="S16" s="907">
        <v>19</v>
      </c>
      <c r="T16" s="907">
        <v>20</v>
      </c>
      <c r="U16" s="907">
        <v>21</v>
      </c>
      <c r="V16" s="907">
        <v>22</v>
      </c>
      <c r="W16" s="907">
        <v>23</v>
      </c>
      <c r="X16" s="907">
        <v>24</v>
      </c>
      <c r="Y16" s="907">
        <v>25</v>
      </c>
      <c r="Z16" s="907">
        <v>26</v>
      </c>
      <c r="AA16" s="907">
        <v>27</v>
      </c>
      <c r="AB16" s="907">
        <v>28</v>
      </c>
      <c r="AC16" s="907">
        <v>29</v>
      </c>
      <c r="AD16" s="17"/>
    </row>
    <row r="17" spans="1:30" s="5" customFormat="1" ht="33.75" customHeight="1" thickBot="1" thickTop="1">
      <c r="A17" s="90"/>
      <c r="B17" s="95"/>
      <c r="C17" s="123" t="s">
        <v>12</v>
      </c>
      <c r="D17" s="84" t="s">
        <v>223</v>
      </c>
      <c r="E17" s="84" t="s">
        <v>224</v>
      </c>
      <c r="F17" s="119" t="s">
        <v>25</v>
      </c>
      <c r="G17" s="118" t="s">
        <v>26</v>
      </c>
      <c r="H17" s="120" t="s">
        <v>27</v>
      </c>
      <c r="I17" s="121" t="s">
        <v>13</v>
      </c>
      <c r="J17" s="129" t="s">
        <v>15</v>
      </c>
      <c r="K17" s="118" t="s">
        <v>16</v>
      </c>
      <c r="L17" s="118" t="s">
        <v>17</v>
      </c>
      <c r="M17" s="119" t="s">
        <v>28</v>
      </c>
      <c r="N17" s="119" t="s">
        <v>29</v>
      </c>
      <c r="O17" s="88" t="s">
        <v>18</v>
      </c>
      <c r="P17" s="88" t="s">
        <v>56</v>
      </c>
      <c r="Q17" s="122" t="s">
        <v>30</v>
      </c>
      <c r="R17" s="118" t="s">
        <v>31</v>
      </c>
      <c r="S17" s="253" t="s">
        <v>35</v>
      </c>
      <c r="T17" s="254" t="s">
        <v>19</v>
      </c>
      <c r="U17" s="255" t="s">
        <v>20</v>
      </c>
      <c r="V17" s="205" t="s">
        <v>76</v>
      </c>
      <c r="W17" s="207"/>
      <c r="X17" s="256" t="s">
        <v>77</v>
      </c>
      <c r="Y17" s="257"/>
      <c r="Z17" s="258" t="s">
        <v>21</v>
      </c>
      <c r="AA17" s="259" t="s">
        <v>72</v>
      </c>
      <c r="AB17" s="132" t="s">
        <v>73</v>
      </c>
      <c r="AC17" s="121" t="s">
        <v>23</v>
      </c>
      <c r="AD17" s="17"/>
    </row>
    <row r="18" spans="1:30" s="5" customFormat="1" ht="16.5" customHeight="1" thickTop="1">
      <c r="A18" s="90"/>
      <c r="B18" s="95"/>
      <c r="C18" s="260"/>
      <c r="D18" s="260"/>
      <c r="E18" s="260"/>
      <c r="F18" s="260"/>
      <c r="G18" s="260"/>
      <c r="H18" s="260"/>
      <c r="I18" s="261"/>
      <c r="J18" s="262"/>
      <c r="K18" s="260"/>
      <c r="L18" s="260"/>
      <c r="M18" s="260"/>
      <c r="N18" s="260"/>
      <c r="O18" s="260"/>
      <c r="P18" s="178"/>
      <c r="Q18" s="263"/>
      <c r="R18" s="260"/>
      <c r="S18" s="264"/>
      <c r="T18" s="265"/>
      <c r="U18" s="266"/>
      <c r="V18" s="267"/>
      <c r="W18" s="268"/>
      <c r="X18" s="269"/>
      <c r="Y18" s="270"/>
      <c r="Z18" s="271"/>
      <c r="AA18" s="272"/>
      <c r="AB18" s="263"/>
      <c r="AC18" s="273"/>
      <c r="AD18" s="17"/>
    </row>
    <row r="19" spans="1:30" s="5" customFormat="1" ht="16.5" customHeight="1">
      <c r="A19" s="90"/>
      <c r="B19" s="95"/>
      <c r="C19" s="274"/>
      <c r="D19" s="274"/>
      <c r="E19" s="274"/>
      <c r="F19" s="274"/>
      <c r="G19" s="274"/>
      <c r="H19" s="274"/>
      <c r="I19" s="275"/>
      <c r="J19" s="276"/>
      <c r="K19" s="274"/>
      <c r="L19" s="274"/>
      <c r="M19" s="274"/>
      <c r="N19" s="274"/>
      <c r="O19" s="274"/>
      <c r="P19" s="181"/>
      <c r="Q19" s="277"/>
      <c r="R19" s="274"/>
      <c r="S19" s="278"/>
      <c r="T19" s="279"/>
      <c r="U19" s="280"/>
      <c r="V19" s="281"/>
      <c r="W19" s="282"/>
      <c r="X19" s="283"/>
      <c r="Y19" s="284"/>
      <c r="Z19" s="285"/>
      <c r="AA19" s="286"/>
      <c r="AB19" s="277"/>
      <c r="AC19" s="287"/>
      <c r="AD19" s="17"/>
    </row>
    <row r="20" spans="1:30" s="5" customFormat="1" ht="16.5" customHeight="1">
      <c r="A20" s="90"/>
      <c r="B20" s="95"/>
      <c r="C20" s="274">
        <v>43</v>
      </c>
      <c r="D20" s="274">
        <v>228265</v>
      </c>
      <c r="E20" s="152">
        <v>2591</v>
      </c>
      <c r="F20" s="148" t="s">
        <v>356</v>
      </c>
      <c r="G20" s="288" t="s">
        <v>372</v>
      </c>
      <c r="H20" s="289">
        <v>300</v>
      </c>
      <c r="I20" s="922" t="s">
        <v>277</v>
      </c>
      <c r="J20" s="291">
        <f aca="true" t="shared" si="0" ref="J20:J39">H20*$H$14</f>
        <v>48.6</v>
      </c>
      <c r="K20" s="153">
        <v>40502.35625</v>
      </c>
      <c r="L20" s="153">
        <v>40502.76111111111</v>
      </c>
      <c r="M20" s="292">
        <f aca="true" t="shared" si="1" ref="M20:M39">IF(F20="","",(L20-K20)*24)</f>
        <v>9.716666666732635</v>
      </c>
      <c r="N20" s="14">
        <f aca="true" t="shared" si="2" ref="N20:N39">IF(F20="","",ROUND((L20-K20)*24*60,0))</f>
        <v>583</v>
      </c>
      <c r="O20" s="154" t="s">
        <v>283</v>
      </c>
      <c r="P20" s="515" t="str">
        <f aca="true" t="shared" si="3" ref="P20:P39">IF(F20="","","--")</f>
        <v>--</v>
      </c>
      <c r="Q20" s="8" t="str">
        <f>IF(F20="","",IF(OR(O20="P",O20="RP"),"--","NO"))</f>
        <v>--</v>
      </c>
      <c r="R20" s="221" t="str">
        <f aca="true" t="shared" si="4" ref="R20:R39">IF(F20="","","NO")</f>
        <v>NO</v>
      </c>
      <c r="S20" s="293">
        <f aca="true" t="shared" si="5" ref="S20:S39">$H$15*IF(OR(O20="P",O20="RP"),0.1,1)*IF(R20="SI",1,0.1)</f>
        <v>2</v>
      </c>
      <c r="T20" s="875">
        <f aca="true" t="shared" si="6" ref="T20:T39">IF(O20="P",J20*S20*ROUND(N20/60,2),"--")</f>
        <v>944.7840000000001</v>
      </c>
      <c r="U20" s="876" t="str">
        <f aca="true" t="shared" si="7" ref="U20:U39">IF(O20="RP",J20*S20*P20/100*ROUND(N20/60,2),"--")</f>
        <v>--</v>
      </c>
      <c r="V20" s="296" t="str">
        <f aca="true" t="shared" si="8" ref="V20:V39">IF(AND(O20="F",Q20="NO"),J20*S20,"--")</f>
        <v>--</v>
      </c>
      <c r="W20" s="297" t="str">
        <f aca="true" t="shared" si="9" ref="W20:W39">IF(O20="F",J20*S20*ROUND(N20/60,2),"--")</f>
        <v>--</v>
      </c>
      <c r="X20" s="298" t="str">
        <f aca="true" t="shared" si="10" ref="X20:X39">IF(AND(O20="R",Q20="NO"),J20*S20*P20/100,"--")</f>
        <v>--</v>
      </c>
      <c r="Y20" s="299" t="str">
        <f aca="true" t="shared" si="11" ref="Y20:Y39">IF(O20="R",J20*S20*P20/100*ROUND(N20/60,2),"--")</f>
        <v>--</v>
      </c>
      <c r="Z20" s="300" t="str">
        <f aca="true" t="shared" si="12" ref="Z20:Z39">IF(O20="RF",J20*S20*ROUND(N20/60,2),"--")</f>
        <v>--</v>
      </c>
      <c r="AA20" s="301" t="str">
        <f aca="true" t="shared" si="13" ref="AA20:AA39">IF(O20="RR",J20*S20*P20/100*ROUND(N20/60,2),"--")</f>
        <v>--</v>
      </c>
      <c r="AB20" s="877" t="str">
        <f aca="true" t="shared" si="14" ref="AB20:AB39">IF(F20="","","SI")</f>
        <v>SI</v>
      </c>
      <c r="AC20" s="303">
        <f aca="true" t="shared" si="15" ref="AC20:AC39">IF(F20="","",SUM(T20:AA20)*IF(AB20="SI",1,2)*IF(AND(P22&lt;&gt;"--",O22="RF"),P22/100,1))</f>
        <v>944.7840000000001</v>
      </c>
      <c r="AD20" s="17"/>
    </row>
    <row r="21" spans="1:30" s="5" customFormat="1" ht="16.5" customHeight="1">
      <c r="A21" s="90"/>
      <c r="B21" s="95"/>
      <c r="C21" s="274">
        <v>44</v>
      </c>
      <c r="D21" s="274">
        <v>228280</v>
      </c>
      <c r="E21" s="274">
        <v>2591</v>
      </c>
      <c r="F21" s="148" t="s">
        <v>356</v>
      </c>
      <c r="G21" s="288" t="s">
        <v>372</v>
      </c>
      <c r="H21" s="289">
        <v>300</v>
      </c>
      <c r="I21" s="922" t="s">
        <v>277</v>
      </c>
      <c r="J21" s="291">
        <f t="shared" si="0"/>
        <v>48.6</v>
      </c>
      <c r="K21" s="153">
        <v>40503.35486111111</v>
      </c>
      <c r="L21" s="153">
        <v>40503.74097222222</v>
      </c>
      <c r="M21" s="292">
        <f t="shared" si="1"/>
        <v>9.266666666662786</v>
      </c>
      <c r="N21" s="14">
        <f t="shared" si="2"/>
        <v>556</v>
      </c>
      <c r="O21" s="154" t="s">
        <v>283</v>
      </c>
      <c r="P21" s="515" t="str">
        <f t="shared" si="3"/>
        <v>--</v>
      </c>
      <c r="Q21" s="8" t="str">
        <f aca="true" t="shared" si="16" ref="Q21:Q39">IF(F21="","",IF(O21="P","--","NO"))</f>
        <v>--</v>
      </c>
      <c r="R21" s="221" t="str">
        <f t="shared" si="4"/>
        <v>NO</v>
      </c>
      <c r="S21" s="293">
        <f t="shared" si="5"/>
        <v>2</v>
      </c>
      <c r="T21" s="875">
        <f t="shared" si="6"/>
        <v>901.044</v>
      </c>
      <c r="U21" s="876" t="str">
        <f t="shared" si="7"/>
        <v>--</v>
      </c>
      <c r="V21" s="296" t="str">
        <f t="shared" si="8"/>
        <v>--</v>
      </c>
      <c r="W21" s="297" t="str">
        <f t="shared" si="9"/>
        <v>--</v>
      </c>
      <c r="X21" s="298" t="str">
        <f t="shared" si="10"/>
        <v>--</v>
      </c>
      <c r="Y21" s="299" t="str">
        <f t="shared" si="11"/>
        <v>--</v>
      </c>
      <c r="Z21" s="300" t="str">
        <f t="shared" si="12"/>
        <v>--</v>
      </c>
      <c r="AA21" s="301" t="str">
        <f t="shared" si="13"/>
        <v>--</v>
      </c>
      <c r="AB21" s="877" t="str">
        <f t="shared" si="14"/>
        <v>SI</v>
      </c>
      <c r="AC21" s="303">
        <f t="shared" si="15"/>
        <v>901.044</v>
      </c>
      <c r="AD21" s="17"/>
    </row>
    <row r="22" spans="1:30" s="5" customFormat="1" ht="16.5" customHeight="1">
      <c r="A22" s="90"/>
      <c r="B22" s="95"/>
      <c r="C22" s="274">
        <v>45</v>
      </c>
      <c r="D22" s="274">
        <v>228271</v>
      </c>
      <c r="E22" s="152">
        <v>4619</v>
      </c>
      <c r="F22" s="148" t="s">
        <v>373</v>
      </c>
      <c r="G22" s="288" t="s">
        <v>372</v>
      </c>
      <c r="H22" s="289">
        <v>300</v>
      </c>
      <c r="I22" s="922" t="s">
        <v>277</v>
      </c>
      <c r="J22" s="291">
        <f t="shared" si="0"/>
        <v>48.6</v>
      </c>
      <c r="K22" s="153">
        <v>40503.58819444444</v>
      </c>
      <c r="L22" s="153">
        <v>40504.01944444444</v>
      </c>
      <c r="M22" s="292">
        <f t="shared" si="1"/>
        <v>10.350000000034925</v>
      </c>
      <c r="N22" s="14">
        <f t="shared" si="2"/>
        <v>621</v>
      </c>
      <c r="O22" s="154" t="s">
        <v>296</v>
      </c>
      <c r="P22" s="515" t="str">
        <f t="shared" si="3"/>
        <v>--</v>
      </c>
      <c r="Q22" s="8" t="str">
        <f t="shared" si="16"/>
        <v>NO</v>
      </c>
      <c r="R22" s="221" t="str">
        <f t="shared" si="4"/>
        <v>NO</v>
      </c>
      <c r="S22" s="293">
        <f t="shared" si="5"/>
        <v>20</v>
      </c>
      <c r="T22" s="875" t="str">
        <f t="shared" si="6"/>
        <v>--</v>
      </c>
      <c r="U22" s="876" t="str">
        <f t="shared" si="7"/>
        <v>--</v>
      </c>
      <c r="V22" s="296">
        <f t="shared" si="8"/>
        <v>972</v>
      </c>
      <c r="W22" s="297">
        <f t="shared" si="9"/>
        <v>10060.199999999999</v>
      </c>
      <c r="X22" s="298" t="str">
        <f t="shared" si="10"/>
        <v>--</v>
      </c>
      <c r="Y22" s="299" t="str">
        <f t="shared" si="11"/>
        <v>--</v>
      </c>
      <c r="Z22" s="300" t="str">
        <f t="shared" si="12"/>
        <v>--</v>
      </c>
      <c r="AA22" s="301" t="str">
        <f t="shared" si="13"/>
        <v>--</v>
      </c>
      <c r="AB22" s="877" t="str">
        <f t="shared" si="14"/>
        <v>SI</v>
      </c>
      <c r="AC22" s="303">
        <f t="shared" si="15"/>
        <v>11032.199999999999</v>
      </c>
      <c r="AD22" s="17"/>
    </row>
    <row r="23" spans="1:30" s="5" customFormat="1" ht="16.5" customHeight="1">
      <c r="A23" s="90"/>
      <c r="B23" s="95"/>
      <c r="C23" s="274">
        <v>46</v>
      </c>
      <c r="D23" s="274">
        <v>228503</v>
      </c>
      <c r="E23" s="274">
        <v>2591</v>
      </c>
      <c r="F23" s="148" t="s">
        <v>356</v>
      </c>
      <c r="G23" s="288" t="s">
        <v>372</v>
      </c>
      <c r="H23" s="289">
        <v>300</v>
      </c>
      <c r="I23" s="922" t="s">
        <v>277</v>
      </c>
      <c r="J23" s="291">
        <f t="shared" si="0"/>
        <v>48.6</v>
      </c>
      <c r="K23" s="153">
        <v>40504.36111111111</v>
      </c>
      <c r="L23" s="153">
        <v>40504.5125</v>
      </c>
      <c r="M23" s="292">
        <f t="shared" si="1"/>
        <v>3.6333333333022892</v>
      </c>
      <c r="N23" s="14">
        <f t="shared" si="2"/>
        <v>218</v>
      </c>
      <c r="O23" s="154" t="s">
        <v>283</v>
      </c>
      <c r="P23" s="515" t="str">
        <f t="shared" si="3"/>
        <v>--</v>
      </c>
      <c r="Q23" s="8" t="str">
        <f t="shared" si="16"/>
        <v>--</v>
      </c>
      <c r="R23" s="221" t="str">
        <f t="shared" si="4"/>
        <v>NO</v>
      </c>
      <c r="S23" s="293">
        <f t="shared" si="5"/>
        <v>2</v>
      </c>
      <c r="T23" s="875">
        <f t="shared" si="6"/>
        <v>352.836</v>
      </c>
      <c r="U23" s="876" t="str">
        <f t="shared" si="7"/>
        <v>--</v>
      </c>
      <c r="V23" s="296" t="str">
        <f t="shared" si="8"/>
        <v>--</v>
      </c>
      <c r="W23" s="297" t="str">
        <f t="shared" si="9"/>
        <v>--</v>
      </c>
      <c r="X23" s="298" t="str">
        <f t="shared" si="10"/>
        <v>--</v>
      </c>
      <c r="Y23" s="299" t="str">
        <f t="shared" si="11"/>
        <v>--</v>
      </c>
      <c r="Z23" s="300" t="str">
        <f t="shared" si="12"/>
        <v>--</v>
      </c>
      <c r="AA23" s="301" t="str">
        <f t="shared" si="13"/>
        <v>--</v>
      </c>
      <c r="AB23" s="877" t="str">
        <f t="shared" si="14"/>
        <v>SI</v>
      </c>
      <c r="AC23" s="303">
        <f t="shared" si="15"/>
        <v>352.836</v>
      </c>
      <c r="AD23" s="17"/>
    </row>
    <row r="24" spans="1:30" s="5" customFormat="1" ht="16.5" customHeight="1">
      <c r="A24" s="90"/>
      <c r="B24" s="95"/>
      <c r="C24" s="274"/>
      <c r="D24" s="274"/>
      <c r="E24" s="152"/>
      <c r="F24" s="148"/>
      <c r="G24" s="288"/>
      <c r="H24" s="289"/>
      <c r="I24" s="290"/>
      <c r="J24" s="291">
        <f t="shared" si="0"/>
        <v>0</v>
      </c>
      <c r="K24" s="153"/>
      <c r="L24" s="153"/>
      <c r="M24" s="292">
        <f t="shared" si="1"/>
      </c>
      <c r="N24" s="14">
        <f t="shared" si="2"/>
      </c>
      <c r="O24" s="154"/>
      <c r="P24" s="515">
        <f t="shared" si="3"/>
      </c>
      <c r="Q24" s="8">
        <f t="shared" si="16"/>
      </c>
      <c r="R24" s="221">
        <f t="shared" si="4"/>
      </c>
      <c r="S24" s="293">
        <f t="shared" si="5"/>
        <v>20</v>
      </c>
      <c r="T24" s="875" t="str">
        <f t="shared" si="6"/>
        <v>--</v>
      </c>
      <c r="U24" s="876" t="str">
        <f t="shared" si="7"/>
        <v>--</v>
      </c>
      <c r="V24" s="296" t="str">
        <f t="shared" si="8"/>
        <v>--</v>
      </c>
      <c r="W24" s="297" t="str">
        <f t="shared" si="9"/>
        <v>--</v>
      </c>
      <c r="X24" s="298" t="str">
        <f t="shared" si="10"/>
        <v>--</v>
      </c>
      <c r="Y24" s="299" t="str">
        <f t="shared" si="11"/>
        <v>--</v>
      </c>
      <c r="Z24" s="300" t="str">
        <f t="shared" si="12"/>
        <v>--</v>
      </c>
      <c r="AA24" s="301" t="str">
        <f t="shared" si="13"/>
        <v>--</v>
      </c>
      <c r="AB24" s="877">
        <f t="shared" si="14"/>
      </c>
      <c r="AC24" s="303">
        <f t="shared" si="15"/>
      </c>
      <c r="AD24" s="17"/>
    </row>
    <row r="25" spans="1:30" s="5" customFormat="1" ht="16.5" customHeight="1">
      <c r="A25" s="90"/>
      <c r="B25" s="95"/>
      <c r="C25" s="274"/>
      <c r="D25" s="274"/>
      <c r="E25" s="274"/>
      <c r="F25" s="148"/>
      <c r="G25" s="288"/>
      <c r="H25" s="289"/>
      <c r="I25" s="290"/>
      <c r="J25" s="291">
        <f t="shared" si="0"/>
        <v>0</v>
      </c>
      <c r="K25" s="153"/>
      <c r="L25" s="153"/>
      <c r="M25" s="292">
        <f t="shared" si="1"/>
      </c>
      <c r="N25" s="14">
        <f t="shared" si="2"/>
      </c>
      <c r="O25" s="154"/>
      <c r="P25" s="515">
        <f t="shared" si="3"/>
      </c>
      <c r="Q25" s="8">
        <f t="shared" si="16"/>
      </c>
      <c r="R25" s="221">
        <f t="shared" si="4"/>
      </c>
      <c r="S25" s="293">
        <f t="shared" si="5"/>
        <v>20</v>
      </c>
      <c r="T25" s="875" t="str">
        <f t="shared" si="6"/>
        <v>--</v>
      </c>
      <c r="U25" s="876" t="str">
        <f t="shared" si="7"/>
        <v>--</v>
      </c>
      <c r="V25" s="296" t="str">
        <f t="shared" si="8"/>
        <v>--</v>
      </c>
      <c r="W25" s="297" t="str">
        <f t="shared" si="9"/>
        <v>--</v>
      </c>
      <c r="X25" s="298" t="str">
        <f t="shared" si="10"/>
        <v>--</v>
      </c>
      <c r="Y25" s="299" t="str">
        <f t="shared" si="11"/>
        <v>--</v>
      </c>
      <c r="Z25" s="300" t="str">
        <f t="shared" si="12"/>
        <v>--</v>
      </c>
      <c r="AA25" s="301" t="str">
        <f t="shared" si="13"/>
        <v>--</v>
      </c>
      <c r="AB25" s="877">
        <f t="shared" si="14"/>
      </c>
      <c r="AC25" s="303">
        <f t="shared" si="15"/>
      </c>
      <c r="AD25" s="17"/>
    </row>
    <row r="26" spans="1:31" s="5" customFormat="1" ht="16.5" customHeight="1">
      <c r="A26" s="90"/>
      <c r="B26" s="95"/>
      <c r="C26" s="274"/>
      <c r="D26" s="274"/>
      <c r="E26" s="152"/>
      <c r="F26" s="148"/>
      <c r="G26" s="288"/>
      <c r="H26" s="289"/>
      <c r="I26" s="290"/>
      <c r="J26" s="291">
        <f t="shared" si="0"/>
        <v>0</v>
      </c>
      <c r="K26" s="153"/>
      <c r="L26" s="153"/>
      <c r="M26" s="292">
        <f t="shared" si="1"/>
      </c>
      <c r="N26" s="14">
        <f t="shared" si="2"/>
      </c>
      <c r="O26" s="154"/>
      <c r="P26" s="515">
        <f t="shared" si="3"/>
      </c>
      <c r="Q26" s="8">
        <f t="shared" si="16"/>
      </c>
      <c r="R26" s="221">
        <f t="shared" si="4"/>
      </c>
      <c r="S26" s="293">
        <f t="shared" si="5"/>
        <v>20</v>
      </c>
      <c r="T26" s="875" t="str">
        <f t="shared" si="6"/>
        <v>--</v>
      </c>
      <c r="U26" s="876" t="str">
        <f t="shared" si="7"/>
        <v>--</v>
      </c>
      <c r="V26" s="296" t="str">
        <f t="shared" si="8"/>
        <v>--</v>
      </c>
      <c r="W26" s="297" t="str">
        <f t="shared" si="9"/>
        <v>--</v>
      </c>
      <c r="X26" s="298" t="str">
        <f t="shared" si="10"/>
        <v>--</v>
      </c>
      <c r="Y26" s="299" t="str">
        <f t="shared" si="11"/>
        <v>--</v>
      </c>
      <c r="Z26" s="300" t="str">
        <f t="shared" si="12"/>
        <v>--</v>
      </c>
      <c r="AA26" s="301" t="str">
        <f t="shared" si="13"/>
        <v>--</v>
      </c>
      <c r="AB26" s="877">
        <f t="shared" si="14"/>
      </c>
      <c r="AC26" s="303">
        <f t="shared" si="15"/>
      </c>
      <c r="AD26" s="17"/>
      <c r="AE26" s="15"/>
    </row>
    <row r="27" spans="1:30" s="5" customFormat="1" ht="16.5" customHeight="1">
      <c r="A27" s="90"/>
      <c r="B27" s="95"/>
      <c r="C27" s="274"/>
      <c r="D27" s="274"/>
      <c r="E27" s="274"/>
      <c r="F27" s="148"/>
      <c r="G27" s="288"/>
      <c r="H27" s="289"/>
      <c r="I27" s="290"/>
      <c r="J27" s="291">
        <f t="shared" si="0"/>
        <v>0</v>
      </c>
      <c r="K27" s="153"/>
      <c r="L27" s="153"/>
      <c r="M27" s="292">
        <f t="shared" si="1"/>
      </c>
      <c r="N27" s="14">
        <f t="shared" si="2"/>
      </c>
      <c r="O27" s="154"/>
      <c r="P27" s="515">
        <f t="shared" si="3"/>
      </c>
      <c r="Q27" s="8">
        <f t="shared" si="16"/>
      </c>
      <c r="R27" s="221">
        <f t="shared" si="4"/>
      </c>
      <c r="S27" s="293">
        <f t="shared" si="5"/>
        <v>20</v>
      </c>
      <c r="T27" s="875" t="str">
        <f t="shared" si="6"/>
        <v>--</v>
      </c>
      <c r="U27" s="876" t="str">
        <f t="shared" si="7"/>
        <v>--</v>
      </c>
      <c r="V27" s="296" t="str">
        <f t="shared" si="8"/>
        <v>--</v>
      </c>
      <c r="W27" s="297" t="str">
        <f t="shared" si="9"/>
        <v>--</v>
      </c>
      <c r="X27" s="298" t="str">
        <f t="shared" si="10"/>
        <v>--</v>
      </c>
      <c r="Y27" s="299" t="str">
        <f t="shared" si="11"/>
        <v>--</v>
      </c>
      <c r="Z27" s="300" t="str">
        <f t="shared" si="12"/>
        <v>--</v>
      </c>
      <c r="AA27" s="301" t="str">
        <f t="shared" si="13"/>
        <v>--</v>
      </c>
      <c r="AB27" s="877">
        <f t="shared" si="14"/>
      </c>
      <c r="AC27" s="303">
        <f t="shared" si="15"/>
      </c>
      <c r="AD27" s="17"/>
    </row>
    <row r="28" spans="1:30" s="5" customFormat="1" ht="16.5" customHeight="1">
      <c r="A28" s="90"/>
      <c r="B28" s="95"/>
      <c r="C28" s="274"/>
      <c r="D28" s="274"/>
      <c r="E28" s="152"/>
      <c r="F28" s="148"/>
      <c r="G28" s="288"/>
      <c r="H28" s="289"/>
      <c r="I28" s="290"/>
      <c r="J28" s="291">
        <f t="shared" si="0"/>
        <v>0</v>
      </c>
      <c r="K28" s="153"/>
      <c r="L28" s="153"/>
      <c r="M28" s="292">
        <f t="shared" si="1"/>
      </c>
      <c r="N28" s="14">
        <f t="shared" si="2"/>
      </c>
      <c r="O28" s="154"/>
      <c r="P28" s="515">
        <f t="shared" si="3"/>
      </c>
      <c r="Q28" s="8">
        <f t="shared" si="16"/>
      </c>
      <c r="R28" s="221">
        <f t="shared" si="4"/>
      </c>
      <c r="S28" s="293">
        <f t="shared" si="5"/>
        <v>20</v>
      </c>
      <c r="T28" s="875" t="str">
        <f t="shared" si="6"/>
        <v>--</v>
      </c>
      <c r="U28" s="876" t="str">
        <f t="shared" si="7"/>
        <v>--</v>
      </c>
      <c r="V28" s="296" t="str">
        <f t="shared" si="8"/>
        <v>--</v>
      </c>
      <c r="W28" s="297" t="str">
        <f t="shared" si="9"/>
        <v>--</v>
      </c>
      <c r="X28" s="298" t="str">
        <f t="shared" si="10"/>
        <v>--</v>
      </c>
      <c r="Y28" s="299" t="str">
        <f t="shared" si="11"/>
        <v>--</v>
      </c>
      <c r="Z28" s="300" t="str">
        <f t="shared" si="12"/>
        <v>--</v>
      </c>
      <c r="AA28" s="301" t="str">
        <f t="shared" si="13"/>
        <v>--</v>
      </c>
      <c r="AB28" s="877">
        <f t="shared" si="14"/>
      </c>
      <c r="AC28" s="303">
        <f t="shared" si="15"/>
      </c>
      <c r="AD28" s="17"/>
    </row>
    <row r="29" spans="1:30" s="5" customFormat="1" ht="16.5" customHeight="1">
      <c r="A29" s="90"/>
      <c r="B29" s="95"/>
      <c r="C29" s="274"/>
      <c r="D29" s="274"/>
      <c r="E29" s="274"/>
      <c r="F29" s="148"/>
      <c r="G29" s="288"/>
      <c r="H29" s="289"/>
      <c r="I29" s="290"/>
      <c r="J29" s="291">
        <f t="shared" si="0"/>
        <v>0</v>
      </c>
      <c r="K29" s="153"/>
      <c r="L29" s="153"/>
      <c r="M29" s="292">
        <f t="shared" si="1"/>
      </c>
      <c r="N29" s="14">
        <f t="shared" si="2"/>
      </c>
      <c r="O29" s="154"/>
      <c r="P29" s="515">
        <f t="shared" si="3"/>
      </c>
      <c r="Q29" s="8">
        <f t="shared" si="16"/>
      </c>
      <c r="R29" s="221">
        <f t="shared" si="4"/>
      </c>
      <c r="S29" s="293">
        <f t="shared" si="5"/>
        <v>20</v>
      </c>
      <c r="T29" s="875" t="str">
        <f t="shared" si="6"/>
        <v>--</v>
      </c>
      <c r="U29" s="876" t="str">
        <f t="shared" si="7"/>
        <v>--</v>
      </c>
      <c r="V29" s="296" t="str">
        <f t="shared" si="8"/>
        <v>--</v>
      </c>
      <c r="W29" s="297" t="str">
        <f t="shared" si="9"/>
        <v>--</v>
      </c>
      <c r="X29" s="298" t="str">
        <f t="shared" si="10"/>
        <v>--</v>
      </c>
      <c r="Y29" s="299" t="str">
        <f t="shared" si="11"/>
        <v>--</v>
      </c>
      <c r="Z29" s="300" t="str">
        <f t="shared" si="12"/>
        <v>--</v>
      </c>
      <c r="AA29" s="301" t="str">
        <f t="shared" si="13"/>
        <v>--</v>
      </c>
      <c r="AB29" s="877">
        <f t="shared" si="14"/>
      </c>
      <c r="AC29" s="303">
        <f t="shared" si="15"/>
      </c>
      <c r="AD29" s="17"/>
    </row>
    <row r="30" spans="1:30" s="5" customFormat="1" ht="16.5" customHeight="1">
      <c r="A30" s="90"/>
      <c r="B30" s="95"/>
      <c r="C30" s="274"/>
      <c r="D30" s="274"/>
      <c r="E30" s="152"/>
      <c r="F30" s="148"/>
      <c r="G30" s="304"/>
      <c r="H30" s="289"/>
      <c r="I30" s="290"/>
      <c r="J30" s="291">
        <f t="shared" si="0"/>
        <v>0</v>
      </c>
      <c r="K30" s="153"/>
      <c r="L30" s="153"/>
      <c r="M30" s="292">
        <f t="shared" si="1"/>
      </c>
      <c r="N30" s="14">
        <f t="shared" si="2"/>
      </c>
      <c r="O30" s="154"/>
      <c r="P30" s="515">
        <f t="shared" si="3"/>
      </c>
      <c r="Q30" s="8">
        <f t="shared" si="16"/>
      </c>
      <c r="R30" s="221">
        <f t="shared" si="4"/>
      </c>
      <c r="S30" s="293">
        <f t="shared" si="5"/>
        <v>20</v>
      </c>
      <c r="T30" s="875" t="str">
        <f t="shared" si="6"/>
        <v>--</v>
      </c>
      <c r="U30" s="876" t="str">
        <f t="shared" si="7"/>
        <v>--</v>
      </c>
      <c r="V30" s="296" t="str">
        <f t="shared" si="8"/>
        <v>--</v>
      </c>
      <c r="W30" s="297" t="str">
        <f t="shared" si="9"/>
        <v>--</v>
      </c>
      <c r="X30" s="298" t="str">
        <f t="shared" si="10"/>
        <v>--</v>
      </c>
      <c r="Y30" s="299" t="str">
        <f t="shared" si="11"/>
        <v>--</v>
      </c>
      <c r="Z30" s="300" t="str">
        <f t="shared" si="12"/>
        <v>--</v>
      </c>
      <c r="AA30" s="301" t="str">
        <f t="shared" si="13"/>
        <v>--</v>
      </c>
      <c r="AB30" s="877">
        <f t="shared" si="14"/>
      </c>
      <c r="AC30" s="303">
        <f t="shared" si="15"/>
      </c>
      <c r="AD30" s="17"/>
    </row>
    <row r="31" spans="1:30" s="5" customFormat="1" ht="16.5" customHeight="1">
      <c r="A31" s="90"/>
      <c r="B31" s="95"/>
      <c r="C31" s="274"/>
      <c r="D31" s="274"/>
      <c r="E31" s="274"/>
      <c r="F31" s="148"/>
      <c r="G31" s="304"/>
      <c r="H31" s="289"/>
      <c r="I31" s="290"/>
      <c r="J31" s="291">
        <f t="shared" si="0"/>
        <v>0</v>
      </c>
      <c r="K31" s="153"/>
      <c r="L31" s="153"/>
      <c r="M31" s="292">
        <f t="shared" si="1"/>
      </c>
      <c r="N31" s="14">
        <f t="shared" si="2"/>
      </c>
      <c r="O31" s="154"/>
      <c r="P31" s="515">
        <f t="shared" si="3"/>
      </c>
      <c r="Q31" s="8">
        <f t="shared" si="16"/>
      </c>
      <c r="R31" s="221">
        <f t="shared" si="4"/>
      </c>
      <c r="S31" s="293">
        <f t="shared" si="5"/>
        <v>20</v>
      </c>
      <c r="T31" s="875" t="str">
        <f t="shared" si="6"/>
        <v>--</v>
      </c>
      <c r="U31" s="876" t="str">
        <f t="shared" si="7"/>
        <v>--</v>
      </c>
      <c r="V31" s="296" t="str">
        <f t="shared" si="8"/>
        <v>--</v>
      </c>
      <c r="W31" s="297" t="str">
        <f t="shared" si="9"/>
        <v>--</v>
      </c>
      <c r="X31" s="298" t="str">
        <f t="shared" si="10"/>
        <v>--</v>
      </c>
      <c r="Y31" s="299" t="str">
        <f t="shared" si="11"/>
        <v>--</v>
      </c>
      <c r="Z31" s="300" t="str">
        <f t="shared" si="12"/>
        <v>--</v>
      </c>
      <c r="AA31" s="301" t="str">
        <f t="shared" si="13"/>
        <v>--</v>
      </c>
      <c r="AB31" s="877">
        <f t="shared" si="14"/>
      </c>
      <c r="AC31" s="303">
        <f t="shared" si="15"/>
      </c>
      <c r="AD31" s="17"/>
    </row>
    <row r="32" spans="1:30" s="5" customFormat="1" ht="16.5" customHeight="1">
      <c r="A32" s="90"/>
      <c r="B32" s="95"/>
      <c r="C32" s="274"/>
      <c r="D32" s="274"/>
      <c r="E32" s="152"/>
      <c r="F32" s="148"/>
      <c r="G32" s="304"/>
      <c r="H32" s="289"/>
      <c r="I32" s="290"/>
      <c r="J32" s="291">
        <f t="shared" si="0"/>
        <v>0</v>
      </c>
      <c r="K32" s="153"/>
      <c r="L32" s="153"/>
      <c r="M32" s="292">
        <f t="shared" si="1"/>
      </c>
      <c r="N32" s="14">
        <f t="shared" si="2"/>
      </c>
      <c r="O32" s="154"/>
      <c r="P32" s="515">
        <f t="shared" si="3"/>
      </c>
      <c r="Q32" s="8">
        <f t="shared" si="16"/>
      </c>
      <c r="R32" s="221">
        <f t="shared" si="4"/>
      </c>
      <c r="S32" s="293">
        <f t="shared" si="5"/>
        <v>20</v>
      </c>
      <c r="T32" s="875" t="str">
        <f t="shared" si="6"/>
        <v>--</v>
      </c>
      <c r="U32" s="876" t="str">
        <f t="shared" si="7"/>
        <v>--</v>
      </c>
      <c r="V32" s="296" t="str">
        <f t="shared" si="8"/>
        <v>--</v>
      </c>
      <c r="W32" s="297" t="str">
        <f t="shared" si="9"/>
        <v>--</v>
      </c>
      <c r="X32" s="298" t="str">
        <f t="shared" si="10"/>
        <v>--</v>
      </c>
      <c r="Y32" s="299" t="str">
        <f t="shared" si="11"/>
        <v>--</v>
      </c>
      <c r="Z32" s="300" t="str">
        <f t="shared" si="12"/>
        <v>--</v>
      </c>
      <c r="AA32" s="301" t="str">
        <f t="shared" si="13"/>
        <v>--</v>
      </c>
      <c r="AB32" s="877">
        <f t="shared" si="14"/>
      </c>
      <c r="AC32" s="303">
        <f t="shared" si="15"/>
      </c>
      <c r="AD32" s="17"/>
    </row>
    <row r="33" spans="1:30" s="5" customFormat="1" ht="16.5" customHeight="1">
      <c r="A33" s="90"/>
      <c r="B33" s="95"/>
      <c r="C33" s="274"/>
      <c r="D33" s="274"/>
      <c r="E33" s="274"/>
      <c r="F33" s="148"/>
      <c r="G33" s="304"/>
      <c r="H33" s="289"/>
      <c r="I33" s="290"/>
      <c r="J33" s="291">
        <f t="shared" si="0"/>
        <v>0</v>
      </c>
      <c r="K33" s="153"/>
      <c r="L33" s="153"/>
      <c r="M33" s="292">
        <f t="shared" si="1"/>
      </c>
      <c r="N33" s="14">
        <f t="shared" si="2"/>
      </c>
      <c r="O33" s="154"/>
      <c r="P33" s="515">
        <f t="shared" si="3"/>
      </c>
      <c r="Q33" s="8">
        <f t="shared" si="16"/>
      </c>
      <c r="R33" s="221">
        <f t="shared" si="4"/>
      </c>
      <c r="S33" s="293">
        <f t="shared" si="5"/>
        <v>20</v>
      </c>
      <c r="T33" s="875" t="str">
        <f t="shared" si="6"/>
        <v>--</v>
      </c>
      <c r="U33" s="876" t="str">
        <f t="shared" si="7"/>
        <v>--</v>
      </c>
      <c r="V33" s="296" t="str">
        <f t="shared" si="8"/>
        <v>--</v>
      </c>
      <c r="W33" s="297" t="str">
        <f t="shared" si="9"/>
        <v>--</v>
      </c>
      <c r="X33" s="298" t="str">
        <f t="shared" si="10"/>
        <v>--</v>
      </c>
      <c r="Y33" s="299" t="str">
        <f t="shared" si="11"/>
        <v>--</v>
      </c>
      <c r="Z33" s="300" t="str">
        <f t="shared" si="12"/>
        <v>--</v>
      </c>
      <c r="AA33" s="301" t="str">
        <f t="shared" si="13"/>
        <v>--</v>
      </c>
      <c r="AB33" s="877">
        <f t="shared" si="14"/>
      </c>
      <c r="AC33" s="303">
        <f t="shared" si="15"/>
      </c>
      <c r="AD33" s="17"/>
    </row>
    <row r="34" spans="1:30" s="5" customFormat="1" ht="16.5" customHeight="1">
      <c r="A34" s="90"/>
      <c r="B34" s="95"/>
      <c r="C34" s="274"/>
      <c r="D34" s="274"/>
      <c r="E34" s="152"/>
      <c r="F34" s="148"/>
      <c r="G34" s="304"/>
      <c r="H34" s="289"/>
      <c r="I34" s="290"/>
      <c r="J34" s="291">
        <f t="shared" si="0"/>
        <v>0</v>
      </c>
      <c r="K34" s="153"/>
      <c r="L34" s="153"/>
      <c r="M34" s="292">
        <f t="shared" si="1"/>
      </c>
      <c r="N34" s="14">
        <f t="shared" si="2"/>
      </c>
      <c r="O34" s="154"/>
      <c r="P34" s="515">
        <f t="shared" si="3"/>
      </c>
      <c r="Q34" s="8">
        <f t="shared" si="16"/>
      </c>
      <c r="R34" s="221">
        <f t="shared" si="4"/>
      </c>
      <c r="S34" s="293">
        <f t="shared" si="5"/>
        <v>20</v>
      </c>
      <c r="T34" s="875" t="str">
        <f t="shared" si="6"/>
        <v>--</v>
      </c>
      <c r="U34" s="876" t="str">
        <f t="shared" si="7"/>
        <v>--</v>
      </c>
      <c r="V34" s="296" t="str">
        <f t="shared" si="8"/>
        <v>--</v>
      </c>
      <c r="W34" s="297" t="str">
        <f t="shared" si="9"/>
        <v>--</v>
      </c>
      <c r="X34" s="298" t="str">
        <f t="shared" si="10"/>
        <v>--</v>
      </c>
      <c r="Y34" s="299" t="str">
        <f t="shared" si="11"/>
        <v>--</v>
      </c>
      <c r="Z34" s="300" t="str">
        <f t="shared" si="12"/>
        <v>--</v>
      </c>
      <c r="AA34" s="301" t="str">
        <f t="shared" si="13"/>
        <v>--</v>
      </c>
      <c r="AB34" s="877">
        <f t="shared" si="14"/>
      </c>
      <c r="AC34" s="303">
        <f t="shared" si="15"/>
      </c>
      <c r="AD34" s="17"/>
    </row>
    <row r="35" spans="1:30" s="5" customFormat="1" ht="16.5" customHeight="1">
      <c r="A35" s="90"/>
      <c r="B35" s="95"/>
      <c r="C35" s="274"/>
      <c r="D35" s="274"/>
      <c r="E35" s="274"/>
      <c r="F35" s="148"/>
      <c r="G35" s="304"/>
      <c r="H35" s="289"/>
      <c r="I35" s="290"/>
      <c r="J35" s="291">
        <f t="shared" si="0"/>
        <v>0</v>
      </c>
      <c r="K35" s="153"/>
      <c r="L35" s="153"/>
      <c r="M35" s="292">
        <f t="shared" si="1"/>
      </c>
      <c r="N35" s="14">
        <f t="shared" si="2"/>
      </c>
      <c r="O35" s="154"/>
      <c r="P35" s="515">
        <f t="shared" si="3"/>
      </c>
      <c r="Q35" s="8">
        <f t="shared" si="16"/>
      </c>
      <c r="R35" s="221">
        <f t="shared" si="4"/>
      </c>
      <c r="S35" s="293">
        <f t="shared" si="5"/>
        <v>20</v>
      </c>
      <c r="T35" s="875" t="str">
        <f t="shared" si="6"/>
        <v>--</v>
      </c>
      <c r="U35" s="876" t="str">
        <f t="shared" si="7"/>
        <v>--</v>
      </c>
      <c r="V35" s="296" t="str">
        <f t="shared" si="8"/>
        <v>--</v>
      </c>
      <c r="W35" s="297" t="str">
        <f t="shared" si="9"/>
        <v>--</v>
      </c>
      <c r="X35" s="298" t="str">
        <f t="shared" si="10"/>
        <v>--</v>
      </c>
      <c r="Y35" s="299" t="str">
        <f t="shared" si="11"/>
        <v>--</v>
      </c>
      <c r="Z35" s="300" t="str">
        <f t="shared" si="12"/>
        <v>--</v>
      </c>
      <c r="AA35" s="301" t="str">
        <f t="shared" si="13"/>
        <v>--</v>
      </c>
      <c r="AB35" s="877">
        <f t="shared" si="14"/>
      </c>
      <c r="AC35" s="303">
        <f t="shared" si="15"/>
      </c>
      <c r="AD35" s="17"/>
    </row>
    <row r="36" spans="1:30" s="5" customFormat="1" ht="16.5" customHeight="1">
      <c r="A36" s="90"/>
      <c r="B36" s="95"/>
      <c r="C36" s="274"/>
      <c r="D36" s="274"/>
      <c r="E36" s="152"/>
      <c r="F36" s="148"/>
      <c r="G36" s="304"/>
      <c r="H36" s="289"/>
      <c r="I36" s="290"/>
      <c r="J36" s="291">
        <f t="shared" si="0"/>
        <v>0</v>
      </c>
      <c r="K36" s="153"/>
      <c r="L36" s="153"/>
      <c r="M36" s="292">
        <f t="shared" si="1"/>
      </c>
      <c r="N36" s="14">
        <f t="shared" si="2"/>
      </c>
      <c r="O36" s="154"/>
      <c r="P36" s="515">
        <f t="shared" si="3"/>
      </c>
      <c r="Q36" s="8">
        <f t="shared" si="16"/>
      </c>
      <c r="R36" s="221">
        <f t="shared" si="4"/>
      </c>
      <c r="S36" s="293">
        <f t="shared" si="5"/>
        <v>20</v>
      </c>
      <c r="T36" s="875" t="str">
        <f t="shared" si="6"/>
        <v>--</v>
      </c>
      <c r="U36" s="876" t="str">
        <f t="shared" si="7"/>
        <v>--</v>
      </c>
      <c r="V36" s="296" t="str">
        <f t="shared" si="8"/>
        <v>--</v>
      </c>
      <c r="W36" s="297" t="str">
        <f t="shared" si="9"/>
        <v>--</v>
      </c>
      <c r="X36" s="298" t="str">
        <f t="shared" si="10"/>
        <v>--</v>
      </c>
      <c r="Y36" s="299" t="str">
        <f t="shared" si="11"/>
        <v>--</v>
      </c>
      <c r="Z36" s="300" t="str">
        <f t="shared" si="12"/>
        <v>--</v>
      </c>
      <c r="AA36" s="301" t="str">
        <f t="shared" si="13"/>
        <v>--</v>
      </c>
      <c r="AB36" s="877">
        <f t="shared" si="14"/>
      </c>
      <c r="AC36" s="303">
        <f t="shared" si="15"/>
      </c>
      <c r="AD36" s="17"/>
    </row>
    <row r="37" spans="1:30" s="5" customFormat="1" ht="16.5" customHeight="1">
      <c r="A37" s="90"/>
      <c r="B37" s="95"/>
      <c r="C37" s="274"/>
      <c r="D37" s="274"/>
      <c r="E37" s="274"/>
      <c r="F37" s="148"/>
      <c r="G37" s="304"/>
      <c r="H37" s="289"/>
      <c r="I37" s="290"/>
      <c r="J37" s="291">
        <f t="shared" si="0"/>
        <v>0</v>
      </c>
      <c r="K37" s="153"/>
      <c r="L37" s="153"/>
      <c r="M37" s="292">
        <f t="shared" si="1"/>
      </c>
      <c r="N37" s="14">
        <f t="shared" si="2"/>
      </c>
      <c r="O37" s="154"/>
      <c r="P37" s="515">
        <f t="shared" si="3"/>
      </c>
      <c r="Q37" s="8">
        <f t="shared" si="16"/>
      </c>
      <c r="R37" s="221">
        <f t="shared" si="4"/>
      </c>
      <c r="S37" s="293">
        <f t="shared" si="5"/>
        <v>20</v>
      </c>
      <c r="T37" s="875" t="str">
        <f t="shared" si="6"/>
        <v>--</v>
      </c>
      <c r="U37" s="876" t="str">
        <f t="shared" si="7"/>
        <v>--</v>
      </c>
      <c r="V37" s="296" t="str">
        <f t="shared" si="8"/>
        <v>--</v>
      </c>
      <c r="W37" s="297" t="str">
        <f t="shared" si="9"/>
        <v>--</v>
      </c>
      <c r="X37" s="298" t="str">
        <f t="shared" si="10"/>
        <v>--</v>
      </c>
      <c r="Y37" s="299" t="str">
        <f t="shared" si="11"/>
        <v>--</v>
      </c>
      <c r="Z37" s="300" t="str">
        <f t="shared" si="12"/>
        <v>--</v>
      </c>
      <c r="AA37" s="301" t="str">
        <f t="shared" si="13"/>
        <v>--</v>
      </c>
      <c r="AB37" s="877">
        <f t="shared" si="14"/>
      </c>
      <c r="AC37" s="303">
        <f t="shared" si="15"/>
      </c>
      <c r="AD37" s="17"/>
    </row>
    <row r="38" spans="1:30" s="5" customFormat="1" ht="16.5" customHeight="1">
      <c r="A38" s="90"/>
      <c r="B38" s="95"/>
      <c r="C38" s="274"/>
      <c r="D38" s="274"/>
      <c r="E38" s="152"/>
      <c r="F38" s="148"/>
      <c r="G38" s="304"/>
      <c r="H38" s="289"/>
      <c r="I38" s="290"/>
      <c r="J38" s="291">
        <f t="shared" si="0"/>
        <v>0</v>
      </c>
      <c r="K38" s="153"/>
      <c r="L38" s="153"/>
      <c r="M38" s="292">
        <f t="shared" si="1"/>
      </c>
      <c r="N38" s="14">
        <f t="shared" si="2"/>
      </c>
      <c r="O38" s="154"/>
      <c r="P38" s="515">
        <f t="shared" si="3"/>
      </c>
      <c r="Q38" s="8">
        <f t="shared" si="16"/>
      </c>
      <c r="R38" s="221">
        <f t="shared" si="4"/>
      </c>
      <c r="S38" s="293">
        <f t="shared" si="5"/>
        <v>20</v>
      </c>
      <c r="T38" s="875" t="str">
        <f t="shared" si="6"/>
        <v>--</v>
      </c>
      <c r="U38" s="876" t="str">
        <f t="shared" si="7"/>
        <v>--</v>
      </c>
      <c r="V38" s="296" t="str">
        <f t="shared" si="8"/>
        <v>--</v>
      </c>
      <c r="W38" s="297" t="str">
        <f t="shared" si="9"/>
        <v>--</v>
      </c>
      <c r="X38" s="298" t="str">
        <f t="shared" si="10"/>
        <v>--</v>
      </c>
      <c r="Y38" s="299" t="str">
        <f t="shared" si="11"/>
        <v>--</v>
      </c>
      <c r="Z38" s="300" t="str">
        <f t="shared" si="12"/>
        <v>--</v>
      </c>
      <c r="AA38" s="301" t="str">
        <f t="shared" si="13"/>
        <v>--</v>
      </c>
      <c r="AB38" s="877">
        <f t="shared" si="14"/>
      </c>
      <c r="AC38" s="303">
        <f t="shared" si="15"/>
      </c>
      <c r="AD38" s="17"/>
    </row>
    <row r="39" spans="1:30" s="5" customFormat="1" ht="16.5" customHeight="1">
      <c r="A39" s="90"/>
      <c r="B39" s="95"/>
      <c r="C39" s="274"/>
      <c r="D39" s="274"/>
      <c r="E39" s="274"/>
      <c r="F39" s="148"/>
      <c r="G39" s="304"/>
      <c r="H39" s="289"/>
      <c r="I39" s="290"/>
      <c r="J39" s="291">
        <f t="shared" si="0"/>
        <v>0</v>
      </c>
      <c r="K39" s="153"/>
      <c r="L39" s="153"/>
      <c r="M39" s="292">
        <f t="shared" si="1"/>
      </c>
      <c r="N39" s="14">
        <f t="shared" si="2"/>
      </c>
      <c r="O39" s="154"/>
      <c r="P39" s="515">
        <f t="shared" si="3"/>
      </c>
      <c r="Q39" s="8">
        <f t="shared" si="16"/>
      </c>
      <c r="R39" s="221">
        <f t="shared" si="4"/>
      </c>
      <c r="S39" s="293">
        <f t="shared" si="5"/>
        <v>20</v>
      </c>
      <c r="T39" s="875" t="str">
        <f t="shared" si="6"/>
        <v>--</v>
      </c>
      <c r="U39" s="876" t="str">
        <f t="shared" si="7"/>
        <v>--</v>
      </c>
      <c r="V39" s="296" t="str">
        <f t="shared" si="8"/>
        <v>--</v>
      </c>
      <c r="W39" s="297" t="str">
        <f t="shared" si="9"/>
        <v>--</v>
      </c>
      <c r="X39" s="298" t="str">
        <f t="shared" si="10"/>
        <v>--</v>
      </c>
      <c r="Y39" s="299" t="str">
        <f t="shared" si="11"/>
        <v>--</v>
      </c>
      <c r="Z39" s="300" t="str">
        <f t="shared" si="12"/>
        <v>--</v>
      </c>
      <c r="AA39" s="301" t="str">
        <f t="shared" si="13"/>
        <v>--</v>
      </c>
      <c r="AB39" s="877">
        <f t="shared" si="14"/>
      </c>
      <c r="AC39" s="303">
        <f t="shared" si="15"/>
      </c>
      <c r="AD39" s="17"/>
    </row>
    <row r="40" spans="1:30" s="5" customFormat="1" ht="16.5" customHeight="1" thickBot="1">
      <c r="A40" s="90"/>
      <c r="B40" s="95"/>
      <c r="C40" s="305"/>
      <c r="D40" s="305"/>
      <c r="E40" s="305"/>
      <c r="F40" s="305"/>
      <c r="G40" s="305"/>
      <c r="H40" s="305"/>
      <c r="I40" s="307"/>
      <c r="J40" s="131"/>
      <c r="K40" s="155"/>
      <c r="L40" s="308"/>
      <c r="M40" s="309"/>
      <c r="N40" s="310"/>
      <c r="O40" s="158"/>
      <c r="P40" s="189"/>
      <c r="Q40" s="156"/>
      <c r="R40" s="158"/>
      <c r="S40" s="341"/>
      <c r="T40" s="332"/>
      <c r="U40" s="333"/>
      <c r="V40" s="334"/>
      <c r="W40" s="335"/>
      <c r="X40" s="336"/>
      <c r="Y40" s="337"/>
      <c r="Z40" s="338"/>
      <c r="AA40" s="339"/>
      <c r="AB40" s="340"/>
      <c r="AC40" s="321"/>
      <c r="AD40" s="17"/>
    </row>
    <row r="41" spans="1:30" s="5" customFormat="1" ht="16.5" customHeight="1" thickBot="1" thickTop="1">
      <c r="A41" s="90"/>
      <c r="B41" s="95"/>
      <c r="C41" s="933" t="s">
        <v>391</v>
      </c>
      <c r="D41" s="881" t="s">
        <v>374</v>
      </c>
      <c r="E41" s="127"/>
      <c r="F41" s="128"/>
      <c r="G41" s="15"/>
      <c r="H41" s="15"/>
      <c r="I41" s="15"/>
      <c r="J41" s="15"/>
      <c r="K41" s="15"/>
      <c r="L41" s="99"/>
      <c r="M41" s="15"/>
      <c r="N41" s="15"/>
      <c r="O41" s="15"/>
      <c r="P41" s="15"/>
      <c r="Q41" s="15"/>
      <c r="R41" s="15"/>
      <c r="S41" s="15"/>
      <c r="T41" s="322">
        <f aca="true" t="shared" si="17" ref="T41:AA41">SUM(T18:T40)</f>
        <v>2198.6639999999998</v>
      </c>
      <c r="U41" s="323">
        <f t="shared" si="17"/>
        <v>0</v>
      </c>
      <c r="V41" s="324">
        <f t="shared" si="17"/>
        <v>972</v>
      </c>
      <c r="W41" s="325">
        <f t="shared" si="17"/>
        <v>10060.199999999999</v>
      </c>
      <c r="X41" s="326">
        <f t="shared" si="17"/>
        <v>0</v>
      </c>
      <c r="Y41" s="327">
        <f t="shared" si="17"/>
        <v>0</v>
      </c>
      <c r="Z41" s="328">
        <f t="shared" si="17"/>
        <v>0</v>
      </c>
      <c r="AA41" s="329">
        <f t="shared" si="17"/>
        <v>0</v>
      </c>
      <c r="AB41" s="90"/>
      <c r="AC41" s="330">
        <f>ROUND(SUM(AC18:AC40),2)</f>
        <v>13230.86</v>
      </c>
      <c r="AD41" s="17"/>
    </row>
    <row r="42" spans="1:30" s="5" customFormat="1" ht="16.5" customHeight="1" thickBot="1" thickTop="1">
      <c r="A42" s="90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1" ht="16.5" customHeight="1" thickTop="1">
      <c r="A43" s="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1" ht="16.5" customHeight="1">
      <c r="A44" s="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31" ht="16.5" customHeight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6:31" ht="16.5" customHeight="1"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6:31" ht="16.5" customHeight="1"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ht="16.5" customHeight="1">
      <c r="AE151" s="172"/>
    </row>
    <row r="152" ht="16.5" customHeight="1">
      <c r="AE152" s="172"/>
    </row>
    <row r="153" ht="16.5" customHeight="1">
      <c r="AE153" s="172"/>
    </row>
    <row r="154" ht="16.5" customHeight="1">
      <c r="AE154" s="172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workbookViewId="0" topLeftCell="A10">
      <selection activeCell="A24" sqref="A24:IV39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+'TOT-1110'!B2</f>
        <v>ANEXO  VI al Memorandum  D.T.E.E.  N°     381 /2012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7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211</v>
      </c>
      <c r="G10" s="342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3"/>
      <c r="G11" s="343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78</v>
      </c>
      <c r="G12" s="342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3"/>
      <c r="G13" s="343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'TOT-1110'!B14</f>
        <v>Desde el 01 al 30 de noviembre de 2010</v>
      </c>
      <c r="C14" s="40"/>
      <c r="D14" s="40"/>
      <c r="E14" s="40"/>
      <c r="F14" s="40"/>
      <c r="G14" s="40"/>
      <c r="H14" s="40"/>
      <c r="I14" s="344"/>
      <c r="J14" s="344"/>
      <c r="K14" s="344"/>
      <c r="L14" s="344"/>
      <c r="M14" s="344"/>
      <c r="N14" s="344"/>
      <c r="O14" s="344"/>
      <c r="P14" s="344"/>
      <c r="Q14" s="40"/>
      <c r="R14" s="40"/>
      <c r="S14" s="40"/>
      <c r="T14" s="40"/>
      <c r="U14" s="40"/>
      <c r="V14" s="40"/>
      <c r="W14" s="345"/>
    </row>
    <row r="15" spans="2:23" s="5" customFormat="1" ht="14.25" thickBot="1">
      <c r="B15" s="346"/>
      <c r="C15" s="347"/>
      <c r="D15" s="347"/>
      <c r="E15" s="347"/>
      <c r="F15" s="347"/>
      <c r="G15" s="347"/>
      <c r="H15" s="347"/>
      <c r="I15" s="348"/>
      <c r="J15" s="348"/>
      <c r="K15" s="348"/>
      <c r="L15" s="348"/>
      <c r="M15" s="348"/>
      <c r="N15" s="348"/>
      <c r="O15" s="348"/>
      <c r="P15" s="348"/>
      <c r="Q15" s="347"/>
      <c r="R15" s="347"/>
      <c r="S15" s="347"/>
      <c r="T15" s="347"/>
      <c r="U15" s="347"/>
      <c r="V15" s="347"/>
      <c r="W15" s="349"/>
    </row>
    <row r="16" spans="2:23" s="5" customFormat="1" ht="15" thickBot="1" thickTop="1">
      <c r="B16" s="50"/>
      <c r="C16" s="4"/>
      <c r="D16" s="4"/>
      <c r="E16" s="4"/>
      <c r="F16" s="350"/>
      <c r="G16" s="350"/>
      <c r="H16" s="117" t="s">
        <v>79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1" t="s">
        <v>80</v>
      </c>
      <c r="G17" s="352">
        <v>90.071</v>
      </c>
      <c r="H17" s="353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4" t="s">
        <v>81</v>
      </c>
      <c r="G18" s="355">
        <v>81.059</v>
      </c>
      <c r="H18" s="35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6" t="s">
        <v>82</v>
      </c>
      <c r="G19" s="355">
        <v>72.06</v>
      </c>
      <c r="H19" s="353">
        <v>40</v>
      </c>
      <c r="K19" s="199"/>
      <c r="L19" s="200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06">
        <v>3</v>
      </c>
      <c r="D20" s="906">
        <v>4</v>
      </c>
      <c r="E20" s="906">
        <v>5</v>
      </c>
      <c r="F20" s="906">
        <v>6</v>
      </c>
      <c r="G20" s="906">
        <v>7</v>
      </c>
      <c r="H20" s="906">
        <v>8</v>
      </c>
      <c r="I20" s="906">
        <v>9</v>
      </c>
      <c r="J20" s="906">
        <v>10</v>
      </c>
      <c r="K20" s="906">
        <v>11</v>
      </c>
      <c r="L20" s="906">
        <v>12</v>
      </c>
      <c r="M20" s="906">
        <v>13</v>
      </c>
      <c r="N20" s="906">
        <v>14</v>
      </c>
      <c r="O20" s="906">
        <v>15</v>
      </c>
      <c r="P20" s="906">
        <v>16</v>
      </c>
      <c r="Q20" s="906">
        <v>17</v>
      </c>
      <c r="R20" s="906">
        <v>18</v>
      </c>
      <c r="S20" s="906">
        <v>19</v>
      </c>
      <c r="T20" s="906">
        <v>20</v>
      </c>
      <c r="U20" s="906">
        <v>21</v>
      </c>
      <c r="V20" s="906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223</v>
      </c>
      <c r="E21" s="84" t="s">
        <v>224</v>
      </c>
      <c r="F21" s="86" t="s">
        <v>25</v>
      </c>
      <c r="G21" s="357" t="s">
        <v>26</v>
      </c>
      <c r="H21" s="358" t="s">
        <v>13</v>
      </c>
      <c r="I21" s="129" t="s">
        <v>15</v>
      </c>
      <c r="J21" s="85" t="s">
        <v>16</v>
      </c>
      <c r="K21" s="357" t="s">
        <v>17</v>
      </c>
      <c r="L21" s="359" t="s">
        <v>34</v>
      </c>
      <c r="M21" s="359" t="s">
        <v>29</v>
      </c>
      <c r="N21" s="88" t="s">
        <v>18</v>
      </c>
      <c r="O21" s="176" t="s">
        <v>30</v>
      </c>
      <c r="P21" s="135" t="s">
        <v>35</v>
      </c>
      <c r="Q21" s="360" t="s">
        <v>69</v>
      </c>
      <c r="R21" s="177" t="s">
        <v>33</v>
      </c>
      <c r="S21" s="361"/>
      <c r="T21" s="134" t="s">
        <v>21</v>
      </c>
      <c r="U21" s="132" t="s">
        <v>73</v>
      </c>
      <c r="V21" s="121" t="s">
        <v>23</v>
      </c>
      <c r="W21" s="6"/>
    </row>
    <row r="22" spans="2:23" s="5" customFormat="1" ht="16.5" customHeight="1" thickTop="1">
      <c r="B22" s="50"/>
      <c r="C22" s="260"/>
      <c r="D22" s="260"/>
      <c r="E22" s="260"/>
      <c r="F22" s="362"/>
      <c r="G22" s="362"/>
      <c r="H22" s="362"/>
      <c r="I22" s="218"/>
      <c r="J22" s="362"/>
      <c r="K22" s="362"/>
      <c r="L22" s="362"/>
      <c r="M22" s="362"/>
      <c r="N22" s="362"/>
      <c r="O22" s="362"/>
      <c r="P22" s="363"/>
      <c r="Q22" s="364"/>
      <c r="R22" s="365"/>
      <c r="S22" s="366"/>
      <c r="T22" s="367"/>
      <c r="U22" s="362"/>
      <c r="V22" s="368"/>
      <c r="W22" s="6"/>
    </row>
    <row r="23" spans="2:23" s="5" customFormat="1" ht="16.5" customHeight="1">
      <c r="B23" s="50"/>
      <c r="C23" s="274"/>
      <c r="D23" s="274"/>
      <c r="E23" s="274"/>
      <c r="F23" s="369"/>
      <c r="G23" s="369"/>
      <c r="H23" s="369"/>
      <c r="I23" s="370"/>
      <c r="J23" s="369"/>
      <c r="K23" s="369"/>
      <c r="L23" s="369"/>
      <c r="M23" s="369"/>
      <c r="N23" s="369"/>
      <c r="O23" s="369"/>
      <c r="P23" s="371"/>
      <c r="Q23" s="372"/>
      <c r="R23" s="188"/>
      <c r="S23" s="373"/>
      <c r="T23" s="374"/>
      <c r="U23" s="369"/>
      <c r="V23" s="375"/>
      <c r="W23" s="6"/>
    </row>
    <row r="24" spans="2:23" s="90" customFormat="1" ht="16.5" customHeight="1">
      <c r="B24" s="95"/>
      <c r="C24" s="274">
        <v>47</v>
      </c>
      <c r="D24" s="274">
        <v>227618</v>
      </c>
      <c r="E24" s="152">
        <v>146</v>
      </c>
      <c r="F24" s="1050" t="s">
        <v>305</v>
      </c>
      <c r="G24" s="1050" t="s">
        <v>317</v>
      </c>
      <c r="H24" s="1051">
        <v>132</v>
      </c>
      <c r="I24" s="1052">
        <f aca="true" t="shared" si="0" ref="I24:I43">IF(H24=500,$G$17,IF(H24=220,$G$18,$G$19))</f>
        <v>72.06</v>
      </c>
      <c r="J24" s="1053">
        <v>40483.294444444444</v>
      </c>
      <c r="K24" s="153">
        <v>40483.774305555555</v>
      </c>
      <c r="L24" s="379">
        <f aca="true" t="shared" si="1" ref="L24:L43">IF(F24="","",(K24-J24)*24)</f>
        <v>11.516666666662786</v>
      </c>
      <c r="M24" s="380">
        <f aca="true" t="shared" si="2" ref="M24:M43">IF(F24="","",ROUND((K24-J24)*24*60,0))</f>
        <v>691</v>
      </c>
      <c r="N24" s="1011" t="s">
        <v>283</v>
      </c>
      <c r="O24" s="13" t="str">
        <f aca="true" t="shared" si="3" ref="O24:O43">IF(F24="","",IF(N24="P","--","NO"))</f>
        <v>--</v>
      </c>
      <c r="P24" s="1039">
        <f aca="true" t="shared" si="4" ref="P24:P43">IF(H24=500,$H$17,IF(H24=220,$H$18,$H$19))</f>
        <v>40</v>
      </c>
      <c r="Q24" s="1054">
        <f aca="true" t="shared" si="5" ref="Q24:Q43">IF(N24="P",I24*P24*ROUND(M24/60,2)*0.1,"--")</f>
        <v>3320.5248</v>
      </c>
      <c r="R24" s="1055" t="str">
        <f aca="true" t="shared" si="6" ref="R24:R43">IF(AND(N24="F",O24="NO"),I24*P24,"--")</f>
        <v>--</v>
      </c>
      <c r="S24" s="1056" t="str">
        <f aca="true" t="shared" si="7" ref="S24:S43">IF(N24="F",I24*P24*ROUND(M24/60,2),"--")</f>
        <v>--</v>
      </c>
      <c r="T24" s="1057" t="str">
        <f aca="true" t="shared" si="8" ref="T24:T43">IF(N24="RF",I24*P24*ROUND(M24/60,2),"--")</f>
        <v>--</v>
      </c>
      <c r="U24" s="13" t="s">
        <v>202</v>
      </c>
      <c r="V24" s="381">
        <v>0</v>
      </c>
      <c r="W24" s="17"/>
    </row>
    <row r="25" spans="2:23" s="90" customFormat="1" ht="16.5" customHeight="1">
      <c r="B25" s="95"/>
      <c r="C25" s="274">
        <v>48</v>
      </c>
      <c r="D25" s="274">
        <v>227619</v>
      </c>
      <c r="E25" s="274">
        <v>147</v>
      </c>
      <c r="F25" s="1050" t="s">
        <v>318</v>
      </c>
      <c r="G25" s="1050" t="s">
        <v>319</v>
      </c>
      <c r="H25" s="1051">
        <v>132</v>
      </c>
      <c r="I25" s="1052">
        <f t="shared" si="0"/>
        <v>72.06</v>
      </c>
      <c r="J25" s="1053">
        <v>40483.34652777778</v>
      </c>
      <c r="K25" s="153">
        <v>40483.68472222222</v>
      </c>
      <c r="L25" s="379">
        <f t="shared" si="1"/>
        <v>8.116666666581295</v>
      </c>
      <c r="M25" s="380">
        <f t="shared" si="2"/>
        <v>487</v>
      </c>
      <c r="N25" s="1011" t="s">
        <v>283</v>
      </c>
      <c r="O25" s="13" t="str">
        <f t="shared" si="3"/>
        <v>--</v>
      </c>
      <c r="P25" s="1039">
        <f t="shared" si="4"/>
        <v>40</v>
      </c>
      <c r="Q25" s="1054">
        <f t="shared" si="5"/>
        <v>2340.5088</v>
      </c>
      <c r="R25" s="1055" t="str">
        <f t="shared" si="6"/>
        <v>--</v>
      </c>
      <c r="S25" s="1056" t="str">
        <f t="shared" si="7"/>
        <v>--</v>
      </c>
      <c r="T25" s="1057" t="str">
        <f t="shared" si="8"/>
        <v>--</v>
      </c>
      <c r="U25" s="13" t="s">
        <v>202</v>
      </c>
      <c r="V25" s="381">
        <v>0</v>
      </c>
      <c r="W25" s="17"/>
    </row>
    <row r="26" spans="2:23" s="90" customFormat="1" ht="16.5" customHeight="1">
      <c r="B26" s="95"/>
      <c r="C26" s="274">
        <v>49</v>
      </c>
      <c r="D26" s="274">
        <v>227622</v>
      </c>
      <c r="E26" s="152">
        <v>4667</v>
      </c>
      <c r="F26" s="1050" t="s">
        <v>320</v>
      </c>
      <c r="G26" s="1050" t="s">
        <v>321</v>
      </c>
      <c r="H26" s="1051">
        <v>132</v>
      </c>
      <c r="I26" s="1052">
        <f t="shared" si="0"/>
        <v>72.06</v>
      </c>
      <c r="J26" s="1053">
        <v>40484.34444444445</v>
      </c>
      <c r="K26" s="153">
        <v>40484.62986111111</v>
      </c>
      <c r="L26" s="379">
        <f t="shared" si="1"/>
        <v>6.849999999976717</v>
      </c>
      <c r="M26" s="380">
        <f t="shared" si="2"/>
        <v>411</v>
      </c>
      <c r="N26" s="1011" t="s">
        <v>283</v>
      </c>
      <c r="O26" s="13" t="str">
        <f t="shared" si="3"/>
        <v>--</v>
      </c>
      <c r="P26" s="1039">
        <f t="shared" si="4"/>
        <v>40</v>
      </c>
      <c r="Q26" s="1054">
        <f t="shared" si="5"/>
        <v>1974.444</v>
      </c>
      <c r="R26" s="1055" t="str">
        <f t="shared" si="6"/>
        <v>--</v>
      </c>
      <c r="S26" s="1056" t="str">
        <f t="shared" si="7"/>
        <v>--</v>
      </c>
      <c r="T26" s="1057" t="str">
        <f t="shared" si="8"/>
        <v>--</v>
      </c>
      <c r="U26" s="13" t="s">
        <v>202</v>
      </c>
      <c r="V26" s="381">
        <v>0</v>
      </c>
      <c r="W26" s="17"/>
    </row>
    <row r="27" spans="2:23" s="90" customFormat="1" ht="16.5" customHeight="1">
      <c r="B27" s="95"/>
      <c r="C27" s="274">
        <v>50</v>
      </c>
      <c r="D27" s="274">
        <v>227623</v>
      </c>
      <c r="E27" s="274">
        <v>1695</v>
      </c>
      <c r="F27" s="1050" t="s">
        <v>322</v>
      </c>
      <c r="G27" s="1050" t="s">
        <v>323</v>
      </c>
      <c r="H27" s="1051">
        <v>220</v>
      </c>
      <c r="I27" s="1052">
        <f t="shared" si="0"/>
        <v>81.059</v>
      </c>
      <c r="J27" s="1053">
        <v>40484.385416666664</v>
      </c>
      <c r="K27" s="153">
        <v>40484.61875</v>
      </c>
      <c r="L27" s="379">
        <f t="shared" si="1"/>
        <v>5.600000000093132</v>
      </c>
      <c r="M27" s="380">
        <f t="shared" si="2"/>
        <v>336</v>
      </c>
      <c r="N27" s="1011" t="s">
        <v>283</v>
      </c>
      <c r="O27" s="13" t="str">
        <f t="shared" si="3"/>
        <v>--</v>
      </c>
      <c r="P27" s="1039">
        <f t="shared" si="4"/>
        <v>100</v>
      </c>
      <c r="Q27" s="1054">
        <f t="shared" si="5"/>
        <v>4539.303999999999</v>
      </c>
      <c r="R27" s="1055" t="str">
        <f t="shared" si="6"/>
        <v>--</v>
      </c>
      <c r="S27" s="1056" t="str">
        <f t="shared" si="7"/>
        <v>--</v>
      </c>
      <c r="T27" s="1057" t="str">
        <f t="shared" si="8"/>
        <v>--</v>
      </c>
      <c r="U27" s="13" t="s">
        <v>202</v>
      </c>
      <c r="V27" s="381">
        <v>0</v>
      </c>
      <c r="W27" s="17"/>
    </row>
    <row r="28" spans="2:23" s="90" customFormat="1" ht="16.5" customHeight="1">
      <c r="B28" s="95"/>
      <c r="C28" s="274">
        <v>51</v>
      </c>
      <c r="D28" s="274">
        <v>227624</v>
      </c>
      <c r="E28" s="152">
        <v>4918</v>
      </c>
      <c r="F28" s="1050" t="s">
        <v>344</v>
      </c>
      <c r="G28" s="1050" t="s">
        <v>378</v>
      </c>
      <c r="H28" s="183">
        <v>132</v>
      </c>
      <c r="I28" s="1052">
        <f t="shared" si="0"/>
        <v>72.06</v>
      </c>
      <c r="J28" s="1053">
        <v>40484.41805555556</v>
      </c>
      <c r="K28" s="153">
        <v>40484.614583333336</v>
      </c>
      <c r="L28" s="379">
        <f t="shared" si="1"/>
        <v>4.716666666674428</v>
      </c>
      <c r="M28" s="380">
        <f t="shared" si="2"/>
        <v>283</v>
      </c>
      <c r="N28" s="1011" t="s">
        <v>283</v>
      </c>
      <c r="O28" s="13" t="str">
        <f t="shared" si="3"/>
        <v>--</v>
      </c>
      <c r="P28" s="1039">
        <f t="shared" si="4"/>
        <v>40</v>
      </c>
      <c r="Q28" s="1054">
        <f t="shared" si="5"/>
        <v>1360.4928</v>
      </c>
      <c r="R28" s="1055" t="str">
        <f t="shared" si="6"/>
        <v>--</v>
      </c>
      <c r="S28" s="1056" t="str">
        <f t="shared" si="7"/>
        <v>--</v>
      </c>
      <c r="T28" s="1057" t="str">
        <f t="shared" si="8"/>
        <v>--</v>
      </c>
      <c r="U28" s="13" t="s">
        <v>202</v>
      </c>
      <c r="V28" s="381">
        <v>0</v>
      </c>
      <c r="W28" s="17"/>
    </row>
    <row r="29" spans="2:23" s="90" customFormat="1" ht="16.5" customHeight="1">
      <c r="B29" s="95"/>
      <c r="C29" s="274">
        <v>52</v>
      </c>
      <c r="D29" s="274">
        <v>227626</v>
      </c>
      <c r="E29" s="274">
        <v>95</v>
      </c>
      <c r="F29" s="1050" t="s">
        <v>324</v>
      </c>
      <c r="G29" s="1050" t="s">
        <v>325</v>
      </c>
      <c r="H29" s="1051">
        <v>132</v>
      </c>
      <c r="I29" s="1052">
        <f t="shared" si="0"/>
        <v>72.06</v>
      </c>
      <c r="J29" s="1053">
        <v>40484.55763888889</v>
      </c>
      <c r="K29" s="153">
        <v>40484.67013888889</v>
      </c>
      <c r="L29" s="379">
        <f t="shared" si="1"/>
        <v>2.700000000069849</v>
      </c>
      <c r="M29" s="380">
        <f t="shared" si="2"/>
        <v>162</v>
      </c>
      <c r="N29" s="1011" t="s">
        <v>283</v>
      </c>
      <c r="O29" s="13" t="str">
        <f t="shared" si="3"/>
        <v>--</v>
      </c>
      <c r="P29" s="1039">
        <f t="shared" si="4"/>
        <v>40</v>
      </c>
      <c r="Q29" s="1054">
        <f t="shared" si="5"/>
        <v>778.248</v>
      </c>
      <c r="R29" s="1055" t="str">
        <f t="shared" si="6"/>
        <v>--</v>
      </c>
      <c r="S29" s="1056" t="str">
        <f t="shared" si="7"/>
        <v>--</v>
      </c>
      <c r="T29" s="1057" t="str">
        <f t="shared" si="8"/>
        <v>--</v>
      </c>
      <c r="U29" s="13" t="s">
        <v>202</v>
      </c>
      <c r="V29" s="381">
        <v>0</v>
      </c>
      <c r="W29" s="17"/>
    </row>
    <row r="30" spans="2:23" s="90" customFormat="1" ht="16.5" customHeight="1">
      <c r="B30" s="95"/>
      <c r="C30" s="274">
        <v>53</v>
      </c>
      <c r="D30" s="274">
        <v>227630</v>
      </c>
      <c r="E30" s="152">
        <v>141</v>
      </c>
      <c r="F30" s="1050" t="s">
        <v>305</v>
      </c>
      <c r="G30" s="1050" t="s">
        <v>326</v>
      </c>
      <c r="H30" s="1051">
        <v>132</v>
      </c>
      <c r="I30" s="1052">
        <f t="shared" si="0"/>
        <v>72.06</v>
      </c>
      <c r="J30" s="1053">
        <v>40485.31875</v>
      </c>
      <c r="K30" s="153">
        <v>40485.6</v>
      </c>
      <c r="L30" s="379">
        <f t="shared" si="1"/>
        <v>6.75</v>
      </c>
      <c r="M30" s="380">
        <f t="shared" si="2"/>
        <v>405</v>
      </c>
      <c r="N30" s="1011" t="s">
        <v>283</v>
      </c>
      <c r="O30" s="13" t="str">
        <f t="shared" si="3"/>
        <v>--</v>
      </c>
      <c r="P30" s="1039">
        <f t="shared" si="4"/>
        <v>40</v>
      </c>
      <c r="Q30" s="1054">
        <f t="shared" si="5"/>
        <v>1945.6200000000001</v>
      </c>
      <c r="R30" s="1055" t="str">
        <f t="shared" si="6"/>
        <v>--</v>
      </c>
      <c r="S30" s="1056" t="str">
        <f t="shared" si="7"/>
        <v>--</v>
      </c>
      <c r="T30" s="1057" t="str">
        <f t="shared" si="8"/>
        <v>--</v>
      </c>
      <c r="U30" s="13" t="s">
        <v>202</v>
      </c>
      <c r="V30" s="381">
        <v>0</v>
      </c>
      <c r="W30" s="17"/>
    </row>
    <row r="31" spans="2:23" s="90" customFormat="1" ht="16.5" customHeight="1">
      <c r="B31" s="95"/>
      <c r="C31" s="274">
        <v>54</v>
      </c>
      <c r="D31" s="274">
        <v>227638</v>
      </c>
      <c r="E31" s="274">
        <v>2647</v>
      </c>
      <c r="F31" s="1050" t="s">
        <v>309</v>
      </c>
      <c r="G31" s="1050" t="s">
        <v>327</v>
      </c>
      <c r="H31" s="1051">
        <v>132</v>
      </c>
      <c r="I31" s="1052">
        <f t="shared" si="0"/>
        <v>72.06</v>
      </c>
      <c r="J31" s="1053">
        <v>40486.350694444445</v>
      </c>
      <c r="K31" s="153">
        <v>40486.592361111114</v>
      </c>
      <c r="L31" s="379">
        <f t="shared" si="1"/>
        <v>5.800000000046566</v>
      </c>
      <c r="M31" s="380">
        <f t="shared" si="2"/>
        <v>348</v>
      </c>
      <c r="N31" s="1011" t="s">
        <v>283</v>
      </c>
      <c r="O31" s="13" t="str">
        <f t="shared" si="3"/>
        <v>--</v>
      </c>
      <c r="P31" s="1039">
        <f t="shared" si="4"/>
        <v>40</v>
      </c>
      <c r="Q31" s="1054">
        <f t="shared" si="5"/>
        <v>1671.792</v>
      </c>
      <c r="R31" s="1055" t="str">
        <f t="shared" si="6"/>
        <v>--</v>
      </c>
      <c r="S31" s="1056" t="str">
        <f t="shared" si="7"/>
        <v>--</v>
      </c>
      <c r="T31" s="1057" t="str">
        <f t="shared" si="8"/>
        <v>--</v>
      </c>
      <c r="U31" s="13" t="s">
        <v>202</v>
      </c>
      <c r="V31" s="381">
        <v>0</v>
      </c>
      <c r="W31" s="17"/>
    </row>
    <row r="32" spans="2:23" s="90" customFormat="1" ht="16.5" customHeight="1">
      <c r="B32" s="95"/>
      <c r="C32" s="274">
        <v>55</v>
      </c>
      <c r="D32" s="274">
        <v>227650</v>
      </c>
      <c r="E32" s="152">
        <v>113</v>
      </c>
      <c r="F32" s="1050" t="s">
        <v>309</v>
      </c>
      <c r="G32" s="1050" t="s">
        <v>328</v>
      </c>
      <c r="H32" s="1051">
        <v>132</v>
      </c>
      <c r="I32" s="1052">
        <f t="shared" si="0"/>
        <v>72.06</v>
      </c>
      <c r="J32" s="1053">
        <v>40489.334027777775</v>
      </c>
      <c r="K32" s="153">
        <v>40489.68402777778</v>
      </c>
      <c r="L32" s="379">
        <f t="shared" si="1"/>
        <v>8.400000000139698</v>
      </c>
      <c r="M32" s="380">
        <f t="shared" si="2"/>
        <v>504</v>
      </c>
      <c r="N32" s="1011" t="s">
        <v>283</v>
      </c>
      <c r="O32" s="13" t="str">
        <f t="shared" si="3"/>
        <v>--</v>
      </c>
      <c r="P32" s="1039">
        <f t="shared" si="4"/>
        <v>40</v>
      </c>
      <c r="Q32" s="1054">
        <f t="shared" si="5"/>
        <v>2421.2160000000003</v>
      </c>
      <c r="R32" s="1055" t="str">
        <f t="shared" si="6"/>
        <v>--</v>
      </c>
      <c r="S32" s="1056" t="str">
        <f t="shared" si="7"/>
        <v>--</v>
      </c>
      <c r="T32" s="1057" t="str">
        <f t="shared" si="8"/>
        <v>--</v>
      </c>
      <c r="U32" s="13" t="s">
        <v>202</v>
      </c>
      <c r="V32" s="381">
        <f aca="true" t="shared" si="9" ref="V32:V43">IF(F32="","",SUM(Q32:T32)*IF(U32="SI",1,2))</f>
        <v>2421.2160000000003</v>
      </c>
      <c r="W32" s="17"/>
    </row>
    <row r="33" spans="2:23" s="90" customFormat="1" ht="16.5" customHeight="1">
      <c r="B33" s="95"/>
      <c r="C33" s="274">
        <v>56</v>
      </c>
      <c r="D33" s="274">
        <v>227653</v>
      </c>
      <c r="E33" s="274">
        <v>103</v>
      </c>
      <c r="F33" s="1050" t="s">
        <v>329</v>
      </c>
      <c r="G33" s="1050" t="s">
        <v>330</v>
      </c>
      <c r="H33" s="1051">
        <v>500</v>
      </c>
      <c r="I33" s="1052">
        <f t="shared" si="0"/>
        <v>90.071</v>
      </c>
      <c r="J33" s="1053">
        <v>40489.46527777778</v>
      </c>
      <c r="K33" s="153">
        <v>40489.81805555556</v>
      </c>
      <c r="L33" s="379">
        <f t="shared" si="1"/>
        <v>8.466666666674428</v>
      </c>
      <c r="M33" s="380">
        <f t="shared" si="2"/>
        <v>508</v>
      </c>
      <c r="N33" s="1011" t="s">
        <v>296</v>
      </c>
      <c r="O33" s="13" t="s">
        <v>202</v>
      </c>
      <c r="P33" s="1039">
        <f t="shared" si="4"/>
        <v>200</v>
      </c>
      <c r="Q33" s="1054" t="str">
        <f t="shared" si="5"/>
        <v>--</v>
      </c>
      <c r="R33" s="1055" t="str">
        <f t="shared" si="6"/>
        <v>--</v>
      </c>
      <c r="S33" s="1056">
        <f t="shared" si="7"/>
        <v>152580.274</v>
      </c>
      <c r="T33" s="1057" t="str">
        <f t="shared" si="8"/>
        <v>--</v>
      </c>
      <c r="U33" s="13" t="s">
        <v>202</v>
      </c>
      <c r="V33" s="381">
        <v>0</v>
      </c>
      <c r="W33" s="17"/>
    </row>
    <row r="34" spans="2:23" s="90" customFormat="1" ht="16.5" customHeight="1">
      <c r="B34" s="95"/>
      <c r="C34" s="274">
        <v>57</v>
      </c>
      <c r="D34" s="274">
        <v>227996</v>
      </c>
      <c r="E34" s="152">
        <v>142</v>
      </c>
      <c r="F34" s="1050" t="s">
        <v>305</v>
      </c>
      <c r="G34" s="1050" t="s">
        <v>331</v>
      </c>
      <c r="H34" s="1051">
        <v>132</v>
      </c>
      <c r="I34" s="1052">
        <f t="shared" si="0"/>
        <v>72.06</v>
      </c>
      <c r="J34" s="1053">
        <v>40493.325694444444</v>
      </c>
      <c r="K34" s="153">
        <v>40493.33888888889</v>
      </c>
      <c r="L34" s="379">
        <f t="shared" si="1"/>
        <v>0.3166666666511446</v>
      </c>
      <c r="M34" s="380">
        <f t="shared" si="2"/>
        <v>19</v>
      </c>
      <c r="N34" s="1011" t="s">
        <v>283</v>
      </c>
      <c r="O34" s="13" t="str">
        <f t="shared" si="3"/>
        <v>--</v>
      </c>
      <c r="P34" s="1039">
        <f t="shared" si="4"/>
        <v>40</v>
      </c>
      <c r="Q34" s="1054">
        <f t="shared" si="5"/>
        <v>92.23680000000002</v>
      </c>
      <c r="R34" s="1055" t="str">
        <f t="shared" si="6"/>
        <v>--</v>
      </c>
      <c r="S34" s="1056" t="str">
        <f t="shared" si="7"/>
        <v>--</v>
      </c>
      <c r="T34" s="1057" t="str">
        <f t="shared" si="8"/>
        <v>--</v>
      </c>
      <c r="U34" s="13" t="s">
        <v>202</v>
      </c>
      <c r="V34" s="381">
        <f t="shared" si="9"/>
        <v>92.23680000000002</v>
      </c>
      <c r="W34" s="17"/>
    </row>
    <row r="35" spans="2:23" s="90" customFormat="1" ht="16.5" customHeight="1">
      <c r="B35" s="95"/>
      <c r="C35" s="274">
        <v>58</v>
      </c>
      <c r="D35" s="274">
        <v>227998</v>
      </c>
      <c r="E35" s="274">
        <v>1598</v>
      </c>
      <c r="F35" s="1050" t="s">
        <v>332</v>
      </c>
      <c r="G35" s="1050" t="s">
        <v>333</v>
      </c>
      <c r="H35" s="1051">
        <v>132</v>
      </c>
      <c r="I35" s="1052">
        <f t="shared" si="0"/>
        <v>72.06</v>
      </c>
      <c r="J35" s="1053">
        <v>40493.44305555556</v>
      </c>
      <c r="K35" s="153">
        <v>40493.80138888889</v>
      </c>
      <c r="L35" s="379">
        <f t="shared" si="1"/>
        <v>8.59999999991851</v>
      </c>
      <c r="M35" s="380">
        <f t="shared" si="2"/>
        <v>516</v>
      </c>
      <c r="N35" s="1011" t="s">
        <v>283</v>
      </c>
      <c r="O35" s="13" t="str">
        <f t="shared" si="3"/>
        <v>--</v>
      </c>
      <c r="P35" s="1039">
        <f t="shared" si="4"/>
        <v>40</v>
      </c>
      <c r="Q35" s="1054">
        <f t="shared" si="5"/>
        <v>2478.864</v>
      </c>
      <c r="R35" s="1055" t="str">
        <f t="shared" si="6"/>
        <v>--</v>
      </c>
      <c r="S35" s="1056" t="str">
        <f t="shared" si="7"/>
        <v>--</v>
      </c>
      <c r="T35" s="1057" t="str">
        <f t="shared" si="8"/>
        <v>--</v>
      </c>
      <c r="U35" s="13" t="s">
        <v>202</v>
      </c>
      <c r="V35" s="381">
        <f t="shared" si="9"/>
        <v>2478.864</v>
      </c>
      <c r="W35" s="17"/>
    </row>
    <row r="36" spans="2:23" s="90" customFormat="1" ht="16.5" customHeight="1">
      <c r="B36" s="95"/>
      <c r="C36" s="274">
        <v>59</v>
      </c>
      <c r="D36" s="274">
        <v>227999</v>
      </c>
      <c r="E36" s="152">
        <v>2647</v>
      </c>
      <c r="F36" s="1050" t="s">
        <v>309</v>
      </c>
      <c r="G36" s="1050" t="s">
        <v>327</v>
      </c>
      <c r="H36" s="1051">
        <v>132</v>
      </c>
      <c r="I36" s="1052">
        <f t="shared" si="0"/>
        <v>72.06</v>
      </c>
      <c r="J36" s="1053">
        <v>40494.342361111114</v>
      </c>
      <c r="K36" s="153">
        <v>40494.57013888889</v>
      </c>
      <c r="L36" s="379">
        <f t="shared" si="1"/>
        <v>5.466666666674428</v>
      </c>
      <c r="M36" s="380">
        <f t="shared" si="2"/>
        <v>328</v>
      </c>
      <c r="N36" s="1011" t="s">
        <v>283</v>
      </c>
      <c r="O36" s="13" t="str">
        <f t="shared" si="3"/>
        <v>--</v>
      </c>
      <c r="P36" s="1039">
        <f t="shared" si="4"/>
        <v>40</v>
      </c>
      <c r="Q36" s="1054">
        <f t="shared" si="5"/>
        <v>1576.6728</v>
      </c>
      <c r="R36" s="1055" t="str">
        <f t="shared" si="6"/>
        <v>--</v>
      </c>
      <c r="S36" s="1056" t="str">
        <f t="shared" si="7"/>
        <v>--</v>
      </c>
      <c r="T36" s="1057" t="str">
        <f t="shared" si="8"/>
        <v>--</v>
      </c>
      <c r="U36" s="13" t="s">
        <v>202</v>
      </c>
      <c r="V36" s="381">
        <v>0</v>
      </c>
      <c r="W36" s="17"/>
    </row>
    <row r="37" spans="2:23" s="90" customFormat="1" ht="16.5" customHeight="1">
      <c r="B37" s="95"/>
      <c r="C37" s="274">
        <v>60</v>
      </c>
      <c r="D37" s="274">
        <v>228001</v>
      </c>
      <c r="E37" s="274">
        <v>95</v>
      </c>
      <c r="F37" s="1050" t="s">
        <v>324</v>
      </c>
      <c r="G37" s="1050" t="s">
        <v>325</v>
      </c>
      <c r="H37" s="1051">
        <v>132</v>
      </c>
      <c r="I37" s="1052">
        <f t="shared" si="0"/>
        <v>72.06</v>
      </c>
      <c r="J37" s="1053">
        <v>40494.354166666664</v>
      </c>
      <c r="K37" s="153">
        <v>40494.66875</v>
      </c>
      <c r="L37" s="379">
        <f t="shared" si="1"/>
        <v>7.5499999999883585</v>
      </c>
      <c r="M37" s="380">
        <f t="shared" si="2"/>
        <v>453</v>
      </c>
      <c r="N37" s="1011" t="s">
        <v>283</v>
      </c>
      <c r="O37" s="13" t="str">
        <f t="shared" si="3"/>
        <v>--</v>
      </c>
      <c r="P37" s="1039">
        <f t="shared" si="4"/>
        <v>40</v>
      </c>
      <c r="Q37" s="1054">
        <f t="shared" si="5"/>
        <v>2176.212</v>
      </c>
      <c r="R37" s="1055" t="str">
        <f t="shared" si="6"/>
        <v>--</v>
      </c>
      <c r="S37" s="1056" t="str">
        <f t="shared" si="7"/>
        <v>--</v>
      </c>
      <c r="T37" s="1057" t="str">
        <f t="shared" si="8"/>
        <v>--</v>
      </c>
      <c r="U37" s="13" t="s">
        <v>202</v>
      </c>
      <c r="V37" s="381">
        <f t="shared" si="9"/>
        <v>2176.212</v>
      </c>
      <c r="W37" s="17"/>
    </row>
    <row r="38" spans="2:23" s="90" customFormat="1" ht="16.5" customHeight="1">
      <c r="B38" s="95"/>
      <c r="C38" s="274">
        <v>61</v>
      </c>
      <c r="D38" s="274">
        <v>228002</v>
      </c>
      <c r="E38" s="152">
        <v>1598</v>
      </c>
      <c r="F38" s="1050" t="s">
        <v>332</v>
      </c>
      <c r="G38" s="1050" t="s">
        <v>333</v>
      </c>
      <c r="H38" s="1051">
        <v>132</v>
      </c>
      <c r="I38" s="1052">
        <f t="shared" si="0"/>
        <v>72.06</v>
      </c>
      <c r="J38" s="1053">
        <v>40494.368055555555</v>
      </c>
      <c r="K38" s="153">
        <v>40494.75486111111</v>
      </c>
      <c r="L38" s="379">
        <f t="shared" si="1"/>
        <v>9.28333333338378</v>
      </c>
      <c r="M38" s="380">
        <f t="shared" si="2"/>
        <v>557</v>
      </c>
      <c r="N38" s="1011" t="s">
        <v>283</v>
      </c>
      <c r="O38" s="13" t="str">
        <f t="shared" si="3"/>
        <v>--</v>
      </c>
      <c r="P38" s="1039">
        <f t="shared" si="4"/>
        <v>40</v>
      </c>
      <c r="Q38" s="1054">
        <f t="shared" si="5"/>
        <v>2674.8672</v>
      </c>
      <c r="R38" s="1055" t="str">
        <f t="shared" si="6"/>
        <v>--</v>
      </c>
      <c r="S38" s="1056" t="str">
        <f t="shared" si="7"/>
        <v>--</v>
      </c>
      <c r="T38" s="1057" t="str">
        <f t="shared" si="8"/>
        <v>--</v>
      </c>
      <c r="U38" s="13" t="s">
        <v>202</v>
      </c>
      <c r="V38" s="381">
        <f t="shared" si="9"/>
        <v>2674.8672</v>
      </c>
      <c r="W38" s="17"/>
    </row>
    <row r="39" spans="2:23" s="90" customFormat="1" ht="16.5" customHeight="1">
      <c r="B39" s="95"/>
      <c r="C39" s="274">
        <v>62</v>
      </c>
      <c r="D39" s="274">
        <v>228003</v>
      </c>
      <c r="E39" s="274">
        <v>4822</v>
      </c>
      <c r="F39" s="1050" t="s">
        <v>379</v>
      </c>
      <c r="G39" s="1050" t="s">
        <v>380</v>
      </c>
      <c r="H39" s="183">
        <v>500</v>
      </c>
      <c r="I39" s="1052">
        <f t="shared" si="0"/>
        <v>90.071</v>
      </c>
      <c r="J39" s="1053">
        <v>40494.402083333334</v>
      </c>
      <c r="K39" s="153">
        <v>40494.48125</v>
      </c>
      <c r="L39" s="379">
        <f t="shared" si="1"/>
        <v>1.8999999999068677</v>
      </c>
      <c r="M39" s="380">
        <f t="shared" si="2"/>
        <v>114</v>
      </c>
      <c r="N39" s="1011" t="s">
        <v>283</v>
      </c>
      <c r="O39" s="13" t="str">
        <f t="shared" si="3"/>
        <v>--</v>
      </c>
      <c r="P39" s="1039">
        <f t="shared" si="4"/>
        <v>200</v>
      </c>
      <c r="Q39" s="1054">
        <f t="shared" si="5"/>
        <v>3422.6980000000003</v>
      </c>
      <c r="R39" s="1055" t="str">
        <f t="shared" si="6"/>
        <v>--</v>
      </c>
      <c r="S39" s="1056" t="str">
        <f t="shared" si="7"/>
        <v>--</v>
      </c>
      <c r="T39" s="1057" t="str">
        <f t="shared" si="8"/>
        <v>--</v>
      </c>
      <c r="U39" s="13" t="s">
        <v>202</v>
      </c>
      <c r="V39" s="381">
        <v>0</v>
      </c>
      <c r="W39" s="17"/>
    </row>
    <row r="40" spans="2:23" s="5" customFormat="1" ht="16.5" customHeight="1">
      <c r="B40" s="50"/>
      <c r="C40" s="274">
        <v>63</v>
      </c>
      <c r="D40" s="274">
        <v>228004</v>
      </c>
      <c r="E40" s="152">
        <v>1598</v>
      </c>
      <c r="F40" s="928" t="s">
        <v>332</v>
      </c>
      <c r="G40" s="928" t="s">
        <v>333</v>
      </c>
      <c r="H40" s="929">
        <v>132</v>
      </c>
      <c r="I40" s="130">
        <f t="shared" si="0"/>
        <v>72.06</v>
      </c>
      <c r="J40" s="378">
        <v>40495.35972222222</v>
      </c>
      <c r="K40" s="150">
        <v>40496.62569444445</v>
      </c>
      <c r="L40" s="379">
        <f t="shared" si="1"/>
        <v>30.383333333360497</v>
      </c>
      <c r="M40" s="380">
        <f t="shared" si="2"/>
        <v>1823</v>
      </c>
      <c r="N40" s="220" t="s">
        <v>283</v>
      </c>
      <c r="O40" s="221" t="str">
        <f t="shared" si="3"/>
        <v>--</v>
      </c>
      <c r="P40" s="712">
        <f t="shared" si="4"/>
        <v>40</v>
      </c>
      <c r="Q40" s="878">
        <f t="shared" si="5"/>
        <v>8756.7312</v>
      </c>
      <c r="R40" s="188" t="str">
        <f t="shared" si="6"/>
        <v>--</v>
      </c>
      <c r="S40" s="373" t="str">
        <f t="shared" si="7"/>
        <v>--</v>
      </c>
      <c r="T40" s="374" t="str">
        <f t="shared" si="8"/>
        <v>--</v>
      </c>
      <c r="U40" s="221" t="s">
        <v>202</v>
      </c>
      <c r="V40" s="381">
        <f t="shared" si="9"/>
        <v>8756.7312</v>
      </c>
      <c r="W40" s="6"/>
    </row>
    <row r="41" spans="2:23" s="5" customFormat="1" ht="16.5" customHeight="1">
      <c r="B41" s="50"/>
      <c r="C41" s="274">
        <v>64</v>
      </c>
      <c r="D41" s="274">
        <v>228005</v>
      </c>
      <c r="E41" s="274">
        <v>134</v>
      </c>
      <c r="F41" s="928" t="s">
        <v>307</v>
      </c>
      <c r="G41" s="928" t="s">
        <v>334</v>
      </c>
      <c r="H41" s="929">
        <v>132</v>
      </c>
      <c r="I41" s="130">
        <f t="shared" si="0"/>
        <v>72.06</v>
      </c>
      <c r="J41" s="378">
        <v>40496.30416666667</v>
      </c>
      <c r="K41" s="150">
        <v>40496.38888888889</v>
      </c>
      <c r="L41" s="379">
        <f t="shared" si="1"/>
        <v>2.0333333333255723</v>
      </c>
      <c r="M41" s="380">
        <f t="shared" si="2"/>
        <v>122</v>
      </c>
      <c r="N41" s="220" t="s">
        <v>283</v>
      </c>
      <c r="O41" s="221" t="str">
        <f t="shared" si="3"/>
        <v>--</v>
      </c>
      <c r="P41" s="712">
        <f t="shared" si="4"/>
        <v>40</v>
      </c>
      <c r="Q41" s="878">
        <f t="shared" si="5"/>
        <v>585.1272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221" t="s">
        <v>202</v>
      </c>
      <c r="V41" s="381">
        <f t="shared" si="9"/>
        <v>585.1272</v>
      </c>
      <c r="W41" s="6"/>
    </row>
    <row r="42" spans="2:23" s="5" customFormat="1" ht="16.5" customHeight="1">
      <c r="B42" s="50"/>
      <c r="C42" s="274">
        <v>65</v>
      </c>
      <c r="D42" s="274">
        <v>228009</v>
      </c>
      <c r="E42" s="152">
        <v>4567</v>
      </c>
      <c r="F42" s="928" t="s">
        <v>335</v>
      </c>
      <c r="G42" s="928" t="s">
        <v>336</v>
      </c>
      <c r="H42" s="929">
        <v>132</v>
      </c>
      <c r="I42" s="130">
        <f t="shared" si="0"/>
        <v>72.06</v>
      </c>
      <c r="J42" s="378">
        <v>40496.37986111111</v>
      </c>
      <c r="K42" s="150">
        <v>40496.68125</v>
      </c>
      <c r="L42" s="379">
        <f t="shared" si="1"/>
        <v>7.233333333337214</v>
      </c>
      <c r="M42" s="380">
        <f t="shared" si="2"/>
        <v>434</v>
      </c>
      <c r="N42" s="220" t="s">
        <v>283</v>
      </c>
      <c r="O42" s="221" t="str">
        <f t="shared" si="3"/>
        <v>--</v>
      </c>
      <c r="P42" s="712">
        <f t="shared" si="4"/>
        <v>40</v>
      </c>
      <c r="Q42" s="878">
        <f t="shared" si="5"/>
        <v>2083.9752000000003</v>
      </c>
      <c r="R42" s="188" t="str">
        <f t="shared" si="6"/>
        <v>--</v>
      </c>
      <c r="S42" s="373" t="str">
        <f t="shared" si="7"/>
        <v>--</v>
      </c>
      <c r="T42" s="374" t="str">
        <f t="shared" si="8"/>
        <v>--</v>
      </c>
      <c r="U42" s="221" t="s">
        <v>202</v>
      </c>
      <c r="V42" s="381">
        <f t="shared" si="9"/>
        <v>2083.9752000000003</v>
      </c>
      <c r="W42" s="6"/>
    </row>
    <row r="43" spans="2:23" s="5" customFormat="1" ht="16.5" customHeight="1">
      <c r="B43" s="50"/>
      <c r="C43" s="274"/>
      <c r="D43" s="274"/>
      <c r="E43" s="274"/>
      <c r="F43" s="376"/>
      <c r="G43" s="376"/>
      <c r="H43" s="377"/>
      <c r="I43" s="130">
        <f t="shared" si="0"/>
        <v>72.06</v>
      </c>
      <c r="J43" s="378"/>
      <c r="K43" s="150"/>
      <c r="L43" s="379">
        <f t="shared" si="1"/>
      </c>
      <c r="M43" s="380">
        <f t="shared" si="2"/>
      </c>
      <c r="N43" s="220"/>
      <c r="O43" s="221">
        <f t="shared" si="3"/>
      </c>
      <c r="P43" s="712">
        <f t="shared" si="4"/>
        <v>40</v>
      </c>
      <c r="Q43" s="878" t="str">
        <f t="shared" si="5"/>
        <v>--</v>
      </c>
      <c r="R43" s="188" t="str">
        <f t="shared" si="6"/>
        <v>--</v>
      </c>
      <c r="S43" s="373" t="str">
        <f t="shared" si="7"/>
        <v>--</v>
      </c>
      <c r="T43" s="374" t="str">
        <f t="shared" si="8"/>
        <v>--</v>
      </c>
      <c r="U43" s="221">
        <f>IF(F43="","","SI")</f>
      </c>
      <c r="V43" s="381">
        <f t="shared" si="9"/>
      </c>
      <c r="W43" s="6"/>
    </row>
    <row r="44" spans="2:23" s="5" customFormat="1" ht="16.5" customHeight="1" thickBot="1">
      <c r="B44" s="50"/>
      <c r="C44" s="228"/>
      <c r="D44" s="228"/>
      <c r="E44" s="228"/>
      <c r="F44" s="228"/>
      <c r="G44" s="228"/>
      <c r="H44" s="228"/>
      <c r="I44" s="131"/>
      <c r="J44" s="382"/>
      <c r="K44" s="382"/>
      <c r="L44" s="383"/>
      <c r="M44" s="383"/>
      <c r="N44" s="382"/>
      <c r="O44" s="151"/>
      <c r="P44" s="384"/>
      <c r="Q44" s="385"/>
      <c r="R44" s="386"/>
      <c r="S44" s="387"/>
      <c r="T44" s="157"/>
      <c r="U44" s="151"/>
      <c r="V44" s="388"/>
      <c r="W44" s="6"/>
    </row>
    <row r="45" spans="2:23" s="5" customFormat="1" ht="16.5" customHeight="1" thickBot="1" thickTop="1">
      <c r="B45" s="50"/>
      <c r="C45" s="933" t="s">
        <v>391</v>
      </c>
      <c r="D45" s="73" t="s">
        <v>390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89">
        <f>SUM(Q22:Q44)</f>
        <v>44199.5348</v>
      </c>
      <c r="R45" s="390">
        <f>SUM(R22:R44)</f>
        <v>0</v>
      </c>
      <c r="S45" s="391">
        <f>SUM(S22:S44)</f>
        <v>152580.274</v>
      </c>
      <c r="T45" s="392">
        <f>SUM(T22:T44)</f>
        <v>0</v>
      </c>
      <c r="U45" s="393"/>
      <c r="V45" s="100">
        <f>ROUND(SUM(V22:V44),2)</f>
        <v>21269.23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workbookViewId="0" topLeftCell="A1">
      <selection activeCell="A24" sqref="A24:IV40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+'TOT-1110'!B2</f>
        <v>ANEXO  VI al Memorandum  D.T.E.E.  N°     381 /2012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7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211</v>
      </c>
      <c r="G10" s="342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3"/>
      <c r="G11" s="343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78</v>
      </c>
      <c r="G12" s="342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3"/>
      <c r="G13" s="343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'TOT-1110'!B14</f>
        <v>Desde el 01 al 30 de noviembre de 2010</v>
      </c>
      <c r="C14" s="40"/>
      <c r="D14" s="40"/>
      <c r="E14" s="40"/>
      <c r="F14" s="40"/>
      <c r="G14" s="40"/>
      <c r="H14" s="40"/>
      <c r="I14" s="344"/>
      <c r="J14" s="344"/>
      <c r="K14" s="344"/>
      <c r="L14" s="344"/>
      <c r="M14" s="344"/>
      <c r="N14" s="344"/>
      <c r="O14" s="344"/>
      <c r="P14" s="344"/>
      <c r="Q14" s="40"/>
      <c r="R14" s="40"/>
      <c r="S14" s="40"/>
      <c r="T14" s="40"/>
      <c r="U14" s="40"/>
      <c r="V14" s="40"/>
      <c r="W14" s="345"/>
    </row>
    <row r="15" spans="2:23" s="5" customFormat="1" ht="14.25" thickBot="1">
      <c r="B15" s="346"/>
      <c r="C15" s="347"/>
      <c r="D15" s="347"/>
      <c r="E15" s="347"/>
      <c r="F15" s="347"/>
      <c r="G15" s="347"/>
      <c r="H15" s="347"/>
      <c r="I15" s="348"/>
      <c r="J15" s="348"/>
      <c r="K15" s="348"/>
      <c r="L15" s="348"/>
      <c r="M15" s="348"/>
      <c r="N15" s="348"/>
      <c r="O15" s="348"/>
      <c r="P15" s="348"/>
      <c r="Q15" s="347"/>
      <c r="R15" s="347"/>
      <c r="S15" s="347"/>
      <c r="T15" s="347"/>
      <c r="U15" s="347"/>
      <c r="V15" s="347"/>
      <c r="W15" s="349"/>
    </row>
    <row r="16" spans="2:23" s="5" customFormat="1" ht="15" thickBot="1" thickTop="1">
      <c r="B16" s="50"/>
      <c r="C16" s="4"/>
      <c r="D16" s="4"/>
      <c r="E16" s="4"/>
      <c r="F16" s="350"/>
      <c r="G16" s="350"/>
      <c r="H16" s="117" t="s">
        <v>79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1" t="s">
        <v>80</v>
      </c>
      <c r="G17" s="352">
        <v>90.071</v>
      </c>
      <c r="H17" s="353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4" t="s">
        <v>81</v>
      </c>
      <c r="G18" s="355">
        <v>81.059</v>
      </c>
      <c r="H18" s="35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6" t="s">
        <v>82</v>
      </c>
      <c r="G19" s="355">
        <v>72.06</v>
      </c>
      <c r="H19" s="353">
        <v>40</v>
      </c>
      <c r="K19" s="199"/>
      <c r="L19" s="200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06">
        <v>3</v>
      </c>
      <c r="D20" s="906">
        <v>4</v>
      </c>
      <c r="E20" s="906">
        <v>5</v>
      </c>
      <c r="F20" s="906">
        <v>6</v>
      </c>
      <c r="G20" s="906">
        <v>7</v>
      </c>
      <c r="H20" s="906">
        <v>8</v>
      </c>
      <c r="I20" s="906">
        <v>9</v>
      </c>
      <c r="J20" s="906">
        <v>10</v>
      </c>
      <c r="K20" s="906">
        <v>11</v>
      </c>
      <c r="L20" s="906">
        <v>12</v>
      </c>
      <c r="M20" s="906">
        <v>13</v>
      </c>
      <c r="N20" s="906">
        <v>14</v>
      </c>
      <c r="O20" s="906">
        <v>15</v>
      </c>
      <c r="P20" s="906">
        <v>16</v>
      </c>
      <c r="Q20" s="906">
        <v>17</v>
      </c>
      <c r="R20" s="906">
        <v>18</v>
      </c>
      <c r="S20" s="906">
        <v>19</v>
      </c>
      <c r="T20" s="906">
        <v>20</v>
      </c>
      <c r="U20" s="906">
        <v>21</v>
      </c>
      <c r="V20" s="906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223</v>
      </c>
      <c r="E21" s="84" t="s">
        <v>224</v>
      </c>
      <c r="F21" s="86" t="s">
        <v>25</v>
      </c>
      <c r="G21" s="357" t="s">
        <v>26</v>
      </c>
      <c r="H21" s="358" t="s">
        <v>13</v>
      </c>
      <c r="I21" s="129" t="s">
        <v>15</v>
      </c>
      <c r="J21" s="85" t="s">
        <v>16</v>
      </c>
      <c r="K21" s="357" t="s">
        <v>17</v>
      </c>
      <c r="L21" s="359" t="s">
        <v>34</v>
      </c>
      <c r="M21" s="359" t="s">
        <v>29</v>
      </c>
      <c r="N21" s="88" t="s">
        <v>18</v>
      </c>
      <c r="O21" s="176" t="s">
        <v>30</v>
      </c>
      <c r="P21" s="135" t="s">
        <v>35</v>
      </c>
      <c r="Q21" s="360" t="s">
        <v>69</v>
      </c>
      <c r="R21" s="177" t="s">
        <v>33</v>
      </c>
      <c r="S21" s="361"/>
      <c r="T21" s="134" t="s">
        <v>21</v>
      </c>
      <c r="U21" s="132" t="s">
        <v>73</v>
      </c>
      <c r="V21" s="121" t="s">
        <v>23</v>
      </c>
      <c r="W21" s="6"/>
    </row>
    <row r="22" spans="2:23" s="5" customFormat="1" ht="16.5" customHeight="1" thickTop="1">
      <c r="B22" s="50"/>
      <c r="C22" s="260"/>
      <c r="D22" s="260"/>
      <c r="E22" s="260"/>
      <c r="F22" s="362"/>
      <c r="G22" s="362"/>
      <c r="H22" s="362"/>
      <c r="I22" s="218"/>
      <c r="J22" s="362"/>
      <c r="K22" s="362"/>
      <c r="L22" s="362"/>
      <c r="M22" s="362"/>
      <c r="N22" s="362"/>
      <c r="O22" s="362"/>
      <c r="P22" s="363"/>
      <c r="Q22" s="364"/>
      <c r="R22" s="365"/>
      <c r="S22" s="366"/>
      <c r="T22" s="367"/>
      <c r="U22" s="362"/>
      <c r="V22" s="935">
        <f>'SA-11 (1)'!V45</f>
        <v>21269.23</v>
      </c>
      <c r="W22" s="6"/>
    </row>
    <row r="23" spans="2:23" s="5" customFormat="1" ht="16.5" customHeight="1">
      <c r="B23" s="50"/>
      <c r="C23" s="274"/>
      <c r="D23" s="274"/>
      <c r="E23" s="274"/>
      <c r="F23" s="369"/>
      <c r="G23" s="369"/>
      <c r="H23" s="369"/>
      <c r="I23" s="370"/>
      <c r="J23" s="369"/>
      <c r="K23" s="369"/>
      <c r="L23" s="369"/>
      <c r="M23" s="369"/>
      <c r="N23" s="369"/>
      <c r="O23" s="369"/>
      <c r="P23" s="371"/>
      <c r="Q23" s="372"/>
      <c r="R23" s="188"/>
      <c r="S23" s="373"/>
      <c r="T23" s="374"/>
      <c r="U23" s="369"/>
      <c r="V23" s="375"/>
      <c r="W23" s="6"/>
    </row>
    <row r="24" spans="2:23" s="90" customFormat="1" ht="16.5" customHeight="1">
      <c r="B24" s="95"/>
      <c r="C24" s="274">
        <v>66</v>
      </c>
      <c r="D24" s="274">
        <v>228263</v>
      </c>
      <c r="E24" s="152">
        <v>144</v>
      </c>
      <c r="F24" s="1050" t="s">
        <v>305</v>
      </c>
      <c r="G24" s="1050" t="s">
        <v>337</v>
      </c>
      <c r="H24" s="1051">
        <v>132</v>
      </c>
      <c r="I24" s="1052">
        <f aca="true" t="shared" si="0" ref="I24:I43">IF(H24=500,$G$17,IF(H24=220,$G$18,$G$19))</f>
        <v>72.06</v>
      </c>
      <c r="J24" s="1053">
        <v>40502.25555555556</v>
      </c>
      <c r="K24" s="153">
        <v>40502.67222222222</v>
      </c>
      <c r="L24" s="379">
        <f aca="true" t="shared" si="1" ref="L24:L43">IF(F24="","",(K24-J24)*24)</f>
        <v>9.999999999941792</v>
      </c>
      <c r="M24" s="380">
        <f aca="true" t="shared" si="2" ref="M24:M43">IF(F24="","",ROUND((K24-J24)*24*60,0))</f>
        <v>600</v>
      </c>
      <c r="N24" s="1011" t="s">
        <v>283</v>
      </c>
      <c r="O24" s="13" t="str">
        <f aca="true" t="shared" si="3" ref="O24:O43">IF(F24="","",IF(N24="P","--","NO"))</f>
        <v>--</v>
      </c>
      <c r="P24" s="1039">
        <f aca="true" t="shared" si="4" ref="P24:P43">IF(H24=500,$H$17,IF(H24=220,$H$18,$H$19))</f>
        <v>40</v>
      </c>
      <c r="Q24" s="1054">
        <f aca="true" t="shared" si="5" ref="Q24:Q43">IF(N24="P",I24*P24*ROUND(M24/60,2)*0.1,"--")</f>
        <v>2882.4</v>
      </c>
      <c r="R24" s="1055" t="str">
        <f aca="true" t="shared" si="6" ref="R24:R43">IF(AND(N24="F",O24="NO"),I24*P24,"--")</f>
        <v>--</v>
      </c>
      <c r="S24" s="1056" t="str">
        <f aca="true" t="shared" si="7" ref="S24:S43">IF(N24="F",I24*P24*ROUND(M24/60,2),"--")</f>
        <v>--</v>
      </c>
      <c r="T24" s="1057" t="str">
        <f aca="true" t="shared" si="8" ref="T24:T43">IF(N24="RF",I24*P24*ROUND(M24/60,2),"--")</f>
        <v>--</v>
      </c>
      <c r="U24" s="13" t="s">
        <v>202</v>
      </c>
      <c r="V24" s="381">
        <v>0</v>
      </c>
      <c r="W24" s="17"/>
    </row>
    <row r="25" spans="2:23" s="90" customFormat="1" ht="16.5" customHeight="1">
      <c r="B25" s="95"/>
      <c r="C25" s="274">
        <v>67</v>
      </c>
      <c r="D25" s="274">
        <v>228268</v>
      </c>
      <c r="E25" s="274">
        <v>4667</v>
      </c>
      <c r="F25" s="1050" t="s">
        <v>320</v>
      </c>
      <c r="G25" s="1050" t="s">
        <v>321</v>
      </c>
      <c r="H25" s="1051">
        <v>132</v>
      </c>
      <c r="I25" s="1052">
        <f t="shared" si="0"/>
        <v>72.06</v>
      </c>
      <c r="J25" s="1053">
        <v>40502.28055555555</v>
      </c>
      <c r="K25" s="153">
        <v>40502.49652777778</v>
      </c>
      <c r="L25" s="379">
        <f t="shared" si="1"/>
        <v>5.183333333465271</v>
      </c>
      <c r="M25" s="380">
        <f t="shared" si="2"/>
        <v>311</v>
      </c>
      <c r="N25" s="1011" t="s">
        <v>283</v>
      </c>
      <c r="O25" s="13" t="str">
        <f t="shared" si="3"/>
        <v>--</v>
      </c>
      <c r="P25" s="1039">
        <f t="shared" si="4"/>
        <v>40</v>
      </c>
      <c r="Q25" s="1054">
        <f t="shared" si="5"/>
        <v>1493.0832</v>
      </c>
      <c r="R25" s="1055" t="str">
        <f t="shared" si="6"/>
        <v>--</v>
      </c>
      <c r="S25" s="1056" t="str">
        <f t="shared" si="7"/>
        <v>--</v>
      </c>
      <c r="T25" s="1057" t="str">
        <f t="shared" si="8"/>
        <v>--</v>
      </c>
      <c r="U25" s="13" t="s">
        <v>202</v>
      </c>
      <c r="V25" s="381">
        <v>0</v>
      </c>
      <c r="W25" s="17"/>
    </row>
    <row r="26" spans="2:23" s="90" customFormat="1" ht="16.5" customHeight="1">
      <c r="B26" s="95"/>
      <c r="C26" s="274">
        <v>68</v>
      </c>
      <c r="D26" s="274">
        <v>228269</v>
      </c>
      <c r="E26" s="152">
        <v>146</v>
      </c>
      <c r="F26" s="1050" t="s">
        <v>305</v>
      </c>
      <c r="G26" s="1050" t="s">
        <v>317</v>
      </c>
      <c r="H26" s="1051">
        <v>132</v>
      </c>
      <c r="I26" s="1052">
        <f t="shared" si="0"/>
        <v>72.06</v>
      </c>
      <c r="J26" s="1053">
        <v>40503.291666666664</v>
      </c>
      <c r="K26" s="153">
        <v>40503.708333333336</v>
      </c>
      <c r="L26" s="379">
        <f t="shared" si="1"/>
        <v>10.000000000116415</v>
      </c>
      <c r="M26" s="380">
        <f t="shared" si="2"/>
        <v>600</v>
      </c>
      <c r="N26" s="1011" t="s">
        <v>283</v>
      </c>
      <c r="O26" s="13" t="str">
        <f t="shared" si="3"/>
        <v>--</v>
      </c>
      <c r="P26" s="1039">
        <f t="shared" si="4"/>
        <v>40</v>
      </c>
      <c r="Q26" s="1054">
        <f t="shared" si="5"/>
        <v>2882.4</v>
      </c>
      <c r="R26" s="1055" t="str">
        <f t="shared" si="6"/>
        <v>--</v>
      </c>
      <c r="S26" s="1056" t="str">
        <f t="shared" si="7"/>
        <v>--</v>
      </c>
      <c r="T26" s="1057" t="str">
        <f t="shared" si="8"/>
        <v>--</v>
      </c>
      <c r="U26" s="13" t="s">
        <v>202</v>
      </c>
      <c r="V26" s="381">
        <v>0</v>
      </c>
      <c r="W26" s="17"/>
    </row>
    <row r="27" spans="2:23" s="90" customFormat="1" ht="16.5" customHeight="1">
      <c r="B27" s="95"/>
      <c r="C27" s="274">
        <v>69</v>
      </c>
      <c r="D27" s="274">
        <v>228274</v>
      </c>
      <c r="E27" s="274">
        <v>3455</v>
      </c>
      <c r="F27" s="1050" t="s">
        <v>307</v>
      </c>
      <c r="G27" s="1050" t="s">
        <v>338</v>
      </c>
      <c r="H27" s="1051">
        <v>132</v>
      </c>
      <c r="I27" s="1052">
        <f t="shared" si="0"/>
        <v>72.06</v>
      </c>
      <c r="J27" s="1053">
        <v>40503.30416666667</v>
      </c>
      <c r="K27" s="153">
        <v>40503.34166666667</v>
      </c>
      <c r="L27" s="379">
        <f t="shared" si="1"/>
        <v>0.8999999999650754</v>
      </c>
      <c r="M27" s="380">
        <f t="shared" si="2"/>
        <v>54</v>
      </c>
      <c r="N27" s="1011" t="s">
        <v>283</v>
      </c>
      <c r="O27" s="13" t="str">
        <f t="shared" si="3"/>
        <v>--</v>
      </c>
      <c r="P27" s="1039">
        <f t="shared" si="4"/>
        <v>40</v>
      </c>
      <c r="Q27" s="1054">
        <f t="shared" si="5"/>
        <v>259.41600000000005</v>
      </c>
      <c r="R27" s="1055" t="str">
        <f t="shared" si="6"/>
        <v>--</v>
      </c>
      <c r="S27" s="1056" t="str">
        <f t="shared" si="7"/>
        <v>--</v>
      </c>
      <c r="T27" s="1057" t="str">
        <f t="shared" si="8"/>
        <v>--</v>
      </c>
      <c r="U27" s="13" t="s">
        <v>202</v>
      </c>
      <c r="V27" s="381">
        <f>IF(F27="","",SUM(Q27:T27)*IF(U27="SI",1,2))</f>
        <v>259.41600000000005</v>
      </c>
      <c r="W27" s="17"/>
    </row>
    <row r="28" spans="2:23" s="90" customFormat="1" ht="16.5" customHeight="1">
      <c r="B28" s="95"/>
      <c r="C28" s="274">
        <v>70</v>
      </c>
      <c r="D28" s="274">
        <v>228283</v>
      </c>
      <c r="E28" s="152">
        <v>102</v>
      </c>
      <c r="F28" s="1050" t="s">
        <v>329</v>
      </c>
      <c r="G28" s="1050" t="s">
        <v>339</v>
      </c>
      <c r="H28" s="1051">
        <v>500</v>
      </c>
      <c r="I28" s="1052">
        <f t="shared" si="0"/>
        <v>90.071</v>
      </c>
      <c r="J28" s="1053">
        <v>40503.322916666664</v>
      </c>
      <c r="K28" s="153">
        <v>40503.694444444445</v>
      </c>
      <c r="L28" s="379">
        <f t="shared" si="1"/>
        <v>8.916666666744277</v>
      </c>
      <c r="M28" s="380">
        <f t="shared" si="2"/>
        <v>535</v>
      </c>
      <c r="N28" s="1011" t="s">
        <v>283</v>
      </c>
      <c r="O28" s="13" t="str">
        <f t="shared" si="3"/>
        <v>--</v>
      </c>
      <c r="P28" s="1039">
        <f t="shared" si="4"/>
        <v>200</v>
      </c>
      <c r="Q28" s="1054">
        <f t="shared" si="5"/>
        <v>16068.666400000002</v>
      </c>
      <c r="R28" s="1055" t="str">
        <f t="shared" si="6"/>
        <v>--</v>
      </c>
      <c r="S28" s="1056" t="str">
        <f t="shared" si="7"/>
        <v>--</v>
      </c>
      <c r="T28" s="1057" t="str">
        <f t="shared" si="8"/>
        <v>--</v>
      </c>
      <c r="U28" s="13" t="s">
        <v>202</v>
      </c>
      <c r="V28" s="381">
        <v>0</v>
      </c>
      <c r="W28" s="17"/>
    </row>
    <row r="29" spans="2:23" s="90" customFormat="1" ht="16.5" customHeight="1">
      <c r="B29" s="95"/>
      <c r="C29" s="274">
        <v>71</v>
      </c>
      <c r="D29" s="274">
        <v>228279</v>
      </c>
      <c r="E29" s="274">
        <v>3266</v>
      </c>
      <c r="F29" s="1050" t="s">
        <v>303</v>
      </c>
      <c r="G29" s="1050" t="s">
        <v>340</v>
      </c>
      <c r="H29" s="1051">
        <v>132</v>
      </c>
      <c r="I29" s="1052">
        <f t="shared" si="0"/>
        <v>72.06</v>
      </c>
      <c r="J29" s="1053">
        <v>40503.35486111111</v>
      </c>
      <c r="K29" s="153">
        <v>40503.58472222222</v>
      </c>
      <c r="L29" s="379">
        <f t="shared" si="1"/>
        <v>5.516666666662786</v>
      </c>
      <c r="M29" s="380">
        <f t="shared" si="2"/>
        <v>331</v>
      </c>
      <c r="N29" s="1011" t="s">
        <v>283</v>
      </c>
      <c r="O29" s="13" t="str">
        <f t="shared" si="3"/>
        <v>--</v>
      </c>
      <c r="P29" s="1039">
        <f t="shared" si="4"/>
        <v>40</v>
      </c>
      <c r="Q29" s="1054">
        <f t="shared" si="5"/>
        <v>1591.0848</v>
      </c>
      <c r="R29" s="1055" t="str">
        <f t="shared" si="6"/>
        <v>--</v>
      </c>
      <c r="S29" s="1056" t="str">
        <f t="shared" si="7"/>
        <v>--</v>
      </c>
      <c r="T29" s="1057" t="str">
        <f t="shared" si="8"/>
        <v>--</v>
      </c>
      <c r="U29" s="13" t="s">
        <v>202</v>
      </c>
      <c r="V29" s="381">
        <v>0</v>
      </c>
      <c r="W29" s="17"/>
    </row>
    <row r="30" spans="2:23" s="90" customFormat="1" ht="16.5" customHeight="1">
      <c r="B30" s="95"/>
      <c r="C30" s="274">
        <v>72</v>
      </c>
      <c r="D30" s="274">
        <v>228506</v>
      </c>
      <c r="E30" s="152">
        <v>88</v>
      </c>
      <c r="F30" s="1050" t="s">
        <v>341</v>
      </c>
      <c r="G30" s="1050" t="s">
        <v>342</v>
      </c>
      <c r="H30" s="1051">
        <v>500</v>
      </c>
      <c r="I30" s="1052">
        <f t="shared" si="0"/>
        <v>90.071</v>
      </c>
      <c r="J30" s="1053">
        <v>40505.5625</v>
      </c>
      <c r="K30" s="153">
        <v>40505.72986111111</v>
      </c>
      <c r="L30" s="379">
        <f t="shared" si="1"/>
        <v>4.016666666662786</v>
      </c>
      <c r="M30" s="380">
        <f t="shared" si="2"/>
        <v>241</v>
      </c>
      <c r="N30" s="1011" t="s">
        <v>296</v>
      </c>
      <c r="O30" s="13" t="str">
        <f t="shared" si="3"/>
        <v>NO</v>
      </c>
      <c r="P30" s="1039">
        <f t="shared" si="4"/>
        <v>200</v>
      </c>
      <c r="Q30" s="1054" t="str">
        <f t="shared" si="5"/>
        <v>--</v>
      </c>
      <c r="R30" s="1055">
        <f t="shared" si="6"/>
        <v>18014.2</v>
      </c>
      <c r="S30" s="1056">
        <f t="shared" si="7"/>
        <v>72417.08399999999</v>
      </c>
      <c r="T30" s="1057" t="str">
        <f t="shared" si="8"/>
        <v>--</v>
      </c>
      <c r="U30" s="13" t="s">
        <v>202</v>
      </c>
      <c r="V30" s="381">
        <f>IF(F30="","",SUM(Q30:T30)*IF(U30="SI",1,2))</f>
        <v>90431.28399999999</v>
      </c>
      <c r="W30" s="17"/>
    </row>
    <row r="31" spans="2:23" s="90" customFormat="1" ht="16.5" customHeight="1">
      <c r="B31" s="95"/>
      <c r="C31" s="274">
        <v>73</v>
      </c>
      <c r="D31" s="274">
        <v>228508</v>
      </c>
      <c r="E31" s="274">
        <v>147</v>
      </c>
      <c r="F31" s="1050" t="s">
        <v>318</v>
      </c>
      <c r="G31" s="1050" t="s">
        <v>319</v>
      </c>
      <c r="H31" s="1051">
        <v>132</v>
      </c>
      <c r="I31" s="1052">
        <f t="shared" si="0"/>
        <v>72.06</v>
      </c>
      <c r="J31" s="1053">
        <v>40506.35277777778</v>
      </c>
      <c r="K31" s="153">
        <v>40506.75555555556</v>
      </c>
      <c r="L31" s="379">
        <f t="shared" si="1"/>
        <v>9.666666666744277</v>
      </c>
      <c r="M31" s="380">
        <f t="shared" si="2"/>
        <v>580</v>
      </c>
      <c r="N31" s="1011" t="s">
        <v>283</v>
      </c>
      <c r="O31" s="13" t="str">
        <f t="shared" si="3"/>
        <v>--</v>
      </c>
      <c r="P31" s="1039">
        <f t="shared" si="4"/>
        <v>40</v>
      </c>
      <c r="Q31" s="1054">
        <f t="shared" si="5"/>
        <v>2787.2808000000005</v>
      </c>
      <c r="R31" s="1055" t="str">
        <f t="shared" si="6"/>
        <v>--</v>
      </c>
      <c r="S31" s="1056" t="str">
        <f t="shared" si="7"/>
        <v>--</v>
      </c>
      <c r="T31" s="1057" t="str">
        <f t="shared" si="8"/>
        <v>--</v>
      </c>
      <c r="U31" s="13" t="s">
        <v>202</v>
      </c>
      <c r="V31" s="381">
        <v>0</v>
      </c>
      <c r="W31" s="17"/>
    </row>
    <row r="32" spans="2:23" s="90" customFormat="1" ht="16.5" customHeight="1">
      <c r="B32" s="95"/>
      <c r="C32" s="274">
        <v>74</v>
      </c>
      <c r="D32" s="274">
        <v>228511</v>
      </c>
      <c r="E32" s="152">
        <v>4265</v>
      </c>
      <c r="F32" s="1050" t="s">
        <v>305</v>
      </c>
      <c r="G32" s="1050" t="s">
        <v>343</v>
      </c>
      <c r="H32" s="1051">
        <v>132</v>
      </c>
      <c r="I32" s="1052">
        <f t="shared" si="0"/>
        <v>72.06</v>
      </c>
      <c r="J32" s="1053">
        <v>40506.364583333336</v>
      </c>
      <c r="K32" s="153">
        <v>40506.78125</v>
      </c>
      <c r="L32" s="379">
        <f t="shared" si="1"/>
        <v>9.999999999941792</v>
      </c>
      <c r="M32" s="380">
        <f t="shared" si="2"/>
        <v>600</v>
      </c>
      <c r="N32" s="1011" t="s">
        <v>283</v>
      </c>
      <c r="O32" s="13" t="str">
        <f t="shared" si="3"/>
        <v>--</v>
      </c>
      <c r="P32" s="1039">
        <f t="shared" si="4"/>
        <v>40</v>
      </c>
      <c r="Q32" s="1054">
        <f t="shared" si="5"/>
        <v>2882.4</v>
      </c>
      <c r="R32" s="1055" t="str">
        <f t="shared" si="6"/>
        <v>--</v>
      </c>
      <c r="S32" s="1056" t="str">
        <f t="shared" si="7"/>
        <v>--</v>
      </c>
      <c r="T32" s="1057" t="str">
        <f t="shared" si="8"/>
        <v>--</v>
      </c>
      <c r="U32" s="13" t="s">
        <v>202</v>
      </c>
      <c r="V32" s="381">
        <v>0</v>
      </c>
      <c r="W32" s="17"/>
    </row>
    <row r="33" spans="2:23" s="90" customFormat="1" ht="16.5" customHeight="1">
      <c r="B33" s="95"/>
      <c r="C33" s="274">
        <v>75</v>
      </c>
      <c r="D33" s="274">
        <v>228520</v>
      </c>
      <c r="E33" s="274">
        <v>2647</v>
      </c>
      <c r="F33" s="1050" t="s">
        <v>309</v>
      </c>
      <c r="G33" s="1050" t="s">
        <v>327</v>
      </c>
      <c r="H33" s="1051">
        <v>132</v>
      </c>
      <c r="I33" s="1052">
        <f t="shared" si="0"/>
        <v>72.06</v>
      </c>
      <c r="J33" s="1053">
        <v>40507.33194444444</v>
      </c>
      <c r="K33" s="153">
        <v>40507.775</v>
      </c>
      <c r="L33" s="379">
        <f t="shared" si="1"/>
        <v>10.633333333418705</v>
      </c>
      <c r="M33" s="380">
        <f t="shared" si="2"/>
        <v>638</v>
      </c>
      <c r="N33" s="1011" t="s">
        <v>283</v>
      </c>
      <c r="O33" s="13" t="str">
        <f t="shared" si="3"/>
        <v>--</v>
      </c>
      <c r="P33" s="1039">
        <f t="shared" si="4"/>
        <v>40</v>
      </c>
      <c r="Q33" s="1054">
        <f t="shared" si="5"/>
        <v>3063.9912000000004</v>
      </c>
      <c r="R33" s="1055" t="str">
        <f t="shared" si="6"/>
        <v>--</v>
      </c>
      <c r="S33" s="1056" t="str">
        <f t="shared" si="7"/>
        <v>--</v>
      </c>
      <c r="T33" s="1057" t="str">
        <f t="shared" si="8"/>
        <v>--</v>
      </c>
      <c r="U33" s="13" t="s">
        <v>202</v>
      </c>
      <c r="V33" s="381">
        <v>0</v>
      </c>
      <c r="W33" s="17"/>
    </row>
    <row r="34" spans="2:23" s="90" customFormat="1" ht="16.5" customHeight="1">
      <c r="B34" s="95"/>
      <c r="C34" s="274">
        <v>76</v>
      </c>
      <c r="D34" s="274">
        <v>228517</v>
      </c>
      <c r="E34" s="152">
        <v>2739</v>
      </c>
      <c r="F34" s="1050" t="s">
        <v>344</v>
      </c>
      <c r="G34" s="1050" t="s">
        <v>345</v>
      </c>
      <c r="H34" s="1051">
        <v>132</v>
      </c>
      <c r="I34" s="1052">
        <f t="shared" si="0"/>
        <v>72.06</v>
      </c>
      <c r="J34" s="1053">
        <v>40507.43125</v>
      </c>
      <c r="K34" s="153">
        <v>40507.754166666666</v>
      </c>
      <c r="L34" s="379">
        <f t="shared" si="1"/>
        <v>7.749999999941792</v>
      </c>
      <c r="M34" s="380">
        <f t="shared" si="2"/>
        <v>465</v>
      </c>
      <c r="N34" s="1011" t="s">
        <v>283</v>
      </c>
      <c r="O34" s="13" t="str">
        <f t="shared" si="3"/>
        <v>--</v>
      </c>
      <c r="P34" s="1039">
        <f t="shared" si="4"/>
        <v>40</v>
      </c>
      <c r="Q34" s="1054">
        <f t="shared" si="5"/>
        <v>2233.86</v>
      </c>
      <c r="R34" s="1055" t="str">
        <f t="shared" si="6"/>
        <v>--</v>
      </c>
      <c r="S34" s="1056" t="str">
        <f t="shared" si="7"/>
        <v>--</v>
      </c>
      <c r="T34" s="1057" t="str">
        <f t="shared" si="8"/>
        <v>--</v>
      </c>
      <c r="U34" s="13" t="s">
        <v>202</v>
      </c>
      <c r="V34" s="381">
        <v>0</v>
      </c>
      <c r="W34" s="17"/>
    </row>
    <row r="35" spans="2:23" s="90" customFormat="1" ht="16.5" customHeight="1">
      <c r="B35" s="95"/>
      <c r="C35" s="274">
        <v>77</v>
      </c>
      <c r="D35" s="274">
        <v>228527</v>
      </c>
      <c r="E35" s="274">
        <v>3523</v>
      </c>
      <c r="F35" s="1050" t="s">
        <v>346</v>
      </c>
      <c r="G35" s="1050" t="s">
        <v>383</v>
      </c>
      <c r="H35" s="1051">
        <v>500</v>
      </c>
      <c r="I35" s="1052">
        <f t="shared" si="0"/>
        <v>90.071</v>
      </c>
      <c r="J35" s="1053">
        <v>40509.31875</v>
      </c>
      <c r="K35" s="153">
        <v>40509.73541666667</v>
      </c>
      <c r="L35" s="379">
        <f t="shared" si="1"/>
        <v>10.000000000116415</v>
      </c>
      <c r="M35" s="380">
        <f t="shared" si="2"/>
        <v>600</v>
      </c>
      <c r="N35" s="1011" t="s">
        <v>283</v>
      </c>
      <c r="O35" s="13" t="str">
        <f t="shared" si="3"/>
        <v>--</v>
      </c>
      <c r="P35" s="1039">
        <f t="shared" si="4"/>
        <v>200</v>
      </c>
      <c r="Q35" s="1054">
        <f t="shared" si="5"/>
        <v>18014.2</v>
      </c>
      <c r="R35" s="1055" t="str">
        <f t="shared" si="6"/>
        <v>--</v>
      </c>
      <c r="S35" s="1056" t="str">
        <f t="shared" si="7"/>
        <v>--</v>
      </c>
      <c r="T35" s="1057" t="str">
        <f t="shared" si="8"/>
        <v>--</v>
      </c>
      <c r="U35" s="13" t="s">
        <v>202</v>
      </c>
      <c r="V35" s="381">
        <v>0</v>
      </c>
      <c r="W35" s="17"/>
    </row>
    <row r="36" spans="2:23" s="90" customFormat="1" ht="16.5" customHeight="1">
      <c r="B36" s="95"/>
      <c r="C36" s="274">
        <v>78</v>
      </c>
      <c r="D36" s="274">
        <v>228528</v>
      </c>
      <c r="E36" s="152">
        <v>3524</v>
      </c>
      <c r="F36" s="1050" t="s">
        <v>346</v>
      </c>
      <c r="G36" s="1050" t="s">
        <v>384</v>
      </c>
      <c r="H36" s="1051">
        <v>500</v>
      </c>
      <c r="I36" s="1052">
        <f t="shared" si="0"/>
        <v>90.071</v>
      </c>
      <c r="J36" s="1053">
        <v>40509.31875</v>
      </c>
      <c r="K36" s="153">
        <v>40509.73541666667</v>
      </c>
      <c r="L36" s="379">
        <f t="shared" si="1"/>
        <v>10.000000000116415</v>
      </c>
      <c r="M36" s="380">
        <f t="shared" si="2"/>
        <v>600</v>
      </c>
      <c r="N36" s="1011" t="s">
        <v>283</v>
      </c>
      <c r="O36" s="13" t="str">
        <f t="shared" si="3"/>
        <v>--</v>
      </c>
      <c r="P36" s="1039">
        <f t="shared" si="4"/>
        <v>200</v>
      </c>
      <c r="Q36" s="1054">
        <f t="shared" si="5"/>
        <v>18014.2</v>
      </c>
      <c r="R36" s="1055" t="str">
        <f t="shared" si="6"/>
        <v>--</v>
      </c>
      <c r="S36" s="1056" t="str">
        <f t="shared" si="7"/>
        <v>--</v>
      </c>
      <c r="T36" s="1057" t="str">
        <f t="shared" si="8"/>
        <v>--</v>
      </c>
      <c r="U36" s="13" t="s">
        <v>202</v>
      </c>
      <c r="V36" s="381">
        <v>0</v>
      </c>
      <c r="W36" s="17"/>
    </row>
    <row r="37" spans="2:23" s="90" customFormat="1" ht="16.5" customHeight="1">
      <c r="B37" s="95"/>
      <c r="C37" s="274">
        <v>79</v>
      </c>
      <c r="D37" s="274">
        <v>228531</v>
      </c>
      <c r="E37" s="274">
        <v>4782</v>
      </c>
      <c r="F37" s="1050" t="s">
        <v>381</v>
      </c>
      <c r="G37" s="1050" t="s">
        <v>382</v>
      </c>
      <c r="H37" s="183">
        <v>500</v>
      </c>
      <c r="I37" s="1052">
        <f t="shared" si="0"/>
        <v>90.071</v>
      </c>
      <c r="J37" s="1053">
        <v>40509.86388888889</v>
      </c>
      <c r="K37" s="153">
        <v>40510.020833333336</v>
      </c>
      <c r="L37" s="379">
        <f t="shared" si="1"/>
        <v>3.766666666720994</v>
      </c>
      <c r="M37" s="380">
        <f t="shared" si="2"/>
        <v>226</v>
      </c>
      <c r="N37" s="1011" t="s">
        <v>296</v>
      </c>
      <c r="O37" s="13" t="str">
        <f t="shared" si="3"/>
        <v>NO</v>
      </c>
      <c r="P37" s="1039">
        <f t="shared" si="4"/>
        <v>200</v>
      </c>
      <c r="Q37" s="1054" t="str">
        <f t="shared" si="5"/>
        <v>--</v>
      </c>
      <c r="R37" s="1055">
        <f t="shared" si="6"/>
        <v>18014.2</v>
      </c>
      <c r="S37" s="1056">
        <f t="shared" si="7"/>
        <v>67913.534</v>
      </c>
      <c r="T37" s="1057" t="str">
        <f t="shared" si="8"/>
        <v>--</v>
      </c>
      <c r="U37" s="13" t="s">
        <v>202</v>
      </c>
      <c r="V37" s="381">
        <f>IF(F37="","",SUM(Q37:T37)*IF(U37="SI",1,2))</f>
        <v>85927.734</v>
      </c>
      <c r="W37" s="17"/>
    </row>
    <row r="38" spans="2:23" s="90" customFormat="1" ht="16.5" customHeight="1">
      <c r="B38" s="95"/>
      <c r="C38" s="274">
        <v>80</v>
      </c>
      <c r="D38" s="274">
        <v>228819</v>
      </c>
      <c r="E38" s="152">
        <v>91</v>
      </c>
      <c r="F38" s="1050" t="s">
        <v>341</v>
      </c>
      <c r="G38" s="1050" t="s">
        <v>347</v>
      </c>
      <c r="H38" s="1051">
        <v>132</v>
      </c>
      <c r="I38" s="1052">
        <f t="shared" si="0"/>
        <v>72.06</v>
      </c>
      <c r="J38" s="1053">
        <v>40512.57083333333</v>
      </c>
      <c r="K38" s="153">
        <v>40512.8125</v>
      </c>
      <c r="L38" s="379">
        <f t="shared" si="1"/>
        <v>5.800000000046566</v>
      </c>
      <c r="M38" s="380">
        <f t="shared" si="2"/>
        <v>348</v>
      </c>
      <c r="N38" s="1011" t="s">
        <v>283</v>
      </c>
      <c r="O38" s="13" t="str">
        <f t="shared" si="3"/>
        <v>--</v>
      </c>
      <c r="P38" s="1039">
        <f t="shared" si="4"/>
        <v>40</v>
      </c>
      <c r="Q38" s="1054">
        <f t="shared" si="5"/>
        <v>1671.792</v>
      </c>
      <c r="R38" s="1055" t="str">
        <f t="shared" si="6"/>
        <v>--</v>
      </c>
      <c r="S38" s="1056" t="str">
        <f t="shared" si="7"/>
        <v>--</v>
      </c>
      <c r="T38" s="1057" t="str">
        <f t="shared" si="8"/>
        <v>--</v>
      </c>
      <c r="U38" s="13" t="s">
        <v>202</v>
      </c>
      <c r="V38" s="381">
        <v>0</v>
      </c>
      <c r="W38" s="17"/>
    </row>
    <row r="39" spans="2:23" s="90" customFormat="1" ht="16.5" customHeight="1">
      <c r="B39" s="95"/>
      <c r="C39" s="274"/>
      <c r="D39" s="274"/>
      <c r="E39" s="274"/>
      <c r="F39" s="1058"/>
      <c r="G39" s="1058"/>
      <c r="H39" s="1059"/>
      <c r="I39" s="1052">
        <f t="shared" si="0"/>
        <v>72.06</v>
      </c>
      <c r="J39" s="1053"/>
      <c r="K39" s="153"/>
      <c r="L39" s="379">
        <f t="shared" si="1"/>
      </c>
      <c r="M39" s="380">
        <f t="shared" si="2"/>
      </c>
      <c r="N39" s="1011"/>
      <c r="O39" s="13">
        <f t="shared" si="3"/>
      </c>
      <c r="P39" s="1039">
        <f t="shared" si="4"/>
        <v>40</v>
      </c>
      <c r="Q39" s="1054" t="str">
        <f t="shared" si="5"/>
        <v>--</v>
      </c>
      <c r="R39" s="1055" t="str">
        <f t="shared" si="6"/>
        <v>--</v>
      </c>
      <c r="S39" s="1056" t="str">
        <f t="shared" si="7"/>
        <v>--</v>
      </c>
      <c r="T39" s="1057" t="str">
        <f t="shared" si="8"/>
        <v>--</v>
      </c>
      <c r="U39" s="13">
        <f>IF(F39="","","SI")</f>
      </c>
      <c r="V39" s="381">
        <f>IF(F39="","",SUM(Q39:T39)*IF(U39="SI",1,2))</f>
      </c>
      <c r="W39" s="17"/>
    </row>
    <row r="40" spans="2:23" s="90" customFormat="1" ht="16.5" customHeight="1">
      <c r="B40" s="95"/>
      <c r="C40" s="274"/>
      <c r="D40" s="274"/>
      <c r="E40" s="152"/>
      <c r="F40" s="1058"/>
      <c r="G40" s="1058"/>
      <c r="H40" s="1059"/>
      <c r="I40" s="1052">
        <f t="shared" si="0"/>
        <v>72.06</v>
      </c>
      <c r="J40" s="1053"/>
      <c r="K40" s="153"/>
      <c r="L40" s="379">
        <f t="shared" si="1"/>
      </c>
      <c r="M40" s="380">
        <f t="shared" si="2"/>
      </c>
      <c r="N40" s="1011"/>
      <c r="O40" s="13">
        <f t="shared" si="3"/>
      </c>
      <c r="P40" s="1039">
        <f t="shared" si="4"/>
        <v>40</v>
      </c>
      <c r="Q40" s="1054" t="str">
        <f t="shared" si="5"/>
        <v>--</v>
      </c>
      <c r="R40" s="1055" t="str">
        <f t="shared" si="6"/>
        <v>--</v>
      </c>
      <c r="S40" s="1056" t="str">
        <f t="shared" si="7"/>
        <v>--</v>
      </c>
      <c r="T40" s="1057" t="str">
        <f t="shared" si="8"/>
        <v>--</v>
      </c>
      <c r="U40" s="13">
        <f>IF(F40="","","SI")</f>
      </c>
      <c r="V40" s="381">
        <f>IF(F40="","",SUM(Q40:T40)*IF(U40="SI",1,2))</f>
      </c>
      <c r="W40" s="17"/>
    </row>
    <row r="41" spans="2:23" s="5" customFormat="1" ht="16.5" customHeight="1">
      <c r="B41" s="50"/>
      <c r="C41" s="274"/>
      <c r="D41" s="274"/>
      <c r="E41" s="274"/>
      <c r="F41" s="376"/>
      <c r="G41" s="376"/>
      <c r="H41" s="377"/>
      <c r="I41" s="130">
        <f t="shared" si="0"/>
        <v>72.06</v>
      </c>
      <c r="J41" s="378"/>
      <c r="K41" s="150"/>
      <c r="L41" s="379">
        <f t="shared" si="1"/>
      </c>
      <c r="M41" s="380">
        <f t="shared" si="2"/>
      </c>
      <c r="N41" s="220"/>
      <c r="O41" s="221">
        <f t="shared" si="3"/>
      </c>
      <c r="P41" s="712">
        <f t="shared" si="4"/>
        <v>40</v>
      </c>
      <c r="Q41" s="878" t="str">
        <f t="shared" si="5"/>
        <v>--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221">
        <f>IF(F41="","","SI")</f>
      </c>
      <c r="V41" s="381">
        <f>IF(F41="","",SUM(Q41:T41)*IF(U41="SI",1,2))</f>
      </c>
      <c r="W41" s="6"/>
    </row>
    <row r="42" spans="2:23" s="5" customFormat="1" ht="16.5" customHeight="1">
      <c r="B42" s="50"/>
      <c r="C42" s="274"/>
      <c r="D42" s="274"/>
      <c r="E42" s="152"/>
      <c r="F42" s="376"/>
      <c r="G42" s="376"/>
      <c r="H42" s="377"/>
      <c r="I42" s="130">
        <f t="shared" si="0"/>
        <v>72.06</v>
      </c>
      <c r="J42" s="378"/>
      <c r="K42" s="150"/>
      <c r="L42" s="379">
        <f t="shared" si="1"/>
      </c>
      <c r="M42" s="380">
        <f t="shared" si="2"/>
      </c>
      <c r="N42" s="220"/>
      <c r="O42" s="221">
        <f t="shared" si="3"/>
      </c>
      <c r="P42" s="712">
        <f t="shared" si="4"/>
        <v>40</v>
      </c>
      <c r="Q42" s="878" t="str">
        <f t="shared" si="5"/>
        <v>--</v>
      </c>
      <c r="R42" s="188" t="str">
        <f t="shared" si="6"/>
        <v>--</v>
      </c>
      <c r="S42" s="373" t="str">
        <f t="shared" si="7"/>
        <v>--</v>
      </c>
      <c r="T42" s="374" t="str">
        <f t="shared" si="8"/>
        <v>--</v>
      </c>
      <c r="U42" s="221">
        <f>IF(F42="","","SI")</f>
      </c>
      <c r="V42" s="381">
        <f>IF(F42="","",SUM(Q42:T42)*IF(U42="SI",1,2))</f>
      </c>
      <c r="W42" s="6"/>
    </row>
    <row r="43" spans="2:23" s="5" customFormat="1" ht="16.5" customHeight="1">
      <c r="B43" s="50"/>
      <c r="C43" s="274"/>
      <c r="D43" s="274"/>
      <c r="E43" s="274"/>
      <c r="F43" s="376"/>
      <c r="G43" s="376"/>
      <c r="H43" s="377"/>
      <c r="I43" s="130">
        <f t="shared" si="0"/>
        <v>72.06</v>
      </c>
      <c r="J43" s="378"/>
      <c r="K43" s="150"/>
      <c r="L43" s="379">
        <f t="shared" si="1"/>
      </c>
      <c r="M43" s="380">
        <f t="shared" si="2"/>
      </c>
      <c r="N43" s="220"/>
      <c r="O43" s="221">
        <f t="shared" si="3"/>
      </c>
      <c r="P43" s="712">
        <f t="shared" si="4"/>
        <v>40</v>
      </c>
      <c r="Q43" s="878" t="str">
        <f t="shared" si="5"/>
        <v>--</v>
      </c>
      <c r="R43" s="188" t="str">
        <f t="shared" si="6"/>
        <v>--</v>
      </c>
      <c r="S43" s="373" t="str">
        <f t="shared" si="7"/>
        <v>--</v>
      </c>
      <c r="T43" s="374" t="str">
        <f t="shared" si="8"/>
        <v>--</v>
      </c>
      <c r="U43" s="221">
        <f>IF(F43="","","SI")</f>
      </c>
      <c r="V43" s="381">
        <f>IF(F43="","",SUM(Q43:T43)*IF(U43="SI",1,2))</f>
      </c>
      <c r="W43" s="6"/>
    </row>
    <row r="44" spans="2:23" s="5" customFormat="1" ht="16.5" customHeight="1" thickBot="1">
      <c r="B44" s="50"/>
      <c r="C44" s="228"/>
      <c r="D44" s="228"/>
      <c r="E44" s="228"/>
      <c r="F44" s="228"/>
      <c r="G44" s="228"/>
      <c r="H44" s="228"/>
      <c r="I44" s="131"/>
      <c r="J44" s="382"/>
      <c r="K44" s="382"/>
      <c r="L44" s="383"/>
      <c r="M44" s="383"/>
      <c r="N44" s="382"/>
      <c r="O44" s="151"/>
      <c r="P44" s="384"/>
      <c r="Q44" s="385"/>
      <c r="R44" s="386"/>
      <c r="S44" s="387"/>
      <c r="T44" s="157"/>
      <c r="U44" s="151"/>
      <c r="V44" s="388"/>
      <c r="W44" s="6"/>
    </row>
    <row r="45" spans="2:23" s="5" customFormat="1" ht="16.5" customHeight="1" thickBot="1" thickTop="1">
      <c r="B45" s="50"/>
      <c r="C45" s="933" t="s">
        <v>391</v>
      </c>
      <c r="D45" s="73" t="s">
        <v>390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89">
        <f>SUM(Q22:Q44)</f>
        <v>73844.77440000001</v>
      </c>
      <c r="R45" s="390">
        <f>SUM(R22:R44)</f>
        <v>36028.4</v>
      </c>
      <c r="S45" s="391">
        <f>SUM(S22:S44)</f>
        <v>140330.618</v>
      </c>
      <c r="T45" s="392">
        <f>SUM(T22:T44)</f>
        <v>0</v>
      </c>
      <c r="U45" s="393"/>
      <c r="V45" s="100">
        <f>ROUND(SUM(V22:V44),2)</f>
        <v>197887.66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Y157"/>
  <sheetViews>
    <sheetView zoomScale="70" zoomScaleNormal="70" workbookViewId="0" topLeftCell="E13">
      <selection activeCell="L47" sqref="L47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+'TOT-1110'!B2</f>
        <v>ANEXO  VI al Memorandum  D.T.E.E.  N°     381 /2012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8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67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812" customFormat="1" ht="33" customHeight="1">
      <c r="B10" s="813"/>
      <c r="C10" s="811"/>
      <c r="D10" s="811"/>
      <c r="E10" s="811"/>
      <c r="F10" s="834" t="s">
        <v>211</v>
      </c>
      <c r="G10" s="835"/>
      <c r="H10" s="836"/>
      <c r="I10" s="837"/>
      <c r="K10" s="837"/>
      <c r="L10" s="837"/>
      <c r="M10" s="837"/>
      <c r="N10" s="837"/>
      <c r="O10" s="837"/>
      <c r="P10" s="837"/>
      <c r="Q10" s="811"/>
      <c r="R10" s="811"/>
      <c r="S10" s="811"/>
      <c r="T10" s="811"/>
      <c r="U10" s="811"/>
      <c r="V10" s="811"/>
      <c r="W10" s="838"/>
    </row>
    <row r="11" spans="2:23" s="815" customFormat="1" ht="33" customHeight="1">
      <c r="B11" s="816"/>
      <c r="C11" s="817"/>
      <c r="D11" s="817"/>
      <c r="E11" s="817"/>
      <c r="F11" s="834" t="s">
        <v>216</v>
      </c>
      <c r="G11" s="839"/>
      <c r="H11" s="840"/>
      <c r="I11" s="841"/>
      <c r="J11" s="842"/>
      <c r="K11" s="841"/>
      <c r="L11" s="841"/>
      <c r="M11" s="841"/>
      <c r="N11" s="841"/>
      <c r="O11" s="841"/>
      <c r="P11" s="841"/>
      <c r="Q11" s="817"/>
      <c r="R11" s="817"/>
      <c r="S11" s="817"/>
      <c r="T11" s="817"/>
      <c r="U11" s="817"/>
      <c r="V11" s="817"/>
      <c r="W11" s="843"/>
    </row>
    <row r="12" spans="2:23" s="5" customFormat="1" ht="19.5">
      <c r="B12" s="37" t="str">
        <f>'TOT-1110'!B14</f>
        <v>Desde el 01 al 30 de noviembre de 2010</v>
      </c>
      <c r="C12" s="40"/>
      <c r="D12" s="40"/>
      <c r="E12" s="40"/>
      <c r="F12" s="40"/>
      <c r="G12" s="40"/>
      <c r="H12" s="40"/>
      <c r="I12" s="344"/>
      <c r="J12" s="344"/>
      <c r="K12" s="344"/>
      <c r="L12" s="344"/>
      <c r="M12" s="344"/>
      <c r="N12" s="344"/>
      <c r="O12" s="344"/>
      <c r="P12" s="344"/>
      <c r="Q12" s="40"/>
      <c r="R12" s="40"/>
      <c r="S12" s="40"/>
      <c r="T12" s="40"/>
      <c r="U12" s="40"/>
      <c r="V12" s="40"/>
      <c r="W12" s="345"/>
    </row>
    <row r="13" spans="2:23" s="5" customFormat="1" ht="14.25" thickBot="1">
      <c r="B13" s="346"/>
      <c r="C13" s="347"/>
      <c r="D13" s="347"/>
      <c r="E13" s="347"/>
      <c r="F13" s="347"/>
      <c r="G13" s="347"/>
      <c r="H13" s="347"/>
      <c r="I13" s="348"/>
      <c r="J13" s="348"/>
      <c r="K13" s="348"/>
      <c r="L13" s="348"/>
      <c r="M13" s="348"/>
      <c r="N13" s="348"/>
      <c r="O13" s="348"/>
      <c r="P13" s="348"/>
      <c r="Q13" s="347"/>
      <c r="R13" s="347"/>
      <c r="S13" s="347"/>
      <c r="T13" s="347"/>
      <c r="U13" s="347"/>
      <c r="V13" s="347"/>
      <c r="W13" s="349"/>
    </row>
    <row r="14" spans="2:23" s="5" customFormat="1" ht="15" thickBot="1" thickTop="1">
      <c r="B14" s="50"/>
      <c r="C14" s="4"/>
      <c r="D14" s="4"/>
      <c r="E14" s="4"/>
      <c r="F14" s="350"/>
      <c r="G14" s="350"/>
      <c r="H14" s="117" t="s">
        <v>79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51" t="s">
        <v>80</v>
      </c>
      <c r="G15" s="352">
        <v>32.225</v>
      </c>
      <c r="H15" s="353">
        <v>200</v>
      </c>
      <c r="V15" s="115"/>
      <c r="W15" s="6"/>
    </row>
    <row r="16" spans="2:23" s="5" customFormat="1" ht="16.5" customHeight="1" thickBot="1" thickTop="1">
      <c r="B16" s="50"/>
      <c r="C16" s="4"/>
      <c r="D16" s="4"/>
      <c r="E16" s="4"/>
      <c r="F16" s="354" t="s">
        <v>81</v>
      </c>
      <c r="G16" s="355" t="s">
        <v>242</v>
      </c>
      <c r="H16" s="353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6" t="s">
        <v>82</v>
      </c>
      <c r="G17" s="394">
        <v>25.781</v>
      </c>
      <c r="H17" s="353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906">
        <v>3</v>
      </c>
      <c r="D18" s="906">
        <v>4</v>
      </c>
      <c r="E18" s="906">
        <v>5</v>
      </c>
      <c r="F18" s="906">
        <v>6</v>
      </c>
      <c r="G18" s="906">
        <v>7</v>
      </c>
      <c r="H18" s="906">
        <v>8</v>
      </c>
      <c r="I18" s="906">
        <v>9</v>
      </c>
      <c r="J18" s="906">
        <v>10</v>
      </c>
      <c r="K18" s="906">
        <v>11</v>
      </c>
      <c r="L18" s="906">
        <v>12</v>
      </c>
      <c r="M18" s="906">
        <v>13</v>
      </c>
      <c r="N18" s="906">
        <v>14</v>
      </c>
      <c r="O18" s="906">
        <v>15</v>
      </c>
      <c r="P18" s="906">
        <v>16</v>
      </c>
      <c r="Q18" s="906">
        <v>17</v>
      </c>
      <c r="R18" s="906">
        <v>18</v>
      </c>
      <c r="S18" s="906">
        <v>19</v>
      </c>
      <c r="T18" s="906">
        <v>20</v>
      </c>
      <c r="U18" s="906">
        <v>21</v>
      </c>
      <c r="V18" s="906">
        <v>22</v>
      </c>
      <c r="W18" s="6"/>
    </row>
    <row r="19" spans="2:23" s="5" customFormat="1" ht="33.75" customHeight="1" thickBot="1" thickTop="1">
      <c r="B19" s="50"/>
      <c r="C19" s="123" t="s">
        <v>12</v>
      </c>
      <c r="D19" s="84" t="s">
        <v>223</v>
      </c>
      <c r="E19" s="84" t="s">
        <v>224</v>
      </c>
      <c r="F19" s="86" t="s">
        <v>25</v>
      </c>
      <c r="G19" s="357" t="s">
        <v>26</v>
      </c>
      <c r="H19" s="358" t="s">
        <v>13</v>
      </c>
      <c r="I19" s="129" t="s">
        <v>15</v>
      </c>
      <c r="J19" s="85" t="s">
        <v>16</v>
      </c>
      <c r="K19" s="357" t="s">
        <v>17</v>
      </c>
      <c r="L19" s="359" t="s">
        <v>34</v>
      </c>
      <c r="M19" s="359" t="s">
        <v>29</v>
      </c>
      <c r="N19" s="88" t="s">
        <v>18</v>
      </c>
      <c r="O19" s="176" t="s">
        <v>30</v>
      </c>
      <c r="P19" s="135" t="s">
        <v>35</v>
      </c>
      <c r="Q19" s="360" t="s">
        <v>69</v>
      </c>
      <c r="R19" s="177" t="s">
        <v>33</v>
      </c>
      <c r="S19" s="361"/>
      <c r="T19" s="134" t="s">
        <v>21</v>
      </c>
      <c r="U19" s="132" t="s">
        <v>73</v>
      </c>
      <c r="V19" s="121" t="s">
        <v>23</v>
      </c>
      <c r="W19" s="6"/>
    </row>
    <row r="20" spans="2:23" s="5" customFormat="1" ht="16.5" customHeight="1" thickTop="1">
      <c r="B20" s="50"/>
      <c r="C20" s="260"/>
      <c r="D20" s="260"/>
      <c r="E20" s="260"/>
      <c r="F20" s="362"/>
      <c r="G20" s="362"/>
      <c r="H20" s="362"/>
      <c r="I20" s="218"/>
      <c r="J20" s="362"/>
      <c r="K20" s="362"/>
      <c r="L20" s="362"/>
      <c r="M20" s="362"/>
      <c r="N20" s="362"/>
      <c r="O20" s="362"/>
      <c r="P20" s="363"/>
      <c r="Q20" s="364"/>
      <c r="R20" s="365"/>
      <c r="S20" s="366"/>
      <c r="T20" s="367"/>
      <c r="U20" s="362"/>
      <c r="V20" s="368"/>
      <c r="W20" s="6"/>
    </row>
    <row r="21" spans="2:23" s="5" customFormat="1" ht="16.5" customHeight="1">
      <c r="B21" s="50"/>
      <c r="C21" s="274"/>
      <c r="D21" s="274"/>
      <c r="E21" s="274"/>
      <c r="F21" s="369"/>
      <c r="G21" s="369"/>
      <c r="H21" s="369"/>
      <c r="I21" s="370"/>
      <c r="J21" s="369"/>
      <c r="K21" s="369"/>
      <c r="L21" s="369"/>
      <c r="M21" s="369"/>
      <c r="N21" s="369"/>
      <c r="O21" s="369"/>
      <c r="P21" s="371"/>
      <c r="Q21" s="372"/>
      <c r="R21" s="188"/>
      <c r="S21" s="373"/>
      <c r="T21" s="374"/>
      <c r="U21" s="369"/>
      <c r="V21" s="375"/>
      <c r="W21" s="6"/>
    </row>
    <row r="22" spans="2:23" s="5" customFormat="1" ht="16.5" customHeight="1">
      <c r="B22" s="50"/>
      <c r="C22" s="274">
        <v>81</v>
      </c>
      <c r="D22" s="274">
        <v>227625</v>
      </c>
      <c r="E22" s="152">
        <v>3481</v>
      </c>
      <c r="F22" s="928" t="s">
        <v>348</v>
      </c>
      <c r="G22" s="928" t="s">
        <v>349</v>
      </c>
      <c r="H22" s="929">
        <v>132</v>
      </c>
      <c r="I22" s="130">
        <f aca="true" t="shared" si="0" ref="I22:I41">IF(H22=500,$G$15,IF(H22=220,$G$16,$G$17))</f>
        <v>25.781</v>
      </c>
      <c r="J22" s="378">
        <v>40484.41805555556</v>
      </c>
      <c r="K22" s="150">
        <v>40484.717361111114</v>
      </c>
      <c r="L22" s="379">
        <f aca="true" t="shared" si="1" ref="L22:L41">IF(F22="","",(K22-J22)*24)</f>
        <v>7.183333333348855</v>
      </c>
      <c r="M22" s="380">
        <f aca="true" t="shared" si="2" ref="M22:M41">IF(F22="","",ROUND((K22-J22)*24*60,0))</f>
        <v>431</v>
      </c>
      <c r="N22" s="220" t="s">
        <v>283</v>
      </c>
      <c r="O22" s="221" t="str">
        <f aca="true" t="shared" si="3" ref="O22:O41">IF(F22="","",IF(N22="P","--","NO"))</f>
        <v>--</v>
      </c>
      <c r="P22" s="712">
        <f aca="true" t="shared" si="4" ref="P22:P41">IF(H22=500,$H$15,IF(H22=220,$H$16,$H$17))</f>
        <v>40</v>
      </c>
      <c r="Q22" s="878">
        <f aca="true" t="shared" si="5" ref="Q22:Q41">IF(N22="P",I22*P22*ROUND(M22/60,2)*0.1,"--")</f>
        <v>740.4303199999999</v>
      </c>
      <c r="R22" s="188" t="str">
        <f aca="true" t="shared" si="6" ref="R22:R41">IF(AND(N22="F",O22="NO"),I22*P22,"--")</f>
        <v>--</v>
      </c>
      <c r="S22" s="373" t="str">
        <f aca="true" t="shared" si="7" ref="S22:S41">IF(N22="F",I22*P22*ROUND(M22/60,2),"--")</f>
        <v>--</v>
      </c>
      <c r="T22" s="374" t="str">
        <f aca="true" t="shared" si="8" ref="T22:T41">IF(N22="RF",I22*P22*ROUND(M22/60,2),"--")</f>
        <v>--</v>
      </c>
      <c r="U22" s="221" t="s">
        <v>202</v>
      </c>
      <c r="V22" s="381">
        <f aca="true" t="shared" si="9" ref="V22:V41">IF(F22="","",SUM(Q22:T22)*IF(U22="SI",1,2))</f>
        <v>740.4303199999999</v>
      </c>
      <c r="W22" s="6"/>
    </row>
    <row r="23" spans="2:23" s="5" customFormat="1" ht="16.5" customHeight="1">
      <c r="B23" s="50"/>
      <c r="C23" s="274">
        <v>82</v>
      </c>
      <c r="D23" s="274">
        <v>227647</v>
      </c>
      <c r="E23" s="274">
        <v>2602</v>
      </c>
      <c r="F23" s="928" t="s">
        <v>350</v>
      </c>
      <c r="G23" s="928" t="s">
        <v>351</v>
      </c>
      <c r="H23" s="929">
        <v>132</v>
      </c>
      <c r="I23" s="130">
        <f t="shared" si="0"/>
        <v>25.781</v>
      </c>
      <c r="J23" s="378">
        <v>40489.31319444445</v>
      </c>
      <c r="K23" s="150">
        <v>40489.63125</v>
      </c>
      <c r="L23" s="379">
        <f t="shared" si="1"/>
        <v>7.633333333244082</v>
      </c>
      <c r="M23" s="380">
        <f t="shared" si="2"/>
        <v>458</v>
      </c>
      <c r="N23" s="220" t="s">
        <v>283</v>
      </c>
      <c r="O23" s="221" t="str">
        <f t="shared" si="3"/>
        <v>--</v>
      </c>
      <c r="P23" s="712">
        <f t="shared" si="4"/>
        <v>40</v>
      </c>
      <c r="Q23" s="878">
        <f t="shared" si="5"/>
        <v>786.83612</v>
      </c>
      <c r="R23" s="188" t="str">
        <f t="shared" si="6"/>
        <v>--</v>
      </c>
      <c r="S23" s="373" t="str">
        <f t="shared" si="7"/>
        <v>--</v>
      </c>
      <c r="T23" s="374" t="str">
        <f t="shared" si="8"/>
        <v>--</v>
      </c>
      <c r="U23" s="221" t="s">
        <v>202</v>
      </c>
      <c r="V23" s="381">
        <f t="shared" si="9"/>
        <v>786.83612</v>
      </c>
      <c r="W23" s="6"/>
    </row>
    <row r="24" spans="2:23" s="5" customFormat="1" ht="16.5" customHeight="1">
      <c r="B24" s="50"/>
      <c r="C24" s="274">
        <v>83</v>
      </c>
      <c r="D24" s="274">
        <v>227989</v>
      </c>
      <c r="E24" s="152">
        <v>3480</v>
      </c>
      <c r="F24" s="928" t="s">
        <v>352</v>
      </c>
      <c r="G24" s="928" t="s">
        <v>353</v>
      </c>
      <c r="H24" s="929">
        <v>132</v>
      </c>
      <c r="I24" s="130">
        <f t="shared" si="0"/>
        <v>25.781</v>
      </c>
      <c r="J24" s="378">
        <v>40491.38402777778</v>
      </c>
      <c r="K24" s="150">
        <v>40491.72638888889</v>
      </c>
      <c r="L24" s="379">
        <f t="shared" si="1"/>
        <v>8.216666666732635</v>
      </c>
      <c r="M24" s="380">
        <f t="shared" si="2"/>
        <v>493</v>
      </c>
      <c r="N24" s="220" t="s">
        <v>283</v>
      </c>
      <c r="O24" s="221" t="str">
        <f t="shared" si="3"/>
        <v>--</v>
      </c>
      <c r="P24" s="712">
        <f t="shared" si="4"/>
        <v>40</v>
      </c>
      <c r="Q24" s="878">
        <f t="shared" si="5"/>
        <v>847.6792800000002</v>
      </c>
      <c r="R24" s="188" t="str">
        <f t="shared" si="6"/>
        <v>--</v>
      </c>
      <c r="S24" s="373" t="str">
        <f t="shared" si="7"/>
        <v>--</v>
      </c>
      <c r="T24" s="374" t="str">
        <f t="shared" si="8"/>
        <v>--</v>
      </c>
      <c r="U24" s="221" t="s">
        <v>202</v>
      </c>
      <c r="V24" s="381">
        <f t="shared" si="9"/>
        <v>847.6792800000002</v>
      </c>
      <c r="W24" s="6"/>
    </row>
    <row r="25" spans="2:23" s="5" customFormat="1" ht="16.5" customHeight="1">
      <c r="B25" s="50"/>
      <c r="C25" s="274">
        <v>84</v>
      </c>
      <c r="D25" s="274">
        <v>228255</v>
      </c>
      <c r="E25" s="274">
        <v>2583</v>
      </c>
      <c r="F25" s="928" t="s">
        <v>348</v>
      </c>
      <c r="G25" s="928" t="s">
        <v>354</v>
      </c>
      <c r="H25" s="929">
        <v>132</v>
      </c>
      <c r="I25" s="130">
        <f t="shared" si="0"/>
        <v>25.781</v>
      </c>
      <c r="J25" s="378">
        <v>40499.36388888889</v>
      </c>
      <c r="K25" s="150">
        <v>40499.64375</v>
      </c>
      <c r="L25" s="379">
        <f t="shared" si="1"/>
        <v>6.716666666732635</v>
      </c>
      <c r="M25" s="380">
        <f t="shared" si="2"/>
        <v>403</v>
      </c>
      <c r="N25" s="220" t="s">
        <v>283</v>
      </c>
      <c r="O25" s="221" t="str">
        <f t="shared" si="3"/>
        <v>--</v>
      </c>
      <c r="P25" s="712">
        <f t="shared" si="4"/>
        <v>40</v>
      </c>
      <c r="Q25" s="878">
        <f t="shared" si="5"/>
        <v>692.99328</v>
      </c>
      <c r="R25" s="188" t="str">
        <f t="shared" si="6"/>
        <v>--</v>
      </c>
      <c r="S25" s="373" t="str">
        <f t="shared" si="7"/>
        <v>--</v>
      </c>
      <c r="T25" s="374" t="str">
        <f t="shared" si="8"/>
        <v>--</v>
      </c>
      <c r="U25" s="221" t="s">
        <v>202</v>
      </c>
      <c r="V25" s="381">
        <f t="shared" si="9"/>
        <v>692.99328</v>
      </c>
      <c r="W25" s="6"/>
    </row>
    <row r="26" spans="2:23" s="5" customFormat="1" ht="16.5" customHeight="1">
      <c r="B26" s="50"/>
      <c r="C26" s="274">
        <v>85</v>
      </c>
      <c r="D26" s="274">
        <v>228259</v>
      </c>
      <c r="E26" s="152">
        <v>2587</v>
      </c>
      <c r="F26" s="928" t="s">
        <v>348</v>
      </c>
      <c r="G26" s="928" t="s">
        <v>355</v>
      </c>
      <c r="H26" s="929">
        <v>132</v>
      </c>
      <c r="I26" s="130">
        <f t="shared" si="0"/>
        <v>25.781</v>
      </c>
      <c r="J26" s="378">
        <v>40501.30138888889</v>
      </c>
      <c r="K26" s="150">
        <v>40501.74444444444</v>
      </c>
      <c r="L26" s="379">
        <f t="shared" si="1"/>
        <v>10.633333333244082</v>
      </c>
      <c r="M26" s="380">
        <f t="shared" si="2"/>
        <v>638</v>
      </c>
      <c r="N26" s="220" t="s">
        <v>283</v>
      </c>
      <c r="O26" s="221" t="str">
        <f t="shared" si="3"/>
        <v>--</v>
      </c>
      <c r="P26" s="712">
        <f t="shared" si="4"/>
        <v>40</v>
      </c>
      <c r="Q26" s="878">
        <f t="shared" si="5"/>
        <v>1096.20812</v>
      </c>
      <c r="R26" s="188" t="str">
        <f t="shared" si="6"/>
        <v>--</v>
      </c>
      <c r="S26" s="373" t="str">
        <f t="shared" si="7"/>
        <v>--</v>
      </c>
      <c r="T26" s="374" t="str">
        <f t="shared" si="8"/>
        <v>--</v>
      </c>
      <c r="U26" s="221" t="s">
        <v>202</v>
      </c>
      <c r="V26" s="381">
        <f t="shared" si="9"/>
        <v>1096.20812</v>
      </c>
      <c r="W26" s="6"/>
    </row>
    <row r="27" spans="2:23" s="5" customFormat="1" ht="16.5" customHeight="1">
      <c r="B27" s="50"/>
      <c r="C27" s="274">
        <v>86</v>
      </c>
      <c r="D27" s="274">
        <v>228282</v>
      </c>
      <c r="E27" s="274">
        <v>2602</v>
      </c>
      <c r="F27" s="928" t="s">
        <v>350</v>
      </c>
      <c r="G27" s="928" t="s">
        <v>351</v>
      </c>
      <c r="H27" s="929">
        <v>132</v>
      </c>
      <c r="I27" s="130">
        <f t="shared" si="0"/>
        <v>25.781</v>
      </c>
      <c r="J27" s="378">
        <v>40503.277083333334</v>
      </c>
      <c r="K27" s="150">
        <v>40503.722916666666</v>
      </c>
      <c r="L27" s="379">
        <f t="shared" si="1"/>
        <v>10.699999999953434</v>
      </c>
      <c r="M27" s="380">
        <f t="shared" si="2"/>
        <v>642</v>
      </c>
      <c r="N27" s="220" t="s">
        <v>283</v>
      </c>
      <c r="O27" s="221" t="str">
        <f t="shared" si="3"/>
        <v>--</v>
      </c>
      <c r="P27" s="712">
        <f t="shared" si="4"/>
        <v>40</v>
      </c>
      <c r="Q27" s="878">
        <f t="shared" si="5"/>
        <v>1103.4268</v>
      </c>
      <c r="R27" s="188" t="str">
        <f t="shared" si="6"/>
        <v>--</v>
      </c>
      <c r="S27" s="373" t="str">
        <f t="shared" si="7"/>
        <v>--</v>
      </c>
      <c r="T27" s="374" t="str">
        <f t="shared" si="8"/>
        <v>--</v>
      </c>
      <c r="U27" s="221" t="s">
        <v>202</v>
      </c>
      <c r="V27" s="381">
        <f t="shared" si="9"/>
        <v>1103.4268</v>
      </c>
      <c r="W27" s="6"/>
    </row>
    <row r="28" spans="2:23" s="5" customFormat="1" ht="16.5" customHeight="1">
      <c r="B28" s="50"/>
      <c r="C28" s="274">
        <v>87</v>
      </c>
      <c r="D28" s="274">
        <v>228277</v>
      </c>
      <c r="E28" s="152">
        <v>2597</v>
      </c>
      <c r="F28" s="928" t="s">
        <v>356</v>
      </c>
      <c r="G28" s="928" t="s">
        <v>357</v>
      </c>
      <c r="H28" s="929">
        <v>132</v>
      </c>
      <c r="I28" s="130">
        <f t="shared" si="0"/>
        <v>25.781</v>
      </c>
      <c r="J28" s="378">
        <v>40503.35208333333</v>
      </c>
      <c r="K28" s="150">
        <v>40503.72083333333</v>
      </c>
      <c r="L28" s="379">
        <f t="shared" si="1"/>
        <v>8.850000000034925</v>
      </c>
      <c r="M28" s="380">
        <f t="shared" si="2"/>
        <v>531</v>
      </c>
      <c r="N28" s="220" t="s">
        <v>283</v>
      </c>
      <c r="O28" s="221" t="str">
        <f t="shared" si="3"/>
        <v>--</v>
      </c>
      <c r="P28" s="712">
        <f t="shared" si="4"/>
        <v>40</v>
      </c>
      <c r="Q28" s="878">
        <f t="shared" si="5"/>
        <v>912.6474000000001</v>
      </c>
      <c r="R28" s="188" t="str">
        <f t="shared" si="6"/>
        <v>--</v>
      </c>
      <c r="S28" s="373" t="str">
        <f t="shared" si="7"/>
        <v>--</v>
      </c>
      <c r="T28" s="374" t="str">
        <f t="shared" si="8"/>
        <v>--</v>
      </c>
      <c r="U28" s="221" t="s">
        <v>202</v>
      </c>
      <c r="V28" s="381">
        <f t="shared" si="9"/>
        <v>912.6474000000001</v>
      </c>
      <c r="W28" s="6"/>
    </row>
    <row r="29" spans="2:23" s="5" customFormat="1" ht="16.5" customHeight="1">
      <c r="B29" s="50"/>
      <c r="C29" s="274">
        <v>88</v>
      </c>
      <c r="D29" s="274">
        <v>228507</v>
      </c>
      <c r="E29" s="274">
        <v>2593</v>
      </c>
      <c r="F29" s="928" t="s">
        <v>356</v>
      </c>
      <c r="G29" s="928" t="s">
        <v>389</v>
      </c>
      <c r="H29" s="929">
        <v>132</v>
      </c>
      <c r="I29" s="130">
        <f t="shared" si="0"/>
        <v>25.781</v>
      </c>
      <c r="J29" s="378">
        <v>40505.41388888889</v>
      </c>
      <c r="K29" s="150">
        <v>40505.73125</v>
      </c>
      <c r="L29" s="379">
        <f t="shared" si="1"/>
        <v>7.616666666523088</v>
      </c>
      <c r="M29" s="380">
        <f t="shared" si="2"/>
        <v>457</v>
      </c>
      <c r="N29" s="220" t="s">
        <v>283</v>
      </c>
      <c r="O29" s="221" t="str">
        <f t="shared" si="3"/>
        <v>--</v>
      </c>
      <c r="P29" s="712">
        <f t="shared" si="4"/>
        <v>40</v>
      </c>
      <c r="Q29" s="878">
        <f t="shared" si="5"/>
        <v>785.8048800000001</v>
      </c>
      <c r="R29" s="188" t="str">
        <f t="shared" si="6"/>
        <v>--</v>
      </c>
      <c r="S29" s="373" t="str">
        <f t="shared" si="7"/>
        <v>--</v>
      </c>
      <c r="T29" s="374" t="str">
        <f t="shared" si="8"/>
        <v>--</v>
      </c>
      <c r="U29" s="221" t="s">
        <v>202</v>
      </c>
      <c r="V29" s="381">
        <f t="shared" si="9"/>
        <v>785.8048800000001</v>
      </c>
      <c r="W29" s="6"/>
    </row>
    <row r="30" spans="2:23" s="5" customFormat="1" ht="16.5" customHeight="1">
      <c r="B30" s="50"/>
      <c r="C30" s="274">
        <v>89</v>
      </c>
      <c r="D30" s="274">
        <v>228505</v>
      </c>
      <c r="E30" s="152">
        <v>2586</v>
      </c>
      <c r="F30" s="928" t="s">
        <v>352</v>
      </c>
      <c r="G30" s="928" t="s">
        <v>359</v>
      </c>
      <c r="H30" s="929">
        <v>132</v>
      </c>
      <c r="I30" s="130">
        <f t="shared" si="0"/>
        <v>25.781</v>
      </c>
      <c r="J30" s="378">
        <v>40505.430555555555</v>
      </c>
      <c r="K30" s="150">
        <v>40505.729166666664</v>
      </c>
      <c r="L30" s="379">
        <f t="shared" si="1"/>
        <v>7.166666666627862</v>
      </c>
      <c r="M30" s="380">
        <f t="shared" si="2"/>
        <v>430</v>
      </c>
      <c r="N30" s="220" t="s">
        <v>283</v>
      </c>
      <c r="O30" s="221" t="str">
        <f t="shared" si="3"/>
        <v>--</v>
      </c>
      <c r="P30" s="712">
        <f t="shared" si="4"/>
        <v>40</v>
      </c>
      <c r="Q30" s="878">
        <f t="shared" si="5"/>
        <v>739.39908</v>
      </c>
      <c r="R30" s="188" t="str">
        <f t="shared" si="6"/>
        <v>--</v>
      </c>
      <c r="S30" s="373" t="str">
        <f t="shared" si="7"/>
        <v>--</v>
      </c>
      <c r="T30" s="374" t="str">
        <f t="shared" si="8"/>
        <v>--</v>
      </c>
      <c r="U30" s="221" t="s">
        <v>202</v>
      </c>
      <c r="V30" s="381">
        <f t="shared" si="9"/>
        <v>739.39908</v>
      </c>
      <c r="W30" s="6"/>
    </row>
    <row r="31" spans="2:23" s="5" customFormat="1" ht="16.5" customHeight="1">
      <c r="B31" s="50"/>
      <c r="C31" s="274">
        <v>90</v>
      </c>
      <c r="D31" s="274">
        <v>228818</v>
      </c>
      <c r="E31" s="274">
        <v>2585</v>
      </c>
      <c r="F31" s="928" t="s">
        <v>352</v>
      </c>
      <c r="G31" s="928" t="s">
        <v>360</v>
      </c>
      <c r="H31" s="929">
        <v>132</v>
      </c>
      <c r="I31" s="130">
        <f t="shared" si="0"/>
        <v>25.781</v>
      </c>
      <c r="J31" s="378">
        <v>40512.375</v>
      </c>
      <c r="K31" s="150">
        <v>40512.739583333336</v>
      </c>
      <c r="L31" s="379">
        <f t="shared" si="1"/>
        <v>8.750000000058208</v>
      </c>
      <c r="M31" s="380">
        <f t="shared" si="2"/>
        <v>525</v>
      </c>
      <c r="N31" s="220" t="s">
        <v>283</v>
      </c>
      <c r="O31" s="221" t="str">
        <f t="shared" si="3"/>
        <v>--</v>
      </c>
      <c r="P31" s="712">
        <f t="shared" si="4"/>
        <v>40</v>
      </c>
      <c r="Q31" s="878">
        <f t="shared" si="5"/>
        <v>902.335</v>
      </c>
      <c r="R31" s="188" t="str">
        <f t="shared" si="6"/>
        <v>--</v>
      </c>
      <c r="S31" s="373" t="str">
        <f t="shared" si="7"/>
        <v>--</v>
      </c>
      <c r="T31" s="374" t="str">
        <f t="shared" si="8"/>
        <v>--</v>
      </c>
      <c r="U31" s="221" t="s">
        <v>202</v>
      </c>
      <c r="V31" s="381">
        <f t="shared" si="9"/>
        <v>902.335</v>
      </c>
      <c r="W31" s="6"/>
    </row>
    <row r="32" spans="2:23" s="5" customFormat="1" ht="16.5" customHeight="1">
      <c r="B32" s="50"/>
      <c r="C32" s="274"/>
      <c r="D32" s="274"/>
      <c r="E32" s="152"/>
      <c r="F32" s="376"/>
      <c r="G32" s="376"/>
      <c r="H32" s="377"/>
      <c r="I32" s="130">
        <f t="shared" si="0"/>
        <v>25.781</v>
      </c>
      <c r="J32" s="378"/>
      <c r="K32" s="150"/>
      <c r="L32" s="379">
        <f t="shared" si="1"/>
      </c>
      <c r="M32" s="380">
        <f t="shared" si="2"/>
      </c>
      <c r="N32" s="220"/>
      <c r="O32" s="221">
        <f t="shared" si="3"/>
      </c>
      <c r="P32" s="712">
        <f t="shared" si="4"/>
        <v>40</v>
      </c>
      <c r="Q32" s="878" t="str">
        <f t="shared" si="5"/>
        <v>--</v>
      </c>
      <c r="R32" s="188" t="str">
        <f t="shared" si="6"/>
        <v>--</v>
      </c>
      <c r="S32" s="373" t="str">
        <f t="shared" si="7"/>
        <v>--</v>
      </c>
      <c r="T32" s="374" t="str">
        <f t="shared" si="8"/>
        <v>--</v>
      </c>
      <c r="U32" s="221">
        <f aca="true" t="shared" si="10" ref="U32:U41">IF(F32="","","SI")</f>
      </c>
      <c r="V32" s="381">
        <f t="shared" si="9"/>
      </c>
      <c r="W32" s="6"/>
    </row>
    <row r="33" spans="2:23" s="5" customFormat="1" ht="16.5" customHeight="1">
      <c r="B33" s="50"/>
      <c r="C33" s="274"/>
      <c r="D33" s="274"/>
      <c r="E33" s="274"/>
      <c r="F33" s="376"/>
      <c r="G33" s="376"/>
      <c r="H33" s="377"/>
      <c r="I33" s="130">
        <f t="shared" si="0"/>
        <v>25.781</v>
      </c>
      <c r="J33" s="378"/>
      <c r="K33" s="150"/>
      <c r="L33" s="379">
        <f t="shared" si="1"/>
      </c>
      <c r="M33" s="380">
        <f t="shared" si="2"/>
      </c>
      <c r="N33" s="220"/>
      <c r="O33" s="221">
        <f t="shared" si="3"/>
      </c>
      <c r="P33" s="712">
        <f t="shared" si="4"/>
        <v>40</v>
      </c>
      <c r="Q33" s="878" t="str">
        <f t="shared" si="5"/>
        <v>--</v>
      </c>
      <c r="R33" s="188" t="str">
        <f t="shared" si="6"/>
        <v>--</v>
      </c>
      <c r="S33" s="373" t="str">
        <f t="shared" si="7"/>
        <v>--</v>
      </c>
      <c r="T33" s="374" t="str">
        <f t="shared" si="8"/>
        <v>--</v>
      </c>
      <c r="U33" s="221">
        <f t="shared" si="10"/>
      </c>
      <c r="V33" s="381">
        <f t="shared" si="9"/>
      </c>
      <c r="W33" s="6"/>
    </row>
    <row r="34" spans="2:23" s="5" customFormat="1" ht="16.5" customHeight="1">
      <c r="B34" s="50"/>
      <c r="C34" s="274"/>
      <c r="D34" s="274"/>
      <c r="E34" s="152"/>
      <c r="F34" s="376"/>
      <c r="G34" s="376"/>
      <c r="H34" s="377"/>
      <c r="I34" s="130">
        <f t="shared" si="0"/>
        <v>25.781</v>
      </c>
      <c r="J34" s="378"/>
      <c r="K34" s="150"/>
      <c r="L34" s="379">
        <f t="shared" si="1"/>
      </c>
      <c r="M34" s="380">
        <f t="shared" si="2"/>
      </c>
      <c r="N34" s="220"/>
      <c r="O34" s="221">
        <f t="shared" si="3"/>
      </c>
      <c r="P34" s="712">
        <f t="shared" si="4"/>
        <v>40</v>
      </c>
      <c r="Q34" s="878" t="str">
        <f t="shared" si="5"/>
        <v>--</v>
      </c>
      <c r="R34" s="188" t="str">
        <f t="shared" si="6"/>
        <v>--</v>
      </c>
      <c r="S34" s="373" t="str">
        <f t="shared" si="7"/>
        <v>--</v>
      </c>
      <c r="T34" s="374" t="str">
        <f t="shared" si="8"/>
        <v>--</v>
      </c>
      <c r="U34" s="221">
        <f t="shared" si="10"/>
      </c>
      <c r="V34" s="381">
        <f t="shared" si="9"/>
      </c>
      <c r="W34" s="6"/>
    </row>
    <row r="35" spans="2:23" s="5" customFormat="1" ht="16.5" customHeight="1">
      <c r="B35" s="50"/>
      <c r="C35" s="274"/>
      <c r="D35" s="274"/>
      <c r="E35" s="274"/>
      <c r="F35" s="376"/>
      <c r="G35" s="376"/>
      <c r="H35" s="377"/>
      <c r="I35" s="130">
        <f t="shared" si="0"/>
        <v>25.781</v>
      </c>
      <c r="J35" s="378"/>
      <c r="K35" s="150"/>
      <c r="L35" s="379">
        <f t="shared" si="1"/>
      </c>
      <c r="M35" s="380">
        <f t="shared" si="2"/>
      </c>
      <c r="N35" s="220"/>
      <c r="O35" s="221">
        <f t="shared" si="3"/>
      </c>
      <c r="P35" s="712">
        <f t="shared" si="4"/>
        <v>40</v>
      </c>
      <c r="Q35" s="878" t="str">
        <f t="shared" si="5"/>
        <v>--</v>
      </c>
      <c r="R35" s="188" t="str">
        <f t="shared" si="6"/>
        <v>--</v>
      </c>
      <c r="S35" s="373" t="str">
        <f t="shared" si="7"/>
        <v>--</v>
      </c>
      <c r="T35" s="374" t="str">
        <f t="shared" si="8"/>
        <v>--</v>
      </c>
      <c r="U35" s="221">
        <f t="shared" si="10"/>
      </c>
      <c r="V35" s="381">
        <f t="shared" si="9"/>
      </c>
      <c r="W35" s="6"/>
    </row>
    <row r="36" spans="2:23" s="5" customFormat="1" ht="16.5" customHeight="1">
      <c r="B36" s="50"/>
      <c r="C36" s="274"/>
      <c r="D36" s="274"/>
      <c r="E36" s="152"/>
      <c r="F36" s="376"/>
      <c r="G36" s="376"/>
      <c r="H36" s="377"/>
      <c r="I36" s="130">
        <f t="shared" si="0"/>
        <v>25.781</v>
      </c>
      <c r="J36" s="378"/>
      <c r="K36" s="150"/>
      <c r="L36" s="379">
        <f t="shared" si="1"/>
      </c>
      <c r="M36" s="380">
        <f t="shared" si="2"/>
      </c>
      <c r="N36" s="220"/>
      <c r="O36" s="221">
        <f t="shared" si="3"/>
      </c>
      <c r="P36" s="712">
        <f t="shared" si="4"/>
        <v>40</v>
      </c>
      <c r="Q36" s="878" t="str">
        <f t="shared" si="5"/>
        <v>--</v>
      </c>
      <c r="R36" s="188" t="str">
        <f t="shared" si="6"/>
        <v>--</v>
      </c>
      <c r="S36" s="373" t="str">
        <f t="shared" si="7"/>
        <v>--</v>
      </c>
      <c r="T36" s="374" t="str">
        <f t="shared" si="8"/>
        <v>--</v>
      </c>
      <c r="U36" s="221">
        <f t="shared" si="10"/>
      </c>
      <c r="V36" s="381">
        <f t="shared" si="9"/>
      </c>
      <c r="W36" s="6"/>
    </row>
    <row r="37" spans="2:23" s="5" customFormat="1" ht="16.5" customHeight="1">
      <c r="B37" s="50"/>
      <c r="C37" s="274"/>
      <c r="D37" s="274"/>
      <c r="E37" s="274"/>
      <c r="F37" s="376"/>
      <c r="G37" s="376"/>
      <c r="H37" s="377"/>
      <c r="I37" s="130">
        <f t="shared" si="0"/>
        <v>25.781</v>
      </c>
      <c r="J37" s="378"/>
      <c r="K37" s="150"/>
      <c r="L37" s="379">
        <f t="shared" si="1"/>
      </c>
      <c r="M37" s="380">
        <f t="shared" si="2"/>
      </c>
      <c r="N37" s="220"/>
      <c r="O37" s="221">
        <f t="shared" si="3"/>
      </c>
      <c r="P37" s="712">
        <f t="shared" si="4"/>
        <v>40</v>
      </c>
      <c r="Q37" s="878" t="str">
        <f t="shared" si="5"/>
        <v>--</v>
      </c>
      <c r="R37" s="188" t="str">
        <f t="shared" si="6"/>
        <v>--</v>
      </c>
      <c r="S37" s="373" t="str">
        <f t="shared" si="7"/>
        <v>--</v>
      </c>
      <c r="T37" s="374" t="str">
        <f t="shared" si="8"/>
        <v>--</v>
      </c>
      <c r="U37" s="221">
        <f t="shared" si="10"/>
      </c>
      <c r="V37" s="381">
        <f t="shared" si="9"/>
      </c>
      <c r="W37" s="6"/>
    </row>
    <row r="38" spans="2:23" s="5" customFormat="1" ht="16.5" customHeight="1">
      <c r="B38" s="50"/>
      <c r="C38" s="274"/>
      <c r="D38" s="274"/>
      <c r="E38" s="152"/>
      <c r="F38" s="376"/>
      <c r="G38" s="376"/>
      <c r="H38" s="377"/>
      <c r="I38" s="130">
        <f t="shared" si="0"/>
        <v>25.781</v>
      </c>
      <c r="J38" s="378"/>
      <c r="K38" s="150"/>
      <c r="L38" s="379">
        <f t="shared" si="1"/>
      </c>
      <c r="M38" s="380">
        <f t="shared" si="2"/>
      </c>
      <c r="N38" s="220"/>
      <c r="O38" s="221">
        <f t="shared" si="3"/>
      </c>
      <c r="P38" s="712">
        <f t="shared" si="4"/>
        <v>40</v>
      </c>
      <c r="Q38" s="878" t="str">
        <f t="shared" si="5"/>
        <v>--</v>
      </c>
      <c r="R38" s="188" t="str">
        <f t="shared" si="6"/>
        <v>--</v>
      </c>
      <c r="S38" s="373" t="str">
        <f t="shared" si="7"/>
        <v>--</v>
      </c>
      <c r="T38" s="374" t="str">
        <f t="shared" si="8"/>
        <v>--</v>
      </c>
      <c r="U38" s="221">
        <f t="shared" si="10"/>
      </c>
      <c r="V38" s="381">
        <f t="shared" si="9"/>
      </c>
      <c r="W38" s="6"/>
    </row>
    <row r="39" spans="2:23" s="5" customFormat="1" ht="16.5" customHeight="1">
      <c r="B39" s="50"/>
      <c r="C39" s="274"/>
      <c r="D39" s="274"/>
      <c r="E39" s="274"/>
      <c r="F39" s="376"/>
      <c r="G39" s="376"/>
      <c r="H39" s="377"/>
      <c r="I39" s="130">
        <f t="shared" si="0"/>
        <v>25.781</v>
      </c>
      <c r="J39" s="378"/>
      <c r="K39" s="150"/>
      <c r="L39" s="379">
        <f t="shared" si="1"/>
      </c>
      <c r="M39" s="380">
        <f t="shared" si="2"/>
      </c>
      <c r="N39" s="220"/>
      <c r="O39" s="221">
        <f t="shared" si="3"/>
      </c>
      <c r="P39" s="712">
        <f t="shared" si="4"/>
        <v>40</v>
      </c>
      <c r="Q39" s="878" t="str">
        <f t="shared" si="5"/>
        <v>--</v>
      </c>
      <c r="R39" s="188" t="str">
        <f t="shared" si="6"/>
        <v>--</v>
      </c>
      <c r="S39" s="373" t="str">
        <f t="shared" si="7"/>
        <v>--</v>
      </c>
      <c r="T39" s="374" t="str">
        <f t="shared" si="8"/>
        <v>--</v>
      </c>
      <c r="U39" s="221">
        <f t="shared" si="10"/>
      </c>
      <c r="V39" s="381">
        <f t="shared" si="9"/>
      </c>
      <c r="W39" s="6"/>
    </row>
    <row r="40" spans="2:23" s="5" customFormat="1" ht="16.5" customHeight="1">
      <c r="B40" s="50"/>
      <c r="C40" s="274"/>
      <c r="D40" s="274"/>
      <c r="E40" s="152"/>
      <c r="F40" s="376"/>
      <c r="G40" s="376"/>
      <c r="H40" s="377"/>
      <c r="I40" s="130">
        <f t="shared" si="0"/>
        <v>25.781</v>
      </c>
      <c r="J40" s="378"/>
      <c r="K40" s="150"/>
      <c r="L40" s="379">
        <f t="shared" si="1"/>
      </c>
      <c r="M40" s="380">
        <f t="shared" si="2"/>
      </c>
      <c r="N40" s="220"/>
      <c r="O40" s="221">
        <f t="shared" si="3"/>
      </c>
      <c r="P40" s="712">
        <f t="shared" si="4"/>
        <v>40</v>
      </c>
      <c r="Q40" s="878" t="str">
        <f t="shared" si="5"/>
        <v>--</v>
      </c>
      <c r="R40" s="188" t="str">
        <f t="shared" si="6"/>
        <v>--</v>
      </c>
      <c r="S40" s="373" t="str">
        <f t="shared" si="7"/>
        <v>--</v>
      </c>
      <c r="T40" s="374" t="str">
        <f t="shared" si="8"/>
        <v>--</v>
      </c>
      <c r="U40" s="221">
        <f t="shared" si="10"/>
      </c>
      <c r="V40" s="381">
        <f t="shared" si="9"/>
      </c>
      <c r="W40" s="6"/>
    </row>
    <row r="41" spans="2:23" s="5" customFormat="1" ht="16.5" customHeight="1">
      <c r="B41" s="50"/>
      <c r="C41" s="274"/>
      <c r="D41" s="274"/>
      <c r="E41" s="274"/>
      <c r="F41" s="376"/>
      <c r="G41" s="376"/>
      <c r="H41" s="377"/>
      <c r="I41" s="130">
        <f t="shared" si="0"/>
        <v>25.781</v>
      </c>
      <c r="J41" s="378"/>
      <c r="K41" s="150"/>
      <c r="L41" s="379">
        <f t="shared" si="1"/>
      </c>
      <c r="M41" s="380">
        <f t="shared" si="2"/>
      </c>
      <c r="N41" s="220"/>
      <c r="O41" s="221">
        <f t="shared" si="3"/>
      </c>
      <c r="P41" s="712">
        <f t="shared" si="4"/>
        <v>40</v>
      </c>
      <c r="Q41" s="878" t="str">
        <f t="shared" si="5"/>
        <v>--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221">
        <f t="shared" si="10"/>
      </c>
      <c r="V41" s="381">
        <f t="shared" si="9"/>
      </c>
      <c r="W41" s="6"/>
    </row>
    <row r="42" spans="2:23" s="5" customFormat="1" ht="16.5" customHeight="1" thickBot="1">
      <c r="B42" s="50"/>
      <c r="C42" s="228"/>
      <c r="D42" s="228"/>
      <c r="E42" s="228"/>
      <c r="F42" s="228"/>
      <c r="G42" s="228"/>
      <c r="H42" s="228"/>
      <c r="I42" s="131"/>
      <c r="J42" s="382"/>
      <c r="K42" s="382"/>
      <c r="L42" s="383"/>
      <c r="M42" s="383"/>
      <c r="N42" s="382"/>
      <c r="O42" s="151"/>
      <c r="P42" s="384"/>
      <c r="Q42" s="385"/>
      <c r="R42" s="386"/>
      <c r="S42" s="387"/>
      <c r="T42" s="157"/>
      <c r="U42" s="151"/>
      <c r="V42" s="388"/>
      <c r="W42" s="6"/>
    </row>
    <row r="43" spans="2:23" s="5" customFormat="1" ht="16.5" customHeight="1" thickBot="1" thickTop="1">
      <c r="B43" s="50"/>
      <c r="C43" s="933" t="s">
        <v>391</v>
      </c>
      <c r="D43" s="73" t="s">
        <v>392</v>
      </c>
      <c r="E43" s="127"/>
      <c r="F43" s="128"/>
      <c r="G43"/>
      <c r="H43" s="4"/>
      <c r="I43" s="4"/>
      <c r="J43" s="4"/>
      <c r="K43" s="4"/>
      <c r="L43" s="4"/>
      <c r="M43" s="4"/>
      <c r="N43" s="4"/>
      <c r="O43" s="4"/>
      <c r="P43" s="4"/>
      <c r="Q43" s="389">
        <f>SUM(Q20:Q42)</f>
        <v>8607.76028</v>
      </c>
      <c r="R43" s="390">
        <f>SUM(R20:R42)</f>
        <v>0</v>
      </c>
      <c r="S43" s="391">
        <f>SUM(S20:S42)</f>
        <v>0</v>
      </c>
      <c r="T43" s="392">
        <f>SUM(T20:T42)</f>
        <v>0</v>
      </c>
      <c r="U43" s="393"/>
      <c r="V43" s="100">
        <f>ROUND(SUM(V20:V42),2)</f>
        <v>8607.76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72"/>
      <c r="X45" s="172"/>
      <c r="Y45" s="172"/>
    </row>
    <row r="46" spans="23:25" ht="16.5" customHeight="1">
      <c r="W46" s="172"/>
      <c r="X46" s="172"/>
      <c r="Y46" s="172"/>
    </row>
    <row r="47" spans="23:25" ht="16.5" customHeight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6:25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6:25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2011-02-24T18:22:26Z</cp:lastPrinted>
  <dcterms:created xsi:type="dcterms:W3CDTF">1998-04-21T14:04:37Z</dcterms:created>
  <dcterms:modified xsi:type="dcterms:W3CDTF">2012-05-31T19:03:00Z</dcterms:modified>
  <cp:category/>
  <cp:version/>
  <cp:contentType/>
  <cp:contentStatus/>
</cp:coreProperties>
</file>