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0209" sheetId="1" r:id="rId1"/>
    <sheet name="LI-02 (1)" sheetId="2" r:id="rId2"/>
    <sheet name="Condición Climática 313-01" sheetId="3" r:id="rId3"/>
    <sheet name="LI-IV-02 (1)" sheetId="4" r:id="rId4"/>
    <sheet name="TR-02 (1)" sheetId="5" r:id="rId5"/>
    <sheet name="T4CH - Nota SE N° 2492" sheetId="6" r:id="rId6"/>
    <sheet name="SA-02 (1)" sheetId="7" r:id="rId7"/>
    <sheet name="SA-02 (2)" sheetId="8" r:id="rId8"/>
    <sheet name="RE-02 (1)" sheetId="9" r:id="rId9"/>
    <sheet name="RE-LITSA-02 (1)" sheetId="10" r:id="rId10"/>
    <sheet name="TR-TIBA-02 (1)" sheetId="11" r:id="rId11"/>
    <sheet name="SA-TIBA-02 (1)" sheetId="12" r:id="rId12"/>
    <sheet name="TR-INTESAR-02(1)" sheetId="13" r:id="rId13"/>
    <sheet name="SUP-LITSA" sheetId="14" r:id="rId14"/>
    <sheet name="SUP-TIBA" sheetId="15" r:id="rId15"/>
    <sheet name="SUP-INTESAR" sheetId="16" r:id="rId16"/>
    <sheet name="TASA FALLA" sheetId="17" r:id="rId17"/>
    <sheet name="DATO" sheetId="18" r:id="rId18"/>
  </sheets>
  <externalReferences>
    <externalReference r:id="rId21"/>
    <externalReference r:id="rId22"/>
  </externalReferences>
  <definedNames>
    <definedName name="_xlnm.Print_Area" localSheetId="1">'LI-02 (1)'!$A$1:$AD$41</definedName>
    <definedName name="_xlnm.Print_Area" localSheetId="3">'LI-IV-02 (1)'!$A$1:$AD$44</definedName>
    <definedName name="_xlnm.Print_Area" localSheetId="8">'RE-02 (1)'!$A$1:$Y$41</definedName>
    <definedName name="_xlnm.Print_Area" localSheetId="9">'RE-LITSA-02 (1)'!$A$1:$W$46</definedName>
    <definedName name="_xlnm.Print_Area" localSheetId="6">'SA-02 (1)'!$A$1:$U$46</definedName>
    <definedName name="_xlnm.Print_Area" localSheetId="7">'SA-02 (2)'!$A$1:$U$46</definedName>
    <definedName name="_xlnm.Print_Area" localSheetId="11">'SA-TIBA-02 (1)'!$A$1:$U$44</definedName>
    <definedName name="_xlnm.Print_Area" localSheetId="15">'SUP-INTESAR'!$A$1:$AD$66</definedName>
    <definedName name="_xlnm.Print_Area" localSheetId="13">'SUP-LITSA'!$A$1:$AD$75</definedName>
    <definedName name="_xlnm.Print_Area" localSheetId="14">'SUP-TIBA'!$A$1:$W$75</definedName>
    <definedName name="_xlnm.Print_Area" localSheetId="16">'TASA FALLA'!$A$1:$V$99</definedName>
    <definedName name="_xlnm.Print_Area" localSheetId="0">'TOT-0209'!$A$1:$K$46</definedName>
    <definedName name="_xlnm.Print_Area" localSheetId="4">'TR-02 (1)'!$A$1:$AB$41</definedName>
    <definedName name="_xlnm.Print_Area" localSheetId="12">'TR-INTESAR-02(1)'!$A$1:$AB$42</definedName>
    <definedName name="_xlnm.Print_Area" localSheetId="10">'TR-TIBA-02 (1)'!$A$1:$AB$42</definedName>
    <definedName name="DD" localSheetId="2">'Condición Climática 313-01'!DD</definedName>
    <definedName name="DD" localSheetId="1">'LI-02 (1)'!DD</definedName>
    <definedName name="DD" localSheetId="3">'LI-IV-02 (1)'!DD</definedName>
    <definedName name="DD" localSheetId="8">'RE-02 (1)'!DD</definedName>
    <definedName name="DD" localSheetId="9">'RE-LITSA-02 (1)'!DD</definedName>
    <definedName name="DD" localSheetId="6">'SA-02 (1)'!DD</definedName>
    <definedName name="DD" localSheetId="7">'SA-02 (2)'!DD</definedName>
    <definedName name="DD" localSheetId="11">'SA-TIBA-02 (1)'!DD</definedName>
    <definedName name="DD" localSheetId="15">'SUP-INTESAR'!DD</definedName>
    <definedName name="DD" localSheetId="5">'T4CH - Nota SE N° 2492'!DD</definedName>
    <definedName name="DD" localSheetId="16">'TASA FALLA'!DD</definedName>
    <definedName name="DD" localSheetId="4">'TR-02 (1)'!DD</definedName>
    <definedName name="DD" localSheetId="12">'TR-INTESAR-02(1)'!DD</definedName>
    <definedName name="DD" localSheetId="10">'TR-TIBA-02 (1)'!DD</definedName>
    <definedName name="DD">[0]!DD</definedName>
    <definedName name="DDD" localSheetId="2">'Condición Climática 313-01'!DDD</definedName>
    <definedName name="DDD" localSheetId="1">'LI-02 (1)'!DDD</definedName>
    <definedName name="DDD" localSheetId="3">'LI-IV-02 (1)'!DDD</definedName>
    <definedName name="DDD" localSheetId="8">'RE-02 (1)'!DDD</definedName>
    <definedName name="DDD" localSheetId="9">'RE-LITSA-02 (1)'!DDD</definedName>
    <definedName name="DDD" localSheetId="6">'SA-02 (1)'!DDD</definedName>
    <definedName name="DDD" localSheetId="7">'SA-02 (2)'!DDD</definedName>
    <definedName name="DDD" localSheetId="11">'SA-TIBA-02 (1)'!DDD</definedName>
    <definedName name="DDD" localSheetId="15">'SUP-INTESAR'!DDD</definedName>
    <definedName name="DDD" localSheetId="5">'T4CH - Nota SE N° 2492'!DDD</definedName>
    <definedName name="DDD" localSheetId="16">'TASA FALLA'!DDD</definedName>
    <definedName name="DDD" localSheetId="4">'TR-02 (1)'!DDD</definedName>
    <definedName name="DDD" localSheetId="12">'TR-INTESAR-02(1)'!DDD</definedName>
    <definedName name="DDD" localSheetId="10">'TR-TIBA-02 (1)'!DDD</definedName>
    <definedName name="DDD">[0]!DDD</definedName>
    <definedName name="DISTROCUYO" localSheetId="2">'Condición Climática 313-01'!DISTROCUYO</definedName>
    <definedName name="DISTROCUYO" localSheetId="1">'LI-02 (1)'!DISTROCUYO</definedName>
    <definedName name="DISTROCUYO" localSheetId="3">'LI-IV-02 (1)'!DISTROCUYO</definedName>
    <definedName name="DISTROCUYO" localSheetId="8">'RE-02 (1)'!DISTROCUYO</definedName>
    <definedName name="DISTROCUYO" localSheetId="9">'RE-LITSA-02 (1)'!DISTROCUYO</definedName>
    <definedName name="DISTROCUYO" localSheetId="6">'SA-02 (1)'!DISTROCUYO</definedName>
    <definedName name="DISTROCUYO" localSheetId="7">'SA-02 (2)'!DISTROCUYO</definedName>
    <definedName name="DISTROCUYO" localSheetId="11">'SA-TIBA-02 (1)'!DISTROCUYO</definedName>
    <definedName name="DISTROCUYO" localSheetId="15">'SUP-INTESAR'!DISTROCUYO</definedName>
    <definedName name="DISTROCUYO" localSheetId="5">'T4CH - Nota SE N° 2492'!DISTROCUYO</definedName>
    <definedName name="DISTROCUYO" localSheetId="16">'TASA FALLA'!DISTROCUYO</definedName>
    <definedName name="DISTROCUYO" localSheetId="4">'TR-02 (1)'!DISTROCUYO</definedName>
    <definedName name="DISTROCUYO" localSheetId="12">'TR-INTESAR-02(1)'!DISTROCUYO</definedName>
    <definedName name="DISTROCUYO" localSheetId="10">'TR-TIBA-02 (1)'!DISTROCUYO</definedName>
    <definedName name="DISTROCUYO">[0]!DISTROCUYO</definedName>
    <definedName name="INICIO" localSheetId="2">'Condición Climática 313-01'!INICIO</definedName>
    <definedName name="INICIO" localSheetId="1">'LI-02 (1)'!INICIO</definedName>
    <definedName name="INICIO" localSheetId="3">'LI-IV-02 (1)'!INICIO</definedName>
    <definedName name="INICIO" localSheetId="8">'RE-02 (1)'!INICIO</definedName>
    <definedName name="INICIO" localSheetId="9">'RE-LITSA-02 (1)'!INICIO</definedName>
    <definedName name="INICIO" localSheetId="6">'SA-02 (1)'!INICIO</definedName>
    <definedName name="INICIO" localSheetId="7">'SA-02 (2)'!INICIO</definedName>
    <definedName name="INICIO" localSheetId="11">'SA-TIBA-02 (1)'!INICIO</definedName>
    <definedName name="INICIO" localSheetId="15">'SUP-INTESAR'!INICIO</definedName>
    <definedName name="INICIO" localSheetId="5">'T4CH - Nota SE N° 2492'!INICIO</definedName>
    <definedName name="INICIO" localSheetId="16">'TASA FALLA'!INICIO</definedName>
    <definedName name="INICIO" localSheetId="0">'TOT-0209'!INICIO</definedName>
    <definedName name="INICIO" localSheetId="4">'TR-02 (1)'!INICIO</definedName>
    <definedName name="INICIO" localSheetId="12">'TR-INTESAR-02(1)'!INICIO</definedName>
    <definedName name="INICIO" localSheetId="10">'TR-TIBA-02 (1)'!INICIO</definedName>
    <definedName name="INICIO">[0]!INICIO</definedName>
    <definedName name="INICIOTI" localSheetId="2">'Condición Climática 313-01'!INICIOTI</definedName>
    <definedName name="INICIOTI" localSheetId="1">'LI-02 (1)'!INICIOTI</definedName>
    <definedName name="INICIOTI" localSheetId="3">'LI-IV-02 (1)'!INICIOTI</definedName>
    <definedName name="INICIOTI" localSheetId="8">'RE-02 (1)'!INICIOTI</definedName>
    <definedName name="INICIOTI" localSheetId="9">'RE-LITSA-02 (1)'!INICIOTI</definedName>
    <definedName name="INICIOTI" localSheetId="6">'SA-02 (1)'!INICIOTI</definedName>
    <definedName name="INICIOTI" localSheetId="7">'SA-02 (2)'!INICIOTI</definedName>
    <definedName name="INICIOTI" localSheetId="11">'SA-TIBA-02 (1)'!INICIOTI</definedName>
    <definedName name="INICIOTI" localSheetId="15">'SUP-INTESAR'!INICIOTI</definedName>
    <definedName name="INICIOTI" localSheetId="5">'T4CH - Nota SE N° 2492'!INICIOTI</definedName>
    <definedName name="INICIOTI" localSheetId="16">'TASA FALLA'!INICIOTI</definedName>
    <definedName name="INICIOTI" localSheetId="4">'TR-02 (1)'!INICIOTI</definedName>
    <definedName name="INICIOTI" localSheetId="12">'TR-INTESAR-02(1)'!INICIOTI</definedName>
    <definedName name="INICIOTI" localSheetId="10">'TR-TIBA-02 (1)'!INICIOTI</definedName>
    <definedName name="INICIOTI">[0]!INICIOTI</definedName>
    <definedName name="LINEAS" localSheetId="2">'Condición Climática 313-01'!LINEAS</definedName>
    <definedName name="LINEAS" localSheetId="1">'LI-02 (1)'!LINEAS</definedName>
    <definedName name="LINEAS" localSheetId="3">'LI-IV-02 (1)'!LINEAS</definedName>
    <definedName name="LINEAS" localSheetId="8">'RE-02 (1)'!LINEAS</definedName>
    <definedName name="LINEAS" localSheetId="9">'RE-LITSA-02 (1)'!LINEAS</definedName>
    <definedName name="LINEAS" localSheetId="6">'SA-02 (1)'!LINEAS</definedName>
    <definedName name="LINEAS" localSheetId="7">'SA-02 (2)'!LINEAS</definedName>
    <definedName name="LINEAS" localSheetId="11">'SA-TIBA-02 (1)'!LINEAS</definedName>
    <definedName name="LINEAS" localSheetId="15">'SUP-INTESAR'!LINEAS</definedName>
    <definedName name="LINEAS" localSheetId="5">'T4CH - Nota SE N° 2492'!LINEAS</definedName>
    <definedName name="LINEAS" localSheetId="16">'TASA FALLA'!LINEAS</definedName>
    <definedName name="LINEAS" localSheetId="4">'TR-02 (1)'!LINEAS</definedName>
    <definedName name="LINEAS" localSheetId="12">'TR-INTESAR-02(1)'!LINEAS</definedName>
    <definedName name="LINEAS" localSheetId="10">'TR-TIBA-02 (1)'!LINEAS</definedName>
    <definedName name="LINEAS">[0]!LINEAS</definedName>
    <definedName name="NAME_L" localSheetId="2">'Condición Climática 313-01'!NAME_L</definedName>
    <definedName name="NAME_L" localSheetId="1">'LI-02 (1)'!NAME_L</definedName>
    <definedName name="NAME_L" localSheetId="3">'LI-IV-02 (1)'!NAME_L</definedName>
    <definedName name="NAME_L" localSheetId="8">'RE-02 (1)'!NAME_L</definedName>
    <definedName name="NAME_L" localSheetId="9">'RE-LITSA-02 (1)'!NAME_L</definedName>
    <definedName name="NAME_L" localSheetId="6">'SA-02 (1)'!NAME_L</definedName>
    <definedName name="NAME_L" localSheetId="7">'SA-02 (2)'!NAME_L</definedName>
    <definedName name="NAME_L" localSheetId="11">'SA-TIBA-02 (1)'!NAME_L</definedName>
    <definedName name="NAME_L" localSheetId="15">'SUP-INTESAR'!NAME_L</definedName>
    <definedName name="NAME_L" localSheetId="5">'T4CH - Nota SE N° 2492'!NAME_L</definedName>
    <definedName name="NAME_L" localSheetId="16">'TASA FALLA'!NAME_L</definedName>
    <definedName name="NAME_L" localSheetId="4">'TR-02 (1)'!NAME_L</definedName>
    <definedName name="NAME_L" localSheetId="12">'TR-INTESAR-02(1)'!NAME_L</definedName>
    <definedName name="NAME_L" localSheetId="10">'TR-TIBA-02 (1)'!NAME_L</definedName>
    <definedName name="NAME_L">[0]!NAME_L</definedName>
    <definedName name="NAME_L_TI" localSheetId="2">'Condición Climática 313-01'!NAME_L_TI</definedName>
    <definedName name="NAME_L_TI" localSheetId="1">'LI-02 (1)'!NAME_L_TI</definedName>
    <definedName name="NAME_L_TI" localSheetId="3">'LI-IV-02 (1)'!NAME_L_TI</definedName>
    <definedName name="NAME_L_TI" localSheetId="8">'RE-02 (1)'!NAME_L_TI</definedName>
    <definedName name="NAME_L_TI" localSheetId="9">'RE-LITSA-02 (1)'!NAME_L_TI</definedName>
    <definedName name="NAME_L_TI" localSheetId="6">'SA-02 (1)'!NAME_L_TI</definedName>
    <definedName name="NAME_L_TI" localSheetId="7">'SA-02 (2)'!NAME_L_TI</definedName>
    <definedName name="NAME_L_TI" localSheetId="11">'SA-TIBA-02 (1)'!NAME_L_TI</definedName>
    <definedName name="NAME_L_TI" localSheetId="15">'SUP-INTESAR'!NAME_L_TI</definedName>
    <definedName name="NAME_L_TI" localSheetId="5">'T4CH - Nota SE N° 2492'!NAME_L_TI</definedName>
    <definedName name="NAME_L_TI" localSheetId="16">'TASA FALLA'!NAME_L_TI</definedName>
    <definedName name="NAME_L_TI" localSheetId="4">'TR-02 (1)'!NAME_L_TI</definedName>
    <definedName name="NAME_L_TI" localSheetId="12">'TR-INTESAR-02(1)'!NAME_L_TI</definedName>
    <definedName name="NAME_L_TI" localSheetId="10">'TR-TIBA-02 (1)'!NAME_L_TI</definedName>
    <definedName name="NAME_L_TI">[0]!NAME_L_TI</definedName>
    <definedName name="TRAN" localSheetId="2">'Condición Climática 313-01'!TRAN</definedName>
    <definedName name="TRAN" localSheetId="1">'LI-02 (1)'!TRAN</definedName>
    <definedName name="TRAN" localSheetId="3">'LI-IV-02 (1)'!TRAN</definedName>
    <definedName name="TRAN" localSheetId="8">'RE-02 (1)'!TRAN</definedName>
    <definedName name="TRAN" localSheetId="9">'RE-LITSA-02 (1)'!TRAN</definedName>
    <definedName name="TRAN" localSheetId="6">'SA-02 (1)'!TRAN</definedName>
    <definedName name="TRAN" localSheetId="7">'SA-02 (2)'!TRAN</definedName>
    <definedName name="TRAN" localSheetId="11">'SA-TIBA-02 (1)'!TRAN</definedName>
    <definedName name="TRAN" localSheetId="15">'SUP-INTESAR'!TRAN</definedName>
    <definedName name="TRAN" localSheetId="5">'T4CH - Nota SE N° 2492'!TRAN</definedName>
    <definedName name="TRAN" localSheetId="16">'TASA FALLA'!TRAN</definedName>
    <definedName name="TRAN" localSheetId="4">'TR-02 (1)'!TRAN</definedName>
    <definedName name="TRAN" localSheetId="12">'TR-INTESAR-02(1)'!TRAN</definedName>
    <definedName name="TRAN" localSheetId="10">'TR-TIBA-02 (1)'!TRAN</definedName>
    <definedName name="TRAN">[0]!TRAN</definedName>
    <definedName name="TRANSNOA" localSheetId="2">'Condición Climática 313-01'!TRANSNOA</definedName>
    <definedName name="TRANSNOA" localSheetId="1">'LI-02 (1)'!TRANSNOA</definedName>
    <definedName name="TRANSNOA" localSheetId="3">'LI-IV-02 (1)'!TRANSNOA</definedName>
    <definedName name="TRANSNOA" localSheetId="8">'RE-02 (1)'!TRANSNOA</definedName>
    <definedName name="TRANSNOA" localSheetId="9">'RE-LITSA-02 (1)'!TRANSNOA</definedName>
    <definedName name="TRANSNOA" localSheetId="6">'SA-02 (1)'!TRANSNOA</definedName>
    <definedName name="TRANSNOA" localSheetId="7">'SA-02 (2)'!TRANSNOA</definedName>
    <definedName name="TRANSNOA" localSheetId="11">'SA-TIBA-02 (1)'!TRANSNOA</definedName>
    <definedName name="TRANSNOA" localSheetId="15">'SUP-INTESAR'!TRANSNOA</definedName>
    <definedName name="TRANSNOA" localSheetId="5">'T4CH - Nota SE N° 2492'!TRANSNOA</definedName>
    <definedName name="TRANSNOA" localSheetId="16">'TASA FALLA'!TRANSNOA</definedName>
    <definedName name="TRANSNOA" localSheetId="4">'TR-02 (1)'!TRANSNOA</definedName>
    <definedName name="TRANSNOA" localSheetId="12">'TR-INTESAR-02(1)'!TRANSNOA</definedName>
    <definedName name="TRANSNOA" localSheetId="10">'TR-TIBA-02 (1)'!TRANSNOA</definedName>
    <definedName name="TRANSNOA">[0]!TRANSNOA</definedName>
    <definedName name="x" localSheetId="2">'Condición Climática 313-01'!x</definedName>
    <definedName name="x" localSheetId="1">'LI-02 (1)'!x</definedName>
    <definedName name="x" localSheetId="3">'LI-IV-02 (1)'!x</definedName>
    <definedName name="x" localSheetId="8">'RE-02 (1)'!x</definedName>
    <definedName name="x" localSheetId="9">'RE-LITSA-02 (1)'!x</definedName>
    <definedName name="x" localSheetId="6">'SA-02 (1)'!x</definedName>
    <definedName name="x" localSheetId="7">'SA-02 (2)'!x</definedName>
    <definedName name="x" localSheetId="11">'SA-TIBA-02 (1)'!x</definedName>
    <definedName name="x" localSheetId="15">'SUP-INTESAR'!x</definedName>
    <definedName name="x" localSheetId="5">'T4CH - Nota SE N° 2492'!x</definedName>
    <definedName name="x" localSheetId="16">'TASA FALLA'!x</definedName>
    <definedName name="x" localSheetId="4">'TR-02 (1)'!x</definedName>
    <definedName name="x" localSheetId="10">'TR-TIBA-02 (1)'!x</definedName>
    <definedName name="x">[0]!x</definedName>
    <definedName name="XX" localSheetId="2">'Condición Climática 313-01'!XX</definedName>
    <definedName name="XX" localSheetId="1">'LI-02 (1)'!XX</definedName>
    <definedName name="XX" localSheetId="3">'LI-IV-02 (1)'!XX</definedName>
    <definedName name="XX" localSheetId="8">'RE-02 (1)'!XX</definedName>
    <definedName name="XX" localSheetId="9">'RE-LITSA-02 (1)'!XX</definedName>
    <definedName name="XX" localSheetId="6">'SA-02 (1)'!XX</definedName>
    <definedName name="XX" localSheetId="7">'SA-02 (2)'!XX</definedName>
    <definedName name="XX" localSheetId="11">'SA-TIBA-02 (1)'!XX</definedName>
    <definedName name="XX" localSheetId="15">'SUP-INTESAR'!XX</definedName>
    <definedName name="XX" localSheetId="5">'T4CH - Nota SE N° 2492'!XX</definedName>
    <definedName name="XX" localSheetId="16">'TASA FALLA'!XX</definedName>
    <definedName name="XX" localSheetId="4">'TR-02 (1)'!XX</definedName>
    <definedName name="XX" localSheetId="12">'TR-INTESAR-02(1)'!XX</definedName>
    <definedName name="XX" localSheetId="10">'TR-TIBA-02 (1)'!XX</definedName>
    <definedName name="XX">[0]!XX</definedName>
  </definedNames>
  <calcPr fullCalcOnLoad="1"/>
</workbook>
</file>

<file path=xl/comments14.xml><?xml version="1.0" encoding="utf-8"?>
<comments xmlns="http://schemas.openxmlformats.org/spreadsheetml/2006/main">
  <authors>
    <author>Ing. Juan Messina</author>
  </authors>
  <commentList>
    <comment ref="M58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5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2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16.xml><?xml version="1.0" encoding="utf-8"?>
<comments xmlns="http://schemas.openxmlformats.org/spreadsheetml/2006/main">
  <authors>
    <author>Ing. Juan Messina</author>
  </authors>
  <commentList>
    <comment ref="M49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3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3.xml><?xml version="1.0" encoding="utf-8"?>
<comments xmlns="http://schemas.openxmlformats.org/spreadsheetml/2006/main">
  <authors>
    <author>gmir</author>
    <author>GMir</author>
    <author>Julio Escandar</author>
  </authors>
  <commentList>
    <comment ref="AB18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fp= 1 para atentado</t>
        </r>
      </text>
    </comment>
    <comment ref="AF18" authorId="1">
      <text>
        <r>
          <rPr>
            <sz val="8"/>
            <rFont val="Tahoma"/>
            <family val="0"/>
          </rPr>
          <t>solo paso a minutos el Tst (columna AI, porque el calculo de la PC esta hecho en minutos</t>
        </r>
      </text>
    </comment>
    <comment ref="AB37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fp= 1 para atentado</t>
        </r>
      </text>
    </comment>
    <comment ref="AF37" authorId="1">
      <text>
        <r>
          <rPr>
            <sz val="8"/>
            <rFont val="Tahoma"/>
            <family val="0"/>
          </rPr>
          <t>solo paso a minutos el Tst (columna AI, porque el calculo de la PC esta hecho en minutos</t>
        </r>
      </text>
    </comment>
    <comment ref="AB50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fp= 1 para atentado</t>
        </r>
      </text>
    </comment>
    <comment ref="AF50" authorId="1">
      <text>
        <r>
          <rPr>
            <sz val="8"/>
            <rFont val="Tahoma"/>
            <family val="0"/>
          </rPr>
          <t>solo paso a minutos el Tst (columna AI, porque el calculo de la PC esta hecho en minutos</t>
        </r>
      </text>
    </comment>
    <comment ref="AM40" authorId="2">
      <text>
        <r>
          <rPr>
            <b/>
            <sz val="8"/>
            <rFont val="Tahoma"/>
            <family val="0"/>
          </rPr>
          <t>Julio Escandar:</t>
        </r>
        <r>
          <rPr>
            <sz val="8"/>
            <rFont val="Tahoma"/>
            <family val="0"/>
          </rPr>
          <t xml:space="preserve">
POR SER TI&gt;TST</t>
        </r>
      </text>
    </comment>
  </commentList>
</comments>
</file>

<file path=xl/comments5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6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sharedStrings.xml><?xml version="1.0" encoding="utf-8"?>
<sst xmlns="http://schemas.openxmlformats.org/spreadsheetml/2006/main" count="1261" uniqueCount="416">
  <si>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</si>
  <si>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</si>
  <si>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</si>
  <si>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</si>
  <si>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</si>
  <si>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</si>
  <si>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</si>
  <si>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</si>
  <si>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</si>
  <si>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</si>
  <si>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</si>
  <si>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</si>
  <si>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</si>
  <si>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</si>
  <si>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</si>
  <si>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</si>
  <si>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</si>
  <si>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</si>
  <si>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</si>
  <si>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</si>
  <si>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</si>
  <si>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</si>
  <si>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</si>
  <si>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</si>
  <si>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</si>
  <si>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</si>
  <si>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</si>
  <si>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</si>
  <si>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</si>
  <si>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</si>
  <si>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</si>
  <si>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</si>
  <si>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</si>
  <si>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</si>
  <si>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</si>
  <si>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</si>
  <si>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</si>
  <si>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</si>
  <si>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</si>
  <si>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</si>
  <si>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</si>
  <si>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</si>
  <si>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</si>
  <si>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</si>
  <si>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</si>
  <si>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</si>
  <si>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</si>
  <si>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</si>
  <si>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</si>
  <si>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</si>
  <si>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</si>
  <si>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</si>
  <si>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</si>
  <si>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</si>
  <si>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</si>
  <si>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</si>
  <si>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</si>
  <si>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</si>
  <si>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</si>
  <si>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</si>
  <si>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</si>
  <si>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</si>
  <si>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</si>
  <si>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</si>
  <si>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LITSA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</si>
  <si>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</si>
  <si>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</si>
  <si>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</si>
  <si>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</si>
  <si>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</si>
  <si>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</si>
  <si>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RESOLUCION ENRE Nº 1200/99</t>
  </si>
  <si>
    <t>Tasa de falla de LITSA =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</si>
  <si>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</si>
  <si>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</si>
  <si>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</si>
  <si>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</si>
  <si>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</si>
  <si>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</si>
  <si>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</si>
  <si>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</si>
  <si>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</si>
  <si>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</si>
  <si>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</si>
  <si>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</si>
  <si>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</si>
  <si>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</si>
  <si>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</si>
  <si>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</si>
  <si>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</si>
  <si>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</si>
  <si>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</si>
  <si>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</si>
  <si>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3.3.- Transportista Independiente L.I.T.S.A.</t>
  </si>
  <si>
    <t>K (P)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</si>
  <si>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</si>
  <si>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</si>
  <si>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</si>
  <si>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</si>
  <si>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</si>
  <si>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</si>
  <si>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</si>
  <si>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</si>
  <si>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</si>
  <si>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</si>
  <si>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</si>
  <si>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</si>
  <si>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</si>
  <si>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</si>
  <si>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</si>
  <si>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</si>
  <si>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</si>
  <si>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</si>
  <si>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</si>
  <si>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</si>
  <si>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4.2.- Transportista Independiente L.I.T.S.A.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</si>
  <si>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</si>
  <si>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</si>
  <si>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</si>
  <si>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</si>
  <si>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</si>
  <si>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</si>
  <si>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</si>
  <si>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</si>
  <si>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</si>
  <si>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</si>
  <si>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</si>
  <si>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</si>
  <si>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</si>
  <si>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</si>
  <si>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</si>
  <si>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</si>
  <si>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</si>
  <si>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</si>
  <si>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</si>
  <si>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</si>
  <si>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</si>
  <si>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</si>
  <si>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</si>
  <si>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</si>
  <si>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</si>
  <si>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</si>
  <si>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</si>
  <si>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</si>
  <si>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</si>
  <si>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</si>
  <si>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</si>
  <si>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</si>
  <si>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</si>
  <si>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</si>
  <si>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</si>
  <si>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</si>
  <si>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</si>
  <si>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</si>
  <si>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</si>
  <si>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</si>
  <si>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</si>
  <si>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</si>
  <si>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</si>
  <si>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</si>
  <si>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</si>
  <si>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</si>
  <si>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</si>
  <si>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</si>
  <si>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</si>
  <si>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</si>
  <si>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</si>
  <si>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</si>
  <si>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</si>
  <si>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</si>
  <si>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</si>
  <si>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</si>
  <si>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</si>
  <si>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</si>
  <si>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</si>
  <si>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</si>
  <si>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</si>
  <si>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</si>
  <si>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</si>
  <si>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</si>
  <si>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</si>
  <si>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</si>
  <si>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</si>
  <si>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</si>
  <si>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</si>
  <si>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</si>
  <si>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</si>
  <si>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</si>
  <si>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</si>
  <si>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</si>
  <si>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</si>
  <si>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</si>
  <si>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</si>
  <si>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</si>
  <si>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</si>
  <si>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</si>
  <si>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</si>
  <si>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</si>
  <si>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</si>
  <si>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</si>
  <si>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</si>
  <si>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</si>
  <si>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</si>
  <si>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</si>
  <si>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</si>
  <si>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</si>
  <si>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</si>
  <si>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</si>
  <si>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</si>
  <si>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</si>
  <si>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</si>
  <si>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</si>
  <si>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</si>
  <si>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</si>
  <si>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</si>
  <si>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</si>
  <si>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</si>
  <si>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</si>
  <si>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</si>
  <si>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IV LINEA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</si>
  <si>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</si>
  <si>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</si>
  <si>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</si>
  <si>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</si>
  <si>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</si>
  <si>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</si>
  <si>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</si>
  <si>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</si>
  <si>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</si>
  <si>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</si>
  <si>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</si>
  <si>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</si>
  <si>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</si>
  <si>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</si>
  <si>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SUP-LITSA</t>
  </si>
  <si>
    <t>SUP-TIBA</t>
  </si>
  <si>
    <t>SUP-ENECOR</t>
  </si>
  <si>
    <t>B14</t>
  </si>
  <si>
    <t>SI</t>
  </si>
  <si>
    <t>MODELO R IV</t>
  </si>
  <si>
    <t>TRANSENER_INDSIPONIBILIDADES_REACTIVOS_IV.XLS</t>
  </si>
  <si>
    <t>P</t>
  </si>
  <si>
    <t>Total</t>
  </si>
  <si>
    <t>FILHTOTAL</t>
  </si>
  <si>
    <t>COLHTOTAL</t>
  </si>
  <si>
    <t>COLHCALC</t>
  </si>
  <si>
    <t>FILHCALC</t>
  </si>
  <si>
    <t>COLTRANSP</t>
  </si>
  <si>
    <t>FILTRANSP</t>
  </si>
  <si>
    <t>C</t>
  </si>
  <si>
    <t>Transportista Independiente INTESAR</t>
  </si>
  <si>
    <t>TOTAL A PENALIZAR A TRANSENER S.A POR SUPERVISIÓN A INTESAR</t>
  </si>
  <si>
    <t xml:space="preserve"> 2.2.- SALIDAS</t>
  </si>
  <si>
    <t>2.1.- TRANSFORMACIÓN</t>
  </si>
  <si>
    <t>2.1.1.- Equipamiento Propio</t>
  </si>
  <si>
    <t>NUEVA P.MADRYN</t>
  </si>
  <si>
    <t>AT1</t>
  </si>
  <si>
    <t>500/330/33</t>
  </si>
  <si>
    <t>Choele Choel - P.Madryn</t>
  </si>
  <si>
    <t>Nueva P. Madryn AT1</t>
  </si>
  <si>
    <t>REDUC PROGR</t>
  </si>
  <si>
    <t>Transportista Independiente L.I.T.S.A.</t>
  </si>
  <si>
    <t>4.3.- Transportista Independiente  TIBA S.A.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</si>
  <si>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</si>
  <si>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</si>
  <si>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</si>
  <si>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</si>
  <si>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</si>
  <si>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T_sal</t>
  </si>
  <si>
    <t>COL TSAL</t>
  </si>
  <si>
    <t>POT.
[MVAr]</t>
  </si>
  <si>
    <t>Desde el 01 al 28 de febrero de 2009</t>
  </si>
  <si>
    <t>RAMALLO - ROSARIO OESTE</t>
  </si>
  <si>
    <t>F</t>
  </si>
  <si>
    <t>ROSARIO OESTE - RAMALLO 1</t>
  </si>
  <si>
    <t>RAMALLO - VILLA LIA  1</t>
  </si>
  <si>
    <t>ROSARIO OESTE - RAMALLO 2</t>
  </si>
  <si>
    <t>ALMAFUERTE - ROSARIO OESTE</t>
  </si>
  <si>
    <t>B</t>
  </si>
  <si>
    <t>OLAVARRIA - BAHIA BLANCA 1</t>
  </si>
  <si>
    <t>CHO.W. - CHO. 1 (5WC1)</t>
  </si>
  <si>
    <t>EZEIZA - RODRIGUEZ 1</t>
  </si>
  <si>
    <t>RAMALLO - VILLA LIA  2</t>
  </si>
  <si>
    <t>OLAVARRIA - BAHIA BLANCA 2</t>
  </si>
  <si>
    <t>EL CHOCON</t>
  </si>
  <si>
    <t>TRAFO 4</t>
  </si>
  <si>
    <t>500/132/13,2</t>
  </si>
  <si>
    <t>ROSARIO OESTE</t>
  </si>
  <si>
    <t>TRAFO 2</t>
  </si>
  <si>
    <t>RAMALLO</t>
  </si>
  <si>
    <t>TRAFO</t>
  </si>
  <si>
    <t>220/132/13,2</t>
  </si>
  <si>
    <t>T6RO</t>
  </si>
  <si>
    <t>TRAFO 3</t>
  </si>
  <si>
    <t>SALIDA LINEA C.GOMEZ</t>
  </si>
  <si>
    <t>GRAL. RODRIGUEZ</t>
  </si>
  <si>
    <t>SALIDA TRAFO 2 500/220</t>
  </si>
  <si>
    <t>EL BRACHO</t>
  </si>
  <si>
    <t>SALIDA LÍNEA A C.T.S. MIGUEL</t>
  </si>
  <si>
    <t>SALIDA LINEA CASILDA 1</t>
  </si>
  <si>
    <t>SALIDA LINEA URBANA SAN NICOLAS</t>
  </si>
  <si>
    <t>B. BLANCA</t>
  </si>
  <si>
    <t>SALIDA ACOPLAMIENTO B-D</t>
  </si>
  <si>
    <t>SANTO TOME</t>
  </si>
  <si>
    <t>SALIDA LINEA SAN CARLOS</t>
  </si>
  <si>
    <t>OLAVARRIA</t>
  </si>
  <si>
    <t>P. BANDERITA</t>
  </si>
  <si>
    <t>SALIDA TRAFO MAQ. 1 Y 2</t>
  </si>
  <si>
    <t>MALVINAS ARGENTINAS</t>
  </si>
  <si>
    <t>SALIDA LINEA PILAR</t>
  </si>
  <si>
    <t>SALIDA LINEA ROSARIO SUR 3</t>
  </si>
  <si>
    <t>VILLA LIA</t>
  </si>
  <si>
    <t>SALIDA TRAFO 220/132/13,2</t>
  </si>
  <si>
    <t>ALIMENTADOR A SALADILLO</t>
  </si>
  <si>
    <t>EZEIZA</t>
  </si>
  <si>
    <t>CS1</t>
  </si>
  <si>
    <t>CS2</t>
  </si>
  <si>
    <t>R3L5RD</t>
  </si>
  <si>
    <t>SALTO GDE.ARG.</t>
  </si>
  <si>
    <t>R22011</t>
  </si>
  <si>
    <t>BAHIA BLANCA</t>
  </si>
  <si>
    <t>SALIDA A P. LURO</t>
  </si>
  <si>
    <t>SALIDA A PETROQUIMICA</t>
  </si>
  <si>
    <t>SALIDA A TANDIL</t>
  </si>
  <si>
    <t>SALIDA PETROQUIMICA 3</t>
  </si>
  <si>
    <t>CAMPANA</t>
  </si>
  <si>
    <t>SALIDA PRAXAIR</t>
  </si>
  <si>
    <t>SALIDA MINETTI</t>
  </si>
  <si>
    <t>P - PROGRAMADA ;   F - FORZADA</t>
  </si>
  <si>
    <t>F - FORZADA</t>
  </si>
  <si>
    <t>P - PROGRAMADA</t>
  </si>
  <si>
    <t xml:space="preserve">P - PROGRAMADA </t>
  </si>
  <si>
    <t>NUEVA CAMPANA</t>
  </si>
  <si>
    <t>T2CA</t>
  </si>
  <si>
    <t>1.2.- IV LINEA</t>
  </si>
  <si>
    <t>VILLA LIA - ATUCHA 1</t>
  </si>
  <si>
    <t>CHOCON - C.H. CHOCON 3</t>
  </si>
  <si>
    <t>500/220/13,2</t>
  </si>
  <si>
    <t>RIO CORONDA</t>
  </si>
  <si>
    <t>SALIDA TG1 SM</t>
  </si>
  <si>
    <t>Transportista Independiente INTESAR S.A.</t>
  </si>
  <si>
    <t>Valores remuneratorios según Res. ENRE Nº 327/2008 y Res. ENRE Nº 328/2008</t>
  </si>
  <si>
    <t>SALTO GDE. ARG.</t>
  </si>
  <si>
    <t>4.4.- Transportista Independiente INTESAR S.A.</t>
  </si>
  <si>
    <t>SISTEMA DE TRANSPORTE DE ENERGÍA ELÉCTRICA EN ALTA TENSION</t>
  </si>
  <si>
    <t>INDISPONIBILIDADES FORZADAS DE LÍNEAS - TASA DE FALLA</t>
  </si>
  <si>
    <t>Correspondiente al mes de febrero de 2009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</si>
  <si>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</si>
  <si>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</si>
  <si>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</si>
  <si>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</si>
  <si>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</si>
  <si>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</si>
  <si>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</si>
  <si>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TOTAL DE PENALIZACIONES A APLICAR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</si>
  <si>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</si>
  <si>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</si>
  <si>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</si>
  <si>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</si>
  <si>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</si>
  <si>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</si>
  <si>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PC en Tst</t>
  </si>
  <si>
    <t>Informó
en Térm.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</si>
  <si>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</si>
  <si>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</si>
  <si>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</si>
  <si>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</si>
  <si>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</si>
  <si>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</si>
  <si>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</si>
  <si>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</si>
  <si>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</si>
  <si>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</si>
  <si>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</si>
  <si>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</si>
  <si>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</si>
  <si>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</si>
  <si>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</si>
  <si>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</si>
  <si>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</si>
  <si>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</si>
  <si>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</si>
  <si>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</si>
  <si>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1.1.1.-</t>
  </si>
  <si>
    <t>Condiciones climáticas extremas</t>
  </si>
  <si>
    <t>2.1.2.- Indisponibilidad Transformador N° 4 E.T. El Chocón</t>
  </si>
  <si>
    <t>--</t>
  </si>
  <si>
    <t>NO</t>
  </si>
  <si>
    <t>2.1.2.-</t>
  </si>
  <si>
    <t>Indisp. Transformador N° 4 E.T. El Chocón</t>
  </si>
  <si>
    <t>2.1.3.- Transportista Independiente TIBA S.A.</t>
  </si>
  <si>
    <t>2.1.4.- Transportista Independiente INTESAR S.A.</t>
  </si>
  <si>
    <t>(*)</t>
  </si>
  <si>
    <t>(*): Según Nota S.E. N° 2492</t>
  </si>
  <si>
    <t>RM: Por Capacitores ET Bahía Blanca:</t>
  </si>
  <si>
    <t>(*):</t>
  </si>
  <si>
    <t>Según Resolución ENRE N° 157/07</t>
  </si>
  <si>
    <t>100 MVAr</t>
  </si>
  <si>
    <t>1.1.1 - Indisponibilidades causadas por condiciones climáticas extremas. Resolución ENRE 313/01</t>
  </si>
  <si>
    <t>E.T. - EQUIPO</t>
  </si>
  <si>
    <t>tiempo total estandar de despeje</t>
  </si>
  <si>
    <t>tiempo de reparacion total por salida de linea</t>
  </si>
  <si>
    <t>Tr [hs]</t>
  </si>
  <si>
    <t>N</t>
  </si>
  <si>
    <t>num. de unidades afectadas por tipo y por salida de linea</t>
  </si>
  <si>
    <t>N:</t>
  </si>
  <si>
    <t>fm</t>
  </si>
  <si>
    <t>fm:</t>
  </si>
  <si>
    <t>factor de multiplicidad</t>
  </si>
  <si>
    <t>Td + Tr
 [hs]</t>
  </si>
  <si>
    <t>fc</t>
  </si>
  <si>
    <t>fc:</t>
  </si>
  <si>
    <t>factor de cantidad de salidas de lineas afectadas</t>
  </si>
  <si>
    <t>ROSARIO OESTE - T6RO</t>
  </si>
  <si>
    <t>ENS</t>
  </si>
  <si>
    <t>ANEXO III al Memorandum  D.T.E.E. N°  770        /2010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</si>
</sst>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[$-2C0A]hh:mm:ss\ \a\.m\./\p\.m\."/>
  </numFmts>
  <fonts count="1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27"/>
      <name val="MS Sans Serif"/>
      <family val="0"/>
    </font>
    <font>
      <b/>
      <sz val="10"/>
      <color indexed="27"/>
      <name val="Times New Roman"/>
      <family val="1"/>
    </font>
    <font>
      <sz val="12"/>
      <name val="MS Sans Serif"/>
      <family val="0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10"/>
      <color indexed="5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MS Sans Serif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sz val="8"/>
      <name val="MS Sans Serif"/>
      <family val="0"/>
    </font>
    <font>
      <sz val="11"/>
      <color indexed="57"/>
      <name val="Times New Roman"/>
      <family val="1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thick"/>
      <right style="thick"/>
      <top style="thick"/>
      <bottom style="thick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 diagonalUp="1">
      <left style="double"/>
      <right style="double"/>
      <top style="double"/>
      <bottom style="double"/>
      <diagonal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 applyProtection="1">
      <alignment horizontal="center" vertical="center"/>
      <protection/>
    </xf>
    <xf numFmtId="0" fontId="47" fillId="3" borderId="14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0" fontId="57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8" fontId="45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8" fontId="45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 horizontal="left"/>
    </xf>
    <xf numFmtId="0" fontId="55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4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64" fontId="7" fillId="7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6" fillId="6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8" borderId="15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8" borderId="8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8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27" fillId="0" borderId="14" xfId="25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5" fillId="2" borderId="14" xfId="0" applyNumberFormat="1" applyFont="1" applyFill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8" fillId="9" borderId="14" xfId="0" applyFont="1" applyFill="1" applyBorder="1" applyAlignment="1">
      <alignment horizontal="center" vertical="center" wrapText="1"/>
    </xf>
    <xf numFmtId="0" fontId="69" fillId="1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70" fillId="9" borderId="2" xfId="0" applyNumberFormat="1" applyFont="1" applyFill="1" applyBorder="1" applyAlignment="1" applyProtection="1">
      <alignment horizontal="center"/>
      <protection/>
    </xf>
    <xf numFmtId="4" fontId="71" fillId="10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2" fillId="9" borderId="2" xfId="0" applyNumberFormat="1" applyFont="1" applyFill="1" applyBorder="1" applyAlignment="1" applyProtection="1">
      <alignment horizontal="center"/>
      <protection locked="0"/>
    </xf>
    <xf numFmtId="4" fontId="73" fillId="10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6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72" fillId="9" borderId="3" xfId="0" applyNumberFormat="1" applyFont="1" applyFill="1" applyBorder="1" applyAlignment="1" applyProtection="1">
      <alignment horizontal="center"/>
      <protection locked="0"/>
    </xf>
    <xf numFmtId="4" fontId="73" fillId="10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2" fillId="9" borderId="14" xfId="0" applyNumberFormat="1" applyFont="1" applyFill="1" applyBorder="1" applyAlignment="1" applyProtection="1">
      <alignment horizontal="center"/>
      <protection/>
    </xf>
    <xf numFmtId="2" fontId="73" fillId="10" borderId="14" xfId="0" applyNumberFormat="1" applyFont="1" applyFill="1" applyBorder="1" applyAlignment="1" applyProtection="1">
      <alignment horizontal="center"/>
      <protection/>
    </xf>
    <xf numFmtId="2" fontId="62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4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3" fillId="5" borderId="14" xfId="0" applyFont="1" applyFill="1" applyBorder="1" applyAlignment="1" applyProtection="1">
      <alignment horizontal="center" vertical="center"/>
      <protection/>
    </xf>
    <xf numFmtId="0" fontId="75" fillId="9" borderId="14" xfId="0" applyFont="1" applyFill="1" applyBorder="1" applyAlignment="1">
      <alignment horizontal="center" vertical="center" wrapText="1"/>
    </xf>
    <xf numFmtId="0" fontId="76" fillId="6" borderId="14" xfId="0" applyFont="1" applyFill="1" applyBorder="1" applyAlignment="1">
      <alignment horizontal="center" vertical="center" wrapText="1"/>
    </xf>
    <xf numFmtId="0" fontId="40" fillId="11" borderId="8" xfId="0" applyFont="1" applyFill="1" applyBorder="1" applyAlignment="1" applyProtection="1">
      <alignment horizontal="centerContinuous" vertical="center" wrapText="1"/>
      <protection/>
    </xf>
    <xf numFmtId="0" fontId="40" fillId="11" borderId="9" xfId="0" applyFont="1" applyFill="1" applyBorder="1" applyAlignment="1">
      <alignment horizontal="centerContinuous" vertical="center"/>
    </xf>
    <xf numFmtId="0" fontId="47" fillId="12" borderId="14" xfId="0" applyFont="1" applyFill="1" applyBorder="1" applyAlignment="1">
      <alignment horizontal="center" vertical="center" wrapText="1"/>
    </xf>
    <xf numFmtId="0" fontId="41" fillId="9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6" fillId="5" borderId="31" xfId="0" applyFont="1" applyFill="1" applyBorder="1" applyAlignment="1">
      <alignment horizontal="center"/>
    </xf>
    <xf numFmtId="0" fontId="77" fillId="9" borderId="31" xfId="0" applyFont="1" applyFill="1" applyBorder="1" applyAlignment="1">
      <alignment horizontal="center"/>
    </xf>
    <xf numFmtId="0" fontId="78" fillId="6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9" fillId="11" borderId="35" xfId="0" applyFont="1" applyFill="1" applyBorder="1" applyAlignment="1">
      <alignment horizontal="center"/>
    </xf>
    <xf numFmtId="0" fontId="79" fillId="11" borderId="36" xfId="0" applyFont="1" applyFill="1" applyBorder="1" applyAlignment="1">
      <alignment horizontal="center"/>
    </xf>
    <xf numFmtId="0" fontId="48" fillId="12" borderId="31" xfId="0" applyFont="1" applyFill="1" applyBorder="1" applyAlignment="1">
      <alignment horizontal="center"/>
    </xf>
    <xf numFmtId="0" fontId="42" fillId="9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 applyProtection="1">
      <alignment horizontal="center"/>
      <protection/>
    </xf>
    <xf numFmtId="0" fontId="36" fillId="2" borderId="1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77" fillId="9" borderId="19" xfId="0" applyFont="1" applyFill="1" applyBorder="1" applyAlignment="1">
      <alignment horizontal="center"/>
    </xf>
    <xf numFmtId="0" fontId="78" fillId="6" borderId="19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9" fillId="11" borderId="38" xfId="0" applyFont="1" applyFill="1" applyBorder="1" applyAlignment="1">
      <alignment horizontal="center"/>
    </xf>
    <xf numFmtId="0" fontId="79" fillId="11" borderId="39" xfId="0" applyFont="1" applyFill="1" applyBorder="1" applyAlignment="1">
      <alignment horizontal="center"/>
    </xf>
    <xf numFmtId="0" fontId="48" fillId="12" borderId="19" xfId="0" applyFont="1" applyFill="1" applyBorder="1" applyAlignment="1">
      <alignment horizontal="center"/>
    </xf>
    <xf numFmtId="0" fontId="42" fillId="9" borderId="1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6" fillId="5" borderId="2" xfId="0" applyNumberFormat="1" applyFont="1" applyFill="1" applyBorder="1" applyAlignment="1" applyProtection="1">
      <alignment horizontal="center"/>
      <protection/>
    </xf>
    <xf numFmtId="2" fontId="77" fillId="9" borderId="2" xfId="0" applyNumberFormat="1" applyFont="1" applyFill="1" applyBorder="1" applyAlignment="1">
      <alignment horizontal="center"/>
    </xf>
    <xf numFmtId="2" fontId="78" fillId="6" borderId="2" xfId="0" applyNumberFormat="1" applyFont="1" applyFill="1" applyBorder="1" applyAlignment="1">
      <alignment horizontal="center"/>
    </xf>
    <xf numFmtId="168" fontId="37" fillId="2" borderId="38" xfId="0" applyNumberFormat="1" applyFont="1" applyFill="1" applyBorder="1" applyAlignment="1" applyProtection="1" quotePrefix="1">
      <alignment horizontal="center"/>
      <protection/>
    </xf>
    <xf numFmtId="168" fontId="37" fillId="2" borderId="39" xfId="0" applyNumberFormat="1" applyFont="1" applyFill="1" applyBorder="1" applyAlignment="1" applyProtection="1" quotePrefix="1">
      <alignment horizontal="center"/>
      <protection/>
    </xf>
    <xf numFmtId="168" fontId="79" fillId="11" borderId="38" xfId="0" applyNumberFormat="1" applyFont="1" applyFill="1" applyBorder="1" applyAlignment="1" applyProtection="1" quotePrefix="1">
      <alignment horizontal="center"/>
      <protection/>
    </xf>
    <xf numFmtId="168" fontId="79" fillId="11" borderId="39" xfId="0" applyNumberFormat="1" applyFont="1" applyFill="1" applyBorder="1" applyAlignment="1" applyProtection="1" quotePrefix="1">
      <alignment horizontal="center"/>
      <protection/>
    </xf>
    <xf numFmtId="168" fontId="48" fillId="12" borderId="2" xfId="0" applyNumberFormat="1" applyFont="1" applyFill="1" applyBorder="1" applyAlignment="1" applyProtection="1" quotePrefix="1">
      <alignment horizontal="center"/>
      <protection/>
    </xf>
    <xf numFmtId="168" fontId="42" fillId="9" borderId="19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6" fillId="5" borderId="3" xfId="0" applyNumberFormat="1" applyFont="1" applyFill="1" applyBorder="1" applyAlignment="1" applyProtection="1">
      <alignment horizontal="center"/>
      <protection/>
    </xf>
    <xf numFmtId="2" fontId="77" fillId="9" borderId="3" xfId="0" applyNumberFormat="1" applyFont="1" applyFill="1" applyBorder="1" applyAlignment="1">
      <alignment horizontal="center"/>
    </xf>
    <xf numFmtId="2" fontId="78" fillId="6" borderId="3" xfId="0" applyNumberFormat="1" applyFont="1" applyFill="1" applyBorder="1" applyAlignment="1">
      <alignment horizontal="center"/>
    </xf>
    <xf numFmtId="168" fontId="37" fillId="2" borderId="41" xfId="0" applyNumberFormat="1" applyFont="1" applyFill="1" applyBorder="1" applyAlignment="1" applyProtection="1" quotePrefix="1">
      <alignment horizontal="center"/>
      <protection/>
    </xf>
    <xf numFmtId="168" fontId="37" fillId="2" borderId="42" xfId="0" applyNumberFormat="1" applyFont="1" applyFill="1" applyBorder="1" applyAlignment="1" applyProtection="1" quotePrefix="1">
      <alignment horizontal="center"/>
      <protection/>
    </xf>
    <xf numFmtId="168" fontId="79" fillId="11" borderId="26" xfId="0" applyNumberFormat="1" applyFont="1" applyFill="1" applyBorder="1" applyAlignment="1" applyProtection="1" quotePrefix="1">
      <alignment horizontal="center"/>
      <protection/>
    </xf>
    <xf numFmtId="168" fontId="79" fillId="11" borderId="28" xfId="0" applyNumberFormat="1" applyFont="1" applyFill="1" applyBorder="1" applyAlignment="1" applyProtection="1" quotePrefix="1">
      <alignment horizontal="center"/>
      <protection/>
    </xf>
    <xf numFmtId="168" fontId="48" fillId="12" borderId="3" xfId="0" applyNumberFormat="1" applyFont="1" applyFill="1" applyBorder="1" applyAlignment="1" applyProtection="1" quotePrefix="1">
      <alignment horizontal="center"/>
      <protection/>
    </xf>
    <xf numFmtId="168" fontId="42" fillId="9" borderId="3" xfId="0" applyNumberFormat="1" applyFont="1" applyFill="1" applyBorder="1" applyAlignment="1" applyProtection="1" quotePrefix="1">
      <alignment horizontal="center"/>
      <protection/>
    </xf>
    <xf numFmtId="168" fontId="67" fillId="0" borderId="20" xfId="0" applyNumberFormat="1" applyFont="1" applyFill="1" applyBorder="1" applyAlignment="1">
      <alignment horizontal="center"/>
    </xf>
    <xf numFmtId="168" fontId="28" fillId="0" borderId="43" xfId="0" applyNumberFormat="1" applyFont="1" applyFill="1" applyBorder="1" applyAlignment="1">
      <alignment horizontal="center"/>
    </xf>
    <xf numFmtId="4" fontId="77" fillId="9" borderId="14" xfId="0" applyNumberFormat="1" applyFont="1" applyFill="1" applyBorder="1" applyAlignment="1">
      <alignment horizontal="center"/>
    </xf>
    <xf numFmtId="4" fontId="78" fillId="6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9" fillId="11" borderId="44" xfId="0" applyNumberFormat="1" applyFont="1" applyFill="1" applyBorder="1" applyAlignment="1">
      <alignment horizontal="center"/>
    </xf>
    <xf numFmtId="4" fontId="79" fillId="11" borderId="45" xfId="0" applyNumberFormat="1" applyFont="1" applyFill="1" applyBorder="1" applyAlignment="1">
      <alignment horizontal="center"/>
    </xf>
    <xf numFmtId="4" fontId="48" fillId="12" borderId="14" xfId="0" applyNumberFormat="1" applyFont="1" applyFill="1" applyBorder="1" applyAlignment="1">
      <alignment horizontal="center"/>
    </xf>
    <xf numFmtId="4" fontId="42" fillId="9" borderId="14" xfId="0" applyNumberFormat="1" applyFont="1" applyFill="1" applyBorder="1" applyAlignment="1">
      <alignment horizontal="center"/>
    </xf>
    <xf numFmtId="7" fontId="80" fillId="0" borderId="14" xfId="0" applyNumberFormat="1" applyFont="1" applyFill="1" applyBorder="1" applyAlignment="1">
      <alignment horizontal="right"/>
    </xf>
    <xf numFmtId="0" fontId="49" fillId="2" borderId="14" xfId="0" applyFont="1" applyFill="1" applyBorder="1" applyAlignment="1">
      <alignment horizontal="center" vertical="center" wrapText="1"/>
    </xf>
    <xf numFmtId="0" fontId="36" fillId="2" borderId="46" xfId="0" applyFont="1" applyFill="1" applyBorder="1" applyAlignment="1">
      <alignment horizontal="center"/>
    </xf>
    <xf numFmtId="7" fontId="29" fillId="2" borderId="31" xfId="0" applyNumberFormat="1" applyFont="1" applyFill="1" applyBorder="1" applyAlignment="1">
      <alignment horizontal="center"/>
    </xf>
    <xf numFmtId="2" fontId="77" fillId="9" borderId="2" xfId="0" applyNumberFormat="1" applyFont="1" applyFill="1" applyBorder="1" applyAlignment="1" applyProtection="1">
      <alignment horizontal="center"/>
      <protection locked="0"/>
    </xf>
    <xf numFmtId="2" fontId="78" fillId="6" borderId="2" xfId="0" applyNumberFormat="1" applyFont="1" applyFill="1" applyBorder="1" applyAlignment="1" applyProtection="1">
      <alignment horizontal="center"/>
      <protection locked="0"/>
    </xf>
    <xf numFmtId="168" fontId="37" fillId="2" borderId="38" xfId="0" applyNumberFormat="1" applyFont="1" applyFill="1" applyBorder="1" applyAlignment="1" applyProtection="1" quotePrefix="1">
      <alignment horizontal="center"/>
      <protection locked="0"/>
    </xf>
    <xf numFmtId="168" fontId="37" fillId="2" borderId="39" xfId="0" applyNumberFormat="1" applyFont="1" applyFill="1" applyBorder="1" applyAlignment="1" applyProtection="1" quotePrefix="1">
      <alignment horizontal="center"/>
      <protection locked="0"/>
    </xf>
    <xf numFmtId="168" fontId="79" fillId="11" borderId="38" xfId="0" applyNumberFormat="1" applyFont="1" applyFill="1" applyBorder="1" applyAlignment="1" applyProtection="1" quotePrefix="1">
      <alignment horizontal="center"/>
      <protection locked="0"/>
    </xf>
    <xf numFmtId="168" fontId="79" fillId="11" borderId="39" xfId="0" applyNumberFormat="1" applyFont="1" applyFill="1" applyBorder="1" applyAlignment="1" applyProtection="1" quotePrefix="1">
      <alignment horizontal="center"/>
      <protection locked="0"/>
    </xf>
    <xf numFmtId="168" fontId="48" fillId="12" borderId="2" xfId="0" applyNumberFormat="1" applyFont="1" applyFill="1" applyBorder="1" applyAlignment="1" applyProtection="1" quotePrefix="1">
      <alignment horizontal="center"/>
      <protection locked="0"/>
    </xf>
    <xf numFmtId="168" fontId="42" fillId="9" borderId="19" xfId="0" applyNumberFormat="1" applyFont="1" applyFill="1" applyBorder="1" applyAlignment="1" applyProtection="1" quotePrefix="1">
      <alignment horizontal="center"/>
      <protection locked="0"/>
    </xf>
    <xf numFmtId="2" fontId="77" fillId="9" borderId="3" xfId="0" applyNumberFormat="1" applyFont="1" applyFill="1" applyBorder="1" applyAlignment="1" applyProtection="1">
      <alignment horizontal="center"/>
      <protection locked="0"/>
    </xf>
    <xf numFmtId="2" fontId="78" fillId="6" borderId="3" xfId="0" applyNumberFormat="1" applyFont="1" applyFill="1" applyBorder="1" applyAlignment="1" applyProtection="1">
      <alignment horizontal="center"/>
      <protection locked="0"/>
    </xf>
    <xf numFmtId="168" fontId="37" fillId="2" borderId="41" xfId="0" applyNumberFormat="1" applyFont="1" applyFill="1" applyBorder="1" applyAlignment="1" applyProtection="1" quotePrefix="1">
      <alignment horizontal="center"/>
      <protection locked="0"/>
    </xf>
    <xf numFmtId="168" fontId="37" fillId="2" borderId="42" xfId="0" applyNumberFormat="1" applyFont="1" applyFill="1" applyBorder="1" applyAlignment="1" applyProtection="1" quotePrefix="1">
      <alignment horizontal="center"/>
      <protection locked="0"/>
    </xf>
    <xf numFmtId="168" fontId="79" fillId="11" borderId="26" xfId="0" applyNumberFormat="1" applyFont="1" applyFill="1" applyBorder="1" applyAlignment="1" applyProtection="1" quotePrefix="1">
      <alignment horizontal="center"/>
      <protection locked="0"/>
    </xf>
    <xf numFmtId="168" fontId="79" fillId="11" borderId="28" xfId="0" applyNumberFormat="1" applyFont="1" applyFill="1" applyBorder="1" applyAlignment="1" applyProtection="1" quotePrefix="1">
      <alignment horizontal="center"/>
      <protection locked="0"/>
    </xf>
    <xf numFmtId="168" fontId="48" fillId="12" borderId="3" xfId="0" applyNumberFormat="1" applyFont="1" applyFill="1" applyBorder="1" applyAlignment="1" applyProtection="1" quotePrefix="1">
      <alignment horizontal="center"/>
      <protection locked="0"/>
    </xf>
    <xf numFmtId="168" fontId="42" fillId="9" borderId="3" xfId="0" applyNumberFormat="1" applyFont="1" applyFill="1" applyBorder="1" applyAlignment="1" applyProtection="1" quotePrefix="1">
      <alignment horizontal="center"/>
      <protection locked="0"/>
    </xf>
    <xf numFmtId="168" fontId="67" fillId="0" borderId="20" xfId="0" applyNumberFormat="1" applyFont="1" applyFill="1" applyBorder="1" applyAlignment="1" applyProtection="1">
      <alignment horizontal="center"/>
      <protection locked="0"/>
    </xf>
    <xf numFmtId="168" fontId="29" fillId="2" borderId="29" xfId="0" applyNumberFormat="1" applyFont="1" applyFill="1" applyBorder="1" applyAlignment="1">
      <alignment horizontal="center"/>
    </xf>
    <xf numFmtId="164" fontId="46" fillId="5" borderId="2" xfId="0" applyNumberFormat="1" applyFont="1" applyFill="1" applyBorder="1" applyAlignment="1" applyProtection="1">
      <alignment horizontal="center"/>
      <protection locked="0"/>
    </xf>
    <xf numFmtId="164" fontId="46" fillId="5" borderId="3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8" fontId="7" fillId="0" borderId="47" xfId="0" applyNumberFormat="1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2" fontId="62" fillId="0" borderId="47" xfId="0" applyNumberFormat="1" applyFont="1" applyBorder="1" applyAlignment="1">
      <alignment horizontal="center"/>
    </xf>
    <xf numFmtId="168" fontId="9" fillId="0" borderId="47" xfId="0" applyNumberFormat="1" applyFont="1" applyBorder="1" applyAlignment="1" applyProtection="1" quotePrefix="1">
      <alignment horizontal="center"/>
      <protection/>
    </xf>
    <xf numFmtId="168" fontId="7" fillId="0" borderId="47" xfId="0" applyNumberFormat="1" applyFont="1" applyBorder="1" applyAlignment="1">
      <alignment horizontal="center"/>
    </xf>
    <xf numFmtId="168" fontId="67" fillId="0" borderId="47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1" borderId="14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6" fillId="4" borderId="17" xfId="0" applyFont="1" applyFill="1" applyBorder="1" applyAlignment="1" applyProtection="1">
      <alignment horizontal="center"/>
      <protection/>
    </xf>
    <xf numFmtId="0" fontId="79" fillId="11" borderId="17" xfId="0" applyFont="1" applyFill="1" applyBorder="1" applyAlignment="1" applyProtection="1">
      <alignment horizontal="center"/>
      <protection/>
    </xf>
    <xf numFmtId="168" fontId="66" fillId="6" borderId="33" xfId="0" applyNumberFormat="1" applyFont="1" applyFill="1" applyBorder="1" applyAlignment="1" applyProtection="1" quotePrefix="1">
      <alignment horizontal="center"/>
      <protection/>
    </xf>
    <xf numFmtId="168" fontId="66" fillId="6" borderId="34" xfId="0" applyNumberFormat="1" applyFont="1" applyFill="1" applyBorder="1" applyAlignment="1" applyProtection="1" quotePrefix="1">
      <alignment horizontal="center"/>
      <protection/>
    </xf>
    <xf numFmtId="168" fontId="45" fillId="3" borderId="17" xfId="0" applyNumberFormat="1" applyFont="1" applyFill="1" applyBorder="1" applyAlignment="1" applyProtection="1" quotePrefix="1">
      <alignment horizontal="center"/>
      <protection/>
    </xf>
    <xf numFmtId="7" fontId="81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6" fillId="4" borderId="2" xfId="0" applyFont="1" applyFill="1" applyBorder="1" applyAlignment="1" applyProtection="1">
      <alignment horizontal="center"/>
      <protection/>
    </xf>
    <xf numFmtId="0" fontId="79" fillId="11" borderId="2" xfId="0" applyFont="1" applyFill="1" applyBorder="1" applyAlignment="1" applyProtection="1">
      <alignment horizontal="center"/>
      <protection/>
    </xf>
    <xf numFmtId="168" fontId="66" fillId="6" borderId="48" xfId="0" applyNumberFormat="1" applyFont="1" applyFill="1" applyBorder="1" applyAlignment="1" applyProtection="1" quotePrefix="1">
      <alignment horizontal="center"/>
      <protection/>
    </xf>
    <xf numFmtId="168" fontId="45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 locked="0"/>
    </xf>
    <xf numFmtId="2" fontId="79" fillId="11" borderId="2" xfId="0" applyNumberFormat="1" applyFont="1" applyFill="1" applyBorder="1" applyAlignment="1" applyProtection="1">
      <alignment horizontal="center"/>
      <protection locked="0"/>
    </xf>
    <xf numFmtId="168" fontId="66" fillId="6" borderId="22" xfId="0" applyNumberFormat="1" applyFont="1" applyFill="1" applyBorder="1" applyAlignment="1" applyProtection="1" quotePrefix="1">
      <alignment horizontal="center"/>
      <protection locked="0"/>
    </xf>
    <xf numFmtId="168" fontId="66" fillId="6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20" xfId="0" applyNumberFormat="1" applyFont="1" applyBorder="1" applyAlignment="1" applyProtection="1">
      <alignment horizontal="center"/>
      <protection locked="0"/>
    </xf>
    <xf numFmtId="168" fontId="7" fillId="0" borderId="20" xfId="0" applyNumberFormat="1" applyFont="1" applyBorder="1" applyAlignment="1" applyProtection="1">
      <alignment horizontal="center"/>
      <protection/>
    </xf>
    <xf numFmtId="164" fontId="46" fillId="4" borderId="3" xfId="0" applyNumberFormat="1" applyFont="1" applyFill="1" applyBorder="1" applyAlignment="1" applyProtection="1">
      <alignment horizontal="center"/>
      <protection locked="0"/>
    </xf>
    <xf numFmtId="2" fontId="79" fillId="11" borderId="3" xfId="0" applyNumberFormat="1" applyFont="1" applyFill="1" applyBorder="1" applyAlignment="1" applyProtection="1">
      <alignment horizontal="center"/>
      <protection locked="0"/>
    </xf>
    <xf numFmtId="168" fontId="66" fillId="6" borderId="26" xfId="0" applyNumberFormat="1" applyFont="1" applyFill="1" applyBorder="1" applyAlignment="1" applyProtection="1" quotePrefix="1">
      <alignment horizontal="center"/>
      <protection locked="0"/>
    </xf>
    <xf numFmtId="168" fontId="66" fillId="6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9" fillId="11" borderId="14" xfId="0" applyNumberFormat="1" applyFont="1" applyFill="1" applyBorder="1" applyAlignment="1">
      <alignment horizontal="center"/>
    </xf>
    <xf numFmtId="4" fontId="66" fillId="6" borderId="44" xfId="0" applyNumberFormat="1" applyFont="1" applyFill="1" applyBorder="1" applyAlignment="1">
      <alignment horizontal="center"/>
    </xf>
    <xf numFmtId="4" fontId="66" fillId="6" borderId="45" xfId="0" applyNumberFormat="1" applyFont="1" applyFill="1" applyBorder="1" applyAlignment="1">
      <alignment horizontal="center"/>
    </xf>
    <xf numFmtId="4" fontId="45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62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9" fillId="9" borderId="14" xfId="0" applyFont="1" applyFill="1" applyBorder="1" applyAlignment="1">
      <alignment horizontal="center" vertical="center" wrapText="1"/>
    </xf>
    <xf numFmtId="0" fontId="47" fillId="13" borderId="8" xfId="0" applyFont="1" applyFill="1" applyBorder="1" applyAlignment="1" applyProtection="1">
      <alignment horizontal="centerContinuous" vertical="center" wrapText="1"/>
      <protection/>
    </xf>
    <xf numFmtId="0" fontId="47" fillId="13" borderId="9" xfId="0" applyFont="1" applyFill="1" applyBorder="1" applyAlignment="1">
      <alignment horizontal="centerContinuous" vertical="center"/>
    </xf>
    <xf numFmtId="0" fontId="50" fillId="6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3" fillId="9" borderId="31" xfId="0" applyFont="1" applyFill="1" applyBorder="1" applyAlignment="1">
      <alignment horizontal="center"/>
    </xf>
    <xf numFmtId="0" fontId="48" fillId="13" borderId="33" xfId="0" applyFont="1" applyFill="1" applyBorder="1" applyAlignment="1">
      <alignment horizontal="center"/>
    </xf>
    <xf numFmtId="0" fontId="48" fillId="13" borderId="34" xfId="0" applyFont="1" applyFill="1" applyBorder="1" applyAlignment="1">
      <alignment horizontal="center"/>
    </xf>
    <xf numFmtId="0" fontId="51" fillId="6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68" fontId="36" fillId="2" borderId="19" xfId="0" applyNumberFormat="1" applyFont="1" applyFill="1" applyBorder="1" applyAlignment="1" applyProtection="1">
      <alignment horizontal="center"/>
      <protection/>
    </xf>
    <xf numFmtId="22" fontId="7" fillId="0" borderId="38" xfId="0" applyNumberFormat="1" applyFont="1" applyBorder="1" applyAlignment="1">
      <alignment horizontal="center"/>
    </xf>
    <xf numFmtId="22" fontId="7" fillId="0" borderId="51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64" fontId="7" fillId="0" borderId="19" xfId="0" applyNumberFormat="1" applyFont="1" applyFill="1" applyBorder="1" applyAlignment="1" applyProtection="1" quotePrefix="1">
      <alignment horizontal="center"/>
      <protection/>
    </xf>
    <xf numFmtId="168" fontId="7" fillId="0" borderId="37" xfId="0" applyNumberFormat="1" applyFont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36" fillId="2" borderId="24" xfId="0" applyNumberFormat="1" applyFont="1" applyFill="1" applyBorder="1" applyAlignment="1" applyProtection="1">
      <alignment horizontal="center"/>
      <protection/>
    </xf>
    <xf numFmtId="2" fontId="83" fillId="9" borderId="19" xfId="0" applyNumberFormat="1" applyFont="1" applyFill="1" applyBorder="1" applyAlignment="1">
      <alignment horizontal="center"/>
    </xf>
    <xf numFmtId="168" fontId="48" fillId="13" borderId="38" xfId="0" applyNumberFormat="1" applyFont="1" applyFill="1" applyBorder="1" applyAlignment="1" applyProtection="1" quotePrefix="1">
      <alignment horizontal="center"/>
      <protection/>
    </xf>
    <xf numFmtId="168" fontId="48" fillId="13" borderId="39" xfId="0" applyNumberFormat="1" applyFont="1" applyFill="1" applyBorder="1" applyAlignment="1" applyProtection="1" quotePrefix="1">
      <alignment horizontal="center"/>
      <protection/>
    </xf>
    <xf numFmtId="168" fontId="51" fillId="6" borderId="19" xfId="0" applyNumberFormat="1" applyFont="1" applyFill="1" applyBorder="1" applyAlignment="1" applyProtection="1" quotePrefix="1">
      <alignment horizontal="center"/>
      <protection/>
    </xf>
    <xf numFmtId="168" fontId="29" fillId="0" borderId="19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47" xfId="0" applyNumberFormat="1" applyFont="1" applyFill="1" applyBorder="1" applyAlignment="1" applyProtection="1">
      <alignment horizontal="center"/>
      <protection locked="0"/>
    </xf>
    <xf numFmtId="2" fontId="83" fillId="9" borderId="2" xfId="0" applyNumberFormat="1" applyFont="1" applyFill="1" applyBorder="1" applyAlignment="1" applyProtection="1">
      <alignment horizontal="center"/>
      <protection locked="0"/>
    </xf>
    <xf numFmtId="168" fontId="48" fillId="13" borderId="38" xfId="0" applyNumberFormat="1" applyFont="1" applyFill="1" applyBorder="1" applyAlignment="1" applyProtection="1" quotePrefix="1">
      <alignment horizontal="center"/>
      <protection locked="0"/>
    </xf>
    <xf numFmtId="168" fontId="48" fillId="13" borderId="39" xfId="0" applyNumberFormat="1" applyFont="1" applyFill="1" applyBorder="1" applyAlignment="1" applyProtection="1" quotePrefix="1">
      <alignment horizontal="center"/>
      <protection locked="0"/>
    </xf>
    <xf numFmtId="168" fontId="51" fillId="6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2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23" xfId="0" applyNumberFormat="1" applyFont="1" applyFill="1" applyBorder="1" applyAlignment="1" applyProtection="1">
      <alignment horizontal="center"/>
      <protection locked="0"/>
    </xf>
    <xf numFmtId="2" fontId="83" fillId="9" borderId="3" xfId="0" applyNumberFormat="1" applyFont="1" applyFill="1" applyBorder="1" applyAlignment="1" applyProtection="1">
      <alignment horizontal="center"/>
      <protection locked="0"/>
    </xf>
    <xf numFmtId="168" fontId="48" fillId="13" borderId="41" xfId="0" applyNumberFormat="1" applyFont="1" applyFill="1" applyBorder="1" applyAlignment="1" applyProtection="1" quotePrefix="1">
      <alignment horizontal="center"/>
      <protection locked="0"/>
    </xf>
    <xf numFmtId="168" fontId="48" fillId="13" borderId="42" xfId="0" applyNumberFormat="1" applyFont="1" applyFill="1" applyBorder="1" applyAlignment="1" applyProtection="1" quotePrefix="1">
      <alignment horizontal="center"/>
      <protection locked="0"/>
    </xf>
    <xf numFmtId="168" fontId="51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9" xfId="0" applyNumberFormat="1" applyFont="1" applyFill="1" applyBorder="1" applyAlignment="1">
      <alignment horizontal="center"/>
    </xf>
    <xf numFmtId="4" fontId="83" fillId="9" borderId="14" xfId="0" applyNumberFormat="1" applyFont="1" applyFill="1" applyBorder="1" applyAlignment="1">
      <alignment horizontal="center"/>
    </xf>
    <xf numFmtId="4" fontId="48" fillId="13" borderId="44" xfId="0" applyNumberFormat="1" applyFont="1" applyFill="1" applyBorder="1" applyAlignment="1">
      <alignment horizontal="center"/>
    </xf>
    <xf numFmtId="4" fontId="48" fillId="13" borderId="9" xfId="0" applyNumberFormat="1" applyFont="1" applyFill="1" applyBorder="1" applyAlignment="1">
      <alignment horizontal="center"/>
    </xf>
    <xf numFmtId="4" fontId="51" fillId="6" borderId="14" xfId="0" applyNumberFormat="1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0" fontId="84" fillId="14" borderId="14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 applyProtection="1">
      <alignment horizontal="centerContinuous" vertical="center" wrapText="1"/>
      <protection/>
    </xf>
    <xf numFmtId="0" fontId="41" fillId="6" borderId="9" xfId="0" applyFont="1" applyFill="1" applyBorder="1" applyAlignment="1">
      <alignment horizontal="centerContinuous" vertical="center"/>
    </xf>
    <xf numFmtId="0" fontId="43" fillId="9" borderId="14" xfId="0" applyFont="1" applyFill="1" applyBorder="1" applyAlignment="1">
      <alignment horizontal="center" vertical="center" wrapText="1"/>
    </xf>
    <xf numFmtId="0" fontId="85" fillId="14" borderId="31" xfId="0" applyFont="1" applyFill="1" applyBorder="1" applyAlignment="1">
      <alignment horizontal="center"/>
    </xf>
    <xf numFmtId="0" fontId="42" fillId="6" borderId="33" xfId="0" applyFont="1" applyFill="1" applyBorder="1" applyAlignment="1">
      <alignment horizontal="center"/>
    </xf>
    <xf numFmtId="0" fontId="42" fillId="6" borderId="34" xfId="0" applyFont="1" applyFill="1" applyBorder="1" applyAlignment="1">
      <alignment horizontal="center"/>
    </xf>
    <xf numFmtId="0" fontId="45" fillId="9" borderId="3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36" fillId="2" borderId="19" xfId="0" applyNumberFormat="1" applyFont="1" applyFill="1" applyBorder="1" applyAlignment="1" applyProtection="1">
      <alignment horizontal="center"/>
      <protection/>
    </xf>
    <xf numFmtId="2" fontId="85" fillId="14" borderId="19" xfId="0" applyNumberFormat="1" applyFont="1" applyFill="1" applyBorder="1" applyAlignment="1">
      <alignment horizontal="center"/>
    </xf>
    <xf numFmtId="168" fontId="42" fillId="6" borderId="38" xfId="0" applyNumberFormat="1" applyFont="1" applyFill="1" applyBorder="1" applyAlignment="1" applyProtection="1" quotePrefix="1">
      <alignment horizontal="center"/>
      <protection/>
    </xf>
    <xf numFmtId="168" fontId="42" fillId="6" borderId="39" xfId="0" applyNumberFormat="1" applyFont="1" applyFill="1" applyBorder="1" applyAlignment="1" applyProtection="1" quotePrefix="1">
      <alignment horizontal="center"/>
      <protection/>
    </xf>
    <xf numFmtId="168" fontId="45" fillId="9" borderId="19" xfId="0" applyNumberFormat="1" applyFont="1" applyFill="1" applyBorder="1" applyAlignment="1" applyProtection="1" quotePrefix="1">
      <alignment horizontal="center"/>
      <protection/>
    </xf>
    <xf numFmtId="168" fontId="7" fillId="0" borderId="51" xfId="0" applyNumberFormat="1" applyFont="1" applyBorder="1" applyAlignment="1" applyProtection="1">
      <alignment horizontal="center"/>
      <protection/>
    </xf>
    <xf numFmtId="168" fontId="29" fillId="2" borderId="19" xfId="0" applyNumberFormat="1" applyFont="1" applyFill="1" applyBorder="1" applyAlignment="1">
      <alignment horizontal="center"/>
    </xf>
    <xf numFmtId="164" fontId="36" fillId="2" borderId="2" xfId="0" applyNumberFormat="1" applyFont="1" applyFill="1" applyBorder="1" applyAlignment="1" applyProtection="1">
      <alignment horizontal="center"/>
      <protection locked="0"/>
    </xf>
    <xf numFmtId="2" fontId="85" fillId="14" borderId="2" xfId="0" applyNumberFormat="1" applyFont="1" applyFill="1" applyBorder="1" applyAlignment="1" applyProtection="1">
      <alignment horizontal="center"/>
      <protection locked="0"/>
    </xf>
    <xf numFmtId="168" fontId="42" fillId="6" borderId="38" xfId="0" applyNumberFormat="1" applyFont="1" applyFill="1" applyBorder="1" applyAlignment="1" applyProtection="1" quotePrefix="1">
      <alignment horizontal="center"/>
      <protection locked="0"/>
    </xf>
    <xf numFmtId="168" fontId="42" fillId="6" borderId="39" xfId="0" applyNumberFormat="1" applyFont="1" applyFill="1" applyBorder="1" applyAlignment="1" applyProtection="1" quotePrefix="1">
      <alignment horizontal="center"/>
      <protection locked="0"/>
    </xf>
    <xf numFmtId="168" fontId="45" fillId="9" borderId="19" xfId="0" applyNumberFormat="1" applyFont="1" applyFill="1" applyBorder="1" applyAlignment="1" applyProtection="1" quotePrefix="1">
      <alignment horizontal="center"/>
      <protection locked="0"/>
    </xf>
    <xf numFmtId="168" fontId="7" fillId="0" borderId="21" xfId="0" applyNumberFormat="1" applyFont="1" applyBorder="1" applyAlignment="1" applyProtection="1">
      <alignment horizontal="center"/>
      <protection locked="0"/>
    </xf>
    <xf numFmtId="4" fontId="29" fillId="2" borderId="2" xfId="0" applyNumberFormat="1" applyFont="1" applyFill="1" applyBorder="1" applyAlignment="1">
      <alignment horizontal="right"/>
    </xf>
    <xf numFmtId="164" fontId="36" fillId="2" borderId="3" xfId="0" applyNumberFormat="1" applyFont="1" applyFill="1" applyBorder="1" applyAlignment="1" applyProtection="1">
      <alignment horizontal="center"/>
      <protection locked="0"/>
    </xf>
    <xf numFmtId="2" fontId="85" fillId="14" borderId="3" xfId="0" applyNumberFormat="1" applyFont="1" applyFill="1" applyBorder="1" applyAlignment="1" applyProtection="1">
      <alignment horizontal="center"/>
      <protection locked="0"/>
    </xf>
    <xf numFmtId="168" fontId="42" fillId="6" borderId="41" xfId="0" applyNumberFormat="1" applyFont="1" applyFill="1" applyBorder="1" applyAlignment="1" applyProtection="1" quotePrefix="1">
      <alignment horizontal="center"/>
      <protection locked="0"/>
    </xf>
    <xf numFmtId="168" fontId="42" fillId="6" borderId="42" xfId="0" applyNumberFormat="1" applyFont="1" applyFill="1" applyBorder="1" applyAlignment="1" applyProtection="1" quotePrefix="1">
      <alignment horizontal="center"/>
      <protection locked="0"/>
    </xf>
    <xf numFmtId="168" fontId="45" fillId="9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18" xfId="0" applyNumberFormat="1" applyFont="1" applyBorder="1" applyAlignment="1" applyProtection="1">
      <alignment horizontal="center"/>
      <protection locked="0"/>
    </xf>
    <xf numFmtId="4" fontId="85" fillId="14" borderId="8" xfId="0" applyNumberFormat="1" applyFont="1" applyFill="1" applyBorder="1" applyAlignment="1">
      <alignment horizontal="center"/>
    </xf>
    <xf numFmtId="4" fontId="42" fillId="6" borderId="44" xfId="0" applyNumberFormat="1" applyFont="1" applyFill="1" applyBorder="1" applyAlignment="1">
      <alignment horizontal="center"/>
    </xf>
    <xf numFmtId="4" fontId="42" fillId="6" borderId="9" xfId="0" applyNumberFormat="1" applyFont="1" applyFill="1" applyBorder="1" applyAlignment="1">
      <alignment horizontal="center"/>
    </xf>
    <xf numFmtId="4" fontId="45" fillId="9" borderId="14" xfId="0" applyNumberFormat="1" applyFont="1" applyFill="1" applyBorder="1" applyAlignment="1">
      <alignment horizontal="center"/>
    </xf>
    <xf numFmtId="7" fontId="13" fillId="2" borderId="14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4" xfId="0" applyNumberFormat="1" applyFont="1" applyBorder="1" applyAlignment="1">
      <alignment horizontal="center"/>
    </xf>
    <xf numFmtId="0" fontId="88" fillId="0" borderId="0" xfId="0" applyFont="1" applyFill="1" applyAlignment="1">
      <alignment/>
    </xf>
    <xf numFmtId="0" fontId="89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88" fillId="0" borderId="0" xfId="0" applyFont="1" applyAlignment="1">
      <alignment/>
    </xf>
    <xf numFmtId="0" fontId="23" fillId="0" borderId="0" xfId="0" applyFont="1" applyAlignment="1">
      <alignment/>
    </xf>
    <xf numFmtId="0" fontId="90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1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9" fillId="15" borderId="14" xfId="0" applyFont="1" applyFill="1" applyBorder="1" applyAlignment="1">
      <alignment horizontal="center" vertical="center" wrapText="1"/>
    </xf>
    <xf numFmtId="0" fontId="92" fillId="3" borderId="8" xfId="0" applyFont="1" applyFill="1" applyBorder="1" applyAlignment="1" applyProtection="1">
      <alignment horizontal="centerContinuous" vertical="center" wrapText="1"/>
      <protection/>
    </xf>
    <xf numFmtId="0" fontId="93" fillId="3" borderId="15" xfId="0" applyFont="1" applyFill="1" applyBorder="1" applyAlignment="1">
      <alignment horizontal="centerContinuous"/>
    </xf>
    <xf numFmtId="0" fontId="92" fillId="3" borderId="9" xfId="0" applyFont="1" applyFill="1" applyBorder="1" applyAlignment="1">
      <alignment horizontal="centerContinuous" vertical="center"/>
    </xf>
    <xf numFmtId="0" fontId="43" fillId="16" borderId="8" xfId="0" applyFont="1" applyFill="1" applyBorder="1" applyAlignment="1">
      <alignment horizontal="centerContinuous" vertical="center" wrapText="1"/>
    </xf>
    <xf numFmtId="0" fontId="44" fillId="16" borderId="15" xfId="0" applyFont="1" applyFill="1" applyBorder="1" applyAlignment="1">
      <alignment horizontal="centerContinuous"/>
    </xf>
    <xf numFmtId="0" fontId="43" fillId="16" borderId="9" xfId="0" applyFont="1" applyFill="1" applyBorder="1" applyAlignment="1">
      <alignment horizontal="centerContinuous" vertical="center"/>
    </xf>
    <xf numFmtId="0" fontId="43" fillId="9" borderId="14" xfId="0" applyFont="1" applyFill="1" applyBorder="1" applyAlignment="1">
      <alignment horizontal="centerContinuous" vertical="center" wrapText="1"/>
    </xf>
    <xf numFmtId="0" fontId="43" fillId="17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94" fillId="2" borderId="17" xfId="0" applyNumberFormat="1" applyFont="1" applyFill="1" applyBorder="1" applyAlignment="1" applyProtection="1">
      <alignment horizontal="center"/>
      <protection/>
    </xf>
    <xf numFmtId="0" fontId="95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45" fillId="5" borderId="17" xfId="0" applyFont="1" applyFill="1" applyBorder="1" applyAlignment="1">
      <alignment horizontal="center"/>
    </xf>
    <xf numFmtId="0" fontId="83" fillId="15" borderId="17" xfId="0" applyFont="1" applyFill="1" applyBorder="1" applyAlignment="1">
      <alignment horizontal="center"/>
    </xf>
    <xf numFmtId="168" fontId="96" fillId="3" borderId="33" xfId="0" applyNumberFormat="1" applyFont="1" applyFill="1" applyBorder="1" applyAlignment="1" applyProtection="1" quotePrefix="1">
      <alignment horizontal="center"/>
      <protection/>
    </xf>
    <xf numFmtId="168" fontId="96" fillId="3" borderId="55" xfId="0" applyNumberFormat="1" applyFont="1" applyFill="1" applyBorder="1" applyAlignment="1" applyProtection="1" quotePrefix="1">
      <alignment horizontal="center"/>
      <protection/>
    </xf>
    <xf numFmtId="4" fontId="96" fillId="3" borderId="56" xfId="0" applyNumberFormat="1" applyFont="1" applyFill="1" applyBorder="1" applyAlignment="1" applyProtection="1">
      <alignment horizontal="center"/>
      <protection/>
    </xf>
    <xf numFmtId="168" fontId="45" fillId="16" borderId="33" xfId="0" applyNumberFormat="1" applyFont="1" applyFill="1" applyBorder="1" applyAlignment="1" applyProtection="1" quotePrefix="1">
      <alignment horizontal="center"/>
      <protection/>
    </xf>
    <xf numFmtId="168" fontId="45" fillId="16" borderId="55" xfId="0" applyNumberFormat="1" applyFont="1" applyFill="1" applyBorder="1" applyAlignment="1" applyProtection="1" quotePrefix="1">
      <alignment horizontal="center"/>
      <protection/>
    </xf>
    <xf numFmtId="4" fontId="45" fillId="16" borderId="56" xfId="0" applyNumberFormat="1" applyFont="1" applyFill="1" applyBorder="1" applyAlignment="1" applyProtection="1">
      <alignment horizontal="center"/>
      <protection/>
    </xf>
    <xf numFmtId="4" fontId="45" fillId="9" borderId="17" xfId="0" applyNumberFormat="1" applyFont="1" applyFill="1" applyBorder="1" applyAlignment="1" applyProtection="1">
      <alignment horizontal="center"/>
      <protection/>
    </xf>
    <xf numFmtId="4" fontId="45" fillId="17" borderId="17" xfId="0" applyNumberFormat="1" applyFont="1" applyFill="1" applyBorder="1" applyAlignment="1" applyProtection="1">
      <alignment horizontal="center"/>
      <protection/>
    </xf>
    <xf numFmtId="0" fontId="7" fillId="0" borderId="56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94" fillId="2" borderId="2" xfId="0" applyFont="1" applyFill="1" applyBorder="1" applyAlignment="1" applyProtection="1">
      <alignment horizontal="center"/>
      <protection/>
    </xf>
    <xf numFmtId="168" fontId="95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5" fillId="5" borderId="2" xfId="0" applyNumberFormat="1" applyFont="1" applyFill="1" applyBorder="1" applyAlignment="1" applyProtection="1">
      <alignment horizontal="center"/>
      <protection/>
    </xf>
    <xf numFmtId="2" fontId="83" fillId="15" borderId="2" xfId="0" applyNumberFormat="1" applyFont="1" applyFill="1" applyBorder="1" applyAlignment="1" applyProtection="1">
      <alignment horizontal="center"/>
      <protection/>
    </xf>
    <xf numFmtId="168" fontId="96" fillId="3" borderId="22" xfId="0" applyNumberFormat="1" applyFont="1" applyFill="1" applyBorder="1" applyAlignment="1" applyProtection="1" quotePrefix="1">
      <alignment horizontal="center"/>
      <protection/>
    </xf>
    <xf numFmtId="168" fontId="96" fillId="3" borderId="25" xfId="0" applyNumberFormat="1" applyFont="1" applyFill="1" applyBorder="1" applyAlignment="1" applyProtection="1" quotePrefix="1">
      <alignment horizontal="center"/>
      <protection/>
    </xf>
    <xf numFmtId="4" fontId="96" fillId="3" borderId="4" xfId="0" applyNumberFormat="1" applyFont="1" applyFill="1" applyBorder="1" applyAlignment="1" applyProtection="1">
      <alignment horizontal="center"/>
      <protection/>
    </xf>
    <xf numFmtId="168" fontId="45" fillId="16" borderId="22" xfId="0" applyNumberFormat="1" applyFont="1" applyFill="1" applyBorder="1" applyAlignment="1" applyProtection="1" quotePrefix="1">
      <alignment horizontal="center"/>
      <protection/>
    </xf>
    <xf numFmtId="168" fontId="45" fillId="16" borderId="25" xfId="0" applyNumberFormat="1" applyFont="1" applyFill="1" applyBorder="1" applyAlignment="1" applyProtection="1" quotePrefix="1">
      <alignment horizontal="center"/>
      <protection/>
    </xf>
    <xf numFmtId="4" fontId="45" fillId="16" borderId="4" xfId="0" applyNumberFormat="1" applyFont="1" applyFill="1" applyBorder="1" applyAlignment="1" applyProtection="1">
      <alignment horizontal="center"/>
      <protection/>
    </xf>
    <xf numFmtId="4" fontId="45" fillId="9" borderId="2" xfId="0" applyNumberFormat="1" applyFont="1" applyFill="1" applyBorder="1" applyAlignment="1" applyProtection="1">
      <alignment horizontal="center"/>
      <protection/>
    </xf>
    <xf numFmtId="4" fontId="45" fillId="17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97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94" fillId="2" borderId="3" xfId="0" applyNumberFormat="1" applyFont="1" applyFill="1" applyBorder="1" applyAlignment="1" applyProtection="1">
      <alignment horizontal="center"/>
      <protection/>
    </xf>
    <xf numFmtId="168" fontId="95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5" fillId="5" borderId="3" xfId="0" applyNumberFormat="1" applyFont="1" applyFill="1" applyBorder="1" applyAlignment="1" applyProtection="1">
      <alignment horizontal="center"/>
      <protection/>
    </xf>
    <xf numFmtId="2" fontId="83" fillId="15" borderId="3" xfId="0" applyNumberFormat="1" applyFont="1" applyFill="1" applyBorder="1" applyAlignment="1" applyProtection="1">
      <alignment horizontal="center"/>
      <protection/>
    </xf>
    <xf numFmtId="168" fontId="96" fillId="3" borderId="26" xfId="0" applyNumberFormat="1" applyFont="1" applyFill="1" applyBorder="1" applyAlignment="1" applyProtection="1" quotePrefix="1">
      <alignment horizontal="center"/>
      <protection/>
    </xf>
    <xf numFmtId="168" fontId="96" fillId="3" borderId="57" xfId="0" applyNumberFormat="1" applyFont="1" applyFill="1" applyBorder="1" applyAlignment="1" applyProtection="1" quotePrefix="1">
      <alignment horizontal="center"/>
      <protection/>
    </xf>
    <xf numFmtId="4" fontId="96" fillId="3" borderId="20" xfId="0" applyNumberFormat="1" applyFont="1" applyFill="1" applyBorder="1" applyAlignment="1" applyProtection="1">
      <alignment horizontal="center"/>
      <protection/>
    </xf>
    <xf numFmtId="168" fontId="45" fillId="16" borderId="26" xfId="0" applyNumberFormat="1" applyFont="1" applyFill="1" applyBorder="1" applyAlignment="1" applyProtection="1" quotePrefix="1">
      <alignment horizontal="center"/>
      <protection/>
    </xf>
    <xf numFmtId="168" fontId="45" fillId="16" borderId="57" xfId="0" applyNumberFormat="1" applyFont="1" applyFill="1" applyBorder="1" applyAlignment="1" applyProtection="1" quotePrefix="1">
      <alignment horizontal="center"/>
      <protection/>
    </xf>
    <xf numFmtId="4" fontId="45" fillId="16" borderId="20" xfId="0" applyNumberFormat="1" applyFont="1" applyFill="1" applyBorder="1" applyAlignment="1" applyProtection="1">
      <alignment horizontal="center"/>
      <protection/>
    </xf>
    <xf numFmtId="4" fontId="45" fillId="9" borderId="3" xfId="0" applyNumberFormat="1" applyFont="1" applyFill="1" applyBorder="1" applyAlignment="1" applyProtection="1">
      <alignment horizontal="center"/>
      <protection/>
    </xf>
    <xf numFmtId="4" fontId="45" fillId="17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97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95" fillId="5" borderId="14" xfId="0" applyNumberFormat="1" applyFont="1" applyFill="1" applyBorder="1" applyAlignment="1" applyProtection="1">
      <alignment horizontal="center"/>
      <protection/>
    </xf>
    <xf numFmtId="2" fontId="80" fillId="15" borderId="14" xfId="0" applyNumberFormat="1" applyFont="1" applyFill="1" applyBorder="1" applyAlignment="1" applyProtection="1">
      <alignment horizontal="center"/>
      <protection/>
    </xf>
    <xf numFmtId="2" fontId="98" fillId="3" borderId="14" xfId="0" applyNumberFormat="1" applyFont="1" applyFill="1" applyBorder="1" applyAlignment="1" applyProtection="1">
      <alignment horizontal="center"/>
      <protection/>
    </xf>
    <xf numFmtId="2" fontId="95" fillId="16" borderId="14" xfId="0" applyNumberFormat="1" applyFont="1" applyFill="1" applyBorder="1" applyAlignment="1" applyProtection="1">
      <alignment horizontal="center"/>
      <protection/>
    </xf>
    <xf numFmtId="2" fontId="95" fillId="9" borderId="14" xfId="0" applyNumberFormat="1" applyFont="1" applyFill="1" applyBorder="1" applyAlignment="1" applyProtection="1">
      <alignment horizontal="center"/>
      <protection/>
    </xf>
    <xf numFmtId="2" fontId="95" fillId="17" borderId="14" xfId="0" applyNumberFormat="1" applyFont="1" applyFill="1" applyBorder="1" applyAlignment="1" applyProtection="1">
      <alignment horizontal="center"/>
      <protection/>
    </xf>
    <xf numFmtId="2" fontId="22" fillId="0" borderId="32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95" fillId="0" borderId="15" xfId="0" applyNumberFormat="1" applyFont="1" applyFill="1" applyBorder="1" applyAlignment="1" applyProtection="1">
      <alignment horizontal="center"/>
      <protection/>
    </xf>
    <xf numFmtId="2" fontId="80" fillId="0" borderId="15" xfId="0" applyNumberFormat="1" applyFont="1" applyFill="1" applyBorder="1" applyAlignment="1" applyProtection="1">
      <alignment horizontal="center"/>
      <protection/>
    </xf>
    <xf numFmtId="2" fontId="98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5" fillId="18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3" fillId="19" borderId="14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 applyProtection="1">
      <alignment horizontal="centerContinuous" vertical="center" wrapText="1"/>
      <protection/>
    </xf>
    <xf numFmtId="0" fontId="43" fillId="14" borderId="9" xfId="0" applyFont="1" applyFill="1" applyBorder="1" applyAlignment="1">
      <alignment horizontal="centerContinuous" vertical="center"/>
    </xf>
    <xf numFmtId="0" fontId="43" fillId="3" borderId="14" xfId="0" applyFont="1" applyFill="1" applyBorder="1" applyAlignment="1">
      <alignment horizontal="centerContinuous" vertical="center" wrapText="1"/>
    </xf>
    <xf numFmtId="0" fontId="43" fillId="18" borderId="58" xfId="0" applyFont="1" applyFill="1" applyBorder="1" applyAlignment="1">
      <alignment vertical="center" wrapText="1"/>
    </xf>
    <xf numFmtId="0" fontId="43" fillId="18" borderId="16" xfId="0" applyFont="1" applyFill="1" applyBorder="1" applyAlignment="1">
      <alignment vertical="center" wrapText="1"/>
    </xf>
    <xf numFmtId="0" fontId="43" fillId="18" borderId="3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99" fillId="2" borderId="2" xfId="0" applyFont="1" applyFill="1" applyBorder="1" applyAlignment="1">
      <alignment horizontal="center"/>
    </xf>
    <xf numFmtId="0" fontId="99" fillId="18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6" fillId="19" borderId="17" xfId="0" applyFont="1" applyFill="1" applyBorder="1" applyAlignment="1">
      <alignment horizontal="center"/>
    </xf>
    <xf numFmtId="0" fontId="46" fillId="14" borderId="33" xfId="0" applyFont="1" applyFill="1" applyBorder="1" applyAlignment="1">
      <alignment horizontal="center"/>
    </xf>
    <xf numFmtId="0" fontId="46" fillId="14" borderId="34" xfId="0" applyFont="1" applyFill="1" applyBorder="1" applyAlignment="1">
      <alignment horizontal="left"/>
    </xf>
    <xf numFmtId="0" fontId="46" fillId="3" borderId="17" xfId="0" applyFont="1" applyFill="1" applyBorder="1" applyAlignment="1">
      <alignment horizontal="left"/>
    </xf>
    <xf numFmtId="0" fontId="46" fillId="18" borderId="50" xfId="0" applyFont="1" applyFill="1" applyBorder="1" applyAlignment="1">
      <alignment horizontal="left"/>
    </xf>
    <xf numFmtId="0" fontId="46" fillId="18" borderId="0" xfId="0" applyFont="1" applyFill="1" applyBorder="1" applyAlignment="1">
      <alignment horizontal="left"/>
    </xf>
    <xf numFmtId="0" fontId="46" fillId="18" borderId="49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 quotePrefix="1">
      <alignment horizontal="center"/>
      <protection/>
    </xf>
    <xf numFmtId="168" fontId="99" fillId="2" borderId="2" xfId="0" applyNumberFormat="1" applyFont="1" applyFill="1" applyBorder="1" applyAlignment="1" applyProtection="1">
      <alignment horizontal="center"/>
      <protection/>
    </xf>
    <xf numFmtId="168" fontId="99" fillId="18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21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6" fillId="2" borderId="2" xfId="0" applyNumberFormat="1" applyFont="1" applyFill="1" applyBorder="1" applyAlignment="1" applyProtection="1">
      <alignment horizontal="center"/>
      <protection/>
    </xf>
    <xf numFmtId="2" fontId="45" fillId="19" borderId="2" xfId="0" applyNumberFormat="1" applyFont="1" applyFill="1" applyBorder="1" applyAlignment="1">
      <alignment horizontal="center"/>
    </xf>
    <xf numFmtId="168" fontId="45" fillId="14" borderId="38" xfId="0" applyNumberFormat="1" applyFont="1" applyFill="1" applyBorder="1" applyAlignment="1" applyProtection="1" quotePrefix="1">
      <alignment horizontal="center"/>
      <protection/>
    </xf>
    <xf numFmtId="168" fontId="45" fillId="14" borderId="39" xfId="0" applyNumberFormat="1" applyFont="1" applyFill="1" applyBorder="1" applyAlignment="1" applyProtection="1" quotePrefix="1">
      <alignment horizontal="center"/>
      <protection/>
    </xf>
    <xf numFmtId="168" fontId="45" fillId="18" borderId="50" xfId="0" applyNumberFormat="1" applyFont="1" applyFill="1" applyBorder="1" applyAlignment="1" applyProtection="1" quotePrefix="1">
      <alignment horizontal="center"/>
      <protection/>
    </xf>
    <xf numFmtId="168" fontId="45" fillId="18" borderId="0" xfId="0" applyNumberFormat="1" applyFont="1" applyFill="1" applyBorder="1" applyAlignment="1" applyProtection="1" quotePrefix="1">
      <alignment horizontal="center"/>
      <protection/>
    </xf>
    <xf numFmtId="168" fontId="45" fillId="18" borderId="49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164" fontId="7" fillId="0" borderId="40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 quotePrefix="1">
      <alignment horizontal="center"/>
      <protection/>
    </xf>
    <xf numFmtId="168" fontId="99" fillId="2" borderId="3" xfId="0" applyNumberFormat="1" applyFont="1" applyFill="1" applyBorder="1" applyAlignment="1" applyProtection="1">
      <alignment horizontal="center"/>
      <protection/>
    </xf>
    <xf numFmtId="168" fontId="99" fillId="18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Continuous"/>
      <protection/>
    </xf>
    <xf numFmtId="168" fontId="7" fillId="0" borderId="20" xfId="0" applyNumberFormat="1" applyFont="1" applyBorder="1" applyAlignment="1" applyProtection="1">
      <alignment horizontal="centerContinuous"/>
      <protection/>
    </xf>
    <xf numFmtId="164" fontId="36" fillId="2" borderId="3" xfId="0" applyNumberFormat="1" applyFont="1" applyFill="1" applyBorder="1" applyAlignment="1" applyProtection="1">
      <alignment horizontal="center"/>
      <protection/>
    </xf>
    <xf numFmtId="2" fontId="46" fillId="19" borderId="3" xfId="0" applyNumberFormat="1" applyFont="1" applyFill="1" applyBorder="1" applyAlignment="1">
      <alignment horizontal="center"/>
    </xf>
    <xf numFmtId="168" fontId="46" fillId="14" borderId="41" xfId="0" applyNumberFormat="1" applyFont="1" applyFill="1" applyBorder="1" applyAlignment="1" applyProtection="1" quotePrefix="1">
      <alignment horizontal="center"/>
      <protection/>
    </xf>
    <xf numFmtId="168" fontId="46" fillId="14" borderId="42" xfId="0" applyNumberFormat="1" applyFont="1" applyFill="1" applyBorder="1" applyAlignment="1" applyProtection="1" quotePrefix="1">
      <alignment horizontal="center"/>
      <protection/>
    </xf>
    <xf numFmtId="168" fontId="46" fillId="3" borderId="3" xfId="0" applyNumberFormat="1" applyFont="1" applyFill="1" applyBorder="1" applyAlignment="1" applyProtection="1" quotePrefix="1">
      <alignment horizontal="center"/>
      <protection/>
    </xf>
    <xf numFmtId="168" fontId="46" fillId="18" borderId="18" xfId="0" applyNumberFormat="1" applyFont="1" applyFill="1" applyBorder="1" applyAlignment="1" applyProtection="1" quotePrefix="1">
      <alignment horizontal="center"/>
      <protection/>
    </xf>
    <xf numFmtId="168" fontId="46" fillId="18" borderId="23" xfId="0" applyNumberFormat="1" applyFont="1" applyFill="1" applyBorder="1" applyAlignment="1" applyProtection="1" quotePrefix="1">
      <alignment horizontal="center"/>
      <protection/>
    </xf>
    <xf numFmtId="168" fontId="46" fillId="18" borderId="20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2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6" fillId="0" borderId="0" xfId="0" applyNumberFormat="1" applyFont="1" applyBorder="1" applyAlignment="1" applyProtection="1">
      <alignment horizontal="left"/>
      <protection/>
    </xf>
    <xf numFmtId="168" fontId="56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165" fontId="56" fillId="0" borderId="0" xfId="0" applyNumberFormat="1" applyFont="1" applyBorder="1" applyAlignment="1" applyProtection="1">
      <alignment horizontal="center"/>
      <protection/>
    </xf>
    <xf numFmtId="173" fontId="56" fillId="0" borderId="0" xfId="0" applyNumberFormat="1" applyFont="1" applyBorder="1" applyAlignment="1" applyProtection="1" quotePrefix="1">
      <alignment horizontal="center"/>
      <protection/>
    </xf>
    <xf numFmtId="0" fontId="56" fillId="0" borderId="0" xfId="0" applyFont="1" applyAlignment="1">
      <alignment/>
    </xf>
    <xf numFmtId="2" fontId="56" fillId="0" borderId="0" xfId="0" applyNumberFormat="1" applyFont="1" applyBorder="1" applyAlignment="1" applyProtection="1">
      <alignment horizontal="center"/>
      <protection/>
    </xf>
    <xf numFmtId="168" fontId="56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00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101" fillId="0" borderId="0" xfId="0" applyNumberFormat="1" applyFont="1" applyBorder="1" applyAlignment="1" applyProtection="1">
      <alignment horizontal="center"/>
      <protection/>
    </xf>
    <xf numFmtId="168" fontId="97" fillId="0" borderId="0" xfId="0" applyNumberFormat="1" applyFont="1" applyBorder="1" applyAlignment="1" applyProtection="1" quotePrefix="1">
      <alignment horizontal="center"/>
      <protection/>
    </xf>
    <xf numFmtId="4" fontId="97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6" fillId="0" borderId="0" xfId="0" applyNumberFormat="1" applyFont="1" applyBorder="1" applyAlignment="1" applyProtection="1">
      <alignment horizontal="centerContinuous"/>
      <protection/>
    </xf>
    <xf numFmtId="168" fontId="56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6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6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2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3" fillId="0" borderId="0" xfId="0" applyNumberFormat="1" applyFont="1" applyBorder="1" applyAlignment="1" applyProtection="1">
      <alignment horizontal="center" vertical="center"/>
      <protection/>
    </xf>
    <xf numFmtId="168" fontId="104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6" fillId="0" borderId="0" xfId="0" applyNumberFormat="1" applyFont="1" applyBorder="1" applyAlignment="1" applyProtection="1">
      <alignment horizontal="center"/>
      <protection/>
    </xf>
    <xf numFmtId="7" fontId="56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6" fillId="0" borderId="47" xfId="0" applyNumberFormat="1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1" fontId="0" fillId="0" borderId="60" xfId="0" applyNumberFormat="1" applyBorder="1" applyAlignment="1">
      <alignment horizontal="center"/>
    </xf>
    <xf numFmtId="0" fontId="10" fillId="0" borderId="61" xfId="0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174" fontId="10" fillId="0" borderId="63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174" fontId="10" fillId="0" borderId="66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0" fontId="10" fillId="0" borderId="67" xfId="0" applyFont="1" applyBorder="1" applyAlignment="1">
      <alignment horizontal="centerContinuous"/>
    </xf>
    <xf numFmtId="0" fontId="10" fillId="0" borderId="68" xfId="0" applyFont="1" applyBorder="1" applyAlignment="1">
      <alignment horizontal="centerContinuous"/>
    </xf>
    <xf numFmtId="174" fontId="10" fillId="0" borderId="69" xfId="0" applyNumberFormat="1" applyFont="1" applyFill="1" applyBorder="1" applyAlignment="1">
      <alignment horizontal="center"/>
    </xf>
    <xf numFmtId="1" fontId="10" fillId="0" borderId="69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95" fillId="0" borderId="23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98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0" fontId="12" fillId="0" borderId="56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/>
    </xf>
    <xf numFmtId="2" fontId="79" fillId="11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164" fontId="9" fillId="0" borderId="40" xfId="0" applyNumberFormat="1" applyFont="1" applyBorder="1" applyAlignment="1" applyProtection="1" quotePrefix="1">
      <alignment horizontal="center"/>
      <protection/>
    </xf>
    <xf numFmtId="168" fontId="36" fillId="2" borderId="40" xfId="0" applyNumberFormat="1" applyFont="1" applyFill="1" applyBorder="1" applyAlignment="1" applyProtection="1">
      <alignment horizontal="center"/>
      <protection/>
    </xf>
    <xf numFmtId="22" fontId="7" fillId="0" borderId="41" xfId="0" applyNumberFormat="1" applyFont="1" applyBorder="1" applyAlignment="1">
      <alignment horizontal="center"/>
    </xf>
    <xf numFmtId="22" fontId="7" fillId="0" borderId="40" xfId="0" applyNumberFormat="1" applyFont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 quotePrefix="1">
      <alignment horizontal="center"/>
      <protection/>
    </xf>
    <xf numFmtId="164" fontId="7" fillId="0" borderId="40" xfId="0" applyNumberFormat="1" applyFont="1" applyFill="1" applyBorder="1" applyAlignment="1" applyProtection="1" quotePrefix="1">
      <alignment horizontal="center"/>
      <protection/>
    </xf>
    <xf numFmtId="168" fontId="7" fillId="0" borderId="71" xfId="0" applyNumberFormat="1" applyFont="1" applyBorder="1" applyAlignment="1" applyProtection="1">
      <alignment horizontal="center"/>
      <protection/>
    </xf>
    <xf numFmtId="168" fontId="7" fillId="0" borderId="70" xfId="0" applyNumberFormat="1" applyFont="1" applyBorder="1" applyAlignment="1" applyProtection="1">
      <alignment horizontal="center"/>
      <protection/>
    </xf>
    <xf numFmtId="164" fontId="46" fillId="4" borderId="40" xfId="0" applyNumberFormat="1" applyFont="1" applyFill="1" applyBorder="1" applyAlignment="1" applyProtection="1">
      <alignment horizontal="center"/>
      <protection/>
    </xf>
    <xf numFmtId="2" fontId="79" fillId="11" borderId="40" xfId="0" applyNumberFormat="1" applyFont="1" applyFill="1" applyBorder="1" applyAlignment="1">
      <alignment horizontal="center"/>
    </xf>
    <xf numFmtId="168" fontId="66" fillId="6" borderId="41" xfId="0" applyNumberFormat="1" applyFont="1" applyFill="1" applyBorder="1" applyAlignment="1" applyProtection="1" quotePrefix="1">
      <alignment horizontal="center"/>
      <protection/>
    </xf>
    <xf numFmtId="168" fontId="66" fillId="6" borderId="42" xfId="0" applyNumberFormat="1" applyFont="1" applyFill="1" applyBorder="1" applyAlignment="1" applyProtection="1" quotePrefix="1">
      <alignment horizontal="center"/>
      <protection/>
    </xf>
    <xf numFmtId="168" fontId="45" fillId="3" borderId="40" xfId="0" applyNumberFormat="1" applyFont="1" applyFill="1" applyBorder="1" applyAlignment="1" applyProtection="1" quotePrefix="1">
      <alignment horizontal="center"/>
      <protection/>
    </xf>
    <xf numFmtId="168" fontId="7" fillId="0" borderId="40" xfId="0" applyNumberFormat="1" applyFont="1" applyBorder="1" applyAlignment="1">
      <alignment horizontal="center"/>
    </xf>
    <xf numFmtId="4" fontId="29" fillId="0" borderId="40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4" fillId="20" borderId="14" xfId="0" applyNumberFormat="1" applyFont="1" applyFill="1" applyBorder="1" applyAlignment="1" applyProtection="1">
      <alignment horizontal="center" vertical="center"/>
      <protection/>
    </xf>
    <xf numFmtId="0" fontId="60" fillId="4" borderId="14" xfId="0" applyFont="1" applyFill="1" applyBorder="1" applyAlignment="1" applyProtection="1">
      <alignment horizontal="center" vertical="center"/>
      <protection/>
    </xf>
    <xf numFmtId="0" fontId="64" fillId="6" borderId="14" xfId="0" applyFont="1" applyFill="1" applyBorder="1" applyAlignment="1">
      <alignment horizontal="center" vertical="center" wrapText="1"/>
    </xf>
    <xf numFmtId="0" fontId="50" fillId="21" borderId="8" xfId="0" applyFont="1" applyFill="1" applyBorder="1" applyAlignment="1">
      <alignment horizontal="centerContinuous" vertical="center" wrapText="1"/>
    </xf>
    <xf numFmtId="0" fontId="105" fillId="21" borderId="15" xfId="0" applyFont="1" applyFill="1" applyBorder="1" applyAlignment="1">
      <alignment horizontal="centerContinuous"/>
    </xf>
    <xf numFmtId="0" fontId="50" fillId="21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7" fillId="20" borderId="2" xfId="0" applyFont="1" applyFill="1" applyBorder="1" applyAlignment="1">
      <alignment/>
    </xf>
    <xf numFmtId="0" fontId="61" fillId="4" borderId="2" xfId="0" applyFont="1" applyFill="1" applyBorder="1" applyAlignment="1">
      <alignment/>
    </xf>
    <xf numFmtId="0" fontId="106" fillId="3" borderId="2" xfId="0" applyFont="1" applyFill="1" applyBorder="1" applyAlignment="1">
      <alignment/>
    </xf>
    <xf numFmtId="0" fontId="65" fillId="6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07" fillId="21" borderId="22" xfId="0" applyNumberFormat="1" applyFont="1" applyFill="1" applyBorder="1" applyAlignment="1" applyProtection="1" quotePrefix="1">
      <alignment horizontal="center"/>
      <protection/>
    </xf>
    <xf numFmtId="168" fontId="107" fillId="21" borderId="25" xfId="0" applyNumberFormat="1" applyFont="1" applyFill="1" applyBorder="1" applyAlignment="1" applyProtection="1" quotePrefix="1">
      <alignment horizontal="center"/>
      <protection/>
    </xf>
    <xf numFmtId="4" fontId="107" fillId="21" borderId="4" xfId="0" applyNumberFormat="1" applyFont="1" applyFill="1" applyBorder="1" applyAlignment="1" applyProtection="1">
      <alignment horizontal="center"/>
      <protection/>
    </xf>
    <xf numFmtId="0" fontId="87" fillId="20" borderId="2" xfId="0" applyFont="1" applyFill="1" applyBorder="1" applyAlignment="1" applyProtection="1">
      <alignment horizontal="center"/>
      <protection/>
    </xf>
    <xf numFmtId="174" fontId="61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8" fillId="3" borderId="2" xfId="0" applyNumberFormat="1" applyFont="1" applyFill="1" applyBorder="1" applyAlignment="1" applyProtection="1">
      <alignment horizontal="center"/>
      <protection locked="0"/>
    </xf>
    <xf numFmtId="2" fontId="66" fillId="6" borderId="4" xfId="0" applyNumberFormat="1" applyFont="1" applyFill="1" applyBorder="1" applyAlignment="1" applyProtection="1">
      <alignment horizontal="center"/>
      <protection locked="0"/>
    </xf>
    <xf numFmtId="168" fontId="51" fillId="21" borderId="22" xfId="0" applyNumberFormat="1" applyFont="1" applyFill="1" applyBorder="1" applyAlignment="1" applyProtection="1" quotePrefix="1">
      <alignment horizontal="center"/>
      <protection locked="0"/>
    </xf>
    <xf numFmtId="168" fontId="51" fillId="21" borderId="25" xfId="0" applyNumberFormat="1" applyFont="1" applyFill="1" applyBorder="1" applyAlignment="1" applyProtection="1" quotePrefix="1">
      <alignment horizontal="center"/>
      <protection locked="0"/>
    </xf>
    <xf numFmtId="4" fontId="51" fillId="21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7" applyFont="1" applyFill="1" applyBorder="1" applyAlignment="1" applyProtection="1">
      <alignment horizontal="center"/>
      <protection locked="0"/>
    </xf>
    <xf numFmtId="164" fontId="7" fillId="0" borderId="2" xfId="27" applyNumberFormat="1" applyFont="1" applyFill="1" applyBorder="1" applyAlignment="1" applyProtection="1">
      <alignment horizontal="center"/>
      <protection locked="0"/>
    </xf>
    <xf numFmtId="22" fontId="7" fillId="0" borderId="4" xfId="27" applyNumberFormat="1" applyFont="1" applyFill="1" applyBorder="1" applyAlignment="1" applyProtection="1">
      <alignment horizontal="center"/>
      <protection locked="0"/>
    </xf>
    <xf numFmtId="22" fontId="7" fillId="0" borderId="21" xfId="27" applyNumberFormat="1" applyFont="1" applyFill="1" applyBorder="1" applyAlignment="1" applyProtection="1">
      <alignment horizontal="center"/>
      <protection locked="0"/>
    </xf>
    <xf numFmtId="0" fontId="87" fillId="20" borderId="3" xfId="0" applyFont="1" applyFill="1" applyBorder="1" applyAlignment="1" applyProtection="1">
      <alignment horizontal="center"/>
      <protection/>
    </xf>
    <xf numFmtId="174" fontId="61" fillId="4" borderId="3" xfId="0" applyNumberFormat="1" applyFont="1" applyFill="1" applyBorder="1" applyAlignment="1" applyProtection="1">
      <alignment horizontal="center"/>
      <protection/>
    </xf>
    <xf numFmtId="2" fontId="106" fillId="3" borderId="3" xfId="0" applyNumberFormat="1" applyFont="1" applyFill="1" applyBorder="1" applyAlignment="1" applyProtection="1">
      <alignment horizontal="center"/>
      <protection locked="0"/>
    </xf>
    <xf numFmtId="2" fontId="66" fillId="6" borderId="3" xfId="0" applyNumberFormat="1" applyFont="1" applyFill="1" applyBorder="1" applyAlignment="1" applyProtection="1">
      <alignment horizontal="center"/>
      <protection locked="0"/>
    </xf>
    <xf numFmtId="168" fontId="51" fillId="21" borderId="26" xfId="0" applyNumberFormat="1" applyFont="1" applyFill="1" applyBorder="1" applyAlignment="1" applyProtection="1" quotePrefix="1">
      <alignment horizontal="center"/>
      <protection locked="0"/>
    </xf>
    <xf numFmtId="168" fontId="51" fillId="21" borderId="27" xfId="0" applyNumberFormat="1" applyFont="1" applyFill="1" applyBorder="1" applyAlignment="1" applyProtection="1" quotePrefix="1">
      <alignment horizontal="center"/>
      <protection locked="0"/>
    </xf>
    <xf numFmtId="4" fontId="51" fillId="21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8" fillId="3" borderId="14" xfId="0" applyNumberFormat="1" applyFont="1" applyFill="1" applyBorder="1" applyAlignment="1" applyProtection="1">
      <alignment horizontal="center"/>
      <protection/>
    </xf>
    <xf numFmtId="2" fontId="66" fillId="6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51" fillId="21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24" applyFont="1" applyFill="1" applyAlignment="1">
      <alignment/>
      <protection/>
    </xf>
    <xf numFmtId="0" fontId="0" fillId="0" borderId="65" xfId="0" applyFont="1" applyBorder="1" applyAlignment="1">
      <alignment/>
    </xf>
    <xf numFmtId="0" fontId="0" fillId="2" borderId="6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7" fillId="0" borderId="17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106" fillId="0" borderId="17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07" fillId="0" borderId="33" xfId="0" applyFont="1" applyFill="1" applyBorder="1" applyAlignment="1">
      <alignment/>
    </xf>
    <xf numFmtId="0" fontId="107" fillId="0" borderId="72" xfId="0" applyFont="1" applyFill="1" applyBorder="1" applyAlignment="1">
      <alignment/>
    </xf>
    <xf numFmtId="0" fontId="107" fillId="0" borderId="34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0" fillId="0" borderId="65" xfId="0" applyFont="1" applyBorder="1" applyAlignment="1" quotePrefix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0" fontId="39" fillId="0" borderId="65" xfId="0" applyFont="1" applyBorder="1" applyAlignment="1">
      <alignment/>
    </xf>
    <xf numFmtId="0" fontId="39" fillId="0" borderId="65" xfId="0" applyFont="1" applyFill="1" applyBorder="1" applyAlignment="1">
      <alignment/>
    </xf>
    <xf numFmtId="0" fontId="39" fillId="0" borderId="73" xfId="0" applyFont="1" applyBorder="1" applyAlignment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7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2" applyFont="1" applyBorder="1" applyAlignment="1" applyProtection="1">
      <alignment horizontal="center"/>
      <protection locked="0"/>
    </xf>
    <xf numFmtId="0" fontId="0" fillId="2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0" fontId="108" fillId="0" borderId="65" xfId="0" applyFont="1" applyBorder="1" applyAlignment="1">
      <alignment/>
    </xf>
    <xf numFmtId="0" fontId="108" fillId="0" borderId="73" xfId="0" applyFont="1" applyBorder="1" applyAlignment="1">
      <alignment/>
    </xf>
    <xf numFmtId="0" fontId="109" fillId="0" borderId="65" xfId="0" applyFont="1" applyBorder="1" applyAlignment="1">
      <alignment/>
    </xf>
    <xf numFmtId="0" fontId="109" fillId="0" borderId="73" xfId="0" applyFont="1" applyBorder="1" applyAlignment="1">
      <alignment/>
    </xf>
    <xf numFmtId="0" fontId="110" fillId="0" borderId="65" xfId="0" applyFont="1" applyBorder="1" applyAlignment="1">
      <alignment/>
    </xf>
    <xf numFmtId="0" fontId="110" fillId="0" borderId="65" xfId="0" applyFont="1" applyFill="1" applyBorder="1" applyAlignment="1">
      <alignment/>
    </xf>
    <xf numFmtId="0" fontId="109" fillId="0" borderId="65" xfId="0" applyFont="1" applyFill="1" applyBorder="1" applyAlignment="1">
      <alignment/>
    </xf>
    <xf numFmtId="0" fontId="111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113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68" fontId="9" fillId="0" borderId="16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>
      <alignment horizontal="center"/>
    </xf>
    <xf numFmtId="0" fontId="43" fillId="23" borderId="14" xfId="0" applyFont="1" applyFill="1" applyBorder="1" applyAlignment="1">
      <alignment vertical="center" wrapText="1"/>
    </xf>
    <xf numFmtId="0" fontId="46" fillId="23" borderId="17" xfId="0" applyFont="1" applyFill="1" applyBorder="1" applyAlignment="1">
      <alignment horizontal="left"/>
    </xf>
    <xf numFmtId="2" fontId="45" fillId="23" borderId="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4" fontId="7" fillId="0" borderId="16" xfId="0" applyNumberFormat="1" applyFont="1" applyFill="1" applyBorder="1" applyAlignment="1" applyProtection="1">
      <alignment horizontal="center"/>
      <protection/>
    </xf>
    <xf numFmtId="2" fontId="62" fillId="0" borderId="16" xfId="0" applyNumberFormat="1" applyFont="1" applyFill="1" applyBorder="1" applyAlignment="1">
      <alignment horizontal="center"/>
    </xf>
    <xf numFmtId="168" fontId="22" fillId="0" borderId="23" xfId="0" applyNumberFormat="1" applyFont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45" fillId="23" borderId="40" xfId="0" applyNumberFormat="1" applyFont="1" applyFill="1" applyBorder="1" applyAlignment="1">
      <alignment horizontal="center"/>
    </xf>
    <xf numFmtId="0" fontId="116" fillId="0" borderId="0" xfId="24" applyFont="1" applyFill="1" applyAlignment="1">
      <alignment/>
      <protection/>
    </xf>
    <xf numFmtId="168" fontId="79" fillId="11" borderId="39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>
      <alignment horizontal="center"/>
      <protection locked="0"/>
    </xf>
    <xf numFmtId="168" fontId="112" fillId="0" borderId="0" xfId="0" applyNumberFormat="1" applyFont="1" applyBorder="1" applyAlignment="1" applyProtection="1">
      <alignment horizontal="left" vertical="center"/>
      <protection/>
    </xf>
    <xf numFmtId="22" fontId="7" fillId="0" borderId="19" xfId="0" applyNumberFormat="1" applyFont="1" applyFill="1" applyBorder="1" applyAlignment="1">
      <alignment horizontal="center"/>
    </xf>
    <xf numFmtId="0" fontId="7" fillId="0" borderId="46" xfId="22" applyFont="1" applyBorder="1" applyAlignment="1" applyProtection="1">
      <alignment horizontal="center"/>
      <protection locked="0"/>
    </xf>
    <xf numFmtId="0" fontId="7" fillId="0" borderId="74" xfId="0" applyFont="1" applyBorder="1" applyAlignment="1" applyProtection="1">
      <alignment horizontal="center"/>
      <protection/>
    </xf>
    <xf numFmtId="0" fontId="7" fillId="0" borderId="75" xfId="0" applyFont="1" applyBorder="1" applyAlignment="1" applyProtection="1">
      <alignment horizontal="center"/>
      <protection/>
    </xf>
    <xf numFmtId="164" fontId="7" fillId="0" borderId="74" xfId="0" applyNumberFormat="1" applyFont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76" xfId="0" applyNumberFormat="1" applyFont="1" applyBorder="1" applyAlignment="1" applyProtection="1">
      <alignment horizontal="center"/>
      <protection/>
    </xf>
    <xf numFmtId="22" fontId="7" fillId="0" borderId="19" xfId="0" applyNumberFormat="1" applyFont="1" applyFill="1" applyBorder="1" applyAlignment="1" applyProtection="1">
      <alignment horizontal="center"/>
      <protection/>
    </xf>
    <xf numFmtId="0" fontId="11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0" xfId="0" applyFont="1" applyAlignment="1">
      <alignment horizontal="centerContinuous"/>
    </xf>
    <xf numFmtId="0" fontId="119" fillId="0" borderId="0" xfId="0" applyFont="1" applyAlignment="1">
      <alignment horizontal="centerContinuous"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19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0" fillId="0" borderId="0" xfId="0" applyFont="1" applyAlignment="1">
      <alignment vertical="center"/>
    </xf>
    <xf numFmtId="0" fontId="120" fillId="0" borderId="7" xfId="0" applyFont="1" applyBorder="1" applyAlignment="1">
      <alignment vertical="center"/>
    </xf>
    <xf numFmtId="0" fontId="120" fillId="0" borderId="21" xfId="0" applyFont="1" applyBorder="1" applyAlignment="1">
      <alignment vertical="center"/>
    </xf>
    <xf numFmtId="0" fontId="120" fillId="0" borderId="2" xfId="0" applyFont="1" applyBorder="1" applyAlignment="1">
      <alignment vertical="center"/>
    </xf>
    <xf numFmtId="0" fontId="120" fillId="24" borderId="2" xfId="0" applyFont="1" applyFill="1" applyBorder="1" applyAlignment="1">
      <alignment vertical="center"/>
    </xf>
    <xf numFmtId="0" fontId="120" fillId="0" borderId="31" xfId="0" applyFont="1" applyBorder="1" applyAlignment="1">
      <alignment vertical="center"/>
    </xf>
    <xf numFmtId="0" fontId="120" fillId="0" borderId="1" xfId="0" applyFont="1" applyBorder="1" applyAlignment="1">
      <alignment vertical="center"/>
    </xf>
    <xf numFmtId="0" fontId="120" fillId="1" borderId="22" xfId="0" applyFont="1" applyFill="1" applyBorder="1" applyAlignment="1">
      <alignment horizontal="center" vertical="center"/>
    </xf>
    <xf numFmtId="0" fontId="120" fillId="1" borderId="2" xfId="0" applyFont="1" applyFill="1" applyBorder="1" applyAlignment="1">
      <alignment horizontal="center" vertical="center"/>
    </xf>
    <xf numFmtId="0" fontId="120" fillId="24" borderId="19" xfId="0" applyFont="1" applyFill="1" applyBorder="1" applyAlignment="1">
      <alignment horizontal="center" vertical="center"/>
    </xf>
    <xf numFmtId="0" fontId="120" fillId="0" borderId="46" xfId="0" applyFont="1" applyBorder="1" applyAlignment="1">
      <alignment vertical="center"/>
    </xf>
    <xf numFmtId="0" fontId="120" fillId="0" borderId="38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20" fillId="1" borderId="38" xfId="0" applyFont="1" applyFill="1" applyBorder="1" applyAlignment="1">
      <alignment horizontal="center" vertical="center"/>
    </xf>
    <xf numFmtId="0" fontId="120" fillId="1" borderId="19" xfId="0" applyFont="1" applyFill="1" applyBorder="1" applyAlignment="1">
      <alignment horizontal="center" vertical="center"/>
    </xf>
    <xf numFmtId="0" fontId="120" fillId="0" borderId="41" xfId="0" applyFont="1" applyBorder="1" applyAlignment="1">
      <alignment horizontal="center" vertical="center"/>
    </xf>
    <xf numFmtId="0" fontId="120" fillId="0" borderId="40" xfId="0" applyFont="1" applyBorder="1" applyAlignment="1">
      <alignment horizontal="center" vertical="center"/>
    </xf>
    <xf numFmtId="0" fontId="120" fillId="24" borderId="4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right" vertical="center"/>
    </xf>
    <xf numFmtId="170" fontId="121" fillId="0" borderId="14" xfId="0" applyNumberFormat="1" applyFont="1" applyFill="1" applyBorder="1" applyAlignment="1">
      <alignment horizontal="center" vertical="center"/>
    </xf>
    <xf numFmtId="0" fontId="120" fillId="0" borderId="8" xfId="0" applyFont="1" applyFill="1" applyBorder="1" applyAlignment="1">
      <alignment horizontal="center" vertical="center"/>
    </xf>
    <xf numFmtId="0" fontId="120" fillId="0" borderId="15" xfId="0" applyFont="1" applyFill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20" fillId="0" borderId="0" xfId="0" applyFont="1" applyBorder="1" applyAlignment="1">
      <alignment vertical="center"/>
    </xf>
    <xf numFmtId="0" fontId="120" fillId="0" borderId="0" xfId="0" applyFont="1" applyBorder="1" applyAlignment="1">
      <alignment horizontal="right" vertical="center"/>
    </xf>
    <xf numFmtId="0" fontId="121" fillId="0" borderId="0" xfId="0" applyFont="1" applyBorder="1" applyAlignment="1">
      <alignment horizontal="right" vertical="center"/>
    </xf>
    <xf numFmtId="0" fontId="120" fillId="0" borderId="14" xfId="0" applyFont="1" applyBorder="1" applyAlignment="1">
      <alignment horizontal="center" vertical="center"/>
    </xf>
    <xf numFmtId="2" fontId="121" fillId="24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2" fillId="24" borderId="60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5" fillId="0" borderId="0" xfId="27" applyFont="1" applyFill="1">
      <alignment/>
      <protection/>
    </xf>
    <xf numFmtId="0" fontId="15" fillId="0" borderId="0" xfId="27" applyFont="1">
      <alignment/>
      <protection/>
    </xf>
    <xf numFmtId="0" fontId="16" fillId="0" borderId="0" xfId="27" applyFont="1" applyAlignment="1">
      <alignment horizontal="centerContinuous"/>
      <protection/>
    </xf>
    <xf numFmtId="0" fontId="16" fillId="0" borderId="0" xfId="27" applyFont="1" applyFill="1" applyAlignment="1">
      <alignment horizontal="centerContinuous"/>
      <protection/>
    </xf>
    <xf numFmtId="0" fontId="7" fillId="0" borderId="0" xfId="27" applyFont="1" applyFill="1">
      <alignment/>
      <protection/>
    </xf>
    <xf numFmtId="0" fontId="7" fillId="0" borderId="0" xfId="27" applyFont="1">
      <alignment/>
      <protection/>
    </xf>
    <xf numFmtId="0" fontId="14" fillId="0" borderId="0" xfId="27" applyFont="1" applyFill="1" applyBorder="1" applyAlignment="1" applyProtection="1">
      <alignment horizontal="centerContinuous"/>
      <protection/>
    </xf>
    <xf numFmtId="0" fontId="18" fillId="0" borderId="0" xfId="27" applyFont="1" applyAlignment="1">
      <alignment horizontal="centerContinuous"/>
      <protection/>
    </xf>
    <xf numFmtId="0" fontId="18" fillId="0" borderId="0" xfId="27" applyFont="1">
      <alignment/>
      <protection/>
    </xf>
    <xf numFmtId="0" fontId="18" fillId="0" borderId="0" xfId="27" applyFont="1" applyFill="1">
      <alignment/>
      <protection/>
    </xf>
    <xf numFmtId="0" fontId="20" fillId="0" borderId="0" xfId="27" applyFont="1">
      <alignment/>
      <protection/>
    </xf>
    <xf numFmtId="0" fontId="20" fillId="0" borderId="0" xfId="27" applyFont="1" applyBorder="1">
      <alignment/>
      <protection/>
    </xf>
    <xf numFmtId="0" fontId="11" fillId="0" borderId="0" xfId="27" applyFont="1" applyBorder="1" applyAlignment="1">
      <alignment horizontal="left"/>
      <protection/>
    </xf>
    <xf numFmtId="0" fontId="11" fillId="0" borderId="0" xfId="27" applyFont="1" applyBorder="1">
      <alignment/>
      <protection/>
    </xf>
    <xf numFmtId="0" fontId="20" fillId="0" borderId="0" xfId="27" applyFont="1" applyFill="1" applyBorder="1">
      <alignment/>
      <protection/>
    </xf>
    <xf numFmtId="0" fontId="7" fillId="0" borderId="0" xfId="27" applyFont="1" applyBorder="1">
      <alignment/>
      <protection/>
    </xf>
    <xf numFmtId="0" fontId="7" fillId="0" borderId="0" xfId="27" applyFont="1" applyFill="1" applyBorder="1">
      <alignment/>
      <protection/>
    </xf>
    <xf numFmtId="0" fontId="11" fillId="0" borderId="0" xfId="27" applyFont="1" applyBorder="1" applyProtection="1">
      <alignment/>
      <protection locked="0"/>
    </xf>
    <xf numFmtId="0" fontId="23" fillId="0" borderId="0" xfId="27" applyFont="1">
      <alignment/>
      <protection/>
    </xf>
    <xf numFmtId="0" fontId="24" fillId="0" borderId="0" xfId="27" applyFont="1" applyBorder="1" applyAlignment="1">
      <alignment horizontal="centerContinuous"/>
      <protection/>
    </xf>
    <xf numFmtId="0" fontId="24" fillId="0" borderId="0" xfId="27" applyFont="1" applyFill="1" applyBorder="1" applyAlignment="1">
      <alignment horizontal="centerContinuous"/>
      <protection/>
    </xf>
    <xf numFmtId="0" fontId="7" fillId="0" borderId="0" xfId="27" applyFont="1" applyBorder="1" applyAlignment="1">
      <alignment horizontal="center"/>
      <protection/>
    </xf>
    <xf numFmtId="0" fontId="26" fillId="0" borderId="0" xfId="27" applyFont="1" applyBorder="1" applyAlignment="1">
      <alignment horizontal="left"/>
      <protection/>
    </xf>
    <xf numFmtId="0" fontId="0" fillId="0" borderId="8" xfId="27" applyFont="1" applyBorder="1" applyAlignment="1" applyProtection="1">
      <alignment horizontal="center"/>
      <protection/>
    </xf>
    <xf numFmtId="174" fontId="10" fillId="0" borderId="0" xfId="21" applyNumberFormat="1" applyFont="1" applyBorder="1" applyAlignment="1">
      <alignment horizontal="center"/>
      <protection/>
    </xf>
    <xf numFmtId="0" fontId="5" fillId="25" borderId="13" xfId="27" applyFont="1" applyFill="1" applyBorder="1" applyAlignment="1">
      <alignment horizontal="left"/>
      <protection/>
    </xf>
    <xf numFmtId="2" fontId="7" fillId="25" borderId="5" xfId="27" applyNumberFormat="1" applyFont="1" applyFill="1" applyBorder="1" applyAlignment="1">
      <alignment horizontal="left"/>
      <protection/>
    </xf>
    <xf numFmtId="0" fontId="7" fillId="25" borderId="6" xfId="27" applyFont="1" applyFill="1" applyBorder="1" applyAlignment="1">
      <alignment horizontal="left"/>
      <protection/>
    </xf>
    <xf numFmtId="0" fontId="5" fillId="8" borderId="77" xfId="27" applyFont="1" applyFill="1" applyBorder="1">
      <alignment/>
      <protection/>
    </xf>
    <xf numFmtId="0" fontId="5" fillId="8" borderId="78" xfId="27" applyFont="1" applyFill="1" applyBorder="1">
      <alignment/>
      <protection/>
    </xf>
    <xf numFmtId="0" fontId="5" fillId="8" borderId="79" xfId="27" applyFont="1" applyFill="1" applyBorder="1">
      <alignment/>
      <protection/>
    </xf>
    <xf numFmtId="174" fontId="0" fillId="0" borderId="0" xfId="27" applyNumberFormat="1" applyFont="1" applyBorder="1" applyAlignment="1">
      <alignment horizontal="centerContinuous"/>
      <protection/>
    </xf>
    <xf numFmtId="0" fontId="7" fillId="25" borderId="7" xfId="27" applyFont="1" applyFill="1" applyBorder="1" applyAlignment="1">
      <alignment horizontal="left"/>
      <protection/>
    </xf>
    <xf numFmtId="0" fontId="7" fillId="25" borderId="0" xfId="27" applyFont="1" applyFill="1" applyBorder="1" applyAlignment="1">
      <alignment horizontal="left"/>
      <protection/>
    </xf>
    <xf numFmtId="22" fontId="7" fillId="25" borderId="1" xfId="27" applyNumberFormat="1" applyFont="1" applyFill="1" applyBorder="1" applyAlignment="1">
      <alignment horizontal="left"/>
      <protection/>
    </xf>
    <xf numFmtId="22" fontId="7" fillId="0" borderId="0" xfId="27" applyNumberFormat="1" applyFont="1" applyBorder="1">
      <alignment/>
      <protection/>
    </xf>
    <xf numFmtId="0" fontId="5" fillId="8" borderId="80" xfId="27" applyFont="1" applyFill="1" applyBorder="1">
      <alignment/>
      <protection/>
    </xf>
    <xf numFmtId="0" fontId="5" fillId="8" borderId="0" xfId="27" applyFont="1" applyFill="1" applyBorder="1">
      <alignment/>
      <protection/>
    </xf>
    <xf numFmtId="0" fontId="5" fillId="8" borderId="81" xfId="27" applyFont="1" applyFill="1" applyBorder="1">
      <alignment/>
      <protection/>
    </xf>
    <xf numFmtId="0" fontId="5" fillId="0" borderId="0" xfId="27" applyFont="1" applyFill="1" applyBorder="1">
      <alignment/>
      <protection/>
    </xf>
    <xf numFmtId="0" fontId="7" fillId="0" borderId="0" xfId="27" applyFont="1" applyBorder="1" applyAlignment="1" applyProtection="1">
      <alignment horizontal="center"/>
      <protection/>
    </xf>
    <xf numFmtId="0" fontId="7" fillId="0" borderId="23" xfId="27" applyFont="1" applyBorder="1">
      <alignment/>
      <protection/>
    </xf>
    <xf numFmtId="0" fontId="7" fillId="25" borderId="10" xfId="27" applyFont="1" applyFill="1" applyBorder="1" applyAlignment="1">
      <alignment horizontal="left"/>
      <protection/>
    </xf>
    <xf numFmtId="0" fontId="5" fillId="25" borderId="11" xfId="27" applyFont="1" applyFill="1" applyBorder="1" applyAlignment="1">
      <alignment horizontal="left"/>
      <protection/>
    </xf>
    <xf numFmtId="0" fontId="5" fillId="25" borderId="12" xfId="27" applyFont="1" applyFill="1" applyBorder="1" applyAlignment="1">
      <alignment horizontal="left"/>
      <protection/>
    </xf>
    <xf numFmtId="0" fontId="5" fillId="8" borderId="82" xfId="27" applyFont="1" applyFill="1" applyBorder="1">
      <alignment/>
      <protection/>
    </xf>
    <xf numFmtId="0" fontId="5" fillId="8" borderId="83" xfId="27" applyFont="1" applyFill="1" applyBorder="1">
      <alignment/>
      <protection/>
    </xf>
    <xf numFmtId="0" fontId="5" fillId="8" borderId="84" xfId="27" applyFont="1" applyFill="1" applyBorder="1">
      <alignment/>
      <protection/>
    </xf>
    <xf numFmtId="0" fontId="7" fillId="0" borderId="0" xfId="27" applyFont="1" applyAlignment="1">
      <alignment vertical="center" wrapText="1"/>
      <protection/>
    </xf>
    <xf numFmtId="0" fontId="7" fillId="0" borderId="0" xfId="27" applyFont="1" applyBorder="1" applyAlignment="1">
      <alignment vertical="center" wrapText="1"/>
      <protection/>
    </xf>
    <xf numFmtId="0" fontId="27" fillId="0" borderId="14" xfId="27" applyFont="1" applyBorder="1" applyAlignment="1" applyProtection="1">
      <alignment horizontal="center" vertical="center" textRotation="90" wrapText="1"/>
      <protection/>
    </xf>
    <xf numFmtId="0" fontId="27" fillId="0" borderId="14" xfId="27" applyFont="1" applyBorder="1" applyAlignment="1">
      <alignment horizontal="center" vertical="center" wrapText="1"/>
      <protection/>
    </xf>
    <xf numFmtId="0" fontId="27" fillId="0" borderId="14" xfId="27" applyFont="1" applyBorder="1" applyAlignment="1" applyProtection="1">
      <alignment horizontal="center" vertical="center" wrapText="1"/>
      <protection/>
    </xf>
    <xf numFmtId="164" fontId="27" fillId="0" borderId="14" xfId="27" applyNumberFormat="1" applyFont="1" applyBorder="1" applyAlignment="1" applyProtection="1">
      <alignment horizontal="center" vertical="center" wrapText="1"/>
      <protection/>
    </xf>
    <xf numFmtId="168" fontId="27" fillId="0" borderId="14" xfId="27" applyNumberFormat="1" applyFont="1" applyBorder="1" applyAlignment="1" applyProtection="1">
      <alignment horizontal="center" vertical="center" wrapText="1"/>
      <protection/>
    </xf>
    <xf numFmtId="168" fontId="84" fillId="20" borderId="14" xfId="27" applyNumberFormat="1" applyFont="1" applyFill="1" applyBorder="1" applyAlignment="1" applyProtection="1">
      <alignment horizontal="center" vertical="center" wrapText="1"/>
      <protection/>
    </xf>
    <xf numFmtId="0" fontId="60" fillId="4" borderId="14" xfId="27" applyFont="1" applyFill="1" applyBorder="1" applyAlignment="1" applyProtection="1">
      <alignment horizontal="center" vertical="center" wrapText="1"/>
      <protection/>
    </xf>
    <xf numFmtId="0" fontId="27" fillId="0" borderId="8" xfId="27" applyFont="1" applyBorder="1" applyAlignment="1" applyProtection="1">
      <alignment horizontal="center" vertical="center" wrapText="1"/>
      <protection/>
    </xf>
    <xf numFmtId="0" fontId="27" fillId="0" borderId="8" xfId="27" applyFont="1" applyFill="1" applyBorder="1" applyAlignment="1" applyProtection="1">
      <alignment horizontal="center" vertical="center" wrapText="1"/>
      <protection/>
    </xf>
    <xf numFmtId="0" fontId="27" fillId="0" borderId="14" xfId="27" applyFont="1" applyFill="1" applyBorder="1" applyAlignment="1" applyProtection="1">
      <alignment horizontal="center" vertical="center" wrapText="1"/>
      <protection/>
    </xf>
    <xf numFmtId="0" fontId="38" fillId="2" borderId="18" xfId="27" applyFont="1" applyFill="1" applyBorder="1" applyAlignment="1" applyProtection="1">
      <alignment horizontal="centerContinuous" vertical="center" wrapText="1"/>
      <protection/>
    </xf>
    <xf numFmtId="0" fontId="39" fillId="2" borderId="23" xfId="27" applyFont="1" applyFill="1" applyBorder="1" applyAlignment="1">
      <alignment horizontal="centerContinuous" vertical="center" wrapText="1"/>
      <protection/>
    </xf>
    <xf numFmtId="0" fontId="38" fillId="2" borderId="20" xfId="27" applyFont="1" applyFill="1" applyBorder="1" applyAlignment="1">
      <alignment horizontal="centerContinuous" vertical="center" wrapText="1"/>
      <protection/>
    </xf>
    <xf numFmtId="0" fontId="27" fillId="0" borderId="14" xfId="27" applyFont="1" applyFill="1" applyBorder="1" applyAlignment="1">
      <alignment horizontal="center" vertical="center" wrapText="1"/>
      <protection/>
    </xf>
    <xf numFmtId="0" fontId="27" fillId="25" borderId="14" xfId="27" applyFont="1" applyFill="1" applyBorder="1" applyAlignment="1">
      <alignment horizontal="center" vertical="center" wrapText="1"/>
      <protection/>
    </xf>
    <xf numFmtId="0" fontId="7" fillId="0" borderId="17" xfId="27" applyFont="1" applyBorder="1">
      <alignment/>
      <protection/>
    </xf>
    <xf numFmtId="0" fontId="7" fillId="0" borderId="17" xfId="27" applyFont="1" applyBorder="1" applyAlignment="1">
      <alignment horizontal="center"/>
      <protection/>
    </xf>
    <xf numFmtId="0" fontId="87" fillId="20" borderId="17" xfId="27" applyFont="1" applyFill="1" applyBorder="1">
      <alignment/>
      <protection/>
    </xf>
    <xf numFmtId="0" fontId="61" fillId="4" borderId="17" xfId="27" applyFont="1" applyFill="1" applyBorder="1">
      <alignment/>
      <protection/>
    </xf>
    <xf numFmtId="0" fontId="7" fillId="0" borderId="17" xfId="27" applyFont="1" applyFill="1" applyBorder="1">
      <alignment/>
      <protection/>
    </xf>
    <xf numFmtId="0" fontId="7" fillId="26" borderId="17" xfId="27" applyFont="1" applyFill="1" applyBorder="1">
      <alignment/>
      <protection/>
    </xf>
    <xf numFmtId="0" fontId="7" fillId="2" borderId="33" xfId="27" applyFont="1" applyFill="1" applyBorder="1">
      <alignment/>
      <protection/>
    </xf>
    <xf numFmtId="0" fontId="7" fillId="2" borderId="72" xfId="27" applyFont="1" applyFill="1" applyBorder="1">
      <alignment/>
      <protection/>
    </xf>
    <xf numFmtId="0" fontId="7" fillId="2" borderId="34" xfId="27" applyFont="1" applyFill="1" applyBorder="1">
      <alignment/>
      <protection/>
    </xf>
    <xf numFmtId="7" fontId="10" fillId="0" borderId="17" xfId="27" applyNumberFormat="1" applyFont="1" applyFill="1" applyBorder="1" applyAlignment="1">
      <alignment/>
      <protection/>
    </xf>
    <xf numFmtId="7" fontId="10" fillId="0" borderId="0" xfId="27" applyNumberFormat="1" applyFont="1" applyBorder="1" applyAlignment="1">
      <alignment/>
      <protection/>
    </xf>
    <xf numFmtId="7" fontId="10" fillId="0" borderId="0" xfId="27" applyNumberFormat="1" applyFont="1" applyFill="1" applyBorder="1" applyAlignment="1">
      <alignment/>
      <protection/>
    </xf>
    <xf numFmtId="7" fontId="10" fillId="0" borderId="80" xfId="27" applyNumberFormat="1" applyFont="1" applyFill="1" applyBorder="1" applyAlignment="1">
      <alignment/>
      <protection/>
    </xf>
    <xf numFmtId="7" fontId="10" fillId="25" borderId="0" xfId="27" applyNumberFormat="1" applyFont="1" applyFill="1" applyBorder="1" applyAlignment="1">
      <alignment/>
      <protection/>
    </xf>
    <xf numFmtId="0" fontId="7" fillId="7" borderId="31" xfId="27" applyFont="1" applyFill="1" applyBorder="1">
      <alignment/>
      <protection/>
    </xf>
    <xf numFmtId="0" fontId="7" fillId="0" borderId="46" xfId="27" applyFont="1" applyBorder="1">
      <alignment/>
      <protection/>
    </xf>
    <xf numFmtId="0" fontId="7" fillId="0" borderId="49" xfId="27" applyFont="1" applyBorder="1">
      <alignment/>
      <protection/>
    </xf>
    <xf numFmtId="0" fontId="7" fillId="27" borderId="46" xfId="27" applyFont="1" applyFill="1" applyBorder="1" applyProtection="1">
      <alignment/>
      <protection locked="0"/>
    </xf>
    <xf numFmtId="0" fontId="7" fillId="27" borderId="46" xfId="27" applyFont="1" applyFill="1" applyBorder="1" applyAlignment="1" applyProtection="1">
      <alignment horizontal="center"/>
      <protection locked="0"/>
    </xf>
    <xf numFmtId="0" fontId="87" fillId="20" borderId="46" xfId="27" applyFont="1" applyFill="1" applyBorder="1" applyProtection="1">
      <alignment/>
      <protection locked="0"/>
    </xf>
    <xf numFmtId="0" fontId="61" fillId="4" borderId="46" xfId="27" applyFont="1" applyFill="1" applyBorder="1" applyProtection="1">
      <alignment/>
      <protection locked="0"/>
    </xf>
    <xf numFmtId="22" fontId="7" fillId="27" borderId="49" xfId="27" applyNumberFormat="1" applyFont="1" applyFill="1" applyBorder="1" applyAlignment="1" applyProtection="1">
      <alignment horizontal="center"/>
      <protection locked="0"/>
    </xf>
    <xf numFmtId="0" fontId="7" fillId="27" borderId="0" xfId="27" applyFont="1" applyFill="1" applyBorder="1" applyProtection="1">
      <alignment/>
      <protection locked="0"/>
    </xf>
    <xf numFmtId="0" fontId="7" fillId="0" borderId="46" xfId="27" applyFont="1" applyFill="1" applyBorder="1">
      <alignment/>
      <protection/>
    </xf>
    <xf numFmtId="0" fontId="7" fillId="27" borderId="49" xfId="27" applyFont="1" applyFill="1" applyBorder="1" applyProtection="1">
      <alignment/>
      <protection locked="0"/>
    </xf>
    <xf numFmtId="168" fontId="9" fillId="2" borderId="85" xfId="27" applyNumberFormat="1" applyFont="1" applyFill="1" applyBorder="1" applyAlignment="1" applyProtection="1" quotePrefix="1">
      <alignment horizontal="center"/>
      <protection/>
    </xf>
    <xf numFmtId="4" fontId="9" fillId="2" borderId="85" xfId="27" applyNumberFormat="1" applyFont="1" applyFill="1" applyBorder="1" applyAlignment="1" applyProtection="1">
      <alignment horizontal="center"/>
      <protection/>
    </xf>
    <xf numFmtId="0" fontId="10" fillId="0" borderId="49" xfId="27" applyFont="1" applyFill="1" applyBorder="1">
      <alignment/>
      <protection/>
    </xf>
    <xf numFmtId="0" fontId="10" fillId="27" borderId="49" xfId="27" applyFont="1" applyFill="1" applyBorder="1" applyProtection="1">
      <alignment/>
      <protection locked="0"/>
    </xf>
    <xf numFmtId="0" fontId="10" fillId="0" borderId="86" xfId="27" applyFont="1" applyFill="1" applyBorder="1">
      <alignment/>
      <protection/>
    </xf>
    <xf numFmtId="0" fontId="10" fillId="25" borderId="49" xfId="27" applyFont="1" applyFill="1" applyBorder="1">
      <alignment/>
      <protection/>
    </xf>
    <xf numFmtId="0" fontId="10" fillId="0" borderId="49" xfId="27" applyFont="1" applyBorder="1">
      <alignment/>
      <protection/>
    </xf>
    <xf numFmtId="0" fontId="7" fillId="0" borderId="87" xfId="27" applyFont="1" applyFill="1" applyBorder="1" applyAlignment="1">
      <alignment horizontal="center"/>
      <protection/>
    </xf>
    <xf numFmtId="0" fontId="7" fillId="27" borderId="87" xfId="21" applyFont="1" applyFill="1" applyBorder="1" applyAlignment="1" applyProtection="1">
      <alignment horizontal="center"/>
      <protection locked="0"/>
    </xf>
    <xf numFmtId="0" fontId="61" fillId="4" borderId="87" xfId="27" applyFont="1" applyFill="1" applyBorder="1" applyProtection="1">
      <alignment/>
      <protection locked="0"/>
    </xf>
    <xf numFmtId="4" fontId="7" fillId="0" borderId="87" xfId="27" applyNumberFormat="1" applyFont="1" applyFill="1" applyBorder="1" applyAlignment="1" applyProtection="1" quotePrefix="1">
      <alignment horizontal="center"/>
      <protection/>
    </xf>
    <xf numFmtId="164" fontId="7" fillId="0" borderId="87" xfId="27" applyNumberFormat="1" applyFont="1" applyFill="1" applyBorder="1" applyAlignment="1" applyProtection="1" quotePrefix="1">
      <alignment horizontal="center"/>
      <protection/>
    </xf>
    <xf numFmtId="173" fontId="7" fillId="0" borderId="87" xfId="27" applyNumberFormat="1" applyFont="1" applyFill="1" applyBorder="1" applyAlignment="1" applyProtection="1" quotePrefix="1">
      <alignment horizontal="center"/>
      <protection/>
    </xf>
    <xf numFmtId="168" fontId="7" fillId="0" borderId="87" xfId="27" applyNumberFormat="1" applyFont="1" applyFill="1" applyBorder="1" applyAlignment="1" applyProtection="1">
      <alignment horizontal="center"/>
      <protection/>
    </xf>
    <xf numFmtId="168" fontId="9" fillId="2" borderId="87" xfId="27" applyNumberFormat="1" applyFont="1" applyFill="1" applyBorder="1" applyAlignment="1" applyProtection="1" quotePrefix="1">
      <alignment horizontal="center"/>
      <protection/>
    </xf>
    <xf numFmtId="4" fontId="9" fillId="2" borderId="87" xfId="27" applyNumberFormat="1" applyFont="1" applyFill="1" applyBorder="1" applyAlignment="1" applyProtection="1">
      <alignment horizontal="center"/>
      <protection/>
    </xf>
    <xf numFmtId="4" fontId="9" fillId="0" borderId="87" xfId="27" applyNumberFormat="1" applyFont="1" applyFill="1" applyBorder="1" applyAlignment="1" applyProtection="1">
      <alignment horizontal="center"/>
      <protection/>
    </xf>
    <xf numFmtId="4" fontId="10" fillId="27" borderId="87" xfId="27" applyNumberFormat="1" applyFont="1" applyFill="1" applyBorder="1" applyAlignment="1" applyProtection="1">
      <alignment horizontal="center"/>
      <protection locked="0"/>
    </xf>
    <xf numFmtId="170" fontId="10" fillId="0" borderId="87" xfId="27" applyNumberFormat="1" applyFont="1" applyFill="1" applyBorder="1" applyAlignment="1">
      <alignment horizontal="center"/>
      <protection/>
    </xf>
    <xf numFmtId="4" fontId="10" fillId="0" borderId="87" xfId="27" applyNumberFormat="1" applyFont="1" applyFill="1" applyBorder="1" applyAlignment="1">
      <alignment horizontal="center"/>
      <protection/>
    </xf>
    <xf numFmtId="0" fontId="7" fillId="0" borderId="19" xfId="27" applyFont="1" applyFill="1" applyBorder="1" applyAlignment="1">
      <alignment horizontal="center"/>
      <protection/>
    </xf>
    <xf numFmtId="164" fontId="7" fillId="27" borderId="19" xfId="21" applyNumberFormat="1" applyFont="1" applyFill="1" applyBorder="1" applyAlignment="1" applyProtection="1">
      <alignment horizontal="center"/>
      <protection locked="0"/>
    </xf>
    <xf numFmtId="4" fontId="7" fillId="0" borderId="19" xfId="27" applyNumberFormat="1" applyFont="1" applyFill="1" applyBorder="1" applyAlignment="1" applyProtection="1" quotePrefix="1">
      <alignment horizontal="center"/>
      <protection/>
    </xf>
    <xf numFmtId="164" fontId="7" fillId="0" borderId="19" xfId="27" applyNumberFormat="1" applyFont="1" applyFill="1" applyBorder="1" applyAlignment="1" applyProtection="1" quotePrefix="1">
      <alignment horizontal="center"/>
      <protection/>
    </xf>
    <xf numFmtId="173" fontId="7" fillId="0" borderId="19" xfId="27" applyNumberFormat="1" applyFont="1" applyFill="1" applyBorder="1" applyAlignment="1" applyProtection="1" quotePrefix="1">
      <alignment horizontal="center"/>
      <protection/>
    </xf>
    <xf numFmtId="168" fontId="7" fillId="0" borderId="19" xfId="27" applyNumberFormat="1" applyFont="1" applyFill="1" applyBorder="1" applyAlignment="1" applyProtection="1">
      <alignment horizontal="center"/>
      <protection/>
    </xf>
    <xf numFmtId="168" fontId="9" fillId="2" borderId="19" xfId="27" applyNumberFormat="1" applyFont="1" applyFill="1" applyBorder="1" applyAlignment="1" applyProtection="1" quotePrefix="1">
      <alignment horizontal="center"/>
      <protection/>
    </xf>
    <xf numFmtId="4" fontId="9" fillId="2" borderId="19" xfId="27" applyNumberFormat="1" applyFont="1" applyFill="1" applyBorder="1" applyAlignment="1" applyProtection="1">
      <alignment horizontal="center"/>
      <protection/>
    </xf>
    <xf numFmtId="4" fontId="9" fillId="0" borderId="19" xfId="27" applyNumberFormat="1" applyFont="1" applyFill="1" applyBorder="1" applyAlignment="1" applyProtection="1">
      <alignment horizontal="center"/>
      <protection/>
    </xf>
    <xf numFmtId="4" fontId="10" fillId="0" borderId="87" xfId="27" applyNumberFormat="1" applyFont="1" applyFill="1" applyBorder="1" applyAlignment="1">
      <alignment horizontal="right"/>
      <protection/>
    </xf>
    <xf numFmtId="0" fontId="7" fillId="27" borderId="19" xfId="21" applyFont="1" applyFill="1" applyBorder="1" applyAlignment="1" applyProtection="1">
      <alignment horizontal="center"/>
      <protection locked="0"/>
    </xf>
    <xf numFmtId="165" fontId="7" fillId="27" borderId="19" xfId="21" applyNumberFormat="1" applyFont="1" applyFill="1" applyBorder="1" applyAlignment="1" applyProtection="1">
      <alignment horizontal="center"/>
      <protection locked="0"/>
    </xf>
    <xf numFmtId="0" fontId="87" fillId="20" borderId="19" xfId="27" applyFont="1" applyFill="1" applyBorder="1" applyProtection="1">
      <alignment/>
      <protection locked="0"/>
    </xf>
    <xf numFmtId="0" fontId="61" fillId="4" borderId="19" xfId="27" applyFont="1" applyFill="1" applyBorder="1" applyProtection="1">
      <alignment/>
      <protection locked="0"/>
    </xf>
    <xf numFmtId="22" fontId="7" fillId="27" borderId="19" xfId="21" applyNumberFormat="1" applyFont="1" applyFill="1" applyBorder="1" applyAlignment="1" applyProtection="1">
      <alignment horizontal="center"/>
      <protection locked="0"/>
    </xf>
    <xf numFmtId="168" fontId="7" fillId="27" borderId="19" xfId="27" applyNumberFormat="1" applyFont="1" applyFill="1" applyBorder="1" applyAlignment="1" applyProtection="1">
      <alignment horizontal="center"/>
      <protection locked="0"/>
    </xf>
    <xf numFmtId="4" fontId="10" fillId="0" borderId="19" xfId="27" applyNumberFormat="1" applyFont="1" applyFill="1" applyBorder="1" applyAlignment="1">
      <alignment horizontal="right"/>
      <protection/>
    </xf>
    <xf numFmtId="179" fontId="10" fillId="27" borderId="19" xfId="27" applyNumberFormat="1" applyFont="1" applyFill="1" applyBorder="1" applyAlignment="1" applyProtection="1">
      <alignment horizontal="right"/>
      <protection locked="0"/>
    </xf>
    <xf numFmtId="3" fontId="10" fillId="0" borderId="19" xfId="27" applyNumberFormat="1" applyFont="1" applyFill="1" applyBorder="1" applyAlignment="1">
      <alignment horizontal="right"/>
      <protection/>
    </xf>
    <xf numFmtId="4" fontId="10" fillId="27" borderId="19" xfId="27" applyNumberFormat="1" applyFont="1" applyFill="1" applyBorder="1" applyAlignment="1" applyProtection="1">
      <alignment horizontal="right"/>
      <protection locked="0"/>
    </xf>
    <xf numFmtId="4" fontId="10" fillId="25" borderId="19" xfId="27" applyNumberFormat="1" applyFont="1" applyFill="1" applyBorder="1" applyAlignment="1">
      <alignment horizontal="right"/>
      <protection/>
    </xf>
    <xf numFmtId="180" fontId="10" fillId="25" borderId="19" xfId="27" applyNumberFormat="1" applyFont="1" applyFill="1" applyBorder="1" applyAlignment="1">
      <alignment horizontal="right"/>
      <protection/>
    </xf>
    <xf numFmtId="0" fontId="7" fillId="0" borderId="85" xfId="27" applyFont="1" applyFill="1" applyBorder="1" applyAlignment="1">
      <alignment horizontal="center"/>
      <protection/>
    </xf>
    <xf numFmtId="0" fontId="7" fillId="27" borderId="85" xfId="21" applyFont="1" applyFill="1" applyBorder="1" applyAlignment="1" applyProtection="1">
      <alignment horizontal="center"/>
      <protection locked="0"/>
    </xf>
    <xf numFmtId="164" fontId="7" fillId="27" borderId="85" xfId="21" applyNumberFormat="1" applyFont="1" applyFill="1" applyBorder="1" applyAlignment="1" applyProtection="1">
      <alignment horizontal="center"/>
      <protection locked="0"/>
    </xf>
    <xf numFmtId="165" fontId="7" fillId="27" borderId="85" xfId="21" applyNumberFormat="1" applyFont="1" applyFill="1" applyBorder="1" applyAlignment="1" applyProtection="1">
      <alignment horizontal="center"/>
      <protection locked="0"/>
    </xf>
    <xf numFmtId="0" fontId="87" fillId="20" borderId="85" xfId="27" applyFont="1" applyFill="1" applyBorder="1" applyProtection="1">
      <alignment/>
      <protection locked="0"/>
    </xf>
    <xf numFmtId="0" fontId="61" fillId="4" borderId="85" xfId="27" applyFont="1" applyFill="1" applyBorder="1" applyProtection="1">
      <alignment/>
      <protection locked="0"/>
    </xf>
    <xf numFmtId="22" fontId="7" fillId="27" borderId="85" xfId="21" applyNumberFormat="1" applyFont="1" applyFill="1" applyBorder="1" applyAlignment="1" applyProtection="1">
      <alignment horizontal="center"/>
      <protection locked="0"/>
    </xf>
    <xf numFmtId="4" fontId="7" fillId="0" borderId="85" xfId="27" applyNumberFormat="1" applyFont="1" applyFill="1" applyBorder="1" applyAlignment="1" applyProtection="1" quotePrefix="1">
      <alignment horizontal="center"/>
      <protection/>
    </xf>
    <xf numFmtId="164" fontId="7" fillId="0" borderId="85" xfId="27" applyNumberFormat="1" applyFont="1" applyFill="1" applyBorder="1" applyAlignment="1" applyProtection="1" quotePrefix="1">
      <alignment horizontal="center"/>
      <protection/>
    </xf>
    <xf numFmtId="168" fontId="7" fillId="27" borderId="85" xfId="27" applyNumberFormat="1" applyFont="1" applyFill="1" applyBorder="1" applyAlignment="1" applyProtection="1">
      <alignment horizontal="center"/>
      <protection locked="0"/>
    </xf>
    <xf numFmtId="173" fontId="7" fillId="0" borderId="85" xfId="27" applyNumberFormat="1" applyFont="1" applyFill="1" applyBorder="1" applyAlignment="1" applyProtection="1" quotePrefix="1">
      <alignment horizontal="center"/>
      <protection/>
    </xf>
    <xf numFmtId="168" fontId="7" fillId="0" borderId="85" xfId="27" applyNumberFormat="1" applyFont="1" applyFill="1" applyBorder="1" applyAlignment="1" applyProtection="1">
      <alignment horizontal="center"/>
      <protection/>
    </xf>
    <xf numFmtId="4" fontId="10" fillId="0" borderId="85" xfId="27" applyNumberFormat="1" applyFont="1" applyFill="1" applyBorder="1" applyAlignment="1">
      <alignment horizontal="right"/>
      <protection/>
    </xf>
    <xf numFmtId="4" fontId="9" fillId="0" borderId="85" xfId="27" applyNumberFormat="1" applyFont="1" applyFill="1" applyBorder="1" applyAlignment="1" applyProtection="1">
      <alignment horizontal="center"/>
      <protection/>
    </xf>
    <xf numFmtId="179" fontId="10" fillId="27" borderId="85" xfId="27" applyNumberFormat="1" applyFont="1" applyFill="1" applyBorder="1" applyAlignment="1" applyProtection="1">
      <alignment horizontal="right"/>
      <protection locked="0"/>
    </xf>
    <xf numFmtId="3" fontId="10" fillId="0" borderId="85" xfId="27" applyNumberFormat="1" applyFont="1" applyFill="1" applyBorder="1" applyAlignment="1">
      <alignment horizontal="right"/>
      <protection/>
    </xf>
    <xf numFmtId="4" fontId="10" fillId="27" borderId="85" xfId="27" applyNumberFormat="1" applyFont="1" applyFill="1" applyBorder="1" applyAlignment="1" applyProtection="1">
      <alignment horizontal="right"/>
      <protection locked="0"/>
    </xf>
    <xf numFmtId="4" fontId="10" fillId="25" borderId="85" xfId="27" applyNumberFormat="1" applyFont="1" applyFill="1" applyBorder="1" applyAlignment="1">
      <alignment horizontal="right"/>
      <protection/>
    </xf>
    <xf numFmtId="180" fontId="10" fillId="25" borderId="85" xfId="27" applyNumberFormat="1" applyFont="1" applyFill="1" applyBorder="1" applyAlignment="1">
      <alignment horizontal="right"/>
      <protection/>
    </xf>
    <xf numFmtId="0" fontId="7" fillId="7" borderId="3" xfId="27" applyFont="1" applyFill="1" applyBorder="1">
      <alignment/>
      <protection/>
    </xf>
    <xf numFmtId="0" fontId="7" fillId="0" borderId="3" xfId="27" applyFont="1" applyBorder="1" applyAlignment="1">
      <alignment horizontal="center"/>
      <protection/>
    </xf>
    <xf numFmtId="0" fontId="7" fillId="0" borderId="20" xfId="27" applyFont="1" applyBorder="1" applyAlignment="1">
      <alignment horizontal="center"/>
      <protection/>
    </xf>
    <xf numFmtId="0" fontId="7" fillId="27" borderId="3" xfId="27" applyFont="1" applyFill="1" applyBorder="1" applyAlignment="1" applyProtection="1">
      <alignment horizontal="center"/>
      <protection locked="0"/>
    </xf>
    <xf numFmtId="164" fontId="9" fillId="27" borderId="3" xfId="27" applyNumberFormat="1" applyFont="1" applyFill="1" applyBorder="1" applyAlignment="1" applyProtection="1">
      <alignment horizontal="center"/>
      <protection locked="0"/>
    </xf>
    <xf numFmtId="165" fontId="7" fillId="27" borderId="3" xfId="27" applyNumberFormat="1" applyFont="1" applyFill="1" applyBorder="1" applyAlignment="1" applyProtection="1">
      <alignment horizontal="center"/>
      <protection locked="0"/>
    </xf>
    <xf numFmtId="0" fontId="87" fillId="20" borderId="3" xfId="27" applyFont="1" applyFill="1" applyBorder="1" applyAlignment="1" applyProtection="1">
      <alignment horizontal="center"/>
      <protection locked="0"/>
    </xf>
    <xf numFmtId="174" fontId="61" fillId="4" borderId="3" xfId="27" applyNumberFormat="1" applyFont="1" applyFill="1" applyBorder="1" applyAlignment="1" applyProtection="1">
      <alignment horizontal="center"/>
      <protection locked="0"/>
    </xf>
    <xf numFmtId="168" fontId="7" fillId="27" borderId="3" xfId="27" applyNumberFormat="1" applyFont="1" applyFill="1" applyBorder="1" applyAlignment="1" applyProtection="1">
      <alignment horizontal="center"/>
      <protection locked="0"/>
    </xf>
    <xf numFmtId="168" fontId="7" fillId="0" borderId="3" xfId="27" applyNumberFormat="1" applyFont="1" applyFill="1" applyBorder="1" applyAlignment="1" applyProtection="1">
      <alignment horizontal="center"/>
      <protection/>
    </xf>
    <xf numFmtId="173" fontId="7" fillId="0" borderId="3" xfId="27" applyNumberFormat="1" applyFont="1" applyFill="1" applyBorder="1" applyAlignment="1" applyProtection="1" quotePrefix="1">
      <alignment horizontal="center"/>
      <protection/>
    </xf>
    <xf numFmtId="2" fontId="10" fillId="0" borderId="3" xfId="27" applyNumberFormat="1" applyFont="1" applyFill="1" applyBorder="1" applyAlignment="1">
      <alignment horizontal="right"/>
      <protection/>
    </xf>
    <xf numFmtId="4" fontId="9" fillId="0" borderId="3" xfId="27" applyNumberFormat="1" applyFont="1" applyBorder="1" applyAlignment="1" applyProtection="1">
      <alignment horizontal="center"/>
      <protection/>
    </xf>
    <xf numFmtId="0" fontId="10" fillId="27" borderId="3" xfId="27" applyFont="1" applyFill="1" applyBorder="1" applyProtection="1">
      <alignment/>
      <protection locked="0"/>
    </xf>
    <xf numFmtId="0" fontId="10" fillId="0" borderId="3" xfId="27" applyFont="1" applyFill="1" applyBorder="1">
      <alignment/>
      <protection/>
    </xf>
    <xf numFmtId="170" fontId="10" fillId="0" borderId="3" xfId="27" applyNumberFormat="1" applyFont="1" applyFill="1" applyBorder="1" applyAlignment="1">
      <alignment horizontal="center"/>
      <protection/>
    </xf>
    <xf numFmtId="4" fontId="10" fillId="25" borderId="3" xfId="27" applyNumberFormat="1" applyFont="1" applyFill="1" applyBorder="1" applyAlignment="1">
      <alignment horizontal="right"/>
      <protection/>
    </xf>
    <xf numFmtId="0" fontId="10" fillId="25" borderId="3" xfId="27" applyFont="1" applyFill="1" applyBorder="1">
      <alignment/>
      <protection/>
    </xf>
    <xf numFmtId="168" fontId="37" fillId="2" borderId="3" xfId="27" applyNumberFormat="1" applyFont="1" applyFill="1" applyBorder="1" applyAlignment="1" applyProtection="1" quotePrefix="1">
      <alignment horizontal="center"/>
      <protection/>
    </xf>
    <xf numFmtId="4" fontId="37" fillId="2" borderId="3" xfId="27" applyNumberFormat="1" applyFont="1" applyFill="1" applyBorder="1" applyAlignment="1" applyProtection="1">
      <alignment horizontal="center"/>
      <protection/>
    </xf>
    <xf numFmtId="0" fontId="10" fillId="0" borderId="46" xfId="27" applyFont="1" applyBorder="1">
      <alignment/>
      <protection/>
    </xf>
    <xf numFmtId="0" fontId="32" fillId="0" borderId="16" xfId="27" applyFont="1" applyBorder="1" applyAlignment="1">
      <alignment horizontal="center"/>
      <protection/>
    </xf>
    <xf numFmtId="0" fontId="34" fillId="0" borderId="0" xfId="27" applyFont="1" applyBorder="1" applyAlignment="1" applyProtection="1">
      <alignment horizontal="left"/>
      <protection/>
    </xf>
    <xf numFmtId="164" fontId="9" fillId="0" borderId="0" xfId="27" applyNumberFormat="1" applyFont="1" applyBorder="1" applyAlignment="1" applyProtection="1">
      <alignment horizontal="center"/>
      <protection/>
    </xf>
    <xf numFmtId="165" fontId="7" fillId="0" borderId="0" xfId="27" applyNumberFormat="1" applyFont="1" applyBorder="1" applyAlignment="1" applyProtection="1">
      <alignment horizontal="center"/>
      <protection/>
    </xf>
    <xf numFmtId="168" fontId="7" fillId="0" borderId="0" xfId="27" applyNumberFormat="1" applyFont="1" applyBorder="1" applyAlignment="1" applyProtection="1">
      <alignment horizontal="center"/>
      <protection/>
    </xf>
    <xf numFmtId="168" fontId="7" fillId="0" borderId="0" xfId="27" applyNumberFormat="1" applyFont="1" applyFill="1" applyBorder="1" applyAlignment="1" applyProtection="1">
      <alignment horizontal="center"/>
      <protection/>
    </xf>
    <xf numFmtId="173" fontId="7" fillId="0" borderId="0" xfId="27" applyNumberFormat="1" applyFont="1" applyBorder="1" applyAlignment="1" applyProtection="1" quotePrefix="1">
      <alignment horizontal="center"/>
      <protection/>
    </xf>
    <xf numFmtId="2" fontId="37" fillId="2" borderId="3" xfId="27" applyNumberFormat="1" applyFont="1" applyFill="1" applyBorder="1" applyAlignment="1" applyProtection="1">
      <alignment horizontal="center"/>
      <protection/>
    </xf>
    <xf numFmtId="7" fontId="13" fillId="0" borderId="0" xfId="27" applyNumberFormat="1" applyFont="1" applyFill="1" applyBorder="1" applyAlignment="1" applyProtection="1">
      <alignment horizontal="right"/>
      <protection/>
    </xf>
    <xf numFmtId="2" fontId="62" fillId="0" borderId="0" xfId="27" applyNumberFormat="1" applyFont="1" applyBorder="1" applyAlignment="1" applyProtection="1">
      <alignment horizontal="center"/>
      <protection/>
    </xf>
    <xf numFmtId="7" fontId="13" fillId="0" borderId="88" xfId="27" applyNumberFormat="1" applyFont="1" applyFill="1" applyBorder="1" applyAlignment="1" applyProtection="1">
      <alignment horizontal="right"/>
      <protection/>
    </xf>
    <xf numFmtId="0" fontId="0" fillId="0" borderId="0" xfId="27">
      <alignment/>
      <protection/>
    </xf>
    <xf numFmtId="0" fontId="0" fillId="0" borderId="0" xfId="27" applyBorder="1">
      <alignment/>
      <protection/>
    </xf>
    <xf numFmtId="0" fontId="0" fillId="0" borderId="0" xfId="27" applyFont="1" applyFill="1">
      <alignment/>
      <protection/>
    </xf>
    <xf numFmtId="0" fontId="0" fillId="0" borderId="0" xfId="27" applyFill="1">
      <alignment/>
      <protection/>
    </xf>
    <xf numFmtId="168" fontId="7" fillId="0" borderId="4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right"/>
      <protection/>
    </xf>
    <xf numFmtId="6" fontId="10" fillId="0" borderId="0" xfId="19" applyFont="1" applyBorder="1" applyAlignment="1">
      <alignment horizontal="center"/>
    </xf>
    <xf numFmtId="0" fontId="32" fillId="0" borderId="0" xfId="27" applyFont="1" applyBorder="1" applyAlignment="1">
      <alignment horizontal="center"/>
      <protection/>
    </xf>
    <xf numFmtId="2" fontId="37" fillId="2" borderId="0" xfId="27" applyNumberFormat="1" applyFont="1" applyFill="1" applyBorder="1" applyAlignment="1" applyProtection="1">
      <alignment horizontal="center"/>
      <protection/>
    </xf>
    <xf numFmtId="0" fontId="7" fillId="0" borderId="77" xfId="27" applyFont="1" applyBorder="1">
      <alignment/>
      <protection/>
    </xf>
    <xf numFmtId="0" fontId="7" fillId="0" borderId="78" xfId="27" applyFont="1" applyBorder="1">
      <alignment/>
      <protection/>
    </xf>
    <xf numFmtId="0" fontId="7" fillId="0" borderId="78" xfId="27" applyFont="1" applyBorder="1" applyAlignment="1" applyProtection="1">
      <alignment horizontal="left"/>
      <protection/>
    </xf>
    <xf numFmtId="0" fontId="7" fillId="0" borderId="78" xfId="27" applyFont="1" applyFill="1" applyBorder="1">
      <alignment/>
      <protection/>
    </xf>
    <xf numFmtId="0" fontId="7" fillId="0" borderId="79" xfId="27" applyFont="1" applyFill="1" applyBorder="1">
      <alignment/>
      <protection/>
    </xf>
    <xf numFmtId="0" fontId="20" fillId="0" borderId="80" xfId="27" applyFont="1" applyBorder="1">
      <alignment/>
      <protection/>
    </xf>
    <xf numFmtId="0" fontId="20" fillId="0" borderId="81" xfId="27" applyFont="1" applyFill="1" applyBorder="1">
      <alignment/>
      <protection/>
    </xf>
    <xf numFmtId="0" fontId="7" fillId="0" borderId="80" xfId="27" applyFont="1" applyBorder="1">
      <alignment/>
      <protection/>
    </xf>
    <xf numFmtId="0" fontId="7" fillId="0" borderId="81" xfId="27" applyFont="1" applyFill="1" applyBorder="1">
      <alignment/>
      <protection/>
    </xf>
    <xf numFmtId="0" fontId="24" fillId="0" borderId="80" xfId="0" applyFont="1" applyBorder="1" applyAlignment="1">
      <alignment horizontal="centerContinuous"/>
    </xf>
    <xf numFmtId="0" fontId="24" fillId="0" borderId="81" xfId="27" applyFont="1" applyFill="1" applyBorder="1" applyAlignment="1">
      <alignment horizontal="centerContinuous"/>
      <protection/>
    </xf>
    <xf numFmtId="0" fontId="5" fillId="0" borderId="81" xfId="27" applyFont="1" applyFill="1" applyBorder="1">
      <alignment/>
      <protection/>
    </xf>
    <xf numFmtId="0" fontId="7" fillId="0" borderId="80" xfId="27" applyFont="1" applyBorder="1" applyAlignment="1">
      <alignment vertical="center" wrapText="1"/>
      <protection/>
    </xf>
    <xf numFmtId="0" fontId="7" fillId="0" borderId="81" xfId="27" applyFont="1" applyFill="1" applyBorder="1" applyAlignment="1">
      <alignment horizontal="center" vertical="center" wrapText="1"/>
      <protection/>
    </xf>
    <xf numFmtId="0" fontId="7" fillId="0" borderId="80" xfId="27" applyFont="1" applyFill="1" applyBorder="1">
      <alignment/>
      <protection/>
    </xf>
    <xf numFmtId="2" fontId="7" fillId="0" borderId="81" xfId="27" applyNumberFormat="1" applyFont="1" applyFill="1" applyBorder="1" applyAlignment="1">
      <alignment horizontal="center"/>
      <protection/>
    </xf>
    <xf numFmtId="0" fontId="0" fillId="0" borderId="0" xfId="27" applyFont="1" applyBorder="1">
      <alignment/>
      <protection/>
    </xf>
    <xf numFmtId="0" fontId="0" fillId="0" borderId="80" xfId="27" applyBorder="1">
      <alignment/>
      <protection/>
    </xf>
    <xf numFmtId="0" fontId="0" fillId="0" borderId="81" xfId="27" applyBorder="1">
      <alignment/>
      <protection/>
    </xf>
    <xf numFmtId="0" fontId="7" fillId="0" borderId="81" xfId="27" applyFont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0" xfId="27" applyFill="1" applyBorder="1">
      <alignment/>
      <protection/>
    </xf>
    <xf numFmtId="0" fontId="86" fillId="0" borderId="0" xfId="27" applyFont="1" applyBorder="1">
      <alignment/>
      <protection/>
    </xf>
    <xf numFmtId="0" fontId="86" fillId="0" borderId="0" xfId="27" applyFont="1" applyFill="1" applyBorder="1">
      <alignment/>
      <protection/>
    </xf>
    <xf numFmtId="0" fontId="0" fillId="0" borderId="82" xfId="27" applyBorder="1">
      <alignment/>
      <protection/>
    </xf>
    <xf numFmtId="0" fontId="0" fillId="0" borderId="83" xfId="27" applyBorder="1">
      <alignment/>
      <protection/>
    </xf>
    <xf numFmtId="0" fontId="0" fillId="0" borderId="83" xfId="27" applyFont="1" applyFill="1" applyBorder="1">
      <alignment/>
      <protection/>
    </xf>
    <xf numFmtId="0" fontId="0" fillId="0" borderId="83" xfId="27" applyFill="1" applyBorder="1">
      <alignment/>
      <protection/>
    </xf>
    <xf numFmtId="0" fontId="0" fillId="0" borderId="84" xfId="27" applyBorder="1">
      <alignment/>
      <protection/>
    </xf>
    <xf numFmtId="168" fontId="9" fillId="2" borderId="74" xfId="27" applyNumberFormat="1" applyFont="1" applyFill="1" applyBorder="1" applyAlignment="1" applyProtection="1" quotePrefix="1">
      <alignment horizontal="center"/>
      <protection/>
    </xf>
    <xf numFmtId="4" fontId="9" fillId="2" borderId="74" xfId="27" applyNumberFormat="1" applyFont="1" applyFill="1" applyBorder="1" applyAlignment="1" applyProtection="1">
      <alignment horizontal="center"/>
      <protection/>
    </xf>
    <xf numFmtId="0" fontId="87" fillId="22" borderId="87" xfId="0" applyFont="1" applyFill="1" applyBorder="1" applyAlignment="1" applyProtection="1">
      <alignment horizontal="center"/>
      <protection/>
    </xf>
    <xf numFmtId="22" fontId="7" fillId="27" borderId="87" xfId="21" applyNumberFormat="1" applyFont="1" applyFill="1" applyBorder="1" applyAlignment="1" applyProtection="1">
      <alignment horizontal="center"/>
      <protection locked="0"/>
    </xf>
    <xf numFmtId="168" fontId="7" fillId="27" borderId="87" xfId="27" applyNumberFormat="1" applyFont="1" applyFill="1" applyBorder="1" applyAlignment="1" applyProtection="1">
      <alignment horizontal="center"/>
      <protection locked="0"/>
    </xf>
    <xf numFmtId="179" fontId="10" fillId="27" borderId="87" xfId="27" applyNumberFormat="1" applyFont="1" applyFill="1" applyBorder="1" applyAlignment="1" applyProtection="1">
      <alignment horizontal="center"/>
      <protection locked="0"/>
    </xf>
    <xf numFmtId="3" fontId="10" fillId="0" borderId="87" xfId="27" applyNumberFormat="1" applyFont="1" applyFill="1" applyBorder="1" applyAlignment="1">
      <alignment horizontal="center"/>
      <protection/>
    </xf>
    <xf numFmtId="4" fontId="124" fillId="25" borderId="87" xfId="27" applyNumberFormat="1" applyFont="1" applyFill="1" applyBorder="1" applyAlignment="1">
      <alignment horizontal="right"/>
      <protection/>
    </xf>
    <xf numFmtId="180" fontId="124" fillId="25" borderId="87" xfId="27" applyNumberFormat="1" applyFont="1" applyFill="1" applyBorder="1" applyAlignment="1">
      <alignment horizontal="right"/>
      <protection/>
    </xf>
    <xf numFmtId="4" fontId="10" fillId="0" borderId="89" xfId="27" applyNumberFormat="1" applyFont="1" applyFill="1" applyBorder="1" applyAlignment="1">
      <alignment horizontal="center"/>
      <protection/>
    </xf>
    <xf numFmtId="0" fontId="87" fillId="22" borderId="19" xfId="0" applyFont="1" applyFill="1" applyBorder="1" applyAlignment="1" applyProtection="1">
      <alignment horizontal="center"/>
      <protection/>
    </xf>
    <xf numFmtId="170" fontId="10" fillId="0" borderId="19" xfId="27" applyNumberFormat="1" applyFont="1" applyFill="1" applyBorder="1" applyAlignment="1">
      <alignment horizontal="center"/>
      <protection/>
    </xf>
    <xf numFmtId="4" fontId="124" fillId="25" borderId="19" xfId="27" applyNumberFormat="1" applyFont="1" applyFill="1" applyBorder="1" applyAlignment="1">
      <alignment horizontal="right"/>
      <protection/>
    </xf>
    <xf numFmtId="180" fontId="124" fillId="25" borderId="19" xfId="27" applyNumberFormat="1" applyFont="1" applyFill="1" applyBorder="1" applyAlignment="1">
      <alignment horizontal="right"/>
      <protection/>
    </xf>
    <xf numFmtId="4" fontId="10" fillId="0" borderId="90" xfId="27" applyNumberFormat="1" applyFont="1" applyFill="1" applyBorder="1" applyAlignment="1">
      <alignment horizontal="right"/>
      <protection/>
    </xf>
    <xf numFmtId="170" fontId="10" fillId="0" borderId="85" xfId="27" applyNumberFormat="1" applyFont="1" applyFill="1" applyBorder="1" applyAlignment="1">
      <alignment horizontal="center"/>
      <protection/>
    </xf>
    <xf numFmtId="4" fontId="10" fillId="0" borderId="91" xfId="27" applyNumberFormat="1" applyFont="1" applyFill="1" applyBorder="1" applyAlignment="1">
      <alignment horizontal="right"/>
      <protection/>
    </xf>
    <xf numFmtId="179" fontId="10" fillId="27" borderId="19" xfId="27" applyNumberFormat="1" applyFont="1" applyFill="1" applyBorder="1" applyAlignment="1" applyProtection="1">
      <alignment horizontal="center"/>
      <protection locked="0"/>
    </xf>
    <xf numFmtId="179" fontId="10" fillId="27" borderId="85" xfId="27" applyNumberFormat="1" applyFont="1" applyFill="1" applyBorder="1" applyAlignment="1" applyProtection="1">
      <alignment horizontal="center"/>
      <protection locked="0"/>
    </xf>
    <xf numFmtId="0" fontId="10" fillId="27" borderId="3" xfId="27" applyFont="1" applyFill="1" applyBorder="1" applyAlignment="1" applyProtection="1">
      <alignment horizontal="center"/>
      <protection locked="0"/>
    </xf>
    <xf numFmtId="3" fontId="10" fillId="0" borderId="19" xfId="27" applyNumberFormat="1" applyFont="1" applyFill="1" applyBorder="1" applyAlignment="1">
      <alignment horizontal="center"/>
      <protection/>
    </xf>
    <xf numFmtId="3" fontId="10" fillId="0" borderId="85" xfId="27" applyNumberFormat="1" applyFont="1" applyFill="1" applyBorder="1" applyAlignment="1">
      <alignment horizontal="center"/>
      <protection/>
    </xf>
    <xf numFmtId="4" fontId="124" fillId="25" borderId="87" xfId="27" applyNumberFormat="1" applyFont="1" applyFill="1" applyBorder="1" applyAlignment="1">
      <alignment horizontal="center"/>
      <protection/>
    </xf>
    <xf numFmtId="180" fontId="124" fillId="25" borderId="87" xfId="27" applyNumberFormat="1" applyFont="1" applyFill="1" applyBorder="1" applyAlignment="1">
      <alignment horizontal="center"/>
      <protection/>
    </xf>
    <xf numFmtId="4" fontId="10" fillId="0" borderId="19" xfId="27" applyNumberFormat="1" applyFont="1" applyFill="1" applyBorder="1" applyAlignment="1">
      <alignment horizontal="center"/>
      <protection/>
    </xf>
    <xf numFmtId="4" fontId="10" fillId="0" borderId="90" xfId="27" applyNumberFormat="1" applyFont="1" applyFill="1" applyBorder="1" applyAlignment="1">
      <alignment horizontal="center"/>
      <protection/>
    </xf>
    <xf numFmtId="4" fontId="10" fillId="25" borderId="19" xfId="27" applyNumberFormat="1" applyFont="1" applyFill="1" applyBorder="1" applyAlignment="1">
      <alignment horizontal="center"/>
      <protection/>
    </xf>
    <xf numFmtId="180" fontId="10" fillId="25" borderId="19" xfId="27" applyNumberFormat="1" applyFont="1" applyFill="1" applyBorder="1" applyAlignment="1">
      <alignment horizontal="center"/>
      <protection/>
    </xf>
    <xf numFmtId="4" fontId="10" fillId="0" borderId="85" xfId="27" applyNumberFormat="1" applyFont="1" applyFill="1" applyBorder="1" applyAlignment="1">
      <alignment horizontal="center"/>
      <protection/>
    </xf>
    <xf numFmtId="4" fontId="10" fillId="25" borderId="85" xfId="27" applyNumberFormat="1" applyFont="1" applyFill="1" applyBorder="1" applyAlignment="1">
      <alignment horizontal="center"/>
      <protection/>
    </xf>
    <xf numFmtId="180" fontId="10" fillId="25" borderId="85" xfId="27" applyNumberFormat="1" applyFont="1" applyFill="1" applyBorder="1" applyAlignment="1">
      <alignment horizontal="center"/>
      <protection/>
    </xf>
    <xf numFmtId="4" fontId="10" fillId="0" borderId="91" xfId="27" applyNumberFormat="1" applyFont="1" applyFill="1" applyBorder="1" applyAlignment="1">
      <alignment horizontal="center"/>
      <protection/>
    </xf>
    <xf numFmtId="4" fontId="10" fillId="27" borderId="19" xfId="27" applyNumberFormat="1" applyFont="1" applyFill="1" applyBorder="1" applyAlignment="1" applyProtection="1">
      <alignment horizontal="center"/>
      <protection locked="0"/>
    </xf>
    <xf numFmtId="4" fontId="10" fillId="27" borderId="85" xfId="27" applyNumberFormat="1" applyFont="1" applyFill="1" applyBorder="1" applyAlignment="1" applyProtection="1">
      <alignment horizontal="center"/>
      <protection locked="0"/>
    </xf>
    <xf numFmtId="0" fontId="61" fillId="4" borderId="87" xfId="27" applyFont="1" applyFill="1" applyBorder="1" applyAlignment="1" applyProtection="1">
      <alignment horizontal="center"/>
      <protection locked="0"/>
    </xf>
    <xf numFmtId="0" fontId="61" fillId="4" borderId="19" xfId="27" applyFont="1" applyFill="1" applyBorder="1" applyAlignment="1" applyProtection="1">
      <alignment horizontal="center"/>
      <protection locked="0"/>
    </xf>
    <xf numFmtId="0" fontId="87" fillId="20" borderId="19" xfId="27" applyFont="1" applyFill="1" applyBorder="1" applyAlignment="1" applyProtection="1">
      <alignment horizontal="center"/>
      <protection locked="0"/>
    </xf>
    <xf numFmtId="0" fontId="87" fillId="20" borderId="85" xfId="27" applyFont="1" applyFill="1" applyBorder="1" applyAlignment="1" applyProtection="1">
      <alignment horizontal="center"/>
      <protection locked="0"/>
    </xf>
    <xf numFmtId="0" fontId="61" fillId="4" borderId="85" xfId="27" applyFont="1" applyFill="1" applyBorder="1" applyAlignment="1" applyProtection="1">
      <alignment horizontal="center"/>
      <protection locked="0"/>
    </xf>
    <xf numFmtId="0" fontId="87" fillId="0" borderId="2" xfId="0" applyFont="1" applyFill="1" applyBorder="1" applyAlignment="1" applyProtection="1">
      <alignment horizontal="center"/>
      <protection/>
    </xf>
    <xf numFmtId="174" fontId="61" fillId="0" borderId="2" xfId="0" applyNumberFormat="1" applyFont="1" applyFill="1" applyBorder="1" applyAlignment="1" applyProtection="1">
      <alignment horizontal="center"/>
      <protection/>
    </xf>
    <xf numFmtId="173" fontId="7" fillId="0" borderId="2" xfId="0" applyNumberFormat="1" applyFont="1" applyFill="1" applyBorder="1" applyAlignment="1" applyProtection="1" quotePrefix="1">
      <alignment horizontal="center"/>
      <protection locked="0"/>
    </xf>
    <xf numFmtId="2" fontId="48" fillId="0" borderId="2" xfId="0" applyNumberFormat="1" applyFont="1" applyFill="1" applyBorder="1" applyAlignment="1" applyProtection="1">
      <alignment horizontal="center"/>
      <protection locked="0"/>
    </xf>
    <xf numFmtId="2" fontId="66" fillId="0" borderId="4" xfId="0" applyNumberFormat="1" applyFont="1" applyFill="1" applyBorder="1" applyAlignment="1" applyProtection="1">
      <alignment horizontal="center"/>
      <protection locked="0"/>
    </xf>
    <xf numFmtId="168" fontId="37" fillId="0" borderId="22" xfId="0" applyNumberFormat="1" applyFont="1" applyFill="1" applyBorder="1" applyAlignment="1" applyProtection="1" quotePrefix="1">
      <alignment horizontal="center"/>
      <protection locked="0"/>
    </xf>
    <xf numFmtId="168" fontId="37" fillId="0" borderId="25" xfId="0" applyNumberFormat="1" applyFont="1" applyFill="1" applyBorder="1" applyAlignment="1" applyProtection="1" quotePrefix="1">
      <alignment horizontal="center"/>
      <protection locked="0"/>
    </xf>
    <xf numFmtId="4" fontId="37" fillId="0" borderId="4" xfId="0" applyNumberFormat="1" applyFont="1" applyFill="1" applyBorder="1" applyAlignment="1" applyProtection="1">
      <alignment horizontal="center"/>
      <protection locked="0"/>
    </xf>
    <xf numFmtId="168" fontId="51" fillId="0" borderId="22" xfId="0" applyNumberFormat="1" applyFont="1" applyFill="1" applyBorder="1" applyAlignment="1" applyProtection="1" quotePrefix="1">
      <alignment horizontal="center"/>
      <protection locked="0"/>
    </xf>
    <xf numFmtId="168" fontId="51" fillId="0" borderId="25" xfId="0" applyNumberFormat="1" applyFont="1" applyFill="1" applyBorder="1" applyAlignment="1" applyProtection="1" quotePrefix="1">
      <alignment horizontal="center"/>
      <protection locked="0"/>
    </xf>
    <xf numFmtId="4" fontId="51" fillId="0" borderId="4" xfId="0" applyNumberFormat="1" applyFont="1" applyFill="1" applyBorder="1" applyAlignment="1" applyProtection="1">
      <alignment horizontal="center"/>
      <protection locked="0"/>
    </xf>
    <xf numFmtId="4" fontId="72" fillId="0" borderId="2" xfId="0" applyNumberFormat="1" applyFont="1" applyFill="1" applyBorder="1" applyAlignment="1" applyProtection="1">
      <alignment horizontal="center"/>
      <protection locked="0"/>
    </xf>
    <xf numFmtId="4" fontId="73" fillId="0" borderId="2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Fill="1" applyBorder="1" applyAlignment="1" applyProtection="1">
      <alignment horizontal="center"/>
      <protection locked="0"/>
    </xf>
    <xf numFmtId="168" fontId="27" fillId="0" borderId="92" xfId="27" applyNumberFormat="1" applyFont="1" applyBorder="1" applyAlignment="1" applyProtection="1">
      <alignment horizontal="center" vertical="center" wrapText="1"/>
      <protection/>
    </xf>
    <xf numFmtId="3" fontId="10" fillId="27" borderId="19" xfId="27" applyNumberFormat="1" applyFont="1" applyFill="1" applyBorder="1" applyAlignment="1" applyProtection="1">
      <alignment horizontal="center"/>
      <protection locked="0"/>
    </xf>
    <xf numFmtId="3" fontId="10" fillId="27" borderId="87" xfId="27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164" fontId="7" fillId="0" borderId="19" xfId="0" applyNumberFormat="1" applyFont="1" applyFill="1" applyBorder="1" applyAlignment="1" applyProtection="1">
      <alignment horizontal="center"/>
      <protection locked="0"/>
    </xf>
    <xf numFmtId="1" fontId="7" fillId="0" borderId="39" xfId="0" applyNumberFormat="1" applyFont="1" applyFill="1" applyBorder="1" applyAlignment="1" applyProtection="1" quotePrefix="1">
      <alignment horizontal="center"/>
      <protection locked="0"/>
    </xf>
    <xf numFmtId="174" fontId="36" fillId="0" borderId="2" xfId="0" applyNumberFormat="1" applyFont="1" applyFill="1" applyBorder="1" applyAlignment="1" applyProtection="1">
      <alignment horizontal="center"/>
      <protection/>
    </xf>
    <xf numFmtId="173" fontId="7" fillId="0" borderId="4" xfId="0" applyNumberFormat="1" applyFont="1" applyFill="1" applyBorder="1" applyAlignment="1" applyProtection="1" quotePrefix="1">
      <alignment horizontal="center"/>
      <protection locked="0"/>
    </xf>
    <xf numFmtId="168" fontId="7" fillId="0" borderId="2" xfId="0" applyNumberFormat="1" applyFont="1" applyFill="1" applyBorder="1" applyAlignment="1" applyProtection="1" quotePrefix="1">
      <alignment horizontal="center"/>
      <protection locked="0"/>
    </xf>
    <xf numFmtId="164" fontId="46" fillId="0" borderId="2" xfId="0" applyNumberFormat="1" applyFont="1" applyFill="1" applyBorder="1" applyAlignment="1" applyProtection="1">
      <alignment horizontal="center"/>
      <protection/>
    </xf>
    <xf numFmtId="2" fontId="77" fillId="0" borderId="2" xfId="0" applyNumberFormat="1" applyFont="1" applyFill="1" applyBorder="1" applyAlignment="1">
      <alignment horizontal="center"/>
    </xf>
    <xf numFmtId="2" fontId="78" fillId="0" borderId="2" xfId="0" applyNumberFormat="1" applyFont="1" applyFill="1" applyBorder="1" applyAlignment="1">
      <alignment horizontal="center"/>
    </xf>
    <xf numFmtId="168" fontId="37" fillId="0" borderId="38" xfId="0" applyNumberFormat="1" applyFont="1" applyFill="1" applyBorder="1" applyAlignment="1" applyProtection="1" quotePrefix="1">
      <alignment horizontal="center"/>
      <protection/>
    </xf>
    <xf numFmtId="168" fontId="37" fillId="0" borderId="39" xfId="0" applyNumberFormat="1" applyFont="1" applyFill="1" applyBorder="1" applyAlignment="1" applyProtection="1" quotePrefix="1">
      <alignment horizontal="center"/>
      <protection/>
    </xf>
    <xf numFmtId="168" fontId="79" fillId="0" borderId="38" xfId="0" applyNumberFormat="1" applyFont="1" applyFill="1" applyBorder="1" applyAlignment="1" applyProtection="1" quotePrefix="1">
      <alignment horizontal="center"/>
      <protection/>
    </xf>
    <xf numFmtId="168" fontId="79" fillId="0" borderId="39" xfId="0" applyNumberFormat="1" applyFont="1" applyFill="1" applyBorder="1" applyAlignment="1" applyProtection="1" quotePrefix="1">
      <alignment horizontal="center"/>
      <protection/>
    </xf>
    <xf numFmtId="168" fontId="48" fillId="0" borderId="2" xfId="0" applyNumberFormat="1" applyFont="1" applyFill="1" applyBorder="1" applyAlignment="1" applyProtection="1" quotePrefix="1">
      <alignment horizontal="center"/>
      <protection/>
    </xf>
    <xf numFmtId="168" fontId="42" fillId="0" borderId="19" xfId="0" applyNumberFormat="1" applyFont="1" applyFill="1" applyBorder="1" applyAlignment="1" applyProtection="1" quotePrefix="1">
      <alignment horizontal="center"/>
      <protection/>
    </xf>
    <xf numFmtId="0" fontId="16" fillId="0" borderId="0" xfId="23" applyFont="1" applyAlignment="1">
      <alignment horizontal="center"/>
      <protection/>
    </xf>
    <xf numFmtId="0" fontId="7" fillId="7" borderId="93" xfId="27" applyFont="1" applyFill="1" applyBorder="1" applyAlignment="1">
      <alignment horizontal="center" vertical="center" textRotation="90"/>
      <protection/>
    </xf>
    <xf numFmtId="0" fontId="7" fillId="7" borderId="94" xfId="27" applyFont="1" applyFill="1" applyBorder="1" applyAlignment="1">
      <alignment horizontal="center" vertical="center" textRotation="90"/>
      <protection/>
    </xf>
    <xf numFmtId="0" fontId="7" fillId="7" borderId="95" xfId="27" applyFont="1" applyFill="1" applyBorder="1" applyAlignment="1">
      <alignment horizontal="center" vertical="center" textRotation="90"/>
      <protection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5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64" fontId="7" fillId="0" borderId="51" xfId="0" applyNumberFormat="1" applyFont="1" applyBorder="1" applyAlignment="1" applyProtection="1">
      <alignment horizontal="center"/>
      <protection/>
    </xf>
    <xf numFmtId="164" fontId="7" fillId="0" borderId="37" xfId="0" applyNumberFormat="1" applyFont="1" applyBorder="1" applyAlignment="1" applyProtection="1">
      <alignment horizontal="center"/>
      <protection/>
    </xf>
    <xf numFmtId="165" fontId="7" fillId="0" borderId="51" xfId="0" applyNumberFormat="1" applyFont="1" applyBorder="1" applyAlignment="1" applyProtection="1">
      <alignment horizontal="center"/>
      <protection/>
    </xf>
    <xf numFmtId="165" fontId="7" fillId="0" borderId="37" xfId="0" applyNumberFormat="1" applyFont="1" applyBorder="1" applyAlignment="1" applyProtection="1">
      <alignment horizontal="center"/>
      <protection/>
    </xf>
    <xf numFmtId="164" fontId="7" fillId="0" borderId="70" xfId="0" applyNumberFormat="1" applyFont="1" applyBorder="1" applyAlignment="1" applyProtection="1">
      <alignment horizontal="center"/>
      <protection/>
    </xf>
    <xf numFmtId="164" fontId="7" fillId="0" borderId="7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7" fontId="10" fillId="0" borderId="47" xfId="0" applyNumberFormat="1" applyFont="1" applyFill="1" applyBorder="1" applyAlignment="1">
      <alignment horizontal="center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TEMPORAL" xfId="21"/>
    <cellStyle name="Normal_A0101 ANEXO I NEA" xfId="22"/>
    <cellStyle name="Normal_a0112NER Anexo I" xfId="23"/>
    <cellStyle name="Normal_Comahue" xfId="24"/>
    <cellStyle name="Normal_EDENOR9604" xfId="25"/>
    <cellStyle name="Normal_líneas" xfId="26"/>
    <cellStyle name="Normal_TRAN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676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1</xdr:row>
      <xdr:rowOff>0</xdr:rowOff>
    </xdr:from>
    <xdr:to>
      <xdr:col>1</xdr:col>
      <xdr:colOff>371475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61925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2008\A1108NER%20Anexo%20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GF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X26">
            <v>2</v>
          </cell>
          <cell r="G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GE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FX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FW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GF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V46" t="str">
            <v>XXXX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  <cell r="GB46" t="str">
            <v>XXXX</v>
          </cell>
          <cell r="GC46" t="str">
            <v>XXXX</v>
          </cell>
          <cell r="GD46" t="str">
            <v>XXXX</v>
          </cell>
          <cell r="GE46" t="str">
            <v>XXXX</v>
          </cell>
          <cell r="GF46" t="str">
            <v>XXXX</v>
          </cell>
          <cell r="GG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Y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GE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Y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V54" t="str">
            <v>XXXX</v>
          </cell>
          <cell r="FW54" t="str">
            <v>XXXX</v>
          </cell>
          <cell r="FX54" t="str">
            <v>XXXX</v>
          </cell>
          <cell r="FY54" t="str">
            <v>XXXX</v>
          </cell>
          <cell r="FZ54" t="str">
            <v>XXXX</v>
          </cell>
          <cell r="GA54" t="str">
            <v>XXXX</v>
          </cell>
          <cell r="GB54" t="str">
            <v>XXXX</v>
          </cell>
          <cell r="GC54" t="str">
            <v>XXXX</v>
          </cell>
          <cell r="GD54" t="str">
            <v>XXXX</v>
          </cell>
          <cell r="GE54" t="str">
            <v>XXXX</v>
          </cell>
          <cell r="GF54" t="str">
            <v>XXXX</v>
          </cell>
          <cell r="GG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GD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V57" t="str">
            <v>XXXX</v>
          </cell>
          <cell r="FW57" t="str">
            <v>XXXX</v>
          </cell>
          <cell r="FX57" t="str">
            <v>XXXX</v>
          </cell>
          <cell r="FY57" t="str">
            <v>XXXX</v>
          </cell>
          <cell r="FZ57" t="str">
            <v>XXXX</v>
          </cell>
          <cell r="GA57" t="str">
            <v>XXXX</v>
          </cell>
          <cell r="GB57" t="str">
            <v>XXXX</v>
          </cell>
          <cell r="GC57" t="str">
            <v>XXXX</v>
          </cell>
          <cell r="GD57" t="str">
            <v>XXXX</v>
          </cell>
          <cell r="GE57" t="str">
            <v>XXXX</v>
          </cell>
          <cell r="GF57" t="str">
            <v>XXXX</v>
          </cell>
          <cell r="GG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  <cell r="GE58">
            <v>3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  <cell r="GE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  <cell r="GB60">
            <v>1</v>
          </cell>
          <cell r="GD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FV61">
            <v>1</v>
          </cell>
          <cell r="G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V65">
            <v>1</v>
          </cell>
          <cell r="FX65">
            <v>1</v>
          </cell>
          <cell r="GD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  <cell r="GD69">
            <v>2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X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GG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FX73">
            <v>2</v>
          </cell>
          <cell r="GD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FX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  <cell r="GE76">
            <v>2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V87" t="str">
            <v>XXXX</v>
          </cell>
          <cell r="FW87" t="str">
            <v>XXXX</v>
          </cell>
          <cell r="FX87" t="str">
            <v>XXXX</v>
          </cell>
          <cell r="FY87" t="str">
            <v>XXXX</v>
          </cell>
          <cell r="FZ87" t="str">
            <v>XXXX</v>
          </cell>
          <cell r="GA87" t="str">
            <v>XXXX</v>
          </cell>
          <cell r="GB87" t="str">
            <v>XXXX</v>
          </cell>
          <cell r="GC87" t="str">
            <v>XXXX</v>
          </cell>
          <cell r="GD87" t="str">
            <v>XXXX</v>
          </cell>
          <cell r="GE87" t="str">
            <v>XXXX</v>
          </cell>
          <cell r="GF87" t="str">
            <v>XXXX</v>
          </cell>
          <cell r="GG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V100">
            <v>0.34</v>
          </cell>
          <cell r="FW100">
            <v>0.36</v>
          </cell>
          <cell r="FX100">
            <v>0.33</v>
          </cell>
          <cell r="FY100">
            <v>0.38</v>
          </cell>
          <cell r="FZ100">
            <v>0.36</v>
          </cell>
          <cell r="GA100">
            <v>0.35</v>
          </cell>
          <cell r="GB100">
            <v>0.35</v>
          </cell>
          <cell r="GC100">
            <v>0.37</v>
          </cell>
          <cell r="GD100">
            <v>0.43</v>
          </cell>
          <cell r="GE100">
            <v>0.46</v>
          </cell>
          <cell r="GF100">
            <v>0.51</v>
          </cell>
          <cell r="GG100">
            <v>0.5</v>
          </cell>
          <cell r="GH100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1108"/>
      <sheetName val="LI-11 (1)"/>
      <sheetName val="LI-11 (2)"/>
      <sheetName val="Incendio"/>
      <sheetName val="TR-11 (1)"/>
      <sheetName val="TR-11 (2)"/>
      <sheetName val="T4CH - Nota SE N° 2492"/>
      <sheetName val="SA-11 (1)"/>
      <sheetName val="SA-11 (2)"/>
      <sheetName val="RE-11 (1)"/>
      <sheetName val="RE-11 (2)"/>
      <sheetName val="RE-IV-11 (1)"/>
      <sheetName val="RE-LITSA-11 (1)"/>
      <sheetName val="SA-TIBA-11 (1)"/>
      <sheetName val="TR-ENECOR-11 (1)"/>
      <sheetName val="RE-Res.01_03"/>
      <sheetName val="SUP-LITSA"/>
      <sheetName val="SUP-TIBA"/>
      <sheetName val="SUP-ENECOR"/>
      <sheetName val="TASA FALLA"/>
      <sheetName val="DATO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7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903"/>
      <c r="B1" s="19"/>
      <c r="E1" s="54"/>
      <c r="K1" s="146"/>
    </row>
    <row r="2" spans="2:10" s="18" customFormat="1" ht="26.25">
      <c r="B2" s="19" t="s">
        <v>415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63</v>
      </c>
      <c r="C7" s="173"/>
      <c r="D7" s="174"/>
      <c r="E7" s="174"/>
      <c r="F7" s="175"/>
      <c r="G7" s="175"/>
      <c r="H7" s="175"/>
      <c r="I7" s="175"/>
      <c r="J7" s="175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62</v>
      </c>
      <c r="C9" s="173"/>
      <c r="D9" s="174"/>
      <c r="E9" s="174"/>
      <c r="F9" s="174"/>
      <c r="G9" s="174"/>
      <c r="H9" s="174"/>
      <c r="I9" s="175"/>
      <c r="J9" s="175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354</v>
      </c>
      <c r="C11" s="176"/>
      <c r="D11" s="177"/>
      <c r="E11" s="177"/>
      <c r="F11" s="174"/>
      <c r="G11" s="174"/>
      <c r="H11" s="174"/>
      <c r="I11" s="175"/>
      <c r="J11" s="175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876"/>
      <c r="C13" s="34"/>
      <c r="D13" s="34"/>
      <c r="E13" s="877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271</v>
      </c>
      <c r="C14" s="38"/>
      <c r="D14" s="39"/>
      <c r="E14" s="87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7"/>
      <c r="E15" s="171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67" t="s">
        <v>0</v>
      </c>
      <c r="E16" s="171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7">
        <v>11</v>
      </c>
      <c r="E17" s="168" t="s">
        <v>5</v>
      </c>
      <c r="F17" s="46"/>
      <c r="G17" s="46"/>
      <c r="H17" s="46"/>
      <c r="I17" s="49">
        <f>'LI-02 (1)'!AC40</f>
        <v>271561.45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67"/>
      <c r="E18" s="167" t="s">
        <v>383</v>
      </c>
      <c r="F18" s="168" t="s">
        <v>384</v>
      </c>
      <c r="G18" s="46"/>
      <c r="H18" s="46"/>
      <c r="I18" s="49">
        <f>+'Condición Climática 313-01'!AM26+'Condición Climática 313-01'!AM44+'Condición Climática 313-01'!AM57</f>
        <v>177688.16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s="36" customFormat="1" ht="19.5">
      <c r="B19" s="44"/>
      <c r="C19" s="48"/>
      <c r="D19" s="167">
        <v>12</v>
      </c>
      <c r="E19" s="168" t="s">
        <v>219</v>
      </c>
      <c r="F19" s="46"/>
      <c r="G19" s="46"/>
      <c r="H19" s="46"/>
      <c r="I19" s="49">
        <f>'LI-IV-02 (1)'!AC43</f>
        <v>121459.13</v>
      </c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ht="12.75" customHeight="1">
      <c r="B20" s="50"/>
      <c r="C20" s="51"/>
      <c r="D20" s="167"/>
      <c r="E20" s="879"/>
      <c r="F20" s="52"/>
      <c r="G20" s="52"/>
      <c r="H20" s="52"/>
      <c r="I20" s="53"/>
      <c r="J20" s="6"/>
      <c r="K20" s="43"/>
      <c r="L20" s="4"/>
      <c r="M20" s="4"/>
      <c r="N20" s="4"/>
      <c r="O20" s="4"/>
      <c r="P20" s="4"/>
      <c r="Q20" s="4"/>
      <c r="R20" s="4"/>
      <c r="S20" s="4"/>
    </row>
    <row r="21" spans="2:19" s="36" customFormat="1" ht="19.5">
      <c r="B21" s="44"/>
      <c r="C21" s="48" t="s">
        <v>6</v>
      </c>
      <c r="D21" s="170" t="s">
        <v>7</v>
      </c>
      <c r="E21" s="171"/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7">
        <v>21</v>
      </c>
      <c r="E22" s="168" t="s">
        <v>8</v>
      </c>
      <c r="F22" s="46"/>
      <c r="G22" s="46"/>
      <c r="H22" s="46"/>
      <c r="I22" s="49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7"/>
      <c r="E23" s="169">
        <v>211</v>
      </c>
      <c r="F23" s="54" t="s">
        <v>5</v>
      </c>
      <c r="G23" s="46"/>
      <c r="H23" s="46"/>
      <c r="I23" s="49">
        <f>'TR-02 (1)'!AA40</f>
        <v>55418.91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7"/>
      <c r="E24" s="169" t="s">
        <v>388</v>
      </c>
      <c r="F24" s="54" t="s">
        <v>389</v>
      </c>
      <c r="G24" s="46"/>
      <c r="H24" s="46"/>
      <c r="I24" s="49">
        <f>+'T4CH - Nota SE N° 2492'!AA43</f>
        <v>64310.4</v>
      </c>
      <c r="J24" s="6" t="s">
        <v>392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7"/>
      <c r="E25" s="169">
        <v>213</v>
      </c>
      <c r="F25" s="54" t="s">
        <v>68</v>
      </c>
      <c r="G25" s="46"/>
      <c r="H25" s="46"/>
      <c r="I25" s="49">
        <f>'TR-TIBA-02 (1)'!AA41</f>
        <v>3019.62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7"/>
      <c r="E26" s="169">
        <v>214</v>
      </c>
      <c r="F26" s="54" t="s">
        <v>340</v>
      </c>
      <c r="G26" s="46"/>
      <c r="H26" s="46"/>
      <c r="I26" s="49">
        <f>'TR-INTESAR-02(1)'!AA41</f>
        <v>992.25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67">
        <v>22</v>
      </c>
      <c r="E27" s="168" t="s">
        <v>9</v>
      </c>
      <c r="F27" s="46"/>
      <c r="G27" s="46"/>
      <c r="H27" s="46"/>
      <c r="I27" s="49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67"/>
      <c r="E28" s="169">
        <v>221</v>
      </c>
      <c r="F28" s="54" t="s">
        <v>5</v>
      </c>
      <c r="G28" s="46"/>
      <c r="H28" s="46"/>
      <c r="I28" s="49">
        <f>'SA-02 (2)'!T45</f>
        <v>30015.39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167"/>
      <c r="E29" s="169">
        <v>222</v>
      </c>
      <c r="F29" s="54" t="s">
        <v>68</v>
      </c>
      <c r="G29" s="46"/>
      <c r="H29" s="46"/>
      <c r="I29" s="49">
        <f>'SA-TIBA-02 (1)'!T43</f>
        <v>3931.87</v>
      </c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ht="12.75" customHeight="1">
      <c r="B30" s="50"/>
      <c r="C30" s="51"/>
      <c r="D30" s="167"/>
      <c r="E30" s="879"/>
      <c r="F30" s="52"/>
      <c r="G30" s="52"/>
      <c r="H30" s="52"/>
      <c r="I30" s="53"/>
      <c r="J30" s="6"/>
      <c r="K30" s="43"/>
      <c r="L30" s="4"/>
      <c r="M30" s="4"/>
      <c r="N30" s="4"/>
      <c r="O30" s="4"/>
      <c r="P30" s="4"/>
      <c r="Q30" s="4"/>
      <c r="R30" s="4"/>
      <c r="S30" s="4"/>
    </row>
    <row r="31" spans="2:19" s="36" customFormat="1" ht="19.5">
      <c r="B31" s="44"/>
      <c r="C31" s="48" t="s">
        <v>10</v>
      </c>
      <c r="D31" s="170" t="s">
        <v>65</v>
      </c>
      <c r="E31" s="171"/>
      <c r="F31" s="46"/>
      <c r="G31" s="46"/>
      <c r="H31" s="46"/>
      <c r="I31" s="49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67">
        <v>31</v>
      </c>
      <c r="E32" s="168" t="s">
        <v>5</v>
      </c>
      <c r="F32" s="46"/>
      <c r="G32" s="46"/>
      <c r="H32" s="46"/>
      <c r="I32" s="49">
        <f>'RE-02 (1)'!X40</f>
        <v>3269.81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67">
        <v>33</v>
      </c>
      <c r="E33" s="168" t="s">
        <v>261</v>
      </c>
      <c r="F33" s="46"/>
      <c r="G33" s="46"/>
      <c r="H33" s="46"/>
      <c r="I33" s="49">
        <f>'RE-LITSA-02 (1)'!V45</f>
        <v>633.86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2.75" customHeight="1">
      <c r="B34" s="44"/>
      <c r="C34" s="48"/>
      <c r="D34" s="167"/>
      <c r="E34" s="168"/>
      <c r="F34" s="46"/>
      <c r="G34" s="46"/>
      <c r="H34" s="46"/>
      <c r="I34" s="49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 t="s">
        <v>66</v>
      </c>
      <c r="D35" s="170" t="s">
        <v>67</v>
      </c>
      <c r="E35" s="171"/>
      <c r="F35" s="46"/>
      <c r="G35" s="46"/>
      <c r="H35" s="46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67">
        <v>42</v>
      </c>
      <c r="E36" s="168" t="s">
        <v>64</v>
      </c>
      <c r="F36" s="46"/>
      <c r="G36" s="46"/>
      <c r="H36" s="46"/>
      <c r="I36" s="49">
        <f>'SUP-LITSA'!K74</f>
        <v>330.12672000000003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67">
        <v>43</v>
      </c>
      <c r="E37" s="168" t="s">
        <v>68</v>
      </c>
      <c r="F37" s="46"/>
      <c r="G37" s="46"/>
      <c r="H37" s="46"/>
      <c r="I37" s="49">
        <f>'SUP-TIBA'!J74</f>
        <v>1723.1493047011704</v>
      </c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167">
        <v>44</v>
      </c>
      <c r="E38" s="168" t="s">
        <v>250</v>
      </c>
      <c r="F38" s="46"/>
      <c r="G38" s="46"/>
      <c r="H38" s="928"/>
      <c r="I38" s="49">
        <f>'SUP-INTESAR'!K65</f>
        <v>689.04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1.25" customHeight="1">
      <c r="B39" s="44"/>
      <c r="C39" s="48"/>
      <c r="D39" s="167"/>
      <c r="E39" s="168"/>
      <c r="F39" s="46"/>
      <c r="G39" s="46"/>
      <c r="H39" s="928"/>
      <c r="I39" s="49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20.25" thickBot="1">
      <c r="B40" s="44"/>
      <c r="C40" s="45"/>
      <c r="D40" s="167"/>
      <c r="E40" s="171"/>
      <c r="F40" s="46"/>
      <c r="G40" s="46"/>
      <c r="H40" s="46"/>
      <c r="I40" s="43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20.25" thickBot="1" thickTop="1">
      <c r="B41" s="44"/>
      <c r="C41" s="48"/>
      <c r="D41" s="48"/>
      <c r="F41" s="55" t="s">
        <v>11</v>
      </c>
      <c r="G41" s="56">
        <f>SUM(I17:I38)</f>
        <v>735043.1660247012</v>
      </c>
      <c r="H41" s="126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9.75" customHeight="1" thickTop="1">
      <c r="B42" s="44"/>
      <c r="C42" s="48"/>
      <c r="D42" s="48"/>
      <c r="F42" s="166"/>
      <c r="G42" s="126"/>
      <c r="H42" s="126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24" customHeight="1">
      <c r="B43" s="44"/>
      <c r="C43" s="172" t="s">
        <v>393</v>
      </c>
      <c r="D43" s="48"/>
      <c r="F43" s="166"/>
      <c r="G43" s="126"/>
      <c r="H43" s="126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9.75" customHeight="1">
      <c r="B44" s="44"/>
      <c r="C44" s="48"/>
      <c r="D44" s="48"/>
      <c r="F44" s="166"/>
      <c r="G44" s="126"/>
      <c r="H44" s="126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18.75">
      <c r="B45" s="44"/>
      <c r="C45" s="172" t="s">
        <v>341</v>
      </c>
      <c r="D45" s="48"/>
      <c r="F45" s="166"/>
      <c r="G45" s="126"/>
      <c r="H45" s="126"/>
      <c r="I45" s="929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2" customFormat="1" ht="10.5" customHeight="1" thickBot="1">
      <c r="B46" s="57"/>
      <c r="C46" s="58"/>
      <c r="D46" s="58"/>
      <c r="E46" s="59"/>
      <c r="F46" s="59"/>
      <c r="G46" s="59"/>
      <c r="H46" s="59"/>
      <c r="I46" s="59"/>
      <c r="J46" s="60"/>
      <c r="K46" s="33"/>
      <c r="L46" s="33"/>
      <c r="M46" s="61"/>
      <c r="N46" s="62"/>
      <c r="O46" s="62"/>
      <c r="P46" s="63"/>
      <c r="Q46" s="64"/>
      <c r="R46" s="33"/>
      <c r="S46" s="33"/>
    </row>
    <row r="47" spans="4:19" ht="13.5" thickTop="1">
      <c r="D47" s="4"/>
      <c r="F47" s="4"/>
      <c r="G47" s="4"/>
      <c r="H47" s="4"/>
      <c r="I47" s="4"/>
      <c r="J47" s="4"/>
      <c r="K47" s="4"/>
      <c r="L47" s="4"/>
      <c r="M47" s="15"/>
      <c r="N47" s="65"/>
      <c r="O47" s="65"/>
      <c r="P47" s="4"/>
      <c r="Q47" s="66"/>
      <c r="R47" s="4"/>
      <c r="S47" s="4"/>
    </row>
    <row r="48" spans="4:19" ht="12.75">
      <c r="D48" s="4"/>
      <c r="F48" s="4"/>
      <c r="G48" s="4"/>
      <c r="H48" s="4"/>
      <c r="I48" s="4"/>
      <c r="J48" s="4"/>
      <c r="K48" s="4"/>
      <c r="L48" s="4"/>
      <c r="M48" s="4"/>
      <c r="N48" s="67"/>
      <c r="O48" s="67"/>
      <c r="P48" s="68"/>
      <c r="Q48" s="66"/>
      <c r="R48" s="4"/>
      <c r="S48" s="4"/>
    </row>
    <row r="49" spans="4:19" ht="12.75">
      <c r="D49" s="4"/>
      <c r="E49" s="4"/>
      <c r="F49" s="4"/>
      <c r="G49" s="4"/>
      <c r="H49" s="4"/>
      <c r="I49" s="4"/>
      <c r="J49" s="4"/>
      <c r="K49" s="4"/>
      <c r="L49" s="4"/>
      <c r="M49" s="4"/>
      <c r="N49" s="67"/>
      <c r="O49" s="67"/>
      <c r="P49" s="68"/>
      <c r="Q49" s="66"/>
      <c r="R49" s="4"/>
      <c r="S49" s="4"/>
    </row>
    <row r="50" spans="4:19" ht="12.75">
      <c r="D50" s="4"/>
      <c r="E50" s="4"/>
      <c r="L50" s="4"/>
      <c r="M50" s="4"/>
      <c r="N50" s="4"/>
      <c r="O50" s="4"/>
      <c r="P50" s="4"/>
      <c r="Q50" s="4"/>
      <c r="R50" s="4"/>
      <c r="S50" s="4"/>
    </row>
    <row r="51" spans="4:19" ht="12.75">
      <c r="D51" s="4"/>
      <c r="E51" s="4"/>
      <c r="P51" s="4"/>
      <c r="Q51" s="4"/>
      <c r="R51" s="4"/>
      <c r="S51" s="4"/>
    </row>
    <row r="52" spans="4:19" ht="12.75">
      <c r="D52" s="4"/>
      <c r="E52" s="4"/>
      <c r="P52" s="4"/>
      <c r="Q52" s="4"/>
      <c r="R52" s="4"/>
      <c r="S52" s="4"/>
    </row>
    <row r="53" spans="4:19" ht="12.75">
      <c r="D53" s="4"/>
      <c r="E53" s="4"/>
      <c r="P53" s="4"/>
      <c r="Q53" s="4"/>
      <c r="R53" s="4"/>
      <c r="S53" s="4"/>
    </row>
    <row r="54" spans="4:19" ht="12.75">
      <c r="D54" s="4"/>
      <c r="E54" s="4"/>
      <c r="P54" s="4"/>
      <c r="Q54" s="4"/>
      <c r="R54" s="4"/>
      <c r="S54" s="4"/>
    </row>
    <row r="55" spans="4:19" ht="12.75">
      <c r="D55" s="4"/>
      <c r="E55" s="4"/>
      <c r="P55" s="4"/>
      <c r="Q55" s="4"/>
      <c r="R55" s="4"/>
      <c r="S55" s="4"/>
    </row>
    <row r="56" spans="16:19" ht="12.75">
      <c r="P56" s="4"/>
      <c r="Q56" s="4"/>
      <c r="R56" s="4"/>
      <c r="S56" s="4"/>
    </row>
    <row r="57" spans="16:19" ht="12.75">
      <c r="P57" s="4"/>
      <c r="Q57" s="4"/>
      <c r="R57" s="4"/>
      <c r="S57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Y159"/>
  <sheetViews>
    <sheetView zoomScale="75" zoomScaleNormal="75" workbookViewId="0" topLeftCell="C16">
      <selection activeCell="L29" sqref="L29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12.00390625" style="0" customWidth="1"/>
    <col min="7" max="7" width="12.00390625" style="0" hidden="1" customWidth="1"/>
    <col min="8" max="9" width="16.7109375" style="0" customWidth="1"/>
    <col min="10" max="13" width="9.7109375" style="0" customWidth="1"/>
    <col min="14" max="14" width="6.28125" style="0" bestFit="1" customWidth="1"/>
    <col min="15" max="15" width="12.7109375" style="0" hidden="1" customWidth="1"/>
    <col min="16" max="16" width="13.140625" style="0" hidden="1" customWidth="1"/>
    <col min="17" max="17" width="12.28125" style="0" hidden="1" customWidth="1"/>
    <col min="18" max="18" width="5.7109375" style="0" hidden="1" customWidth="1"/>
    <col min="19" max="19" width="12.28125" style="0" hidden="1" customWidth="1"/>
    <col min="20" max="20" width="9.7109375" style="0" customWidth="1"/>
    <col min="21" max="21" width="16.00390625" style="0" hidden="1" customWidth="1"/>
    <col min="22" max="23" width="15.7109375" style="0" customWidth="1"/>
  </cols>
  <sheetData>
    <row r="1" s="18" customFormat="1" ht="26.25">
      <c r="W1" s="146"/>
    </row>
    <row r="2" spans="1:23" s="18" customFormat="1" ht="26.25">
      <c r="A2" s="91"/>
      <c r="B2" s="435" t="str">
        <f>+'TOT-0209'!B2</f>
        <v>ANEXO III al Memorandum  D.T.E.E. N°  770        /2010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D8" s="178" t="s">
        <v>89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437"/>
    </row>
    <row r="9" spans="2:23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D10" s="11" t="s">
        <v>90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/>
      <c r="W10" s="80"/>
    </row>
    <row r="11" spans="2:23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/>
      <c r="W11" s="6"/>
    </row>
    <row r="12" spans="2:23" s="29" customFormat="1" ht="20.25">
      <c r="B12" s="79"/>
      <c r="D12" s="11" t="s">
        <v>93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80"/>
    </row>
    <row r="13" spans="2:23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6"/>
    </row>
    <row r="14" spans="2:23" s="36" customFormat="1" ht="16.5" customHeight="1">
      <c r="B14" s="37" t="str">
        <f>'TOT-0209'!B14</f>
        <v>Desde el 01 al 28 de febrero de 2009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41"/>
    </row>
    <row r="15" spans="2:23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6"/>
    </row>
    <row r="16" spans="2:23" s="5" customFormat="1" ht="16.5" customHeight="1" thickBot="1" thickTop="1">
      <c r="B16" s="50"/>
      <c r="C16" s="4"/>
      <c r="D16" s="4"/>
      <c r="E16" s="4"/>
      <c r="F16" s="4"/>
      <c r="G16" s="4"/>
      <c r="H16" s="4"/>
      <c r="I16" s="4"/>
      <c r="J16" s="1360" t="s">
        <v>71</v>
      </c>
      <c r="K16" s="1361"/>
      <c r="L16" s="1361"/>
      <c r="M16" s="1361"/>
      <c r="N16" s="1362"/>
      <c r="O16" s="206" t="b">
        <f>AND(N17&lt;=0.82,N18&lt;=1.17)</f>
        <v>1</v>
      </c>
      <c r="P16" s="206" t="b">
        <f>AND(N17&gt;=1.17,N18&gt;=1.7)</f>
        <v>0</v>
      </c>
      <c r="Q16" s="207">
        <f>((N18/1.17)+(N17/0.82))*0.852446393-1.454892785</f>
        <v>-0.43113967470752534</v>
      </c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117" t="s">
        <v>81</v>
      </c>
      <c r="E17" s="442"/>
      <c r="F17" s="918">
        <v>0.245</v>
      </c>
      <c r="G17" s="377"/>
      <c r="H17"/>
      <c r="I17" s="4"/>
      <c r="J17" s="209" t="s">
        <v>72</v>
      </c>
      <c r="K17" s="210"/>
      <c r="L17" s="210"/>
      <c r="M17" s="210"/>
      <c r="N17" s="211">
        <v>0.34</v>
      </c>
      <c r="O17" s="212"/>
      <c r="P17" s="206"/>
      <c r="Q17" s="207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4"/>
      <c r="D18" s="443" t="s">
        <v>26</v>
      </c>
      <c r="E18" s="444"/>
      <c r="F18" s="919">
        <v>20</v>
      </c>
      <c r="G18" s="377"/>
      <c r="H18" s="142" t="s">
        <v>73</v>
      </c>
      <c r="I18" s="213">
        <f>4*N19</f>
        <v>1</v>
      </c>
      <c r="J18" s="209" t="s">
        <v>74</v>
      </c>
      <c r="K18" s="210"/>
      <c r="L18" s="210"/>
      <c r="M18" s="210"/>
      <c r="N18" s="211">
        <v>0.92</v>
      </c>
      <c r="O18" s="212"/>
      <c r="P18" s="206"/>
      <c r="Q18" s="207"/>
      <c r="R18" s="116"/>
      <c r="S18" s="116"/>
      <c r="T18" s="116"/>
      <c r="U18" s="116"/>
      <c r="V18" s="116"/>
      <c r="W18" s="6"/>
    </row>
    <row r="19" spans="2:23" s="5" customFormat="1" ht="16.5" customHeight="1" thickBot="1" thickTop="1">
      <c r="B19" s="50"/>
      <c r="C19" s="4"/>
      <c r="D19" s="505"/>
      <c r="E19" s="214"/>
      <c r="F19" s="506"/>
      <c r="G19" s="377"/>
      <c r="H19" s="142"/>
      <c r="I19" s="213"/>
      <c r="J19" s="209" t="s">
        <v>75</v>
      </c>
      <c r="K19" s="210"/>
      <c r="L19" s="210"/>
      <c r="M19" s="210"/>
      <c r="N19" s="211">
        <f>IF(O16=TRUE,0.25,IF(P16=TRUE,1,Q16))</f>
        <v>0.25</v>
      </c>
      <c r="O19" s="216"/>
      <c r="P19" s="216"/>
      <c r="Q19" s="216"/>
      <c r="R19" s="116"/>
      <c r="S19" s="116"/>
      <c r="T19" s="116"/>
      <c r="U19" s="116"/>
      <c r="V19" s="116"/>
      <c r="W19" s="6"/>
    </row>
    <row r="20" spans="2:23" s="5" customFormat="1" ht="16.5" customHeight="1" thickBot="1" thickTop="1">
      <c r="B20" s="50"/>
      <c r="C20" s="66"/>
      <c r="D20" s="445"/>
      <c r="E20" s="446"/>
      <c r="F20" s="446"/>
      <c r="G20" s="198"/>
      <c r="H20" s="198"/>
      <c r="I20" s="198"/>
      <c r="J20" s="198"/>
      <c r="K20" s="198"/>
      <c r="L20" s="198"/>
      <c r="M20" s="198"/>
      <c r="N20" s="198"/>
      <c r="O20" s="447"/>
      <c r="P20" s="448"/>
      <c r="Q20" s="449"/>
      <c r="R20" s="449"/>
      <c r="S20" s="449"/>
      <c r="T20" s="450"/>
      <c r="U20" s="450"/>
      <c r="V20" s="451"/>
      <c r="W20" s="6"/>
    </row>
    <row r="21" spans="2:23" s="5" customFormat="1" ht="33.75" customHeight="1" thickBot="1" thickTop="1">
      <c r="B21" s="50"/>
      <c r="C21" s="84" t="s">
        <v>13</v>
      </c>
      <c r="D21" s="86" t="s">
        <v>27</v>
      </c>
      <c r="E21" s="85" t="s">
        <v>28</v>
      </c>
      <c r="F21" s="452" t="s">
        <v>29</v>
      </c>
      <c r="G21" s="130" t="s">
        <v>16</v>
      </c>
      <c r="H21" s="85" t="s">
        <v>17</v>
      </c>
      <c r="I21" s="85" t="s">
        <v>18</v>
      </c>
      <c r="J21" s="86" t="s">
        <v>36</v>
      </c>
      <c r="K21" s="86" t="s">
        <v>31</v>
      </c>
      <c r="L21" s="88" t="s">
        <v>19</v>
      </c>
      <c r="M21" s="88" t="s">
        <v>58</v>
      </c>
      <c r="N21" s="85" t="s">
        <v>32</v>
      </c>
      <c r="O21" s="130" t="s">
        <v>94</v>
      </c>
      <c r="P21" s="507" t="s">
        <v>70</v>
      </c>
      <c r="Q21" s="508" t="s">
        <v>92</v>
      </c>
      <c r="R21" s="509"/>
      <c r="S21" s="510" t="s">
        <v>22</v>
      </c>
      <c r="T21" s="133" t="s">
        <v>79</v>
      </c>
      <c r="U21" s="346" t="s">
        <v>24</v>
      </c>
      <c r="V21" s="457" t="s">
        <v>24</v>
      </c>
      <c r="W21" s="6"/>
    </row>
    <row r="22" spans="2:23" s="5" customFormat="1" ht="16.5" customHeight="1" thickTop="1">
      <c r="B22" s="50"/>
      <c r="C22" s="458"/>
      <c r="D22" s="458"/>
      <c r="E22" s="458"/>
      <c r="F22" s="458"/>
      <c r="G22" s="347"/>
      <c r="H22" s="460"/>
      <c r="I22" s="460"/>
      <c r="J22" s="458"/>
      <c r="K22" s="458"/>
      <c r="L22" s="459"/>
      <c r="M22" s="187"/>
      <c r="N22" s="458"/>
      <c r="O22" s="277"/>
      <c r="P22" s="511"/>
      <c r="Q22" s="512"/>
      <c r="R22" s="513"/>
      <c r="S22" s="514"/>
      <c r="T22" s="515"/>
      <c r="U22" s="348"/>
      <c r="V22" s="467"/>
      <c r="W22" s="6"/>
    </row>
    <row r="23" spans="2:23" s="5" customFormat="1" ht="16.5" customHeight="1">
      <c r="B23" s="50"/>
      <c r="C23" s="289"/>
      <c r="D23" s="470"/>
      <c r="E23" s="470"/>
      <c r="F23" s="470"/>
      <c r="G23" s="471"/>
      <c r="H23" s="472"/>
      <c r="I23" s="473"/>
      <c r="J23" s="474"/>
      <c r="K23" s="475"/>
      <c r="L23" s="476"/>
      <c r="M23" s="188"/>
      <c r="N23" s="477"/>
      <c r="O23" s="516"/>
      <c r="P23" s="517"/>
      <c r="Q23" s="518"/>
      <c r="R23" s="519"/>
      <c r="S23" s="520"/>
      <c r="T23" s="521"/>
      <c r="U23" s="522"/>
      <c r="V23" s="483"/>
      <c r="W23" s="6"/>
    </row>
    <row r="24" spans="2:23" s="5" customFormat="1" ht="16.5" customHeight="1">
      <c r="B24" s="50"/>
      <c r="C24" s="157">
        <v>57</v>
      </c>
      <c r="D24" s="485" t="s">
        <v>318</v>
      </c>
      <c r="E24" s="485" t="s">
        <v>319</v>
      </c>
      <c r="F24" s="485">
        <v>80</v>
      </c>
      <c r="G24" s="306">
        <f aca="true" t="shared" si="0" ref="G24:G43">F24*$F$17</f>
        <v>19.6</v>
      </c>
      <c r="H24" s="414">
        <v>39867.40833333333</v>
      </c>
      <c r="I24" s="192">
        <v>39867.70277777778</v>
      </c>
      <c r="J24" s="415">
        <f aca="true" t="shared" si="1" ref="J24:J43">IF(D24="","",(I24-H24)*24)</f>
        <v>7.066666666651145</v>
      </c>
      <c r="K24" s="416">
        <f aca="true" t="shared" si="2" ref="K24:K43">IF(D24="","",ROUND((I24-H24)*24*60,0))</f>
        <v>424</v>
      </c>
      <c r="L24" s="234" t="s">
        <v>241</v>
      </c>
      <c r="M24" s="235" t="str">
        <f aca="true" t="shared" si="3" ref="M24:M43">IF(D24="","","--")</f>
        <v>--</v>
      </c>
      <c r="N24" s="155" t="str">
        <f>IF(D24="","",IF(OR(L24="P",L24="RP"),"--","NO"))</f>
        <v>--</v>
      </c>
      <c r="O24" s="523">
        <f aca="true" t="shared" si="4" ref="O24:O43">IF(L24="P",$F$18*0.1,$F$18)</f>
        <v>2</v>
      </c>
      <c r="P24" s="524">
        <f aca="true" t="shared" si="5" ref="P24:P43">IF(L24="P",G24*O24*ROUND(K24/60,2),"--")</f>
        <v>277.144</v>
      </c>
      <c r="Q24" s="525" t="str">
        <f aca="true" t="shared" si="6" ref="Q24:Q43">IF(AND(L24="F",N24="NO"),G24*O24,"--")</f>
        <v>--</v>
      </c>
      <c r="R24" s="526" t="str">
        <f aca="true" t="shared" si="7" ref="R24:R43">IF(L24="F",G24*O24*ROUND(K24/60,2),"--")</f>
        <v>--</v>
      </c>
      <c r="S24" s="527" t="str">
        <f aca="true" t="shared" si="8" ref="S24:S43">IF(L24="RF",G24*O24*ROUND(K24/60,2),"--")</f>
        <v>--</v>
      </c>
      <c r="T24" s="528" t="s">
        <v>238</v>
      </c>
      <c r="U24" s="529">
        <f aca="true" t="shared" si="9" ref="U24:U43">SUM(P24:S24)*IF(T24="SI",1,2)</f>
        <v>277.144</v>
      </c>
      <c r="V24" s="421">
        <f aca="true" t="shared" si="10" ref="V24:V43">IF(D24="","",U24*$I$18*IF(AND(M22&lt;&gt;"--",L22="RF"),M22/100,1))</f>
        <v>277.144</v>
      </c>
      <c r="W24" s="6"/>
    </row>
    <row r="25" spans="2:23" s="5" customFormat="1" ht="16.5" customHeight="1">
      <c r="B25" s="50"/>
      <c r="C25" s="289">
        <v>58</v>
      </c>
      <c r="D25" s="485" t="s">
        <v>318</v>
      </c>
      <c r="E25" s="485" t="s">
        <v>319</v>
      </c>
      <c r="F25" s="485">
        <v>80</v>
      </c>
      <c r="G25" s="306">
        <f t="shared" si="0"/>
        <v>19.6</v>
      </c>
      <c r="H25" s="414">
        <v>39868.35625</v>
      </c>
      <c r="I25" s="192">
        <v>39868.73541666667</v>
      </c>
      <c r="J25" s="415">
        <f t="shared" si="1"/>
        <v>9.10000000015134</v>
      </c>
      <c r="K25" s="416">
        <f t="shared" si="2"/>
        <v>546</v>
      </c>
      <c r="L25" s="234" t="s">
        <v>241</v>
      </c>
      <c r="M25" s="235" t="str">
        <f t="shared" si="3"/>
        <v>--</v>
      </c>
      <c r="N25" s="155" t="str">
        <f aca="true" t="shared" si="11" ref="N25:N43">IF(D25="","",IF(L25="P","--","NO"))</f>
        <v>--</v>
      </c>
      <c r="O25" s="523">
        <f t="shared" si="4"/>
        <v>2</v>
      </c>
      <c r="P25" s="524">
        <f t="shared" si="5"/>
        <v>356.72</v>
      </c>
      <c r="Q25" s="525" t="str">
        <f t="shared" si="6"/>
        <v>--</v>
      </c>
      <c r="R25" s="526" t="str">
        <f t="shared" si="7"/>
        <v>--</v>
      </c>
      <c r="S25" s="527" t="str">
        <f t="shared" si="8"/>
        <v>--</v>
      </c>
      <c r="T25" s="528" t="s">
        <v>238</v>
      </c>
      <c r="U25" s="529">
        <f t="shared" si="9"/>
        <v>356.72</v>
      </c>
      <c r="V25" s="421">
        <f t="shared" si="10"/>
        <v>356.72</v>
      </c>
      <c r="W25" s="6"/>
    </row>
    <row r="26" spans="2:23" s="5" customFormat="1" ht="16.5" customHeight="1">
      <c r="B26" s="50"/>
      <c r="C26" s="157"/>
      <c r="D26" s="485"/>
      <c r="E26" s="485"/>
      <c r="F26" s="485"/>
      <c r="G26" s="306">
        <f t="shared" si="0"/>
        <v>0</v>
      </c>
      <c r="H26" s="414"/>
      <c r="I26" s="192"/>
      <c r="J26" s="415">
        <f t="shared" si="1"/>
      </c>
      <c r="K26" s="416">
        <f t="shared" si="2"/>
      </c>
      <c r="L26" s="234"/>
      <c r="M26" s="235">
        <f t="shared" si="3"/>
      </c>
      <c r="N26" s="155">
        <f t="shared" si="11"/>
      </c>
      <c r="O26" s="523">
        <f t="shared" si="4"/>
        <v>20</v>
      </c>
      <c r="P26" s="524" t="str">
        <f t="shared" si="5"/>
        <v>--</v>
      </c>
      <c r="Q26" s="525" t="str">
        <f t="shared" si="6"/>
        <v>--</v>
      </c>
      <c r="R26" s="526" t="str">
        <f t="shared" si="7"/>
        <v>--</v>
      </c>
      <c r="S26" s="527" t="str">
        <f t="shared" si="8"/>
        <v>--</v>
      </c>
      <c r="T26" s="528">
        <f aca="true" t="shared" si="12" ref="T26:T43">IF(D26="","","SI")</f>
      </c>
      <c r="U26" s="529">
        <f t="shared" si="9"/>
        <v>0</v>
      </c>
      <c r="V26" s="421">
        <f t="shared" si="10"/>
      </c>
      <c r="W26" s="6"/>
    </row>
    <row r="27" spans="2:23" s="5" customFormat="1" ht="16.5" customHeight="1">
      <c r="B27" s="50"/>
      <c r="C27" s="289"/>
      <c r="D27" s="485"/>
      <c r="E27" s="485"/>
      <c r="F27" s="485"/>
      <c r="G27" s="306">
        <f t="shared" si="0"/>
        <v>0</v>
      </c>
      <c r="H27" s="414"/>
      <c r="I27" s="192"/>
      <c r="J27" s="415">
        <f t="shared" si="1"/>
      </c>
      <c r="K27" s="416">
        <f t="shared" si="2"/>
      </c>
      <c r="L27" s="234"/>
      <c r="M27" s="235">
        <f t="shared" si="3"/>
      </c>
      <c r="N27" s="155">
        <f t="shared" si="11"/>
      </c>
      <c r="O27" s="523">
        <f t="shared" si="4"/>
        <v>20</v>
      </c>
      <c r="P27" s="524" t="str">
        <f t="shared" si="5"/>
        <v>--</v>
      </c>
      <c r="Q27" s="525" t="str">
        <f t="shared" si="6"/>
        <v>--</v>
      </c>
      <c r="R27" s="526" t="str">
        <f t="shared" si="7"/>
        <v>--</v>
      </c>
      <c r="S27" s="527" t="str">
        <f t="shared" si="8"/>
        <v>--</v>
      </c>
      <c r="T27" s="528">
        <f t="shared" si="12"/>
      </c>
      <c r="U27" s="529">
        <f t="shared" si="9"/>
        <v>0</v>
      </c>
      <c r="V27" s="421">
        <f t="shared" si="10"/>
      </c>
      <c r="W27" s="491"/>
    </row>
    <row r="28" spans="2:23" s="5" customFormat="1" ht="16.5" customHeight="1">
      <c r="B28" s="50"/>
      <c r="C28" s="157"/>
      <c r="D28" s="485"/>
      <c r="E28" s="485"/>
      <c r="F28" s="485"/>
      <c r="G28" s="306">
        <f t="shared" si="0"/>
        <v>0</v>
      </c>
      <c r="H28" s="414"/>
      <c r="I28" s="192"/>
      <c r="J28" s="415">
        <f t="shared" si="1"/>
      </c>
      <c r="K28" s="416">
        <f t="shared" si="2"/>
      </c>
      <c r="L28" s="234"/>
      <c r="M28" s="235">
        <f t="shared" si="3"/>
      </c>
      <c r="N28" s="155">
        <f t="shared" si="11"/>
      </c>
      <c r="O28" s="523">
        <f t="shared" si="4"/>
        <v>20</v>
      </c>
      <c r="P28" s="524" t="str">
        <f t="shared" si="5"/>
        <v>--</v>
      </c>
      <c r="Q28" s="525" t="str">
        <f t="shared" si="6"/>
        <v>--</v>
      </c>
      <c r="R28" s="526" t="str">
        <f t="shared" si="7"/>
        <v>--</v>
      </c>
      <c r="S28" s="527" t="str">
        <f t="shared" si="8"/>
        <v>--</v>
      </c>
      <c r="T28" s="528">
        <f t="shared" si="12"/>
      </c>
      <c r="U28" s="529">
        <f t="shared" si="9"/>
        <v>0</v>
      </c>
      <c r="V28" s="421">
        <f t="shared" si="10"/>
      </c>
      <c r="W28" s="491"/>
    </row>
    <row r="29" spans="2:23" s="5" customFormat="1" ht="16.5" customHeight="1">
      <c r="B29" s="50"/>
      <c r="C29" s="289"/>
      <c r="D29" s="485"/>
      <c r="E29" s="485"/>
      <c r="F29" s="485"/>
      <c r="G29" s="306">
        <f t="shared" si="0"/>
        <v>0</v>
      </c>
      <c r="H29" s="414"/>
      <c r="I29" s="192"/>
      <c r="J29" s="415">
        <f t="shared" si="1"/>
      </c>
      <c r="K29" s="416">
        <f t="shared" si="2"/>
      </c>
      <c r="L29" s="234"/>
      <c r="M29" s="235">
        <f t="shared" si="3"/>
      </c>
      <c r="N29" s="155">
        <f t="shared" si="11"/>
      </c>
      <c r="O29" s="523">
        <f t="shared" si="4"/>
        <v>20</v>
      </c>
      <c r="P29" s="524" t="str">
        <f t="shared" si="5"/>
        <v>--</v>
      </c>
      <c r="Q29" s="525" t="str">
        <f t="shared" si="6"/>
        <v>--</v>
      </c>
      <c r="R29" s="526" t="str">
        <f t="shared" si="7"/>
        <v>--</v>
      </c>
      <c r="S29" s="527" t="str">
        <f t="shared" si="8"/>
        <v>--</v>
      </c>
      <c r="T29" s="528">
        <f t="shared" si="12"/>
      </c>
      <c r="U29" s="529">
        <f t="shared" si="9"/>
        <v>0</v>
      </c>
      <c r="V29" s="421">
        <f t="shared" si="10"/>
      </c>
      <c r="W29" s="491"/>
    </row>
    <row r="30" spans="2:23" s="5" customFormat="1" ht="16.5" customHeight="1">
      <c r="B30" s="50"/>
      <c r="C30" s="157"/>
      <c r="D30" s="485"/>
      <c r="E30" s="485"/>
      <c r="F30" s="485"/>
      <c r="G30" s="306">
        <f t="shared" si="0"/>
        <v>0</v>
      </c>
      <c r="H30" s="414"/>
      <c r="I30" s="192"/>
      <c r="J30" s="415">
        <f t="shared" si="1"/>
      </c>
      <c r="K30" s="416">
        <f t="shared" si="2"/>
      </c>
      <c r="L30" s="234"/>
      <c r="M30" s="235">
        <f t="shared" si="3"/>
      </c>
      <c r="N30" s="155">
        <f t="shared" si="11"/>
      </c>
      <c r="O30" s="523">
        <f t="shared" si="4"/>
        <v>20</v>
      </c>
      <c r="P30" s="524" t="str">
        <f t="shared" si="5"/>
        <v>--</v>
      </c>
      <c r="Q30" s="525" t="str">
        <f t="shared" si="6"/>
        <v>--</v>
      </c>
      <c r="R30" s="526" t="str">
        <f t="shared" si="7"/>
        <v>--</v>
      </c>
      <c r="S30" s="527" t="str">
        <f t="shared" si="8"/>
        <v>--</v>
      </c>
      <c r="T30" s="528">
        <f t="shared" si="12"/>
      </c>
      <c r="U30" s="529">
        <f t="shared" si="9"/>
        <v>0</v>
      </c>
      <c r="V30" s="421">
        <f t="shared" si="10"/>
      </c>
      <c r="W30" s="491"/>
    </row>
    <row r="31" spans="2:23" s="5" customFormat="1" ht="16.5" customHeight="1">
      <c r="B31" s="50"/>
      <c r="C31" s="289"/>
      <c r="D31" s="485"/>
      <c r="E31" s="485"/>
      <c r="F31" s="485"/>
      <c r="G31" s="306">
        <f t="shared" si="0"/>
        <v>0</v>
      </c>
      <c r="H31" s="414"/>
      <c r="I31" s="192"/>
      <c r="J31" s="415">
        <f t="shared" si="1"/>
      </c>
      <c r="K31" s="416">
        <f t="shared" si="2"/>
      </c>
      <c r="L31" s="234"/>
      <c r="M31" s="235">
        <f t="shared" si="3"/>
      </c>
      <c r="N31" s="155">
        <f t="shared" si="11"/>
      </c>
      <c r="O31" s="523">
        <f t="shared" si="4"/>
        <v>20</v>
      </c>
      <c r="P31" s="524" t="str">
        <f t="shared" si="5"/>
        <v>--</v>
      </c>
      <c r="Q31" s="525" t="str">
        <f t="shared" si="6"/>
        <v>--</v>
      </c>
      <c r="R31" s="526" t="str">
        <f t="shared" si="7"/>
        <v>--</v>
      </c>
      <c r="S31" s="527" t="str">
        <f t="shared" si="8"/>
        <v>--</v>
      </c>
      <c r="T31" s="528">
        <f t="shared" si="12"/>
      </c>
      <c r="U31" s="529">
        <f t="shared" si="9"/>
        <v>0</v>
      </c>
      <c r="V31" s="421">
        <f t="shared" si="10"/>
      </c>
      <c r="W31" s="491"/>
    </row>
    <row r="32" spans="2:23" s="5" customFormat="1" ht="16.5" customHeight="1">
      <c r="B32" s="50"/>
      <c r="C32" s="157"/>
      <c r="D32" s="485"/>
      <c r="E32" s="485"/>
      <c r="F32" s="485"/>
      <c r="G32" s="306">
        <f t="shared" si="0"/>
        <v>0</v>
      </c>
      <c r="H32" s="414"/>
      <c r="I32" s="192"/>
      <c r="J32" s="415">
        <f t="shared" si="1"/>
      </c>
      <c r="K32" s="416">
        <f t="shared" si="2"/>
      </c>
      <c r="L32" s="234"/>
      <c r="M32" s="235">
        <f t="shared" si="3"/>
      </c>
      <c r="N32" s="155">
        <f t="shared" si="11"/>
      </c>
      <c r="O32" s="523">
        <f t="shared" si="4"/>
        <v>20</v>
      </c>
      <c r="P32" s="524" t="str">
        <f t="shared" si="5"/>
        <v>--</v>
      </c>
      <c r="Q32" s="525" t="str">
        <f t="shared" si="6"/>
        <v>--</v>
      </c>
      <c r="R32" s="526" t="str">
        <f t="shared" si="7"/>
        <v>--</v>
      </c>
      <c r="S32" s="527" t="str">
        <f t="shared" si="8"/>
        <v>--</v>
      </c>
      <c r="T32" s="528">
        <f t="shared" si="12"/>
      </c>
      <c r="U32" s="529">
        <f t="shared" si="9"/>
        <v>0</v>
      </c>
      <c r="V32" s="421">
        <f t="shared" si="10"/>
      </c>
      <c r="W32" s="491"/>
    </row>
    <row r="33" spans="2:23" s="5" customFormat="1" ht="16.5" customHeight="1">
      <c r="B33" s="50"/>
      <c r="C33" s="289"/>
      <c r="D33" s="485"/>
      <c r="E33" s="485"/>
      <c r="F33" s="485"/>
      <c r="G33" s="306">
        <f t="shared" si="0"/>
        <v>0</v>
      </c>
      <c r="H33" s="414"/>
      <c r="I33" s="192"/>
      <c r="J33" s="415">
        <f t="shared" si="1"/>
      </c>
      <c r="K33" s="416">
        <f t="shared" si="2"/>
      </c>
      <c r="L33" s="234"/>
      <c r="M33" s="235">
        <f t="shared" si="3"/>
      </c>
      <c r="N33" s="155">
        <f t="shared" si="11"/>
      </c>
      <c r="O33" s="523">
        <f t="shared" si="4"/>
        <v>20</v>
      </c>
      <c r="P33" s="524" t="str">
        <f t="shared" si="5"/>
        <v>--</v>
      </c>
      <c r="Q33" s="525" t="str">
        <f t="shared" si="6"/>
        <v>--</v>
      </c>
      <c r="R33" s="526" t="str">
        <f t="shared" si="7"/>
        <v>--</v>
      </c>
      <c r="S33" s="527" t="str">
        <f t="shared" si="8"/>
        <v>--</v>
      </c>
      <c r="T33" s="528">
        <f t="shared" si="12"/>
      </c>
      <c r="U33" s="529">
        <f t="shared" si="9"/>
        <v>0</v>
      </c>
      <c r="V33" s="421">
        <f t="shared" si="10"/>
      </c>
      <c r="W33" s="6"/>
    </row>
    <row r="34" spans="2:23" s="5" customFormat="1" ht="16.5" customHeight="1">
      <c r="B34" s="50"/>
      <c r="C34" s="157"/>
      <c r="D34" s="485"/>
      <c r="E34" s="485"/>
      <c r="F34" s="485"/>
      <c r="G34" s="306">
        <f t="shared" si="0"/>
        <v>0</v>
      </c>
      <c r="H34" s="414"/>
      <c r="I34" s="192"/>
      <c r="J34" s="415">
        <f t="shared" si="1"/>
      </c>
      <c r="K34" s="416">
        <f t="shared" si="2"/>
      </c>
      <c r="L34" s="234"/>
      <c r="M34" s="235">
        <f t="shared" si="3"/>
      </c>
      <c r="N34" s="155">
        <f t="shared" si="11"/>
      </c>
      <c r="O34" s="523">
        <f t="shared" si="4"/>
        <v>20</v>
      </c>
      <c r="P34" s="524" t="str">
        <f t="shared" si="5"/>
        <v>--</v>
      </c>
      <c r="Q34" s="525" t="str">
        <f t="shared" si="6"/>
        <v>--</v>
      </c>
      <c r="R34" s="526" t="str">
        <f t="shared" si="7"/>
        <v>--</v>
      </c>
      <c r="S34" s="527" t="str">
        <f t="shared" si="8"/>
        <v>--</v>
      </c>
      <c r="T34" s="528">
        <f t="shared" si="12"/>
      </c>
      <c r="U34" s="529">
        <f t="shared" si="9"/>
        <v>0</v>
      </c>
      <c r="V34" s="421">
        <f t="shared" si="10"/>
      </c>
      <c r="W34" s="6"/>
    </row>
    <row r="35" spans="2:23" s="5" customFormat="1" ht="16.5" customHeight="1">
      <c r="B35" s="50"/>
      <c r="C35" s="289"/>
      <c r="D35" s="485"/>
      <c r="E35" s="485"/>
      <c r="F35" s="485"/>
      <c r="G35" s="306">
        <f t="shared" si="0"/>
        <v>0</v>
      </c>
      <c r="H35" s="414"/>
      <c r="I35" s="192"/>
      <c r="J35" s="415">
        <f t="shared" si="1"/>
      </c>
      <c r="K35" s="416">
        <f t="shared" si="2"/>
      </c>
      <c r="L35" s="234"/>
      <c r="M35" s="235">
        <f t="shared" si="3"/>
      </c>
      <c r="N35" s="155">
        <f t="shared" si="11"/>
      </c>
      <c r="O35" s="523">
        <f t="shared" si="4"/>
        <v>20</v>
      </c>
      <c r="P35" s="524" t="str">
        <f t="shared" si="5"/>
        <v>--</v>
      </c>
      <c r="Q35" s="525" t="str">
        <f t="shared" si="6"/>
        <v>--</v>
      </c>
      <c r="R35" s="526" t="str">
        <f t="shared" si="7"/>
        <v>--</v>
      </c>
      <c r="S35" s="527" t="str">
        <f t="shared" si="8"/>
        <v>--</v>
      </c>
      <c r="T35" s="528">
        <f t="shared" si="12"/>
      </c>
      <c r="U35" s="529">
        <f t="shared" si="9"/>
        <v>0</v>
      </c>
      <c r="V35" s="421">
        <f t="shared" si="10"/>
      </c>
      <c r="W35" s="6"/>
    </row>
    <row r="36" spans="2:23" s="5" customFormat="1" ht="16.5" customHeight="1">
      <c r="B36" s="50"/>
      <c r="C36" s="157"/>
      <c r="D36" s="485"/>
      <c r="E36" s="485"/>
      <c r="F36" s="485"/>
      <c r="G36" s="306">
        <f t="shared" si="0"/>
        <v>0</v>
      </c>
      <c r="H36" s="414"/>
      <c r="I36" s="192"/>
      <c r="J36" s="415">
        <f t="shared" si="1"/>
      </c>
      <c r="K36" s="416">
        <f t="shared" si="2"/>
      </c>
      <c r="L36" s="234"/>
      <c r="M36" s="235">
        <f t="shared" si="3"/>
      </c>
      <c r="N36" s="155">
        <f t="shared" si="11"/>
      </c>
      <c r="O36" s="523">
        <f t="shared" si="4"/>
        <v>20</v>
      </c>
      <c r="P36" s="524" t="str">
        <f t="shared" si="5"/>
        <v>--</v>
      </c>
      <c r="Q36" s="525" t="str">
        <f t="shared" si="6"/>
        <v>--</v>
      </c>
      <c r="R36" s="526" t="str">
        <f t="shared" si="7"/>
        <v>--</v>
      </c>
      <c r="S36" s="527" t="str">
        <f t="shared" si="8"/>
        <v>--</v>
      </c>
      <c r="T36" s="528">
        <f t="shared" si="12"/>
      </c>
      <c r="U36" s="529">
        <f t="shared" si="9"/>
        <v>0</v>
      </c>
      <c r="V36" s="421">
        <f t="shared" si="10"/>
      </c>
      <c r="W36" s="6"/>
    </row>
    <row r="37" spans="2:23" s="5" customFormat="1" ht="16.5" customHeight="1">
      <c r="B37" s="50"/>
      <c r="C37" s="289"/>
      <c r="D37" s="485"/>
      <c r="E37" s="485"/>
      <c r="F37" s="485"/>
      <c r="G37" s="306">
        <f t="shared" si="0"/>
        <v>0</v>
      </c>
      <c r="H37" s="414"/>
      <c r="I37" s="192"/>
      <c r="J37" s="415">
        <f t="shared" si="1"/>
      </c>
      <c r="K37" s="416">
        <f t="shared" si="2"/>
      </c>
      <c r="L37" s="234"/>
      <c r="M37" s="235">
        <f t="shared" si="3"/>
      </c>
      <c r="N37" s="155">
        <f t="shared" si="11"/>
      </c>
      <c r="O37" s="523">
        <f t="shared" si="4"/>
        <v>20</v>
      </c>
      <c r="P37" s="524" t="str">
        <f t="shared" si="5"/>
        <v>--</v>
      </c>
      <c r="Q37" s="525" t="str">
        <f t="shared" si="6"/>
        <v>--</v>
      </c>
      <c r="R37" s="526" t="str">
        <f t="shared" si="7"/>
        <v>--</v>
      </c>
      <c r="S37" s="527" t="str">
        <f t="shared" si="8"/>
        <v>--</v>
      </c>
      <c r="T37" s="528">
        <f t="shared" si="12"/>
      </c>
      <c r="U37" s="529">
        <f t="shared" si="9"/>
        <v>0</v>
      </c>
      <c r="V37" s="421">
        <f t="shared" si="10"/>
      </c>
      <c r="W37" s="6"/>
    </row>
    <row r="38" spans="2:23" s="5" customFormat="1" ht="16.5" customHeight="1">
      <c r="B38" s="50"/>
      <c r="C38" s="157"/>
      <c r="D38" s="485"/>
      <c r="E38" s="485"/>
      <c r="F38" s="485"/>
      <c r="G38" s="306">
        <f t="shared" si="0"/>
        <v>0</v>
      </c>
      <c r="H38" s="414"/>
      <c r="I38" s="192"/>
      <c r="J38" s="415">
        <f t="shared" si="1"/>
      </c>
      <c r="K38" s="416">
        <f t="shared" si="2"/>
      </c>
      <c r="L38" s="234"/>
      <c r="M38" s="235">
        <f t="shared" si="3"/>
      </c>
      <c r="N38" s="155">
        <f t="shared" si="11"/>
      </c>
      <c r="O38" s="523">
        <f t="shared" si="4"/>
        <v>20</v>
      </c>
      <c r="P38" s="524" t="str">
        <f t="shared" si="5"/>
        <v>--</v>
      </c>
      <c r="Q38" s="525" t="str">
        <f t="shared" si="6"/>
        <v>--</v>
      </c>
      <c r="R38" s="526" t="str">
        <f t="shared" si="7"/>
        <v>--</v>
      </c>
      <c r="S38" s="527" t="str">
        <f t="shared" si="8"/>
        <v>--</v>
      </c>
      <c r="T38" s="528">
        <f t="shared" si="12"/>
      </c>
      <c r="U38" s="529">
        <f t="shared" si="9"/>
        <v>0</v>
      </c>
      <c r="V38" s="421">
        <f t="shared" si="10"/>
      </c>
      <c r="W38" s="6"/>
    </row>
    <row r="39" spans="2:23" s="5" customFormat="1" ht="16.5" customHeight="1">
      <c r="B39" s="50"/>
      <c r="C39" s="289"/>
      <c r="D39" s="485"/>
      <c r="E39" s="485"/>
      <c r="F39" s="485"/>
      <c r="G39" s="306">
        <f t="shared" si="0"/>
        <v>0</v>
      </c>
      <c r="H39" s="414"/>
      <c r="I39" s="192"/>
      <c r="J39" s="415">
        <f t="shared" si="1"/>
      </c>
      <c r="K39" s="416">
        <f t="shared" si="2"/>
      </c>
      <c r="L39" s="234"/>
      <c r="M39" s="235">
        <f t="shared" si="3"/>
      </c>
      <c r="N39" s="155">
        <f t="shared" si="11"/>
      </c>
      <c r="O39" s="523">
        <f t="shared" si="4"/>
        <v>20</v>
      </c>
      <c r="P39" s="524" t="str">
        <f t="shared" si="5"/>
        <v>--</v>
      </c>
      <c r="Q39" s="525" t="str">
        <f t="shared" si="6"/>
        <v>--</v>
      </c>
      <c r="R39" s="526" t="str">
        <f t="shared" si="7"/>
        <v>--</v>
      </c>
      <c r="S39" s="527" t="str">
        <f t="shared" si="8"/>
        <v>--</v>
      </c>
      <c r="T39" s="528">
        <f t="shared" si="12"/>
      </c>
      <c r="U39" s="529">
        <f t="shared" si="9"/>
        <v>0</v>
      </c>
      <c r="V39" s="421">
        <f t="shared" si="10"/>
      </c>
      <c r="W39" s="6"/>
    </row>
    <row r="40" spans="2:23" s="5" customFormat="1" ht="16.5" customHeight="1">
      <c r="B40" s="50"/>
      <c r="C40" s="157"/>
      <c r="D40" s="485"/>
      <c r="E40" s="485"/>
      <c r="F40" s="485"/>
      <c r="G40" s="306">
        <f t="shared" si="0"/>
        <v>0</v>
      </c>
      <c r="H40" s="414"/>
      <c r="I40" s="192"/>
      <c r="J40" s="415">
        <f t="shared" si="1"/>
      </c>
      <c r="K40" s="416">
        <f t="shared" si="2"/>
      </c>
      <c r="L40" s="234"/>
      <c r="M40" s="235">
        <f t="shared" si="3"/>
      </c>
      <c r="N40" s="155">
        <f t="shared" si="11"/>
      </c>
      <c r="O40" s="523">
        <f t="shared" si="4"/>
        <v>20</v>
      </c>
      <c r="P40" s="524" t="str">
        <f t="shared" si="5"/>
        <v>--</v>
      </c>
      <c r="Q40" s="525" t="str">
        <f t="shared" si="6"/>
        <v>--</v>
      </c>
      <c r="R40" s="526" t="str">
        <f t="shared" si="7"/>
        <v>--</v>
      </c>
      <c r="S40" s="527" t="str">
        <f t="shared" si="8"/>
        <v>--</v>
      </c>
      <c r="T40" s="528">
        <f t="shared" si="12"/>
      </c>
      <c r="U40" s="529">
        <f t="shared" si="9"/>
        <v>0</v>
      </c>
      <c r="V40" s="421">
        <f t="shared" si="10"/>
      </c>
      <c r="W40" s="6"/>
    </row>
    <row r="41" spans="2:23" s="5" customFormat="1" ht="16.5" customHeight="1">
      <c r="B41" s="50"/>
      <c r="C41" s="289"/>
      <c r="D41" s="485"/>
      <c r="E41" s="485"/>
      <c r="F41" s="485"/>
      <c r="G41" s="306">
        <f t="shared" si="0"/>
        <v>0</v>
      </c>
      <c r="H41" s="414"/>
      <c r="I41" s="192"/>
      <c r="J41" s="415">
        <f t="shared" si="1"/>
      </c>
      <c r="K41" s="416">
        <f t="shared" si="2"/>
      </c>
      <c r="L41" s="234"/>
      <c r="M41" s="235">
        <f t="shared" si="3"/>
      </c>
      <c r="N41" s="155">
        <f t="shared" si="11"/>
      </c>
      <c r="O41" s="523">
        <f t="shared" si="4"/>
        <v>20</v>
      </c>
      <c r="P41" s="524" t="str">
        <f t="shared" si="5"/>
        <v>--</v>
      </c>
      <c r="Q41" s="525" t="str">
        <f t="shared" si="6"/>
        <v>--</v>
      </c>
      <c r="R41" s="526" t="str">
        <f t="shared" si="7"/>
        <v>--</v>
      </c>
      <c r="S41" s="527" t="str">
        <f t="shared" si="8"/>
        <v>--</v>
      </c>
      <c r="T41" s="528">
        <f t="shared" si="12"/>
      </c>
      <c r="U41" s="529">
        <f t="shared" si="9"/>
        <v>0</v>
      </c>
      <c r="V41" s="421">
        <f t="shared" si="10"/>
      </c>
      <c r="W41" s="6"/>
    </row>
    <row r="42" spans="2:23" s="5" customFormat="1" ht="16.5" customHeight="1">
      <c r="B42" s="50"/>
      <c r="C42" s="157"/>
      <c r="D42" s="485"/>
      <c r="E42" s="485"/>
      <c r="F42" s="485"/>
      <c r="G42" s="306">
        <f t="shared" si="0"/>
        <v>0</v>
      </c>
      <c r="H42" s="414"/>
      <c r="I42" s="192"/>
      <c r="J42" s="415">
        <f t="shared" si="1"/>
      </c>
      <c r="K42" s="416">
        <f t="shared" si="2"/>
      </c>
      <c r="L42" s="234"/>
      <c r="M42" s="235">
        <f t="shared" si="3"/>
      </c>
      <c r="N42" s="155">
        <f t="shared" si="11"/>
      </c>
      <c r="O42" s="523">
        <f t="shared" si="4"/>
        <v>20</v>
      </c>
      <c r="P42" s="524" t="str">
        <f t="shared" si="5"/>
        <v>--</v>
      </c>
      <c r="Q42" s="525" t="str">
        <f t="shared" si="6"/>
        <v>--</v>
      </c>
      <c r="R42" s="526" t="str">
        <f t="shared" si="7"/>
        <v>--</v>
      </c>
      <c r="S42" s="527" t="str">
        <f t="shared" si="8"/>
        <v>--</v>
      </c>
      <c r="T42" s="528">
        <f t="shared" si="12"/>
      </c>
      <c r="U42" s="529">
        <f t="shared" si="9"/>
        <v>0</v>
      </c>
      <c r="V42" s="421">
        <f t="shared" si="10"/>
      </c>
      <c r="W42" s="6"/>
    </row>
    <row r="43" spans="2:23" s="5" customFormat="1" ht="16.5" customHeight="1">
      <c r="B43" s="50"/>
      <c r="C43" s="289"/>
      <c r="D43" s="485"/>
      <c r="E43" s="485"/>
      <c r="F43" s="485"/>
      <c r="G43" s="306">
        <f t="shared" si="0"/>
        <v>0</v>
      </c>
      <c r="H43" s="414"/>
      <c r="I43" s="192"/>
      <c r="J43" s="415">
        <f t="shared" si="1"/>
      </c>
      <c r="K43" s="416">
        <f t="shared" si="2"/>
      </c>
      <c r="L43" s="234"/>
      <c r="M43" s="235">
        <f t="shared" si="3"/>
      </c>
      <c r="N43" s="155">
        <f t="shared" si="11"/>
      </c>
      <c r="O43" s="523">
        <f t="shared" si="4"/>
        <v>20</v>
      </c>
      <c r="P43" s="524" t="str">
        <f t="shared" si="5"/>
        <v>--</v>
      </c>
      <c r="Q43" s="525" t="str">
        <f t="shared" si="6"/>
        <v>--</v>
      </c>
      <c r="R43" s="526" t="str">
        <f t="shared" si="7"/>
        <v>--</v>
      </c>
      <c r="S43" s="527" t="str">
        <f t="shared" si="8"/>
        <v>--</v>
      </c>
      <c r="T43" s="528">
        <f t="shared" si="12"/>
      </c>
      <c r="U43" s="529">
        <f t="shared" si="9"/>
        <v>0</v>
      </c>
      <c r="V43" s="421">
        <f t="shared" si="10"/>
      </c>
      <c r="W43" s="6"/>
    </row>
    <row r="44" spans="2:23" s="5" customFormat="1" ht="16.5" customHeight="1" thickBot="1">
      <c r="B44" s="50"/>
      <c r="C44" s="157"/>
      <c r="D44" s="493"/>
      <c r="E44" s="493"/>
      <c r="F44" s="493"/>
      <c r="G44" s="132"/>
      <c r="H44" s="422"/>
      <c r="I44" s="422"/>
      <c r="J44" s="423"/>
      <c r="K44" s="423"/>
      <c r="L44" s="422"/>
      <c r="M44" s="197"/>
      <c r="N44" s="154"/>
      <c r="O44" s="530"/>
      <c r="P44" s="531"/>
      <c r="Q44" s="532"/>
      <c r="R44" s="533"/>
      <c r="S44" s="534"/>
      <c r="T44" s="535"/>
      <c r="U44" s="366"/>
      <c r="V44" s="499"/>
      <c r="W44" s="6"/>
    </row>
    <row r="45" spans="2:23" s="5" customFormat="1" ht="16.5" customHeight="1" thickBot="1" thickTop="1">
      <c r="B45" s="50"/>
      <c r="C45" s="128" t="s">
        <v>25</v>
      </c>
      <c r="D45" s="129" t="s">
        <v>331</v>
      </c>
      <c r="G45" s="4"/>
      <c r="H45" s="4"/>
      <c r="I45" s="4"/>
      <c r="J45" s="4"/>
      <c r="K45" s="4"/>
      <c r="L45" s="4"/>
      <c r="M45" s="4"/>
      <c r="N45" s="4"/>
      <c r="O45" s="4"/>
      <c r="P45" s="536">
        <f>SUM(P22:P44)</f>
        <v>633.864</v>
      </c>
      <c r="Q45" s="537">
        <f>SUM(Q22:Q44)</f>
        <v>0</v>
      </c>
      <c r="R45" s="538">
        <f>SUM(R22:R44)</f>
        <v>0</v>
      </c>
      <c r="S45" s="539">
        <f>SUM(S22:S44)</f>
        <v>0</v>
      </c>
      <c r="U45" s="540">
        <f>ROUND(SUM(U22:U44),2)</f>
        <v>633.86</v>
      </c>
      <c r="V45" s="101">
        <f>ROUND(SUM(V22:V44),2)</f>
        <v>633.86</v>
      </c>
      <c r="W45" s="504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4:25" ht="16.5" customHeight="1" thickTop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</row>
    <row r="48" spans="4:25" ht="16.5" customHeight="1">
      <c r="D48" s="181"/>
      <c r="E48" s="181"/>
      <c r="F48" s="181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4:25" ht="16.5" customHeight="1">
      <c r="D49" s="181"/>
      <c r="E49" s="181"/>
      <c r="F49" s="181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</row>
    <row r="50" spans="4:25" ht="16.5" customHeight="1">
      <c r="D50" s="181"/>
      <c r="E50" s="181"/>
      <c r="F50" s="18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</row>
    <row r="51" spans="4:25" ht="16.5" customHeight="1">
      <c r="D51" s="181"/>
      <c r="E51" s="181"/>
      <c r="F51" s="181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</row>
    <row r="52" spans="4:25" ht="16.5" customHeight="1">
      <c r="D52" s="181"/>
      <c r="E52" s="181"/>
      <c r="F52" s="181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</row>
    <row r="53" spans="4:25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</row>
    <row r="54" spans="4:25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</row>
    <row r="55" spans="4:25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</row>
    <row r="56" spans="4:25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4:25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4:25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</row>
    <row r="59" spans="4:25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</row>
    <row r="60" spans="4:25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</row>
    <row r="61" spans="4:25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</row>
    <row r="62" spans="4:25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</row>
    <row r="63" spans="4:25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</row>
    <row r="64" spans="4:25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</row>
    <row r="65" spans="4:25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</row>
    <row r="66" spans="4:25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</row>
    <row r="67" spans="4:25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</row>
    <row r="68" spans="4:25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</row>
    <row r="69" spans="4:25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</row>
    <row r="70" spans="4:25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</row>
    <row r="71" spans="4:25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</row>
    <row r="72" spans="4:25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</row>
    <row r="73" spans="4:25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</row>
    <row r="74" spans="4:25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4:25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4:25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</row>
    <row r="77" spans="4:25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</row>
    <row r="78" spans="4:25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</row>
    <row r="79" spans="4:25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</row>
    <row r="80" spans="4:25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</row>
    <row r="81" spans="4:25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4:25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</row>
    <row r="83" spans="4:25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</row>
    <row r="84" spans="4:25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4:25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4:25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</row>
    <row r="87" spans="4:25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</row>
    <row r="88" spans="4:25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</row>
    <row r="89" spans="4:25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</row>
    <row r="90" spans="4:25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</row>
    <row r="91" spans="4:25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</row>
    <row r="92" spans="4:25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</row>
    <row r="93" spans="4:25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</row>
    <row r="94" spans="4:25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</row>
    <row r="95" spans="4:25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4:25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</row>
    <row r="97" spans="4:25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</row>
    <row r="98" spans="4:25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</row>
    <row r="99" spans="4:25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</row>
    <row r="100" spans="4:25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</row>
    <row r="101" spans="4:25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</row>
    <row r="102" spans="4:25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</row>
    <row r="103" spans="4:25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</row>
    <row r="104" spans="4:25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</row>
    <row r="105" spans="4:25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</row>
    <row r="106" spans="4:25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</row>
    <row r="107" spans="4:25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</row>
    <row r="108" spans="4:25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</row>
    <row r="109" spans="4:25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</row>
    <row r="110" spans="4:25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</row>
    <row r="111" spans="4:25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</row>
    <row r="112" spans="4:25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</row>
    <row r="113" spans="4:25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</row>
    <row r="114" spans="4:25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</row>
    <row r="115" spans="4:25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</row>
    <row r="116" spans="4:25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</row>
    <row r="117" spans="4:25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</row>
    <row r="118" spans="4:25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</row>
    <row r="119" spans="4:25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</row>
    <row r="120" spans="4:25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</row>
    <row r="121" spans="4:25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</row>
    <row r="122" spans="4:25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</row>
    <row r="123" spans="4:25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</row>
    <row r="124" spans="4:25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</row>
    <row r="125" spans="4:25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</row>
    <row r="126" spans="4:25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</row>
    <row r="127" spans="4:25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4:25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</row>
    <row r="129" spans="4:25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</row>
    <row r="130" spans="4:25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</row>
    <row r="131" spans="4:25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4:25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</row>
    <row r="133" spans="4:25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</row>
    <row r="134" spans="4:25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</row>
    <row r="135" spans="4:25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</row>
    <row r="136" spans="4:25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</row>
    <row r="137" spans="4:25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</row>
    <row r="138" spans="4:25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</row>
    <row r="139" spans="4:25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</row>
    <row r="140" spans="4:25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</row>
    <row r="141" spans="4:25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</row>
    <row r="142" spans="4:25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</row>
    <row r="143" spans="4:25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</row>
    <row r="144" spans="4:25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</row>
    <row r="145" spans="4:25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</row>
    <row r="146" spans="4:25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</row>
    <row r="147" spans="4:25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</row>
    <row r="148" spans="4:25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</row>
    <row r="149" spans="4:25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</row>
    <row r="150" spans="4:25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</row>
    <row r="151" spans="4:25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</row>
    <row r="152" spans="4:25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</row>
    <row r="153" spans="4:25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</row>
    <row r="154" spans="4:25" ht="16.5" customHeight="1">
      <c r="D154" s="179"/>
      <c r="E154" s="179"/>
      <c r="F154" s="179"/>
      <c r="X154" s="179"/>
      <c r="Y154" s="179"/>
    </row>
    <row r="155" spans="4:6" ht="16.5" customHeight="1">
      <c r="D155" s="179"/>
      <c r="E155" s="179"/>
      <c r="F155" s="179"/>
    </row>
    <row r="156" spans="4:6" ht="16.5" customHeight="1">
      <c r="D156" s="179"/>
      <c r="E156" s="179"/>
      <c r="F156" s="179"/>
    </row>
    <row r="157" spans="4:6" ht="16.5" customHeight="1">
      <c r="D157" s="179"/>
      <c r="E157" s="179"/>
      <c r="F157" s="179"/>
    </row>
    <row r="158" spans="4:6" ht="16.5" customHeight="1">
      <c r="D158" s="179"/>
      <c r="E158" s="179"/>
      <c r="F158" s="179"/>
    </row>
    <row r="159" spans="4:6" ht="16.5" customHeight="1">
      <c r="D159" s="179"/>
      <c r="E159" s="179"/>
      <c r="F159" s="179"/>
    </row>
    <row r="160" ht="16.5" customHeight="1"/>
    <row r="161" ht="16.5" customHeight="1"/>
    <row r="162" ht="16.5" customHeight="1"/>
    <row r="163" ht="16.5" customHeight="1"/>
  </sheetData>
  <mergeCells count="1">
    <mergeCell ref="J16:N16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154"/>
  <sheetViews>
    <sheetView zoomScale="75" zoomScaleNormal="75" workbookViewId="0" topLeftCell="A7">
      <selection activeCell="L29" sqref="L2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+'TOT-0209'!B2</f>
        <v>ANEXO III al Memorandum  D.T.E.E. N°  770        /2010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80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69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31" customFormat="1" ht="33" customHeight="1">
      <c r="A10" s="954"/>
      <c r="B10" s="962"/>
      <c r="C10" s="954"/>
      <c r="D10" s="963" t="s">
        <v>253</v>
      </c>
      <c r="E10" s="954"/>
      <c r="F10" s="964"/>
      <c r="G10" s="965"/>
      <c r="H10" s="954"/>
      <c r="I10" s="954"/>
      <c r="J10" s="954"/>
      <c r="K10" s="954"/>
      <c r="L10" s="954"/>
      <c r="M10" s="954"/>
      <c r="N10" s="954"/>
      <c r="O10" s="954"/>
      <c r="P10" s="954"/>
      <c r="Q10" s="954"/>
      <c r="R10" s="965"/>
      <c r="S10" s="965"/>
      <c r="T10" s="965"/>
      <c r="U10" s="965"/>
      <c r="V10" s="965"/>
      <c r="W10" s="965"/>
      <c r="X10" s="965"/>
      <c r="Y10" s="965"/>
      <c r="Z10" s="965"/>
      <c r="AA10" s="965"/>
      <c r="AB10" s="933"/>
    </row>
    <row r="11" spans="1:28" s="934" customFormat="1" ht="33" customHeight="1">
      <c r="A11" s="958"/>
      <c r="B11" s="966"/>
      <c r="C11" s="958"/>
      <c r="D11" s="967" t="s">
        <v>390</v>
      </c>
      <c r="E11" s="968"/>
      <c r="F11" s="968"/>
      <c r="G11" s="969"/>
      <c r="H11" s="968"/>
      <c r="I11" s="968"/>
      <c r="J11" s="968"/>
      <c r="K11" s="968"/>
      <c r="L11" s="968"/>
      <c r="M11" s="958"/>
      <c r="N11" s="958"/>
      <c r="O11" s="958"/>
      <c r="P11" s="958"/>
      <c r="Q11" s="95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37"/>
    </row>
    <row r="12" spans="1:28" s="36" customFormat="1" ht="19.5">
      <c r="A12" s="110"/>
      <c r="B12" s="37" t="str">
        <f>'TOT-0209'!B14</f>
        <v>Desde el 01 al 28 de febrero de 2009</v>
      </c>
      <c r="C12" s="263"/>
      <c r="D12" s="113"/>
      <c r="E12" s="113"/>
      <c r="F12" s="113"/>
      <c r="G12" s="113"/>
      <c r="H12" s="113"/>
      <c r="I12" s="113"/>
      <c r="J12" s="113"/>
      <c r="K12" s="113"/>
      <c r="L12" s="113"/>
      <c r="M12" s="263"/>
      <c r="N12" s="263"/>
      <c r="O12" s="263"/>
      <c r="P12" s="263"/>
      <c r="Q12" s="26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264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265" t="s">
        <v>81</v>
      </c>
      <c r="E14" s="266"/>
      <c r="F14" s="267">
        <v>0.118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1" t="s">
        <v>26</v>
      </c>
      <c r="E15" s="112"/>
      <c r="F15" s="917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4" t="s">
        <v>13</v>
      </c>
      <c r="D17" s="120" t="s">
        <v>27</v>
      </c>
      <c r="E17" s="119" t="s">
        <v>28</v>
      </c>
      <c r="F17" s="121" t="s">
        <v>29</v>
      </c>
      <c r="G17" s="122" t="s">
        <v>14</v>
      </c>
      <c r="H17" s="130" t="s">
        <v>16</v>
      </c>
      <c r="I17" s="119" t="s">
        <v>17</v>
      </c>
      <c r="J17" s="119" t="s">
        <v>18</v>
      </c>
      <c r="K17" s="120" t="s">
        <v>30</v>
      </c>
      <c r="L17" s="120" t="s">
        <v>31</v>
      </c>
      <c r="M17" s="88" t="s">
        <v>19</v>
      </c>
      <c r="N17" s="88" t="s">
        <v>58</v>
      </c>
      <c r="O17" s="123" t="s">
        <v>32</v>
      </c>
      <c r="P17" s="119" t="s">
        <v>33</v>
      </c>
      <c r="Q17" s="268" t="s">
        <v>37</v>
      </c>
      <c r="R17" s="269" t="s">
        <v>20</v>
      </c>
      <c r="S17" s="270" t="s">
        <v>21</v>
      </c>
      <c r="T17" s="222" t="s">
        <v>82</v>
      </c>
      <c r="U17" s="224"/>
      <c r="V17" s="271" t="s">
        <v>83</v>
      </c>
      <c r="W17" s="272"/>
      <c r="X17" s="273" t="s">
        <v>22</v>
      </c>
      <c r="Y17" s="274" t="s">
        <v>78</v>
      </c>
      <c r="Z17" s="133" t="s">
        <v>79</v>
      </c>
      <c r="AA17" s="122" t="s">
        <v>24</v>
      </c>
      <c r="AB17" s="17"/>
    </row>
    <row r="18" spans="1:28" s="5" customFormat="1" ht="16.5" customHeight="1" thickTop="1">
      <c r="A18" s="90"/>
      <c r="B18" s="95"/>
      <c r="C18" s="275"/>
      <c r="D18" s="275"/>
      <c r="E18" s="275"/>
      <c r="F18" s="275"/>
      <c r="G18" s="276"/>
      <c r="H18" s="277"/>
      <c r="I18" s="275"/>
      <c r="J18" s="275"/>
      <c r="K18" s="275"/>
      <c r="L18" s="275"/>
      <c r="M18" s="275"/>
      <c r="N18" s="185"/>
      <c r="O18" s="278"/>
      <c r="P18" s="275"/>
      <c r="Q18" s="279"/>
      <c r="R18" s="280"/>
      <c r="S18" s="281"/>
      <c r="T18" s="282"/>
      <c r="U18" s="283"/>
      <c r="V18" s="284"/>
      <c r="W18" s="285"/>
      <c r="X18" s="286"/>
      <c r="Y18" s="287"/>
      <c r="Z18" s="278"/>
      <c r="AA18" s="288"/>
      <c r="AB18" s="17"/>
    </row>
    <row r="19" spans="1:28" s="5" customFormat="1" ht="16.5" customHeight="1">
      <c r="A19" s="90"/>
      <c r="B19" s="95"/>
      <c r="C19" s="289"/>
      <c r="D19" s="289"/>
      <c r="E19" s="289"/>
      <c r="F19" s="289"/>
      <c r="G19" s="290"/>
      <c r="H19" s="291"/>
      <c r="I19" s="289"/>
      <c r="J19" s="289"/>
      <c r="K19" s="289"/>
      <c r="L19" s="289"/>
      <c r="M19" s="289"/>
      <c r="N19" s="188"/>
      <c r="O19" s="292"/>
      <c r="P19" s="289"/>
      <c r="Q19" s="293"/>
      <c r="R19" s="294"/>
      <c r="S19" s="295"/>
      <c r="T19" s="296"/>
      <c r="U19" s="297"/>
      <c r="V19" s="298"/>
      <c r="W19" s="299"/>
      <c r="X19" s="300"/>
      <c r="Y19" s="301"/>
      <c r="Z19" s="292"/>
      <c r="AA19" s="302"/>
      <c r="AB19" s="17"/>
    </row>
    <row r="20" spans="1:28" s="5" customFormat="1" ht="16.5" customHeight="1">
      <c r="A20" s="90"/>
      <c r="B20" s="95"/>
      <c r="C20" s="157">
        <v>59</v>
      </c>
      <c r="D20" s="151" t="s">
        <v>332</v>
      </c>
      <c r="E20" s="303" t="s">
        <v>333</v>
      </c>
      <c r="F20" s="304">
        <v>300</v>
      </c>
      <c r="G20" s="983" t="s">
        <v>286</v>
      </c>
      <c r="H20" s="306">
        <f aca="true" t="shared" si="0" ref="H20:H39">F20*$F$14</f>
        <v>35.4</v>
      </c>
      <c r="I20" s="158">
        <v>39858.10486111111</v>
      </c>
      <c r="J20" s="158">
        <v>39858.16180555556</v>
      </c>
      <c r="K20" s="307">
        <f aca="true" t="shared" si="1" ref="K20:K39">IF(D20="","",(J20-I20)*24)</f>
        <v>1.3666666667559184</v>
      </c>
      <c r="L20" s="14">
        <f aca="true" t="shared" si="2" ref="L20:L39">IF(D20="","",ROUND((J20-I20)*24*60,0))</f>
        <v>82</v>
      </c>
      <c r="M20" s="159" t="s">
        <v>273</v>
      </c>
      <c r="N20" s="235" t="str">
        <f aca="true" t="shared" si="3" ref="N20:N39">IF(D20="","","--")</f>
        <v>--</v>
      </c>
      <c r="O20" s="156" t="str">
        <f>IF(D20="","",IF(OR(M20="P",M20="RP"),"--","NO"))</f>
        <v>NO</v>
      </c>
      <c r="P20" s="155" t="str">
        <f aca="true" t="shared" si="4" ref="P20:P39">IF(D20="","","NO")</f>
        <v>NO</v>
      </c>
      <c r="Q20" s="367">
        <f aca="true" t="shared" si="5" ref="Q20:Q39">$F$15*IF(OR(M20="P",M20="RP"),0.1,1)*IF(P20="SI",1,0.1)</f>
        <v>20</v>
      </c>
      <c r="R20" s="349" t="str">
        <f aca="true" t="shared" si="6" ref="R20:R39">IF(M20="P",H20*Q20*ROUND(L20/60,2),"--")</f>
        <v>--</v>
      </c>
      <c r="S20" s="350" t="str">
        <f aca="true" t="shared" si="7" ref="S20:S39">IF(M20="RP",H20*Q20*N20/100*ROUND(L20/60,2),"--")</f>
        <v>--</v>
      </c>
      <c r="T20" s="351">
        <f aca="true" t="shared" si="8" ref="T20:T39">IF(AND(M20="F",O20="NO"),H20*Q20,"--")</f>
        <v>708</v>
      </c>
      <c r="U20" s="352">
        <f aca="true" t="shared" si="9" ref="U20:U39">IF(M20="F",H20*Q20*ROUND(L20/60,2),"--")</f>
        <v>969.96</v>
      </c>
      <c r="V20" s="353" t="str">
        <f aca="true" t="shared" si="10" ref="V20:V39">IF(AND(M20="R",O20="NO"),H20*Q20*N20/100,"--")</f>
        <v>--</v>
      </c>
      <c r="W20" s="354" t="str">
        <f aca="true" t="shared" si="11" ref="W20:W39">IF(M20="R",H20*Q20*N20/100*ROUND(L20/60,2),"--")</f>
        <v>--</v>
      </c>
      <c r="X20" s="355" t="str">
        <f aca="true" t="shared" si="12" ref="X20:X39">IF(M20="RF",H20*Q20*ROUND(L20/60,2),"--")</f>
        <v>--</v>
      </c>
      <c r="Y20" s="356" t="str">
        <f aca="true" t="shared" si="13" ref="Y20:Y39">IF(M20="RR",H20*Q20*N20/100*ROUND(L20/60,2),"--")</f>
        <v>--</v>
      </c>
      <c r="Z20" s="161" t="str">
        <f aca="true" t="shared" si="14" ref="Z20:Z39">IF(D20="","","SI")</f>
        <v>SI</v>
      </c>
      <c r="AA20" s="318">
        <f aca="true" t="shared" si="15" ref="AA20:AA39">IF(D20="","",SUM(R20:Y20)*IF(Z20="SI",1,2)*IF(AND(N22&lt;&gt;"--",M22="RF"),N22/100,1))</f>
        <v>1677.96</v>
      </c>
      <c r="AB20" s="17"/>
    </row>
    <row r="21" spans="1:28" s="5" customFormat="1" ht="16.5" customHeight="1">
      <c r="A21" s="90"/>
      <c r="B21" s="95"/>
      <c r="C21" s="289">
        <v>60</v>
      </c>
      <c r="D21" s="151" t="s">
        <v>332</v>
      </c>
      <c r="E21" s="303" t="s">
        <v>333</v>
      </c>
      <c r="F21" s="304">
        <v>300</v>
      </c>
      <c r="G21" s="983" t="s">
        <v>286</v>
      </c>
      <c r="H21" s="306">
        <f t="shared" si="0"/>
        <v>35.4</v>
      </c>
      <c r="I21" s="158">
        <v>39867.48402777778</v>
      </c>
      <c r="J21" s="158">
        <v>39867.654861111114</v>
      </c>
      <c r="K21" s="307">
        <f t="shared" si="1"/>
        <v>4.100000000093132</v>
      </c>
      <c r="L21" s="14">
        <f t="shared" si="2"/>
        <v>246</v>
      </c>
      <c r="M21" s="159" t="s">
        <v>241</v>
      </c>
      <c r="N21" s="235" t="str">
        <f t="shared" si="3"/>
        <v>--</v>
      </c>
      <c r="O21" s="156" t="str">
        <f aca="true" t="shared" si="16" ref="O21:O39">IF(D21="","",IF(M21="P","--","NO"))</f>
        <v>--</v>
      </c>
      <c r="P21" s="155" t="str">
        <f t="shared" si="4"/>
        <v>NO</v>
      </c>
      <c r="Q21" s="367">
        <f t="shared" si="5"/>
        <v>2</v>
      </c>
      <c r="R21" s="349">
        <f t="shared" si="6"/>
        <v>290.28</v>
      </c>
      <c r="S21" s="350" t="str">
        <f t="shared" si="7"/>
        <v>--</v>
      </c>
      <c r="T21" s="351" t="str">
        <f t="shared" si="8"/>
        <v>--</v>
      </c>
      <c r="U21" s="352" t="str">
        <f t="shared" si="9"/>
        <v>--</v>
      </c>
      <c r="V21" s="353" t="str">
        <f t="shared" si="10"/>
        <v>--</v>
      </c>
      <c r="W21" s="354" t="str">
        <f t="shared" si="11"/>
        <v>--</v>
      </c>
      <c r="X21" s="355" t="str">
        <f t="shared" si="12"/>
        <v>--</v>
      </c>
      <c r="Y21" s="356" t="str">
        <f t="shared" si="13"/>
        <v>--</v>
      </c>
      <c r="Z21" s="161" t="str">
        <f t="shared" si="14"/>
        <v>SI</v>
      </c>
      <c r="AA21" s="318">
        <f t="shared" si="15"/>
        <v>290.28</v>
      </c>
      <c r="AB21" s="17"/>
    </row>
    <row r="22" spans="1:28" s="5" customFormat="1" ht="16.5" customHeight="1">
      <c r="A22" s="90"/>
      <c r="B22" s="95"/>
      <c r="C22" s="157">
        <v>61</v>
      </c>
      <c r="D22" s="151" t="s">
        <v>332</v>
      </c>
      <c r="E22" s="303" t="s">
        <v>333</v>
      </c>
      <c r="F22" s="304">
        <v>300</v>
      </c>
      <c r="G22" s="983" t="s">
        <v>286</v>
      </c>
      <c r="H22" s="306">
        <f t="shared" si="0"/>
        <v>35.4</v>
      </c>
      <c r="I22" s="158">
        <v>39868.50555555556</v>
      </c>
      <c r="J22" s="158">
        <v>39868.73333333333</v>
      </c>
      <c r="K22" s="307">
        <f t="shared" si="1"/>
        <v>5.466666666499805</v>
      </c>
      <c r="L22" s="14">
        <f t="shared" si="2"/>
        <v>328</v>
      </c>
      <c r="M22" s="159" t="s">
        <v>241</v>
      </c>
      <c r="N22" s="235" t="str">
        <f t="shared" si="3"/>
        <v>--</v>
      </c>
      <c r="O22" s="156" t="str">
        <f t="shared" si="16"/>
        <v>--</v>
      </c>
      <c r="P22" s="155" t="str">
        <f t="shared" si="4"/>
        <v>NO</v>
      </c>
      <c r="Q22" s="367">
        <f t="shared" si="5"/>
        <v>2</v>
      </c>
      <c r="R22" s="349">
        <f t="shared" si="6"/>
        <v>387.27599999999995</v>
      </c>
      <c r="S22" s="350" t="str">
        <f t="shared" si="7"/>
        <v>--</v>
      </c>
      <c r="T22" s="351" t="str">
        <f t="shared" si="8"/>
        <v>--</v>
      </c>
      <c r="U22" s="352" t="str">
        <f t="shared" si="9"/>
        <v>--</v>
      </c>
      <c r="V22" s="353" t="str">
        <f t="shared" si="10"/>
        <v>--</v>
      </c>
      <c r="W22" s="354" t="str">
        <f t="shared" si="11"/>
        <v>--</v>
      </c>
      <c r="X22" s="355" t="str">
        <f t="shared" si="12"/>
        <v>--</v>
      </c>
      <c r="Y22" s="356" t="str">
        <f t="shared" si="13"/>
        <v>--</v>
      </c>
      <c r="Z22" s="161" t="str">
        <f t="shared" si="14"/>
        <v>SI</v>
      </c>
      <c r="AA22" s="318">
        <f t="shared" si="15"/>
        <v>387.27599999999995</v>
      </c>
      <c r="AB22" s="17"/>
    </row>
    <row r="23" spans="1:28" s="5" customFormat="1" ht="16.5" customHeight="1">
      <c r="A23" s="90"/>
      <c r="B23" s="95"/>
      <c r="C23" s="289">
        <v>62</v>
      </c>
      <c r="D23" s="151" t="s">
        <v>332</v>
      </c>
      <c r="E23" s="303" t="s">
        <v>333</v>
      </c>
      <c r="F23" s="304">
        <v>300</v>
      </c>
      <c r="G23" s="983" t="s">
        <v>286</v>
      </c>
      <c r="H23" s="306">
        <f t="shared" si="0"/>
        <v>35.4</v>
      </c>
      <c r="I23" s="158">
        <v>39859.275</v>
      </c>
      <c r="J23" s="158">
        <v>39859.665972222225</v>
      </c>
      <c r="K23" s="307">
        <f t="shared" si="1"/>
        <v>9.383333333360497</v>
      </c>
      <c r="L23" s="14">
        <f t="shared" si="2"/>
        <v>563</v>
      </c>
      <c r="M23" s="159" t="s">
        <v>241</v>
      </c>
      <c r="N23" s="235" t="str">
        <f t="shared" si="3"/>
        <v>--</v>
      </c>
      <c r="O23" s="156" t="str">
        <f t="shared" si="16"/>
        <v>--</v>
      </c>
      <c r="P23" s="155" t="str">
        <f t="shared" si="4"/>
        <v>NO</v>
      </c>
      <c r="Q23" s="367">
        <f t="shared" si="5"/>
        <v>2</v>
      </c>
      <c r="R23" s="349">
        <f t="shared" si="6"/>
        <v>664.104</v>
      </c>
      <c r="S23" s="350" t="str">
        <f t="shared" si="7"/>
        <v>--</v>
      </c>
      <c r="T23" s="351" t="str">
        <f t="shared" si="8"/>
        <v>--</v>
      </c>
      <c r="U23" s="352" t="str">
        <f t="shared" si="9"/>
        <v>--</v>
      </c>
      <c r="V23" s="353" t="str">
        <f t="shared" si="10"/>
        <v>--</v>
      </c>
      <c r="W23" s="354" t="str">
        <f t="shared" si="11"/>
        <v>--</v>
      </c>
      <c r="X23" s="355" t="str">
        <f t="shared" si="12"/>
        <v>--</v>
      </c>
      <c r="Y23" s="356" t="str">
        <f t="shared" si="13"/>
        <v>--</v>
      </c>
      <c r="Z23" s="161" t="str">
        <f t="shared" si="14"/>
        <v>SI</v>
      </c>
      <c r="AA23" s="318">
        <f t="shared" si="15"/>
        <v>664.104</v>
      </c>
      <c r="AB23" s="17"/>
    </row>
    <row r="24" spans="1:28" s="5" customFormat="1" ht="16.5" customHeight="1">
      <c r="A24" s="90"/>
      <c r="B24" s="95"/>
      <c r="C24" s="157"/>
      <c r="D24" s="151"/>
      <c r="E24" s="303"/>
      <c r="F24" s="304"/>
      <c r="G24" s="305"/>
      <c r="H24" s="306">
        <f t="shared" si="0"/>
        <v>0</v>
      </c>
      <c r="I24" s="158"/>
      <c r="J24" s="158"/>
      <c r="K24" s="307">
        <f t="shared" si="1"/>
      </c>
      <c r="L24" s="14">
        <f t="shared" si="2"/>
      </c>
      <c r="M24" s="159"/>
      <c r="N24" s="235">
        <f t="shared" si="3"/>
      </c>
      <c r="O24" s="156">
        <f t="shared" si="16"/>
      </c>
      <c r="P24" s="155">
        <f t="shared" si="4"/>
      </c>
      <c r="Q24" s="367">
        <f t="shared" si="5"/>
        <v>20</v>
      </c>
      <c r="R24" s="349" t="str">
        <f t="shared" si="6"/>
        <v>--</v>
      </c>
      <c r="S24" s="350" t="str">
        <f t="shared" si="7"/>
        <v>--</v>
      </c>
      <c r="T24" s="351" t="str">
        <f t="shared" si="8"/>
        <v>--</v>
      </c>
      <c r="U24" s="352" t="str">
        <f t="shared" si="9"/>
        <v>--</v>
      </c>
      <c r="V24" s="353" t="str">
        <f t="shared" si="10"/>
        <v>--</v>
      </c>
      <c r="W24" s="354" t="str">
        <f t="shared" si="11"/>
        <v>--</v>
      </c>
      <c r="X24" s="355" t="str">
        <f t="shared" si="12"/>
        <v>--</v>
      </c>
      <c r="Y24" s="356" t="str">
        <f t="shared" si="13"/>
        <v>--</v>
      </c>
      <c r="Z24" s="161">
        <f t="shared" si="14"/>
      </c>
      <c r="AA24" s="318">
        <f t="shared" si="15"/>
      </c>
      <c r="AB24" s="17"/>
    </row>
    <row r="25" spans="1:28" s="5" customFormat="1" ht="16.5" customHeight="1">
      <c r="A25" s="90"/>
      <c r="B25" s="95"/>
      <c r="C25" s="289"/>
      <c r="D25" s="151"/>
      <c r="E25" s="303"/>
      <c r="F25" s="304"/>
      <c r="G25" s="305"/>
      <c r="H25" s="306">
        <f t="shared" si="0"/>
        <v>0</v>
      </c>
      <c r="I25" s="158"/>
      <c r="J25" s="158"/>
      <c r="K25" s="307">
        <f t="shared" si="1"/>
      </c>
      <c r="L25" s="14">
        <f t="shared" si="2"/>
      </c>
      <c r="M25" s="159"/>
      <c r="N25" s="235">
        <f t="shared" si="3"/>
      </c>
      <c r="O25" s="156">
        <f t="shared" si="16"/>
      </c>
      <c r="P25" s="155">
        <f t="shared" si="4"/>
      </c>
      <c r="Q25" s="367">
        <f t="shared" si="5"/>
        <v>20</v>
      </c>
      <c r="R25" s="349" t="str">
        <f t="shared" si="6"/>
        <v>--</v>
      </c>
      <c r="S25" s="350" t="str">
        <f t="shared" si="7"/>
        <v>--</v>
      </c>
      <c r="T25" s="351" t="str">
        <f t="shared" si="8"/>
        <v>--</v>
      </c>
      <c r="U25" s="352" t="str">
        <f t="shared" si="9"/>
        <v>--</v>
      </c>
      <c r="V25" s="353" t="str">
        <f t="shared" si="10"/>
        <v>--</v>
      </c>
      <c r="W25" s="354" t="str">
        <f t="shared" si="11"/>
        <v>--</v>
      </c>
      <c r="X25" s="355" t="str">
        <f t="shared" si="12"/>
        <v>--</v>
      </c>
      <c r="Y25" s="356" t="str">
        <f t="shared" si="13"/>
        <v>--</v>
      </c>
      <c r="Z25" s="161">
        <f t="shared" si="14"/>
      </c>
      <c r="AA25" s="318">
        <f t="shared" si="15"/>
      </c>
      <c r="AB25" s="17"/>
    </row>
    <row r="26" spans="1:29" s="5" customFormat="1" ht="16.5" customHeight="1">
      <c r="A26" s="90"/>
      <c r="B26" s="95"/>
      <c r="C26" s="157"/>
      <c r="D26" s="151"/>
      <c r="E26" s="303"/>
      <c r="F26" s="304"/>
      <c r="G26" s="305"/>
      <c r="H26" s="306">
        <f t="shared" si="0"/>
        <v>0</v>
      </c>
      <c r="I26" s="158"/>
      <c r="J26" s="158"/>
      <c r="K26" s="307">
        <f t="shared" si="1"/>
      </c>
      <c r="L26" s="14">
        <f t="shared" si="2"/>
      </c>
      <c r="M26" s="159"/>
      <c r="N26" s="235">
        <f t="shared" si="3"/>
      </c>
      <c r="O26" s="156">
        <f t="shared" si="16"/>
      </c>
      <c r="P26" s="155">
        <f t="shared" si="4"/>
      </c>
      <c r="Q26" s="367">
        <f t="shared" si="5"/>
        <v>20</v>
      </c>
      <c r="R26" s="349" t="str">
        <f t="shared" si="6"/>
        <v>--</v>
      </c>
      <c r="S26" s="350" t="str">
        <f t="shared" si="7"/>
        <v>--</v>
      </c>
      <c r="T26" s="351" t="str">
        <f t="shared" si="8"/>
        <v>--</v>
      </c>
      <c r="U26" s="352" t="str">
        <f t="shared" si="9"/>
        <v>--</v>
      </c>
      <c r="V26" s="353" t="str">
        <f t="shared" si="10"/>
        <v>--</v>
      </c>
      <c r="W26" s="354" t="str">
        <f t="shared" si="11"/>
        <v>--</v>
      </c>
      <c r="X26" s="355" t="str">
        <f t="shared" si="12"/>
        <v>--</v>
      </c>
      <c r="Y26" s="356" t="str">
        <f t="shared" si="13"/>
        <v>--</v>
      </c>
      <c r="Z26" s="161">
        <f t="shared" si="14"/>
      </c>
      <c r="AA26" s="318">
        <f t="shared" si="15"/>
      </c>
      <c r="AB26" s="17"/>
      <c r="AC26" s="15"/>
    </row>
    <row r="27" spans="1:28" s="5" customFormat="1" ht="16.5" customHeight="1">
      <c r="A27" s="90"/>
      <c r="B27" s="95"/>
      <c r="C27" s="289"/>
      <c r="D27" s="151"/>
      <c r="E27" s="303"/>
      <c r="F27" s="304"/>
      <c r="G27" s="305"/>
      <c r="H27" s="306">
        <f t="shared" si="0"/>
        <v>0</v>
      </c>
      <c r="I27" s="158"/>
      <c r="J27" s="158"/>
      <c r="K27" s="307">
        <f t="shared" si="1"/>
      </c>
      <c r="L27" s="14">
        <f t="shared" si="2"/>
      </c>
      <c r="M27" s="159"/>
      <c r="N27" s="235">
        <f t="shared" si="3"/>
      </c>
      <c r="O27" s="156">
        <f t="shared" si="16"/>
      </c>
      <c r="P27" s="155">
        <f t="shared" si="4"/>
      </c>
      <c r="Q27" s="367">
        <f t="shared" si="5"/>
        <v>20</v>
      </c>
      <c r="R27" s="349" t="str">
        <f t="shared" si="6"/>
        <v>--</v>
      </c>
      <c r="S27" s="350" t="str">
        <f t="shared" si="7"/>
        <v>--</v>
      </c>
      <c r="T27" s="351" t="str">
        <f t="shared" si="8"/>
        <v>--</v>
      </c>
      <c r="U27" s="352" t="str">
        <f t="shared" si="9"/>
        <v>--</v>
      </c>
      <c r="V27" s="353" t="str">
        <f t="shared" si="10"/>
        <v>--</v>
      </c>
      <c r="W27" s="354" t="str">
        <f t="shared" si="11"/>
        <v>--</v>
      </c>
      <c r="X27" s="355" t="str">
        <f t="shared" si="12"/>
        <v>--</v>
      </c>
      <c r="Y27" s="356" t="str">
        <f t="shared" si="13"/>
        <v>--</v>
      </c>
      <c r="Z27" s="161">
        <f t="shared" si="14"/>
      </c>
      <c r="AA27" s="318">
        <f t="shared" si="15"/>
      </c>
      <c r="AB27" s="17"/>
    </row>
    <row r="28" spans="1:28" s="5" customFormat="1" ht="16.5" customHeight="1">
      <c r="A28" s="90"/>
      <c r="B28" s="95"/>
      <c r="C28" s="157"/>
      <c r="D28" s="151"/>
      <c r="E28" s="303"/>
      <c r="F28" s="304"/>
      <c r="G28" s="305"/>
      <c r="H28" s="306">
        <f t="shared" si="0"/>
        <v>0</v>
      </c>
      <c r="I28" s="158"/>
      <c r="J28" s="158"/>
      <c r="K28" s="307">
        <f t="shared" si="1"/>
      </c>
      <c r="L28" s="14">
        <f t="shared" si="2"/>
      </c>
      <c r="M28" s="159"/>
      <c r="N28" s="235">
        <f t="shared" si="3"/>
      </c>
      <c r="O28" s="156">
        <f t="shared" si="16"/>
      </c>
      <c r="P28" s="155">
        <f t="shared" si="4"/>
      </c>
      <c r="Q28" s="367">
        <f t="shared" si="5"/>
        <v>20</v>
      </c>
      <c r="R28" s="349" t="str">
        <f t="shared" si="6"/>
        <v>--</v>
      </c>
      <c r="S28" s="350" t="str">
        <f t="shared" si="7"/>
        <v>--</v>
      </c>
      <c r="T28" s="351" t="str">
        <f t="shared" si="8"/>
        <v>--</v>
      </c>
      <c r="U28" s="352" t="str">
        <f t="shared" si="9"/>
        <v>--</v>
      </c>
      <c r="V28" s="353" t="str">
        <f t="shared" si="10"/>
        <v>--</v>
      </c>
      <c r="W28" s="354" t="str">
        <f t="shared" si="11"/>
        <v>--</v>
      </c>
      <c r="X28" s="355" t="str">
        <f t="shared" si="12"/>
        <v>--</v>
      </c>
      <c r="Y28" s="356" t="str">
        <f t="shared" si="13"/>
        <v>--</v>
      </c>
      <c r="Z28" s="161">
        <f t="shared" si="14"/>
      </c>
      <c r="AA28" s="318">
        <f t="shared" si="15"/>
      </c>
      <c r="AB28" s="17"/>
    </row>
    <row r="29" spans="1:28" s="5" customFormat="1" ht="16.5" customHeight="1">
      <c r="A29" s="90"/>
      <c r="B29" s="95"/>
      <c r="C29" s="289"/>
      <c r="D29" s="151"/>
      <c r="E29" s="303"/>
      <c r="F29" s="304"/>
      <c r="G29" s="305"/>
      <c r="H29" s="306">
        <f t="shared" si="0"/>
        <v>0</v>
      </c>
      <c r="I29" s="158"/>
      <c r="J29" s="158"/>
      <c r="K29" s="307">
        <f t="shared" si="1"/>
      </c>
      <c r="L29" s="14">
        <f t="shared" si="2"/>
      </c>
      <c r="M29" s="159"/>
      <c r="N29" s="235">
        <f t="shared" si="3"/>
      </c>
      <c r="O29" s="156">
        <f t="shared" si="16"/>
      </c>
      <c r="P29" s="155">
        <f t="shared" si="4"/>
      </c>
      <c r="Q29" s="367">
        <f t="shared" si="5"/>
        <v>20</v>
      </c>
      <c r="R29" s="349" t="str">
        <f t="shared" si="6"/>
        <v>--</v>
      </c>
      <c r="S29" s="350" t="str">
        <f t="shared" si="7"/>
        <v>--</v>
      </c>
      <c r="T29" s="351" t="str">
        <f t="shared" si="8"/>
        <v>--</v>
      </c>
      <c r="U29" s="352" t="str">
        <f t="shared" si="9"/>
        <v>--</v>
      </c>
      <c r="V29" s="353" t="str">
        <f t="shared" si="10"/>
        <v>--</v>
      </c>
      <c r="W29" s="354" t="str">
        <f t="shared" si="11"/>
        <v>--</v>
      </c>
      <c r="X29" s="355" t="str">
        <f t="shared" si="12"/>
        <v>--</v>
      </c>
      <c r="Y29" s="356" t="str">
        <f t="shared" si="13"/>
        <v>--</v>
      </c>
      <c r="Z29" s="161">
        <f t="shared" si="14"/>
      </c>
      <c r="AA29" s="318">
        <f t="shared" si="15"/>
      </c>
      <c r="AB29" s="17"/>
    </row>
    <row r="30" spans="1:28" s="5" customFormat="1" ht="16.5" customHeight="1">
      <c r="A30" s="90"/>
      <c r="B30" s="95"/>
      <c r="C30" s="157"/>
      <c r="D30" s="151"/>
      <c r="E30" s="319"/>
      <c r="F30" s="304"/>
      <c r="G30" s="305"/>
      <c r="H30" s="306">
        <f t="shared" si="0"/>
        <v>0</v>
      </c>
      <c r="I30" s="158"/>
      <c r="J30" s="158"/>
      <c r="K30" s="307">
        <f t="shared" si="1"/>
      </c>
      <c r="L30" s="14">
        <f t="shared" si="2"/>
      </c>
      <c r="M30" s="159"/>
      <c r="N30" s="235">
        <f t="shared" si="3"/>
      </c>
      <c r="O30" s="156">
        <f t="shared" si="16"/>
      </c>
      <c r="P30" s="155">
        <f t="shared" si="4"/>
      </c>
      <c r="Q30" s="367">
        <f t="shared" si="5"/>
        <v>20</v>
      </c>
      <c r="R30" s="349" t="str">
        <f t="shared" si="6"/>
        <v>--</v>
      </c>
      <c r="S30" s="350" t="str">
        <f t="shared" si="7"/>
        <v>--</v>
      </c>
      <c r="T30" s="351" t="str">
        <f t="shared" si="8"/>
        <v>--</v>
      </c>
      <c r="U30" s="352" t="str">
        <f t="shared" si="9"/>
        <v>--</v>
      </c>
      <c r="V30" s="353" t="str">
        <f t="shared" si="10"/>
        <v>--</v>
      </c>
      <c r="W30" s="354" t="str">
        <f t="shared" si="11"/>
        <v>--</v>
      </c>
      <c r="X30" s="355" t="str">
        <f t="shared" si="12"/>
        <v>--</v>
      </c>
      <c r="Y30" s="356" t="str">
        <f t="shared" si="13"/>
        <v>--</v>
      </c>
      <c r="Z30" s="161">
        <f t="shared" si="14"/>
      </c>
      <c r="AA30" s="318">
        <f t="shared" si="15"/>
      </c>
      <c r="AB30" s="17"/>
    </row>
    <row r="31" spans="1:28" s="5" customFormat="1" ht="16.5" customHeight="1">
      <c r="A31" s="90"/>
      <c r="B31" s="95"/>
      <c r="C31" s="289"/>
      <c r="D31" s="151"/>
      <c r="E31" s="319"/>
      <c r="F31" s="304"/>
      <c r="G31" s="305"/>
      <c r="H31" s="306">
        <f t="shared" si="0"/>
        <v>0</v>
      </c>
      <c r="I31" s="158"/>
      <c r="J31" s="158"/>
      <c r="K31" s="307">
        <f t="shared" si="1"/>
      </c>
      <c r="L31" s="14">
        <f t="shared" si="2"/>
      </c>
      <c r="M31" s="159"/>
      <c r="N31" s="235">
        <f t="shared" si="3"/>
      </c>
      <c r="O31" s="156">
        <f t="shared" si="16"/>
      </c>
      <c r="P31" s="155">
        <f t="shared" si="4"/>
      </c>
      <c r="Q31" s="367">
        <f t="shared" si="5"/>
        <v>20</v>
      </c>
      <c r="R31" s="349" t="str">
        <f t="shared" si="6"/>
        <v>--</v>
      </c>
      <c r="S31" s="350" t="str">
        <f t="shared" si="7"/>
        <v>--</v>
      </c>
      <c r="T31" s="351" t="str">
        <f t="shared" si="8"/>
        <v>--</v>
      </c>
      <c r="U31" s="352" t="str">
        <f t="shared" si="9"/>
        <v>--</v>
      </c>
      <c r="V31" s="353" t="str">
        <f t="shared" si="10"/>
        <v>--</v>
      </c>
      <c r="W31" s="354" t="str">
        <f t="shared" si="11"/>
        <v>--</v>
      </c>
      <c r="X31" s="355" t="str">
        <f t="shared" si="12"/>
        <v>--</v>
      </c>
      <c r="Y31" s="356" t="str">
        <f t="shared" si="13"/>
        <v>--</v>
      </c>
      <c r="Z31" s="161">
        <f t="shared" si="14"/>
      </c>
      <c r="AA31" s="318">
        <f t="shared" si="15"/>
      </c>
      <c r="AB31" s="17"/>
    </row>
    <row r="32" spans="1:28" s="5" customFormat="1" ht="16.5" customHeight="1">
      <c r="A32" s="90"/>
      <c r="B32" s="95"/>
      <c r="C32" s="157"/>
      <c r="D32" s="151"/>
      <c r="E32" s="319"/>
      <c r="F32" s="304"/>
      <c r="G32" s="305"/>
      <c r="H32" s="306">
        <f t="shared" si="0"/>
        <v>0</v>
      </c>
      <c r="I32" s="158"/>
      <c r="J32" s="158"/>
      <c r="K32" s="307">
        <f t="shared" si="1"/>
      </c>
      <c r="L32" s="14">
        <f t="shared" si="2"/>
      </c>
      <c r="M32" s="159"/>
      <c r="N32" s="235">
        <f t="shared" si="3"/>
      </c>
      <c r="O32" s="156">
        <f t="shared" si="16"/>
      </c>
      <c r="P32" s="155">
        <f t="shared" si="4"/>
      </c>
      <c r="Q32" s="367">
        <f t="shared" si="5"/>
        <v>20</v>
      </c>
      <c r="R32" s="349" t="str">
        <f t="shared" si="6"/>
        <v>--</v>
      </c>
      <c r="S32" s="350" t="str">
        <f t="shared" si="7"/>
        <v>--</v>
      </c>
      <c r="T32" s="351" t="str">
        <f t="shared" si="8"/>
        <v>--</v>
      </c>
      <c r="U32" s="352" t="str">
        <f t="shared" si="9"/>
        <v>--</v>
      </c>
      <c r="V32" s="353" t="str">
        <f t="shared" si="10"/>
        <v>--</v>
      </c>
      <c r="W32" s="354" t="str">
        <f t="shared" si="11"/>
        <v>--</v>
      </c>
      <c r="X32" s="355" t="str">
        <f t="shared" si="12"/>
        <v>--</v>
      </c>
      <c r="Y32" s="356" t="str">
        <f t="shared" si="13"/>
        <v>--</v>
      </c>
      <c r="Z32" s="161">
        <f t="shared" si="14"/>
      </c>
      <c r="AA32" s="318">
        <f t="shared" si="15"/>
      </c>
      <c r="AB32" s="17"/>
    </row>
    <row r="33" spans="1:28" s="5" customFormat="1" ht="16.5" customHeight="1">
      <c r="A33" s="90"/>
      <c r="B33" s="95"/>
      <c r="C33" s="289"/>
      <c r="D33" s="151"/>
      <c r="E33" s="319"/>
      <c r="F33" s="304"/>
      <c r="G33" s="305"/>
      <c r="H33" s="306">
        <f t="shared" si="0"/>
        <v>0</v>
      </c>
      <c r="I33" s="158"/>
      <c r="J33" s="158"/>
      <c r="K33" s="307">
        <f t="shared" si="1"/>
      </c>
      <c r="L33" s="14">
        <f t="shared" si="2"/>
      </c>
      <c r="M33" s="159"/>
      <c r="N33" s="235">
        <f t="shared" si="3"/>
      </c>
      <c r="O33" s="156">
        <f t="shared" si="16"/>
      </c>
      <c r="P33" s="155">
        <f t="shared" si="4"/>
      </c>
      <c r="Q33" s="367">
        <f t="shared" si="5"/>
        <v>20</v>
      </c>
      <c r="R33" s="349" t="str">
        <f t="shared" si="6"/>
        <v>--</v>
      </c>
      <c r="S33" s="350" t="str">
        <f t="shared" si="7"/>
        <v>--</v>
      </c>
      <c r="T33" s="351" t="str">
        <f t="shared" si="8"/>
        <v>--</v>
      </c>
      <c r="U33" s="352" t="str">
        <f t="shared" si="9"/>
        <v>--</v>
      </c>
      <c r="V33" s="353" t="str">
        <f t="shared" si="10"/>
        <v>--</v>
      </c>
      <c r="W33" s="354" t="str">
        <f t="shared" si="11"/>
        <v>--</v>
      </c>
      <c r="X33" s="355" t="str">
        <f t="shared" si="12"/>
        <v>--</v>
      </c>
      <c r="Y33" s="356" t="str">
        <f t="shared" si="13"/>
        <v>--</v>
      </c>
      <c r="Z33" s="161">
        <f t="shared" si="14"/>
      </c>
      <c r="AA33" s="318">
        <f t="shared" si="15"/>
      </c>
      <c r="AB33" s="17"/>
    </row>
    <row r="34" spans="1:28" s="5" customFormat="1" ht="16.5" customHeight="1">
      <c r="A34" s="90"/>
      <c r="B34" s="95"/>
      <c r="C34" s="157"/>
      <c r="D34" s="151"/>
      <c r="E34" s="319"/>
      <c r="F34" s="304"/>
      <c r="G34" s="305"/>
      <c r="H34" s="306">
        <f t="shared" si="0"/>
        <v>0</v>
      </c>
      <c r="I34" s="158"/>
      <c r="J34" s="158"/>
      <c r="K34" s="307">
        <f t="shared" si="1"/>
      </c>
      <c r="L34" s="14">
        <f t="shared" si="2"/>
      </c>
      <c r="M34" s="159"/>
      <c r="N34" s="235">
        <f t="shared" si="3"/>
      </c>
      <c r="O34" s="156">
        <f t="shared" si="16"/>
      </c>
      <c r="P34" s="155">
        <f t="shared" si="4"/>
      </c>
      <c r="Q34" s="367">
        <f t="shared" si="5"/>
        <v>20</v>
      </c>
      <c r="R34" s="349" t="str">
        <f t="shared" si="6"/>
        <v>--</v>
      </c>
      <c r="S34" s="350" t="str">
        <f t="shared" si="7"/>
        <v>--</v>
      </c>
      <c r="T34" s="351" t="str">
        <f t="shared" si="8"/>
        <v>--</v>
      </c>
      <c r="U34" s="352" t="str">
        <f t="shared" si="9"/>
        <v>--</v>
      </c>
      <c r="V34" s="353" t="str">
        <f t="shared" si="10"/>
        <v>--</v>
      </c>
      <c r="W34" s="354" t="str">
        <f t="shared" si="11"/>
        <v>--</v>
      </c>
      <c r="X34" s="355" t="str">
        <f t="shared" si="12"/>
        <v>--</v>
      </c>
      <c r="Y34" s="356" t="str">
        <f t="shared" si="13"/>
        <v>--</v>
      </c>
      <c r="Z34" s="161">
        <f t="shared" si="14"/>
      </c>
      <c r="AA34" s="318">
        <f t="shared" si="15"/>
      </c>
      <c r="AB34" s="17"/>
    </row>
    <row r="35" spans="1:28" s="5" customFormat="1" ht="16.5" customHeight="1">
      <c r="A35" s="90"/>
      <c r="B35" s="95"/>
      <c r="C35" s="289"/>
      <c r="D35" s="151"/>
      <c r="E35" s="319"/>
      <c r="F35" s="304"/>
      <c r="G35" s="305"/>
      <c r="H35" s="306">
        <f t="shared" si="0"/>
        <v>0</v>
      </c>
      <c r="I35" s="158"/>
      <c r="J35" s="158"/>
      <c r="K35" s="307">
        <f t="shared" si="1"/>
      </c>
      <c r="L35" s="14">
        <f t="shared" si="2"/>
      </c>
      <c r="M35" s="159"/>
      <c r="N35" s="235">
        <f t="shared" si="3"/>
      </c>
      <c r="O35" s="156">
        <f t="shared" si="16"/>
      </c>
      <c r="P35" s="155">
        <f t="shared" si="4"/>
      </c>
      <c r="Q35" s="367">
        <f t="shared" si="5"/>
        <v>20</v>
      </c>
      <c r="R35" s="349" t="str">
        <f t="shared" si="6"/>
        <v>--</v>
      </c>
      <c r="S35" s="350" t="str">
        <f t="shared" si="7"/>
        <v>--</v>
      </c>
      <c r="T35" s="351" t="str">
        <f t="shared" si="8"/>
        <v>--</v>
      </c>
      <c r="U35" s="352" t="str">
        <f t="shared" si="9"/>
        <v>--</v>
      </c>
      <c r="V35" s="353" t="str">
        <f t="shared" si="10"/>
        <v>--</v>
      </c>
      <c r="W35" s="354" t="str">
        <f t="shared" si="11"/>
        <v>--</v>
      </c>
      <c r="X35" s="355" t="str">
        <f t="shared" si="12"/>
        <v>--</v>
      </c>
      <c r="Y35" s="356" t="str">
        <f t="shared" si="13"/>
        <v>--</v>
      </c>
      <c r="Z35" s="161">
        <f t="shared" si="14"/>
      </c>
      <c r="AA35" s="318">
        <f t="shared" si="15"/>
      </c>
      <c r="AB35" s="17"/>
    </row>
    <row r="36" spans="1:28" s="5" customFormat="1" ht="16.5" customHeight="1">
      <c r="A36" s="90"/>
      <c r="B36" s="95"/>
      <c r="C36" s="157"/>
      <c r="D36" s="151"/>
      <c r="E36" s="319"/>
      <c r="F36" s="304"/>
      <c r="G36" s="305"/>
      <c r="H36" s="306">
        <f t="shared" si="0"/>
        <v>0</v>
      </c>
      <c r="I36" s="158"/>
      <c r="J36" s="158"/>
      <c r="K36" s="307">
        <f t="shared" si="1"/>
      </c>
      <c r="L36" s="14">
        <f t="shared" si="2"/>
      </c>
      <c r="M36" s="159"/>
      <c r="N36" s="235">
        <f t="shared" si="3"/>
      </c>
      <c r="O36" s="156">
        <f t="shared" si="16"/>
      </c>
      <c r="P36" s="155">
        <f t="shared" si="4"/>
      </c>
      <c r="Q36" s="367">
        <f t="shared" si="5"/>
        <v>20</v>
      </c>
      <c r="R36" s="349" t="str">
        <f t="shared" si="6"/>
        <v>--</v>
      </c>
      <c r="S36" s="350" t="str">
        <f t="shared" si="7"/>
        <v>--</v>
      </c>
      <c r="T36" s="351" t="str">
        <f t="shared" si="8"/>
        <v>--</v>
      </c>
      <c r="U36" s="352" t="str">
        <f t="shared" si="9"/>
        <v>--</v>
      </c>
      <c r="V36" s="353" t="str">
        <f t="shared" si="10"/>
        <v>--</v>
      </c>
      <c r="W36" s="354" t="str">
        <f t="shared" si="11"/>
        <v>--</v>
      </c>
      <c r="X36" s="355" t="str">
        <f t="shared" si="12"/>
        <v>--</v>
      </c>
      <c r="Y36" s="356" t="str">
        <f t="shared" si="13"/>
        <v>--</v>
      </c>
      <c r="Z36" s="161">
        <f t="shared" si="14"/>
      </c>
      <c r="AA36" s="318">
        <f t="shared" si="15"/>
      </c>
      <c r="AB36" s="17"/>
    </row>
    <row r="37" spans="1:28" s="5" customFormat="1" ht="16.5" customHeight="1">
      <c r="A37" s="90"/>
      <c r="B37" s="95"/>
      <c r="C37" s="289"/>
      <c r="D37" s="151"/>
      <c r="E37" s="319"/>
      <c r="F37" s="304"/>
      <c r="G37" s="305"/>
      <c r="H37" s="306">
        <f t="shared" si="0"/>
        <v>0</v>
      </c>
      <c r="I37" s="158"/>
      <c r="J37" s="158"/>
      <c r="K37" s="307">
        <f t="shared" si="1"/>
      </c>
      <c r="L37" s="14">
        <f t="shared" si="2"/>
      </c>
      <c r="M37" s="159"/>
      <c r="N37" s="235">
        <f t="shared" si="3"/>
      </c>
      <c r="O37" s="156">
        <f t="shared" si="16"/>
      </c>
      <c r="P37" s="155">
        <f t="shared" si="4"/>
      </c>
      <c r="Q37" s="367">
        <f t="shared" si="5"/>
        <v>20</v>
      </c>
      <c r="R37" s="349" t="str">
        <f t="shared" si="6"/>
        <v>--</v>
      </c>
      <c r="S37" s="350" t="str">
        <f t="shared" si="7"/>
        <v>--</v>
      </c>
      <c r="T37" s="351" t="str">
        <f t="shared" si="8"/>
        <v>--</v>
      </c>
      <c r="U37" s="352" t="str">
        <f t="shared" si="9"/>
        <v>--</v>
      </c>
      <c r="V37" s="353" t="str">
        <f t="shared" si="10"/>
        <v>--</v>
      </c>
      <c r="W37" s="354" t="str">
        <f t="shared" si="11"/>
        <v>--</v>
      </c>
      <c r="X37" s="355" t="str">
        <f t="shared" si="12"/>
        <v>--</v>
      </c>
      <c r="Y37" s="356" t="str">
        <f t="shared" si="13"/>
        <v>--</v>
      </c>
      <c r="Z37" s="161">
        <f t="shared" si="14"/>
      </c>
      <c r="AA37" s="318">
        <f t="shared" si="15"/>
      </c>
      <c r="AB37" s="17"/>
    </row>
    <row r="38" spans="1:28" s="5" customFormat="1" ht="16.5" customHeight="1">
      <c r="A38" s="90"/>
      <c r="B38" s="95"/>
      <c r="C38" s="157"/>
      <c r="D38" s="151"/>
      <c r="E38" s="319"/>
      <c r="F38" s="304"/>
      <c r="G38" s="305"/>
      <c r="H38" s="306">
        <f t="shared" si="0"/>
        <v>0</v>
      </c>
      <c r="I38" s="158"/>
      <c r="J38" s="158"/>
      <c r="K38" s="307">
        <f t="shared" si="1"/>
      </c>
      <c r="L38" s="14">
        <f t="shared" si="2"/>
      </c>
      <c r="M38" s="159"/>
      <c r="N38" s="235">
        <f t="shared" si="3"/>
      </c>
      <c r="O38" s="156">
        <f t="shared" si="16"/>
      </c>
      <c r="P38" s="155">
        <f t="shared" si="4"/>
      </c>
      <c r="Q38" s="367">
        <f t="shared" si="5"/>
        <v>20</v>
      </c>
      <c r="R38" s="349" t="str">
        <f t="shared" si="6"/>
        <v>--</v>
      </c>
      <c r="S38" s="350" t="str">
        <f t="shared" si="7"/>
        <v>--</v>
      </c>
      <c r="T38" s="351" t="str">
        <f t="shared" si="8"/>
        <v>--</v>
      </c>
      <c r="U38" s="352" t="str">
        <f t="shared" si="9"/>
        <v>--</v>
      </c>
      <c r="V38" s="353" t="str">
        <f t="shared" si="10"/>
        <v>--</v>
      </c>
      <c r="W38" s="354" t="str">
        <f t="shared" si="11"/>
        <v>--</v>
      </c>
      <c r="X38" s="355" t="str">
        <f t="shared" si="12"/>
        <v>--</v>
      </c>
      <c r="Y38" s="356" t="str">
        <f t="shared" si="13"/>
        <v>--</v>
      </c>
      <c r="Z38" s="161">
        <f t="shared" si="14"/>
      </c>
      <c r="AA38" s="318">
        <f t="shared" si="15"/>
      </c>
      <c r="AB38" s="17"/>
    </row>
    <row r="39" spans="1:28" s="5" customFormat="1" ht="16.5" customHeight="1">
      <c r="A39" s="90"/>
      <c r="B39" s="95"/>
      <c r="C39" s="289"/>
      <c r="D39" s="151"/>
      <c r="E39" s="319"/>
      <c r="F39" s="304"/>
      <c r="G39" s="305"/>
      <c r="H39" s="306">
        <f t="shared" si="0"/>
        <v>0</v>
      </c>
      <c r="I39" s="158"/>
      <c r="J39" s="158"/>
      <c r="K39" s="307">
        <f t="shared" si="1"/>
      </c>
      <c r="L39" s="14">
        <f t="shared" si="2"/>
      </c>
      <c r="M39" s="159"/>
      <c r="N39" s="235">
        <f t="shared" si="3"/>
      </c>
      <c r="O39" s="156">
        <f t="shared" si="16"/>
      </c>
      <c r="P39" s="155">
        <f t="shared" si="4"/>
      </c>
      <c r="Q39" s="367">
        <f t="shared" si="5"/>
        <v>20</v>
      </c>
      <c r="R39" s="349" t="str">
        <f t="shared" si="6"/>
        <v>--</v>
      </c>
      <c r="S39" s="350" t="str">
        <f t="shared" si="7"/>
        <v>--</v>
      </c>
      <c r="T39" s="351" t="str">
        <f t="shared" si="8"/>
        <v>--</v>
      </c>
      <c r="U39" s="352" t="str">
        <f t="shared" si="9"/>
        <v>--</v>
      </c>
      <c r="V39" s="353" t="str">
        <f t="shared" si="10"/>
        <v>--</v>
      </c>
      <c r="W39" s="354" t="str">
        <f t="shared" si="11"/>
        <v>--</v>
      </c>
      <c r="X39" s="355" t="str">
        <f t="shared" si="12"/>
        <v>--</v>
      </c>
      <c r="Y39" s="356" t="str">
        <f t="shared" si="13"/>
        <v>--</v>
      </c>
      <c r="Z39" s="161">
        <f t="shared" si="14"/>
      </c>
      <c r="AA39" s="318">
        <f t="shared" si="15"/>
      </c>
      <c r="AB39" s="17"/>
    </row>
    <row r="40" spans="1:28" s="5" customFormat="1" ht="16.5" customHeight="1" thickBot="1">
      <c r="A40" s="90"/>
      <c r="B40" s="95"/>
      <c r="C40" s="157"/>
      <c r="D40" s="320"/>
      <c r="E40" s="321"/>
      <c r="F40" s="320"/>
      <c r="G40" s="322"/>
      <c r="H40" s="132"/>
      <c r="I40" s="160"/>
      <c r="J40" s="323"/>
      <c r="K40" s="324"/>
      <c r="L40" s="325"/>
      <c r="M40" s="165"/>
      <c r="N40" s="197"/>
      <c r="O40" s="163"/>
      <c r="P40" s="165"/>
      <c r="Q40" s="368"/>
      <c r="R40" s="357"/>
      <c r="S40" s="358"/>
      <c r="T40" s="359"/>
      <c r="U40" s="360"/>
      <c r="V40" s="361"/>
      <c r="W40" s="362"/>
      <c r="X40" s="363"/>
      <c r="Y40" s="364"/>
      <c r="Z40" s="365"/>
      <c r="AA40" s="336"/>
      <c r="AB40" s="17"/>
    </row>
    <row r="41" spans="1:28" s="5" customFormat="1" ht="16.5" customHeight="1" thickBot="1" thickTop="1">
      <c r="A41" s="90"/>
      <c r="B41" s="95"/>
      <c r="C41" s="128" t="s">
        <v>25</v>
      </c>
      <c r="D41" s="129" t="s">
        <v>328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337">
        <f aca="true" t="shared" si="17" ref="R41:Y41">SUM(R18:R40)</f>
        <v>1341.6599999999999</v>
      </c>
      <c r="S41" s="338">
        <f t="shared" si="17"/>
        <v>0</v>
      </c>
      <c r="T41" s="339">
        <f t="shared" si="17"/>
        <v>708</v>
      </c>
      <c r="U41" s="340">
        <f t="shared" si="17"/>
        <v>969.96</v>
      </c>
      <c r="V41" s="341">
        <f t="shared" si="17"/>
        <v>0</v>
      </c>
      <c r="W41" s="342">
        <f t="shared" si="17"/>
        <v>0</v>
      </c>
      <c r="X41" s="343">
        <f t="shared" si="17"/>
        <v>0</v>
      </c>
      <c r="Y41" s="344">
        <f t="shared" si="17"/>
        <v>0</v>
      </c>
      <c r="Z41" s="90"/>
      <c r="AA41" s="345">
        <f>ROUND(SUM(AA18:AA40),2)</f>
        <v>3019.62</v>
      </c>
      <c r="AB41" s="17"/>
    </row>
    <row r="42" spans="1:28" s="5" customFormat="1" ht="16.5" customHeight="1" thickBot="1" thickTop="1">
      <c r="A42" s="90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ht="16.5" customHeight="1" thickTop="1">
      <c r="A43" s="2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</row>
    <row r="44" spans="1:29" ht="16.5" customHeight="1">
      <c r="A44" s="2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ht="16.5" customHeight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4:29" ht="16.5" customHeight="1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4:29" ht="16.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ht="16.5" customHeight="1">
      <c r="AC151" s="179"/>
    </row>
    <row r="152" ht="16.5" customHeight="1">
      <c r="AC152" s="179"/>
    </row>
    <row r="153" ht="16.5" customHeight="1">
      <c r="AC153" s="179"/>
    </row>
    <row r="154" ht="16.5" customHeight="1">
      <c r="AC154" s="179"/>
    </row>
    <row r="155" ht="16.5" customHeight="1"/>
    <row r="156" ht="16.5" customHeight="1"/>
    <row r="157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W157"/>
  <sheetViews>
    <sheetView zoomScale="75" zoomScaleNormal="75" workbookViewId="0" topLeftCell="C8">
      <selection activeCell="L29" sqref="L29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+'TOT-0209'!B2</f>
        <v>ANEXO III al Memorandum 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931" customFormat="1" ht="33" customHeight="1">
      <c r="B10" s="932"/>
      <c r="C10" s="930"/>
      <c r="D10" s="952" t="s">
        <v>252</v>
      </c>
      <c r="E10" s="953"/>
      <c r="F10" s="954"/>
      <c r="G10" s="955"/>
      <c r="I10" s="955"/>
      <c r="J10" s="955"/>
      <c r="K10" s="955"/>
      <c r="L10" s="955"/>
      <c r="M10" s="955"/>
      <c r="N10" s="955"/>
      <c r="O10" s="930"/>
      <c r="P10" s="930"/>
      <c r="Q10" s="930"/>
      <c r="R10" s="930"/>
      <c r="S10" s="930"/>
      <c r="T10" s="930"/>
      <c r="U10" s="956"/>
    </row>
    <row r="11" spans="2:21" s="934" customFormat="1" ht="33" customHeight="1">
      <c r="B11" s="935"/>
      <c r="C11" s="936"/>
      <c r="D11" s="952" t="s">
        <v>263</v>
      </c>
      <c r="E11" s="957"/>
      <c r="F11" s="958"/>
      <c r="G11" s="959"/>
      <c r="H11" s="960"/>
      <c r="I11" s="959"/>
      <c r="J11" s="959"/>
      <c r="K11" s="959"/>
      <c r="L11" s="959"/>
      <c r="M11" s="959"/>
      <c r="N11" s="959"/>
      <c r="O11" s="936"/>
      <c r="P11" s="936"/>
      <c r="Q11" s="936"/>
      <c r="R11" s="936"/>
      <c r="S11" s="936"/>
      <c r="T11" s="936"/>
      <c r="U11" s="961"/>
    </row>
    <row r="12" spans="2:21" s="5" customFormat="1" ht="19.5">
      <c r="B12" s="37" t="str">
        <f>'TOT-0209'!B14</f>
        <v>Desde el 01 al 28 de febrero de 2009</v>
      </c>
      <c r="C12" s="40"/>
      <c r="D12" s="40"/>
      <c r="E12" s="40"/>
      <c r="F12" s="40"/>
      <c r="G12" s="371"/>
      <c r="H12" s="371"/>
      <c r="I12" s="371"/>
      <c r="J12" s="371"/>
      <c r="K12" s="371"/>
      <c r="L12" s="371"/>
      <c r="M12" s="371"/>
      <c r="N12" s="371"/>
      <c r="O12" s="40"/>
      <c r="P12" s="40"/>
      <c r="Q12" s="40"/>
      <c r="R12" s="40"/>
      <c r="S12" s="40"/>
      <c r="T12" s="40"/>
      <c r="U12" s="372"/>
    </row>
    <row r="13" spans="2:21" s="5" customFormat="1" ht="14.25" thickBot="1">
      <c r="B13" s="373"/>
      <c r="C13" s="374"/>
      <c r="D13" s="374"/>
      <c r="E13" s="374"/>
      <c r="F13" s="374"/>
      <c r="G13" s="375"/>
      <c r="H13" s="375"/>
      <c r="I13" s="375"/>
      <c r="J13" s="375"/>
      <c r="K13" s="375"/>
      <c r="L13" s="375"/>
      <c r="M13" s="375"/>
      <c r="N13" s="375"/>
      <c r="O13" s="374"/>
      <c r="P13" s="374"/>
      <c r="Q13" s="374"/>
      <c r="R13" s="374"/>
      <c r="S13" s="374"/>
      <c r="T13" s="374"/>
      <c r="U13" s="376"/>
    </row>
    <row r="14" spans="2:21" s="5" customFormat="1" ht="15" thickBot="1" thickTop="1">
      <c r="B14" s="50"/>
      <c r="C14" s="4"/>
      <c r="D14" s="377"/>
      <c r="E14" s="377"/>
      <c r="F14" s="118" t="s">
        <v>85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378" t="s">
        <v>86</v>
      </c>
      <c r="E15" s="379">
        <v>23.525</v>
      </c>
      <c r="F15" s="380">
        <v>200</v>
      </c>
      <c r="T15" s="116"/>
      <c r="U15" s="6"/>
    </row>
    <row r="16" spans="2:21" s="5" customFormat="1" ht="16.5" customHeight="1" thickBot="1" thickTop="1">
      <c r="B16" s="50"/>
      <c r="C16" s="4"/>
      <c r="D16" s="381" t="s">
        <v>87</v>
      </c>
      <c r="E16" s="382"/>
      <c r="F16" s="380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83" t="s">
        <v>88</v>
      </c>
      <c r="E17" s="434">
        <v>18.82</v>
      </c>
      <c r="F17" s="380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384"/>
      <c r="D18" s="385"/>
      <c r="E18" s="385"/>
      <c r="F18" s="386"/>
      <c r="G18" s="387"/>
      <c r="H18" s="387"/>
      <c r="I18" s="387"/>
      <c r="J18" s="387"/>
      <c r="K18" s="387"/>
      <c r="L18" s="387"/>
      <c r="M18" s="387"/>
      <c r="N18" s="388"/>
      <c r="O18" s="389"/>
      <c r="P18" s="390"/>
      <c r="Q18" s="390"/>
      <c r="R18" s="390"/>
      <c r="S18" s="391"/>
      <c r="T18" s="392"/>
      <c r="U18" s="6"/>
    </row>
    <row r="19" spans="2:21" s="5" customFormat="1" ht="33.75" customHeight="1" thickBot="1" thickTop="1">
      <c r="B19" s="50"/>
      <c r="C19" s="84" t="s">
        <v>13</v>
      </c>
      <c r="D19" s="86" t="s">
        <v>27</v>
      </c>
      <c r="E19" s="393" t="s">
        <v>28</v>
      </c>
      <c r="F19" s="394" t="s">
        <v>14</v>
      </c>
      <c r="G19" s="130" t="s">
        <v>16</v>
      </c>
      <c r="H19" s="85" t="s">
        <v>17</v>
      </c>
      <c r="I19" s="393" t="s">
        <v>18</v>
      </c>
      <c r="J19" s="395" t="s">
        <v>36</v>
      </c>
      <c r="K19" s="395" t="s">
        <v>31</v>
      </c>
      <c r="L19" s="88" t="s">
        <v>19</v>
      </c>
      <c r="M19" s="183" t="s">
        <v>32</v>
      </c>
      <c r="N19" s="136" t="s">
        <v>37</v>
      </c>
      <c r="O19" s="396" t="s">
        <v>70</v>
      </c>
      <c r="P19" s="184" t="s">
        <v>35</v>
      </c>
      <c r="Q19" s="397"/>
      <c r="R19" s="135" t="s">
        <v>22</v>
      </c>
      <c r="S19" s="133" t="s">
        <v>79</v>
      </c>
      <c r="T19" s="122" t="s">
        <v>24</v>
      </c>
      <c r="U19" s="6"/>
    </row>
    <row r="20" spans="2:21" s="5" customFormat="1" ht="16.5" customHeight="1" thickTop="1">
      <c r="B20" s="50"/>
      <c r="C20" s="7"/>
      <c r="D20" s="398"/>
      <c r="E20" s="398"/>
      <c r="F20" s="398"/>
      <c r="G20" s="232"/>
      <c r="H20" s="398"/>
      <c r="I20" s="398"/>
      <c r="J20" s="398"/>
      <c r="K20" s="398"/>
      <c r="L20" s="398"/>
      <c r="M20" s="398"/>
      <c r="N20" s="399"/>
      <c r="O20" s="400"/>
      <c r="P20" s="401"/>
      <c r="Q20" s="402"/>
      <c r="R20" s="403"/>
      <c r="S20" s="398"/>
      <c r="T20" s="404"/>
      <c r="U20" s="6"/>
    </row>
    <row r="21" spans="2:21" s="5" customFormat="1" ht="16.5" customHeight="1">
      <c r="B21" s="50"/>
      <c r="C21" s="289"/>
      <c r="D21" s="405"/>
      <c r="E21" s="405"/>
      <c r="F21" s="405"/>
      <c r="G21" s="406"/>
      <c r="H21" s="405"/>
      <c r="I21" s="405"/>
      <c r="J21" s="405"/>
      <c r="K21" s="405"/>
      <c r="L21" s="405"/>
      <c r="M21" s="405"/>
      <c r="N21" s="407"/>
      <c r="O21" s="408"/>
      <c r="P21" s="196"/>
      <c r="Q21" s="409"/>
      <c r="R21" s="410"/>
      <c r="S21" s="405"/>
      <c r="T21" s="411"/>
      <c r="U21" s="6"/>
    </row>
    <row r="22" spans="2:21" s="5" customFormat="1" ht="16.5" customHeight="1">
      <c r="B22" s="50"/>
      <c r="C22" s="157">
        <v>62</v>
      </c>
      <c r="D22" s="412" t="s">
        <v>320</v>
      </c>
      <c r="E22" s="412" t="s">
        <v>321</v>
      </c>
      <c r="F22" s="413">
        <v>132</v>
      </c>
      <c r="G22" s="131">
        <f aca="true" t="shared" si="0" ref="G22:G41">IF(F22=500,$E$15,IF(F22=220,$E$16,$E$17))</f>
        <v>18.82</v>
      </c>
      <c r="H22" s="414">
        <v>39846.34027777778</v>
      </c>
      <c r="I22" s="153">
        <v>39846.75277777778</v>
      </c>
      <c r="J22" s="415">
        <f aca="true" t="shared" si="1" ref="J22:J41">IF(D22="","",(I22-H22)*24)</f>
        <v>9.899999999965075</v>
      </c>
      <c r="K22" s="416">
        <f aca="true" t="shared" si="2" ref="K22:K41">IF(D22="","",ROUND((I22-H22)*24*60,0))</f>
        <v>594</v>
      </c>
      <c r="L22" s="234" t="s">
        <v>241</v>
      </c>
      <c r="M22" s="155" t="str">
        <f aca="true" t="shared" si="3" ref="M22:M41">IF(D22="","",IF(L22="P","--","NO"))</f>
        <v>--</v>
      </c>
      <c r="N22" s="417">
        <f aca="true" t="shared" si="4" ref="N22:N41">IF(F22=500,$F$15,IF(F22=220,$F$16,$F$17))</f>
        <v>40</v>
      </c>
      <c r="O22" s="418">
        <f aca="true" t="shared" si="5" ref="O22:O41">IF(L22="P",G22*N22*ROUND(K22/60,2)*0.1,"--")</f>
        <v>745.272</v>
      </c>
      <c r="P22" s="419" t="str">
        <f aca="true" t="shared" si="6" ref="P22:P41">IF(AND(L22="F",M22="NO"),G22*N22,"--")</f>
        <v>--</v>
      </c>
      <c r="Q22" s="420" t="str">
        <f aca="true" t="shared" si="7" ref="Q22:Q41">IF(L22="F",G22*N22*ROUND(K22/60,2),"--")</f>
        <v>--</v>
      </c>
      <c r="R22" s="162" t="str">
        <f aca="true" t="shared" si="8" ref="R22:R41">IF(L22="RF",G22*N22*ROUND(K22/60,2),"--")</f>
        <v>--</v>
      </c>
      <c r="S22" s="155" t="str">
        <f aca="true" t="shared" si="9" ref="S22:S41">IF(D22="","","SI")</f>
        <v>SI</v>
      </c>
      <c r="T22" s="421">
        <f aca="true" t="shared" si="10" ref="T22:T41">IF(D22="","",SUM(O22:R22)*IF(S22="SI",1,2))</f>
        <v>745.272</v>
      </c>
      <c r="U22" s="6"/>
    </row>
    <row r="23" spans="2:21" s="5" customFormat="1" ht="16.5" customHeight="1">
      <c r="B23" s="50"/>
      <c r="C23" s="289">
        <v>63</v>
      </c>
      <c r="D23" s="412" t="s">
        <v>320</v>
      </c>
      <c r="E23" s="412" t="s">
        <v>321</v>
      </c>
      <c r="F23" s="413">
        <v>132</v>
      </c>
      <c r="G23" s="131">
        <f t="shared" si="0"/>
        <v>18.82</v>
      </c>
      <c r="H23" s="414">
        <v>39847.35833333333</v>
      </c>
      <c r="I23" s="153">
        <v>39847.77569444444</v>
      </c>
      <c r="J23" s="415">
        <f t="shared" si="1"/>
        <v>10.016666666662786</v>
      </c>
      <c r="K23" s="416">
        <f t="shared" si="2"/>
        <v>601</v>
      </c>
      <c r="L23" s="234" t="s">
        <v>241</v>
      </c>
      <c r="M23" s="155" t="str">
        <f t="shared" si="3"/>
        <v>--</v>
      </c>
      <c r="N23" s="417">
        <f t="shared" si="4"/>
        <v>40</v>
      </c>
      <c r="O23" s="418">
        <f t="shared" si="5"/>
        <v>754.3056</v>
      </c>
      <c r="P23" s="419" t="str">
        <f t="shared" si="6"/>
        <v>--</v>
      </c>
      <c r="Q23" s="420" t="str">
        <f t="shared" si="7"/>
        <v>--</v>
      </c>
      <c r="R23" s="162" t="str">
        <f t="shared" si="8"/>
        <v>--</v>
      </c>
      <c r="S23" s="155" t="str">
        <f t="shared" si="9"/>
        <v>SI</v>
      </c>
      <c r="T23" s="421">
        <f t="shared" si="10"/>
        <v>754.3056</v>
      </c>
      <c r="U23" s="6"/>
    </row>
    <row r="24" spans="2:21" s="5" customFormat="1" ht="16.5" customHeight="1">
      <c r="B24" s="50"/>
      <c r="C24" s="157">
        <v>64</v>
      </c>
      <c r="D24" s="412" t="s">
        <v>320</v>
      </c>
      <c r="E24" s="412" t="s">
        <v>322</v>
      </c>
      <c r="F24" s="413">
        <v>132</v>
      </c>
      <c r="G24" s="131">
        <f t="shared" si="0"/>
        <v>18.82</v>
      </c>
      <c r="H24" s="414">
        <v>39850.37291666667</v>
      </c>
      <c r="I24" s="153">
        <v>39850.73888888889</v>
      </c>
      <c r="J24" s="415">
        <f t="shared" si="1"/>
        <v>8.783333333325572</v>
      </c>
      <c r="K24" s="416">
        <f t="shared" si="2"/>
        <v>527</v>
      </c>
      <c r="L24" s="234" t="s">
        <v>241</v>
      </c>
      <c r="M24" s="155" t="str">
        <f t="shared" si="3"/>
        <v>--</v>
      </c>
      <c r="N24" s="417">
        <f t="shared" si="4"/>
        <v>40</v>
      </c>
      <c r="O24" s="418">
        <f t="shared" si="5"/>
        <v>660.9584</v>
      </c>
      <c r="P24" s="419" t="str">
        <f t="shared" si="6"/>
        <v>--</v>
      </c>
      <c r="Q24" s="420" t="str">
        <f t="shared" si="7"/>
        <v>--</v>
      </c>
      <c r="R24" s="162" t="str">
        <f t="shared" si="8"/>
        <v>--</v>
      </c>
      <c r="S24" s="155" t="str">
        <f t="shared" si="9"/>
        <v>SI</v>
      </c>
      <c r="T24" s="421">
        <f t="shared" si="10"/>
        <v>660.9584</v>
      </c>
      <c r="U24" s="6"/>
    </row>
    <row r="25" spans="2:21" s="5" customFormat="1" ht="16.5" customHeight="1">
      <c r="B25" s="50"/>
      <c r="C25" s="289">
        <v>65</v>
      </c>
      <c r="D25" s="412" t="s">
        <v>305</v>
      </c>
      <c r="E25" s="412" t="s">
        <v>323</v>
      </c>
      <c r="F25" s="413">
        <v>132</v>
      </c>
      <c r="G25" s="131">
        <f t="shared" si="0"/>
        <v>18.82</v>
      </c>
      <c r="H25" s="414">
        <v>39851.2875</v>
      </c>
      <c r="I25" s="153">
        <v>39851.44861111111</v>
      </c>
      <c r="J25" s="415">
        <f t="shared" si="1"/>
        <v>3.8666666666977108</v>
      </c>
      <c r="K25" s="416">
        <f t="shared" si="2"/>
        <v>232</v>
      </c>
      <c r="L25" s="234" t="s">
        <v>241</v>
      </c>
      <c r="M25" s="155" t="str">
        <f t="shared" si="3"/>
        <v>--</v>
      </c>
      <c r="N25" s="417">
        <f t="shared" si="4"/>
        <v>40</v>
      </c>
      <c r="O25" s="418">
        <f t="shared" si="5"/>
        <v>291.3336</v>
      </c>
      <c r="P25" s="419" t="str">
        <f t="shared" si="6"/>
        <v>--</v>
      </c>
      <c r="Q25" s="420" t="str">
        <f t="shared" si="7"/>
        <v>--</v>
      </c>
      <c r="R25" s="162" t="str">
        <f t="shared" si="8"/>
        <v>--</v>
      </c>
      <c r="S25" s="155" t="str">
        <f t="shared" si="9"/>
        <v>SI</v>
      </c>
      <c r="T25" s="421">
        <f t="shared" si="10"/>
        <v>291.3336</v>
      </c>
      <c r="U25" s="6"/>
    </row>
    <row r="26" spans="2:21" s="5" customFormat="1" ht="16.5" customHeight="1">
      <c r="B26" s="50"/>
      <c r="C26" s="157">
        <v>66</v>
      </c>
      <c r="D26" s="412" t="s">
        <v>320</v>
      </c>
      <c r="E26" s="412" t="s">
        <v>324</v>
      </c>
      <c r="F26" s="413">
        <v>132</v>
      </c>
      <c r="G26" s="131">
        <f t="shared" si="0"/>
        <v>18.82</v>
      </c>
      <c r="H26" s="414">
        <v>39860.40069444444</v>
      </c>
      <c r="I26" s="153">
        <v>39860.62013888889</v>
      </c>
      <c r="J26" s="415">
        <f t="shared" si="1"/>
        <v>5.266666666720994</v>
      </c>
      <c r="K26" s="416">
        <f t="shared" si="2"/>
        <v>316</v>
      </c>
      <c r="L26" s="234" t="s">
        <v>241</v>
      </c>
      <c r="M26" s="155" t="str">
        <f t="shared" si="3"/>
        <v>--</v>
      </c>
      <c r="N26" s="417">
        <f t="shared" si="4"/>
        <v>40</v>
      </c>
      <c r="O26" s="418">
        <f t="shared" si="5"/>
        <v>396.7256</v>
      </c>
      <c r="P26" s="419" t="str">
        <f t="shared" si="6"/>
        <v>--</v>
      </c>
      <c r="Q26" s="420" t="str">
        <f t="shared" si="7"/>
        <v>--</v>
      </c>
      <c r="R26" s="162" t="str">
        <f t="shared" si="8"/>
        <v>--</v>
      </c>
      <c r="S26" s="155" t="str">
        <f t="shared" si="9"/>
        <v>SI</v>
      </c>
      <c r="T26" s="421">
        <f t="shared" si="10"/>
        <v>396.7256</v>
      </c>
      <c r="U26" s="6"/>
    </row>
    <row r="27" spans="2:21" s="5" customFormat="1" ht="16.5" customHeight="1">
      <c r="B27" s="50"/>
      <c r="C27" s="289">
        <v>67</v>
      </c>
      <c r="D27" s="412" t="s">
        <v>325</v>
      </c>
      <c r="E27" s="412" t="s">
        <v>326</v>
      </c>
      <c r="F27" s="413">
        <v>132</v>
      </c>
      <c r="G27" s="131">
        <f t="shared" si="0"/>
        <v>18.82</v>
      </c>
      <c r="H27" s="414">
        <v>39862.339583333334</v>
      </c>
      <c r="I27" s="153">
        <v>39862.62222222222</v>
      </c>
      <c r="J27" s="415">
        <f t="shared" si="1"/>
        <v>6.783333333267365</v>
      </c>
      <c r="K27" s="416">
        <f t="shared" si="2"/>
        <v>407</v>
      </c>
      <c r="L27" s="234" t="s">
        <v>241</v>
      </c>
      <c r="M27" s="155" t="str">
        <f t="shared" si="3"/>
        <v>--</v>
      </c>
      <c r="N27" s="417">
        <f t="shared" si="4"/>
        <v>40</v>
      </c>
      <c r="O27" s="418">
        <f t="shared" si="5"/>
        <v>510.3984</v>
      </c>
      <c r="P27" s="419" t="str">
        <f t="shared" si="6"/>
        <v>--</v>
      </c>
      <c r="Q27" s="420" t="str">
        <f t="shared" si="7"/>
        <v>--</v>
      </c>
      <c r="R27" s="162" t="str">
        <f t="shared" si="8"/>
        <v>--</v>
      </c>
      <c r="S27" s="155" t="str">
        <f t="shared" si="9"/>
        <v>SI</v>
      </c>
      <c r="T27" s="421">
        <f t="shared" si="10"/>
        <v>510.3984</v>
      </c>
      <c r="U27" s="6"/>
    </row>
    <row r="28" spans="2:21" s="5" customFormat="1" ht="16.5" customHeight="1">
      <c r="B28" s="50"/>
      <c r="C28" s="157">
        <v>68</v>
      </c>
      <c r="D28" s="412" t="s">
        <v>325</v>
      </c>
      <c r="E28" s="412" t="s">
        <v>326</v>
      </c>
      <c r="F28" s="413">
        <v>132</v>
      </c>
      <c r="G28" s="131">
        <f t="shared" si="0"/>
        <v>18.82</v>
      </c>
      <c r="H28" s="414">
        <v>39864.34305555555</v>
      </c>
      <c r="I28" s="153">
        <v>39864.49444444444</v>
      </c>
      <c r="J28" s="415">
        <f t="shared" si="1"/>
        <v>3.6333333333022892</v>
      </c>
      <c r="K28" s="416">
        <f t="shared" si="2"/>
        <v>218</v>
      </c>
      <c r="L28" s="234" t="s">
        <v>241</v>
      </c>
      <c r="M28" s="155" t="str">
        <f t="shared" si="3"/>
        <v>--</v>
      </c>
      <c r="N28" s="417">
        <f t="shared" si="4"/>
        <v>40</v>
      </c>
      <c r="O28" s="418">
        <f t="shared" si="5"/>
        <v>273.2664</v>
      </c>
      <c r="P28" s="419" t="str">
        <f t="shared" si="6"/>
        <v>--</v>
      </c>
      <c r="Q28" s="420" t="str">
        <f t="shared" si="7"/>
        <v>--</v>
      </c>
      <c r="R28" s="162" t="str">
        <f t="shared" si="8"/>
        <v>--</v>
      </c>
      <c r="S28" s="155" t="str">
        <f t="shared" si="9"/>
        <v>SI</v>
      </c>
      <c r="T28" s="421">
        <f t="shared" si="10"/>
        <v>273.2664</v>
      </c>
      <c r="U28" s="6"/>
    </row>
    <row r="29" spans="2:21" s="5" customFormat="1" ht="16.5" customHeight="1">
      <c r="B29" s="50"/>
      <c r="C29" s="289">
        <v>69</v>
      </c>
      <c r="D29" s="412" t="s">
        <v>325</v>
      </c>
      <c r="E29" s="412" t="s">
        <v>327</v>
      </c>
      <c r="F29" s="413">
        <v>132</v>
      </c>
      <c r="G29" s="131">
        <f t="shared" si="0"/>
        <v>18.82</v>
      </c>
      <c r="H29" s="414">
        <v>39867.37986111111</v>
      </c>
      <c r="I29" s="153">
        <v>39867.45486111111</v>
      </c>
      <c r="J29" s="415">
        <f t="shared" si="1"/>
        <v>1.7999999999301508</v>
      </c>
      <c r="K29" s="416">
        <f t="shared" si="2"/>
        <v>108</v>
      </c>
      <c r="L29" s="234" t="s">
        <v>241</v>
      </c>
      <c r="M29" s="155" t="str">
        <f t="shared" si="3"/>
        <v>--</v>
      </c>
      <c r="N29" s="417">
        <f t="shared" si="4"/>
        <v>40</v>
      </c>
      <c r="O29" s="418">
        <f t="shared" si="5"/>
        <v>135.504</v>
      </c>
      <c r="P29" s="419" t="str">
        <f t="shared" si="6"/>
        <v>--</v>
      </c>
      <c r="Q29" s="420" t="str">
        <f t="shared" si="7"/>
        <v>--</v>
      </c>
      <c r="R29" s="162" t="str">
        <f t="shared" si="8"/>
        <v>--</v>
      </c>
      <c r="S29" s="155" t="str">
        <f t="shared" si="9"/>
        <v>SI</v>
      </c>
      <c r="T29" s="421">
        <f t="shared" si="10"/>
        <v>135.504</v>
      </c>
      <c r="U29" s="6"/>
    </row>
    <row r="30" spans="2:21" s="5" customFormat="1" ht="16.5" customHeight="1">
      <c r="B30" s="50"/>
      <c r="C30" s="157">
        <v>70</v>
      </c>
      <c r="D30" s="412" t="s">
        <v>325</v>
      </c>
      <c r="E30" s="412" t="s">
        <v>327</v>
      </c>
      <c r="F30" s="413">
        <v>132</v>
      </c>
      <c r="G30" s="131">
        <f t="shared" si="0"/>
        <v>18.82</v>
      </c>
      <c r="H30" s="414">
        <v>39868.611805555556</v>
      </c>
      <c r="I30" s="153">
        <v>39868.70277777778</v>
      </c>
      <c r="J30" s="415">
        <f t="shared" si="1"/>
        <v>2.1833333332906477</v>
      </c>
      <c r="K30" s="416">
        <f t="shared" si="2"/>
        <v>131</v>
      </c>
      <c r="L30" s="234" t="s">
        <v>241</v>
      </c>
      <c r="M30" s="155" t="str">
        <f t="shared" si="3"/>
        <v>--</v>
      </c>
      <c r="N30" s="417">
        <f t="shared" si="4"/>
        <v>40</v>
      </c>
      <c r="O30" s="418">
        <f t="shared" si="5"/>
        <v>164.11040000000003</v>
      </c>
      <c r="P30" s="419" t="str">
        <f t="shared" si="6"/>
        <v>--</v>
      </c>
      <c r="Q30" s="420" t="str">
        <f t="shared" si="7"/>
        <v>--</v>
      </c>
      <c r="R30" s="162" t="str">
        <f t="shared" si="8"/>
        <v>--</v>
      </c>
      <c r="S30" s="155" t="str">
        <f t="shared" si="9"/>
        <v>SI</v>
      </c>
      <c r="T30" s="421">
        <f t="shared" si="10"/>
        <v>164.11040000000003</v>
      </c>
      <c r="U30" s="6"/>
    </row>
    <row r="31" spans="2:21" s="5" customFormat="1" ht="16.5" customHeight="1">
      <c r="B31" s="50"/>
      <c r="C31" s="289"/>
      <c r="D31" s="412"/>
      <c r="E31" s="412"/>
      <c r="F31" s="413"/>
      <c r="G31" s="131">
        <f t="shared" si="0"/>
        <v>18.82</v>
      </c>
      <c r="H31" s="414"/>
      <c r="I31" s="153"/>
      <c r="J31" s="415">
        <f t="shared" si="1"/>
      </c>
      <c r="K31" s="416">
        <f t="shared" si="2"/>
      </c>
      <c r="L31" s="234"/>
      <c r="M31" s="155">
        <f t="shared" si="3"/>
      </c>
      <c r="N31" s="417">
        <f t="shared" si="4"/>
        <v>40</v>
      </c>
      <c r="O31" s="418" t="str">
        <f t="shared" si="5"/>
        <v>--</v>
      </c>
      <c r="P31" s="419" t="str">
        <f t="shared" si="6"/>
        <v>--</v>
      </c>
      <c r="Q31" s="420" t="str">
        <f t="shared" si="7"/>
        <v>--</v>
      </c>
      <c r="R31" s="162" t="str">
        <f t="shared" si="8"/>
        <v>--</v>
      </c>
      <c r="S31" s="155">
        <f t="shared" si="9"/>
      </c>
      <c r="T31" s="421">
        <f t="shared" si="10"/>
      </c>
      <c r="U31" s="6"/>
    </row>
    <row r="32" spans="2:21" s="5" customFormat="1" ht="16.5" customHeight="1">
      <c r="B32" s="50"/>
      <c r="C32" s="157"/>
      <c r="D32" s="412"/>
      <c r="E32" s="412"/>
      <c r="F32" s="413"/>
      <c r="G32" s="131">
        <f t="shared" si="0"/>
        <v>18.82</v>
      </c>
      <c r="H32" s="414"/>
      <c r="I32" s="153"/>
      <c r="J32" s="415">
        <f t="shared" si="1"/>
      </c>
      <c r="K32" s="416">
        <f t="shared" si="2"/>
      </c>
      <c r="L32" s="234"/>
      <c r="M32" s="155">
        <f t="shared" si="3"/>
      </c>
      <c r="N32" s="417">
        <f t="shared" si="4"/>
        <v>40</v>
      </c>
      <c r="O32" s="418" t="str">
        <f t="shared" si="5"/>
        <v>--</v>
      </c>
      <c r="P32" s="419" t="str">
        <f t="shared" si="6"/>
        <v>--</v>
      </c>
      <c r="Q32" s="420" t="str">
        <f t="shared" si="7"/>
        <v>--</v>
      </c>
      <c r="R32" s="162" t="str">
        <f t="shared" si="8"/>
        <v>--</v>
      </c>
      <c r="S32" s="155">
        <f t="shared" si="9"/>
      </c>
      <c r="T32" s="421">
        <f t="shared" si="10"/>
      </c>
      <c r="U32" s="6"/>
    </row>
    <row r="33" spans="2:21" s="5" customFormat="1" ht="16.5" customHeight="1">
      <c r="B33" s="50"/>
      <c r="C33" s="289"/>
      <c r="D33" s="412"/>
      <c r="E33" s="412"/>
      <c r="F33" s="413"/>
      <c r="G33" s="131">
        <f t="shared" si="0"/>
        <v>18.82</v>
      </c>
      <c r="H33" s="414"/>
      <c r="I33" s="153"/>
      <c r="J33" s="415">
        <f t="shared" si="1"/>
      </c>
      <c r="K33" s="416">
        <f t="shared" si="2"/>
      </c>
      <c r="L33" s="234"/>
      <c r="M33" s="155">
        <f t="shared" si="3"/>
      </c>
      <c r="N33" s="417">
        <f t="shared" si="4"/>
        <v>40</v>
      </c>
      <c r="O33" s="418" t="str">
        <f t="shared" si="5"/>
        <v>--</v>
      </c>
      <c r="P33" s="419" t="str">
        <f t="shared" si="6"/>
        <v>--</v>
      </c>
      <c r="Q33" s="420" t="str">
        <f t="shared" si="7"/>
        <v>--</v>
      </c>
      <c r="R33" s="162" t="str">
        <f t="shared" si="8"/>
        <v>--</v>
      </c>
      <c r="S33" s="155">
        <f t="shared" si="9"/>
      </c>
      <c r="T33" s="421">
        <f t="shared" si="10"/>
      </c>
      <c r="U33" s="6"/>
    </row>
    <row r="34" spans="2:21" s="5" customFormat="1" ht="16.5" customHeight="1">
      <c r="B34" s="50"/>
      <c r="C34" s="157"/>
      <c r="D34" s="412"/>
      <c r="E34" s="412"/>
      <c r="F34" s="413"/>
      <c r="G34" s="131">
        <f t="shared" si="0"/>
        <v>18.82</v>
      </c>
      <c r="H34" s="414"/>
      <c r="I34" s="153"/>
      <c r="J34" s="415">
        <f t="shared" si="1"/>
      </c>
      <c r="K34" s="416">
        <f t="shared" si="2"/>
      </c>
      <c r="L34" s="234"/>
      <c r="M34" s="155">
        <f t="shared" si="3"/>
      </c>
      <c r="N34" s="417">
        <f t="shared" si="4"/>
        <v>40</v>
      </c>
      <c r="O34" s="418" t="str">
        <f t="shared" si="5"/>
        <v>--</v>
      </c>
      <c r="P34" s="419" t="str">
        <f t="shared" si="6"/>
        <v>--</v>
      </c>
      <c r="Q34" s="420" t="str">
        <f t="shared" si="7"/>
        <v>--</v>
      </c>
      <c r="R34" s="162" t="str">
        <f t="shared" si="8"/>
        <v>--</v>
      </c>
      <c r="S34" s="155">
        <f t="shared" si="9"/>
      </c>
      <c r="T34" s="421">
        <f t="shared" si="10"/>
      </c>
      <c r="U34" s="6"/>
    </row>
    <row r="35" spans="2:21" s="5" customFormat="1" ht="16.5" customHeight="1">
      <c r="B35" s="50"/>
      <c r="C35" s="289"/>
      <c r="D35" s="412"/>
      <c r="E35" s="412"/>
      <c r="F35" s="413"/>
      <c r="G35" s="131">
        <f t="shared" si="0"/>
        <v>18.82</v>
      </c>
      <c r="H35" s="414"/>
      <c r="I35" s="153"/>
      <c r="J35" s="415">
        <f t="shared" si="1"/>
      </c>
      <c r="K35" s="416">
        <f t="shared" si="2"/>
      </c>
      <c r="L35" s="234"/>
      <c r="M35" s="155">
        <f t="shared" si="3"/>
      </c>
      <c r="N35" s="417">
        <f t="shared" si="4"/>
        <v>40</v>
      </c>
      <c r="O35" s="418" t="str">
        <f t="shared" si="5"/>
        <v>--</v>
      </c>
      <c r="P35" s="419" t="str">
        <f t="shared" si="6"/>
        <v>--</v>
      </c>
      <c r="Q35" s="420" t="str">
        <f t="shared" si="7"/>
        <v>--</v>
      </c>
      <c r="R35" s="162" t="str">
        <f t="shared" si="8"/>
        <v>--</v>
      </c>
      <c r="S35" s="155">
        <f t="shared" si="9"/>
      </c>
      <c r="T35" s="421">
        <f t="shared" si="10"/>
      </c>
      <c r="U35" s="6"/>
    </row>
    <row r="36" spans="2:21" s="5" customFormat="1" ht="16.5" customHeight="1">
      <c r="B36" s="50"/>
      <c r="C36" s="157"/>
      <c r="D36" s="412"/>
      <c r="E36" s="412"/>
      <c r="F36" s="413"/>
      <c r="G36" s="131">
        <f t="shared" si="0"/>
        <v>18.82</v>
      </c>
      <c r="H36" s="414"/>
      <c r="I36" s="153"/>
      <c r="J36" s="415">
        <f t="shared" si="1"/>
      </c>
      <c r="K36" s="416">
        <f t="shared" si="2"/>
      </c>
      <c r="L36" s="234"/>
      <c r="M36" s="155">
        <f t="shared" si="3"/>
      </c>
      <c r="N36" s="417">
        <f t="shared" si="4"/>
        <v>40</v>
      </c>
      <c r="O36" s="418" t="str">
        <f t="shared" si="5"/>
        <v>--</v>
      </c>
      <c r="P36" s="419" t="str">
        <f t="shared" si="6"/>
        <v>--</v>
      </c>
      <c r="Q36" s="420" t="str">
        <f t="shared" si="7"/>
        <v>--</v>
      </c>
      <c r="R36" s="162" t="str">
        <f t="shared" si="8"/>
        <v>--</v>
      </c>
      <c r="S36" s="155">
        <f t="shared" si="9"/>
      </c>
      <c r="T36" s="421">
        <f t="shared" si="10"/>
      </c>
      <c r="U36" s="6"/>
    </row>
    <row r="37" spans="2:21" s="5" customFormat="1" ht="16.5" customHeight="1">
      <c r="B37" s="50"/>
      <c r="C37" s="289"/>
      <c r="D37" s="412"/>
      <c r="E37" s="412"/>
      <c r="F37" s="413"/>
      <c r="G37" s="131">
        <f t="shared" si="0"/>
        <v>18.82</v>
      </c>
      <c r="H37" s="414"/>
      <c r="I37" s="153"/>
      <c r="J37" s="415">
        <f t="shared" si="1"/>
      </c>
      <c r="K37" s="416">
        <f t="shared" si="2"/>
      </c>
      <c r="L37" s="234"/>
      <c r="M37" s="155">
        <f t="shared" si="3"/>
      </c>
      <c r="N37" s="417">
        <f t="shared" si="4"/>
        <v>40</v>
      </c>
      <c r="O37" s="418" t="str">
        <f t="shared" si="5"/>
        <v>--</v>
      </c>
      <c r="P37" s="419" t="str">
        <f t="shared" si="6"/>
        <v>--</v>
      </c>
      <c r="Q37" s="420" t="str">
        <f t="shared" si="7"/>
        <v>--</v>
      </c>
      <c r="R37" s="162" t="str">
        <f t="shared" si="8"/>
        <v>--</v>
      </c>
      <c r="S37" s="155">
        <f t="shared" si="9"/>
      </c>
      <c r="T37" s="421">
        <f t="shared" si="10"/>
      </c>
      <c r="U37" s="6"/>
    </row>
    <row r="38" spans="2:21" s="5" customFormat="1" ht="16.5" customHeight="1">
      <c r="B38" s="50"/>
      <c r="C38" s="157"/>
      <c r="D38" s="412"/>
      <c r="E38" s="412"/>
      <c r="F38" s="413"/>
      <c r="G38" s="131">
        <f t="shared" si="0"/>
        <v>18.82</v>
      </c>
      <c r="H38" s="414"/>
      <c r="I38" s="153"/>
      <c r="J38" s="415">
        <f t="shared" si="1"/>
      </c>
      <c r="K38" s="416">
        <f t="shared" si="2"/>
      </c>
      <c r="L38" s="234"/>
      <c r="M38" s="155">
        <f t="shared" si="3"/>
      </c>
      <c r="N38" s="417">
        <f t="shared" si="4"/>
        <v>40</v>
      </c>
      <c r="O38" s="418" t="str">
        <f t="shared" si="5"/>
        <v>--</v>
      </c>
      <c r="P38" s="419" t="str">
        <f t="shared" si="6"/>
        <v>--</v>
      </c>
      <c r="Q38" s="420" t="str">
        <f t="shared" si="7"/>
        <v>--</v>
      </c>
      <c r="R38" s="162" t="str">
        <f t="shared" si="8"/>
        <v>--</v>
      </c>
      <c r="S38" s="155">
        <f t="shared" si="9"/>
      </c>
      <c r="T38" s="421">
        <f t="shared" si="10"/>
      </c>
      <c r="U38" s="6"/>
    </row>
    <row r="39" spans="2:21" s="5" customFormat="1" ht="16.5" customHeight="1">
      <c r="B39" s="50"/>
      <c r="C39" s="289"/>
      <c r="D39" s="412"/>
      <c r="E39" s="412"/>
      <c r="F39" s="413"/>
      <c r="G39" s="131">
        <f t="shared" si="0"/>
        <v>18.82</v>
      </c>
      <c r="H39" s="414"/>
      <c r="I39" s="153"/>
      <c r="J39" s="415">
        <f t="shared" si="1"/>
      </c>
      <c r="K39" s="416">
        <f t="shared" si="2"/>
      </c>
      <c r="L39" s="234"/>
      <c r="M39" s="155">
        <f t="shared" si="3"/>
      </c>
      <c r="N39" s="417">
        <f t="shared" si="4"/>
        <v>40</v>
      </c>
      <c r="O39" s="418" t="str">
        <f t="shared" si="5"/>
        <v>--</v>
      </c>
      <c r="P39" s="419" t="str">
        <f t="shared" si="6"/>
        <v>--</v>
      </c>
      <c r="Q39" s="420" t="str">
        <f t="shared" si="7"/>
        <v>--</v>
      </c>
      <c r="R39" s="162" t="str">
        <f t="shared" si="8"/>
        <v>--</v>
      </c>
      <c r="S39" s="155">
        <f t="shared" si="9"/>
      </c>
      <c r="T39" s="421">
        <f t="shared" si="10"/>
      </c>
      <c r="U39" s="6"/>
    </row>
    <row r="40" spans="2:21" s="5" customFormat="1" ht="16.5" customHeight="1">
      <c r="B40" s="50"/>
      <c r="C40" s="157"/>
      <c r="D40" s="412"/>
      <c r="E40" s="412"/>
      <c r="F40" s="413"/>
      <c r="G40" s="131">
        <f t="shared" si="0"/>
        <v>18.82</v>
      </c>
      <c r="H40" s="414"/>
      <c r="I40" s="153"/>
      <c r="J40" s="415">
        <f t="shared" si="1"/>
      </c>
      <c r="K40" s="416">
        <f t="shared" si="2"/>
      </c>
      <c r="L40" s="234"/>
      <c r="M40" s="155">
        <f t="shared" si="3"/>
      </c>
      <c r="N40" s="417">
        <f t="shared" si="4"/>
        <v>40</v>
      </c>
      <c r="O40" s="418" t="str">
        <f t="shared" si="5"/>
        <v>--</v>
      </c>
      <c r="P40" s="419" t="str">
        <f t="shared" si="6"/>
        <v>--</v>
      </c>
      <c r="Q40" s="420" t="str">
        <f t="shared" si="7"/>
        <v>--</v>
      </c>
      <c r="R40" s="162" t="str">
        <f t="shared" si="8"/>
        <v>--</v>
      </c>
      <c r="S40" s="155">
        <f t="shared" si="9"/>
      </c>
      <c r="T40" s="421">
        <f t="shared" si="10"/>
      </c>
      <c r="U40" s="6"/>
    </row>
    <row r="41" spans="2:21" s="5" customFormat="1" ht="16.5" customHeight="1">
      <c r="B41" s="50"/>
      <c r="C41" s="289"/>
      <c r="D41" s="412"/>
      <c r="E41" s="412"/>
      <c r="F41" s="413"/>
      <c r="G41" s="131">
        <f t="shared" si="0"/>
        <v>18.82</v>
      </c>
      <c r="H41" s="414"/>
      <c r="I41" s="153"/>
      <c r="J41" s="415">
        <f t="shared" si="1"/>
      </c>
      <c r="K41" s="416">
        <f t="shared" si="2"/>
      </c>
      <c r="L41" s="234"/>
      <c r="M41" s="155">
        <f t="shared" si="3"/>
      </c>
      <c r="N41" s="417">
        <f t="shared" si="4"/>
        <v>40</v>
      </c>
      <c r="O41" s="418" t="str">
        <f t="shared" si="5"/>
        <v>--</v>
      </c>
      <c r="P41" s="419" t="str">
        <f t="shared" si="6"/>
        <v>--</v>
      </c>
      <c r="Q41" s="420" t="str">
        <f t="shared" si="7"/>
        <v>--</v>
      </c>
      <c r="R41" s="162" t="str">
        <f t="shared" si="8"/>
        <v>--</v>
      </c>
      <c r="S41" s="155">
        <f t="shared" si="9"/>
      </c>
      <c r="T41" s="421">
        <f t="shared" si="10"/>
      </c>
      <c r="U41" s="6"/>
    </row>
    <row r="42" spans="2:21" s="5" customFormat="1" ht="16.5" customHeight="1" thickBot="1">
      <c r="B42" s="50"/>
      <c r="C42" s="157"/>
      <c r="D42" s="149"/>
      <c r="E42" s="149"/>
      <c r="F42" s="243"/>
      <c r="G42" s="132"/>
      <c r="H42" s="422"/>
      <c r="I42" s="422"/>
      <c r="J42" s="423"/>
      <c r="K42" s="423"/>
      <c r="L42" s="422"/>
      <c r="M42" s="154"/>
      <c r="N42" s="424"/>
      <c r="O42" s="425"/>
      <c r="P42" s="426"/>
      <c r="Q42" s="427"/>
      <c r="R42" s="164"/>
      <c r="S42" s="154"/>
      <c r="T42" s="428"/>
      <c r="U42" s="6"/>
    </row>
    <row r="43" spans="2:21" s="5" customFormat="1" ht="16.5" customHeight="1" thickBot="1" thickTop="1">
      <c r="B43" s="50"/>
      <c r="C43" s="128" t="s">
        <v>25</v>
      </c>
      <c r="D43" s="129" t="s">
        <v>330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429">
        <f>SUM(O20:O42)</f>
        <v>3931.8743999999997</v>
      </c>
      <c r="P43" s="430">
        <f>SUM(P20:P42)</f>
        <v>0</v>
      </c>
      <c r="Q43" s="431">
        <f>SUM(Q20:Q42)</f>
        <v>0</v>
      </c>
      <c r="R43" s="432">
        <f>SUM(R20:R42)</f>
        <v>0</v>
      </c>
      <c r="S43" s="433"/>
      <c r="T43" s="101">
        <f>ROUND(SUM(T20:T42),2)</f>
        <v>3931.87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179"/>
      <c r="V45" s="179"/>
      <c r="W45" s="179"/>
    </row>
    <row r="46" spans="21:23" ht="16.5" customHeight="1">
      <c r="U46" s="179"/>
      <c r="V46" s="179"/>
      <c r="W46" s="179"/>
    </row>
    <row r="47" spans="21:23" ht="16.5" customHeight="1">
      <c r="U47" s="179"/>
      <c r="V47" s="179"/>
      <c r="W47" s="179"/>
    </row>
    <row r="48" spans="21:23" ht="16.5" customHeight="1">
      <c r="U48" s="179"/>
      <c r="V48" s="179"/>
      <c r="W48" s="179"/>
    </row>
    <row r="49" spans="21:23" ht="16.5" customHeight="1">
      <c r="U49" s="179"/>
      <c r="V49" s="179"/>
      <c r="W49" s="179"/>
    </row>
    <row r="50" spans="4:23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</row>
    <row r="51" spans="4:23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</row>
    <row r="52" spans="4:23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</row>
    <row r="53" spans="4:23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4:23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4:23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4:23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</row>
    <row r="57" spans="4:23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</row>
    <row r="58" spans="4:23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4:23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4:23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</row>
    <row r="61" spans="4:23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4:23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</row>
    <row r="63" spans="4:23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spans="4:23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</row>
    <row r="65" spans="4:23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</row>
    <row r="66" spans="4:23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4:23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</row>
    <row r="68" spans="4:23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4:23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4:23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4:23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</row>
    <row r="73" spans="4:23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4:23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4:23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4:23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4:23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  <row r="78" spans="4:23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</row>
    <row r="79" spans="4:23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</row>
    <row r="80" spans="4:23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</row>
    <row r="81" spans="4:23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</row>
    <row r="82" spans="4:23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4:23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</row>
    <row r="84" spans="4:23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</row>
    <row r="85" spans="4:23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</row>
    <row r="86" spans="4:23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4:23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</row>
    <row r="88" spans="4:23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</row>
    <row r="89" spans="4:23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</row>
    <row r="90" spans="4:23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4:23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</row>
    <row r="92" spans="4:23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</row>
    <row r="93" spans="4:23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</row>
    <row r="94" spans="4:23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</row>
    <row r="95" spans="4:23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</row>
    <row r="96" spans="4:23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</row>
    <row r="97" spans="4:23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</row>
    <row r="98" spans="4:23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</row>
    <row r="99" spans="4:23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</row>
    <row r="100" spans="4:23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</row>
    <row r="101" spans="4:23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</row>
    <row r="102" spans="4:23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</row>
    <row r="103" spans="4:23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</row>
    <row r="104" spans="4:23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4:23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4:23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4:23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</row>
    <row r="108" spans="4:23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</row>
    <row r="109" spans="4:23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</row>
    <row r="110" spans="4:23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4:23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4:23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</row>
    <row r="113" spans="4:23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</row>
    <row r="114" spans="4:23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</row>
    <row r="115" spans="4:23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</row>
    <row r="116" spans="4:23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</row>
    <row r="117" spans="4:23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</row>
    <row r="118" spans="4:23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4:23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4:23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</row>
    <row r="121" spans="4:23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4:23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</row>
    <row r="123" spans="4:23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</row>
    <row r="124" spans="4:23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</row>
    <row r="125" spans="4:23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</row>
    <row r="126" spans="4:23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</row>
    <row r="127" spans="4:23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</row>
    <row r="128" spans="4:23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</row>
    <row r="129" spans="4:23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</row>
    <row r="130" spans="4:23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</row>
    <row r="131" spans="4:23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</row>
    <row r="132" spans="4:23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</row>
    <row r="133" spans="4:23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</row>
    <row r="134" spans="4:23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4:23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</row>
    <row r="136" spans="4:23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</row>
    <row r="137" spans="4:23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</row>
    <row r="138" spans="4:23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</row>
    <row r="139" spans="4:23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</row>
    <row r="140" spans="4:23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</row>
    <row r="141" spans="4:23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</row>
    <row r="142" spans="4:23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</row>
    <row r="143" spans="4:23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</row>
    <row r="144" spans="4:23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</row>
    <row r="145" spans="4:23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</row>
    <row r="146" spans="4:23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</row>
    <row r="147" spans="4:23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</row>
    <row r="148" spans="4:23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</row>
    <row r="149" spans="4:23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</row>
    <row r="150" spans="4:23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</row>
    <row r="151" spans="4:23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</row>
    <row r="152" spans="4:23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</row>
    <row r="153" spans="4:23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</row>
    <row r="154" spans="4:23" ht="16.5" customHeight="1"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</row>
    <row r="155" spans="4:23" ht="16.5" customHeight="1"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</row>
    <row r="156" spans="4:23" ht="16.5" customHeight="1"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</row>
    <row r="157" spans="4:23" ht="16.5" customHeight="1"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</row>
    <row r="160" ht="12.75"/>
    <row r="161" ht="12.75"/>
    <row r="162" ht="12.75"/>
    <row r="163" ht="12.75"/>
    <row r="164" ht="12.75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Roman,Normal"&amp;8&amp;F-&amp;A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2">
    <pageSetUpPr fitToPage="1"/>
  </sheetPr>
  <dimension ref="A1:AC154"/>
  <sheetViews>
    <sheetView zoomScale="75" zoomScaleNormal="75" workbookViewId="0" topLeftCell="D22">
      <selection activeCell="L29" sqref="L2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7.4218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+'TOT-0209'!B2</f>
        <v>ANEXO III al Memorandum  D.T.E.E. N°  770        /2010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80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69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31" customFormat="1" ht="33" customHeight="1">
      <c r="A10" s="954"/>
      <c r="B10" s="962"/>
      <c r="C10" s="954"/>
      <c r="D10" s="963" t="s">
        <v>253</v>
      </c>
      <c r="E10" s="954"/>
      <c r="F10" s="964"/>
      <c r="G10" s="965"/>
      <c r="H10" s="954"/>
      <c r="I10" s="954"/>
      <c r="J10" s="954"/>
      <c r="K10" s="954"/>
      <c r="L10" s="954"/>
      <c r="M10" s="954"/>
      <c r="N10" s="954"/>
      <c r="O10" s="954"/>
      <c r="P10" s="954"/>
      <c r="Q10" s="954"/>
      <c r="R10" s="965"/>
      <c r="S10" s="965"/>
      <c r="T10" s="965"/>
      <c r="U10" s="965"/>
      <c r="V10" s="965"/>
      <c r="W10" s="965"/>
      <c r="X10" s="965"/>
      <c r="Y10" s="965"/>
      <c r="Z10" s="965"/>
      <c r="AA10" s="965"/>
      <c r="AB10" s="933"/>
    </row>
    <row r="11" spans="1:28" s="934" customFormat="1" ht="33" customHeight="1">
      <c r="A11" s="958"/>
      <c r="B11" s="966"/>
      <c r="C11" s="958"/>
      <c r="D11" s="967" t="s">
        <v>391</v>
      </c>
      <c r="E11" s="968"/>
      <c r="F11" s="968"/>
      <c r="G11" s="969"/>
      <c r="H11" s="968"/>
      <c r="I11" s="968"/>
      <c r="J11" s="968"/>
      <c r="K11" s="968"/>
      <c r="L11" s="968"/>
      <c r="M11" s="958"/>
      <c r="N11" s="958"/>
      <c r="O11" s="958"/>
      <c r="P11" s="958"/>
      <c r="Q11" s="95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37"/>
    </row>
    <row r="12" spans="1:28" s="36" customFormat="1" ht="19.5">
      <c r="A12" s="110"/>
      <c r="B12" s="37" t="str">
        <f>'TOT-0209'!B14</f>
        <v>Desde el 01 al 28 de febrero de 2009</v>
      </c>
      <c r="C12" s="263"/>
      <c r="D12" s="113"/>
      <c r="E12" s="113"/>
      <c r="F12" s="113"/>
      <c r="G12" s="113"/>
      <c r="H12" s="113"/>
      <c r="I12" s="113"/>
      <c r="J12" s="113"/>
      <c r="K12" s="113"/>
      <c r="L12" s="113"/>
      <c r="M12" s="263"/>
      <c r="N12" s="263"/>
      <c r="O12" s="263"/>
      <c r="P12" s="263"/>
      <c r="Q12" s="26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264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265" t="s">
        <v>81</v>
      </c>
      <c r="E14" s="266"/>
      <c r="F14" s="267">
        <f>0.245*0.75</f>
        <v>0.18375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1" t="s">
        <v>26</v>
      </c>
      <c r="E15" s="112"/>
      <c r="F15" s="917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4" t="s">
        <v>13</v>
      </c>
      <c r="D17" s="120" t="s">
        <v>27</v>
      </c>
      <c r="E17" s="119" t="s">
        <v>28</v>
      </c>
      <c r="F17" s="121" t="s">
        <v>29</v>
      </c>
      <c r="G17" s="122" t="s">
        <v>14</v>
      </c>
      <c r="H17" s="130" t="s">
        <v>16</v>
      </c>
      <c r="I17" s="119" t="s">
        <v>17</v>
      </c>
      <c r="J17" s="119" t="s">
        <v>18</v>
      </c>
      <c r="K17" s="120" t="s">
        <v>30</v>
      </c>
      <c r="L17" s="120" t="s">
        <v>31</v>
      </c>
      <c r="M17" s="88" t="s">
        <v>19</v>
      </c>
      <c r="N17" s="88" t="s">
        <v>58</v>
      </c>
      <c r="O17" s="123" t="s">
        <v>32</v>
      </c>
      <c r="P17" s="119" t="s">
        <v>33</v>
      </c>
      <c r="Q17" s="268" t="s">
        <v>37</v>
      </c>
      <c r="R17" s="269" t="s">
        <v>20</v>
      </c>
      <c r="S17" s="270" t="s">
        <v>21</v>
      </c>
      <c r="T17" s="222" t="s">
        <v>82</v>
      </c>
      <c r="U17" s="224"/>
      <c r="V17" s="271" t="s">
        <v>83</v>
      </c>
      <c r="W17" s="272"/>
      <c r="X17" s="273" t="s">
        <v>22</v>
      </c>
      <c r="Y17" s="274" t="s">
        <v>78</v>
      </c>
      <c r="Z17" s="133" t="s">
        <v>79</v>
      </c>
      <c r="AA17" s="122" t="s">
        <v>24</v>
      </c>
      <c r="AB17" s="17"/>
    </row>
    <row r="18" spans="1:28" s="5" customFormat="1" ht="16.5" customHeight="1" thickTop="1">
      <c r="A18" s="90"/>
      <c r="B18" s="95"/>
      <c r="C18" s="275"/>
      <c r="D18" s="275"/>
      <c r="E18" s="275"/>
      <c r="F18" s="275"/>
      <c r="G18" s="276"/>
      <c r="H18" s="277"/>
      <c r="I18" s="275"/>
      <c r="J18" s="275"/>
      <c r="K18" s="275"/>
      <c r="L18" s="275"/>
      <c r="M18" s="275"/>
      <c r="N18" s="185"/>
      <c r="O18" s="278"/>
      <c r="P18" s="275"/>
      <c r="Q18" s="279"/>
      <c r="R18" s="280"/>
      <c r="S18" s="281"/>
      <c r="T18" s="282"/>
      <c r="U18" s="283"/>
      <c r="V18" s="284"/>
      <c r="W18" s="285"/>
      <c r="X18" s="286"/>
      <c r="Y18" s="287"/>
      <c r="Z18" s="278"/>
      <c r="AA18" s="288"/>
      <c r="AB18" s="17"/>
    </row>
    <row r="19" spans="1:28" s="5" customFormat="1" ht="16.5" customHeight="1">
      <c r="A19" s="90"/>
      <c r="B19" s="95"/>
      <c r="C19" s="289"/>
      <c r="D19" s="289"/>
      <c r="E19" s="289"/>
      <c r="F19" s="289"/>
      <c r="G19" s="290"/>
      <c r="H19" s="291"/>
      <c r="I19" s="985"/>
      <c r="J19" s="985"/>
      <c r="K19" s="289"/>
      <c r="L19" s="289"/>
      <c r="M19" s="289"/>
      <c r="N19" s="188"/>
      <c r="O19" s="292"/>
      <c r="P19" s="289"/>
      <c r="Q19" s="293"/>
      <c r="R19" s="294"/>
      <c r="S19" s="295"/>
      <c r="T19" s="296"/>
      <c r="U19" s="297"/>
      <c r="V19" s="298"/>
      <c r="W19" s="299"/>
      <c r="X19" s="300"/>
      <c r="Y19" s="301"/>
      <c r="Z19" s="292"/>
      <c r="AA19" s="302"/>
      <c r="AB19" s="17"/>
    </row>
    <row r="20" spans="1:28" s="5" customFormat="1" ht="16.5" customHeight="1">
      <c r="A20" s="90"/>
      <c r="B20" s="95"/>
      <c r="C20" s="289">
        <v>71</v>
      </c>
      <c r="D20" s="289" t="s">
        <v>255</v>
      </c>
      <c r="E20" s="289" t="s">
        <v>256</v>
      </c>
      <c r="F20" s="289">
        <v>450</v>
      </c>
      <c r="G20" s="290" t="s">
        <v>257</v>
      </c>
      <c r="H20" s="306">
        <f aca="true" t="shared" si="0" ref="H20:H39">F20*$F$14</f>
        <v>82.6875</v>
      </c>
      <c r="I20" s="985">
        <v>39868.38611111111</v>
      </c>
      <c r="J20" s="985">
        <v>39868.63611111111</v>
      </c>
      <c r="K20" s="307">
        <f aca="true" t="shared" si="1" ref="K20:K39">IF(D20="","",(J20-I20)*24)</f>
        <v>6</v>
      </c>
      <c r="L20" s="14">
        <f aca="true" t="shared" si="2" ref="L20:L39">IF(D20="","",ROUND((J20-I20)*24*60,0))</f>
        <v>360</v>
      </c>
      <c r="M20" s="159" t="s">
        <v>241</v>
      </c>
      <c r="N20" s="235" t="str">
        <f aca="true" t="shared" si="3" ref="N20:N39">IF(D20="","","--")</f>
        <v>--</v>
      </c>
      <c r="O20" s="156" t="str">
        <f>IF(D20="","",IF(OR(M20="P",M20="RP"),"--","NO"))</f>
        <v>--</v>
      </c>
      <c r="P20" s="155" t="str">
        <f aca="true" t="shared" si="4" ref="P20:P39">IF(D20="","","NO")</f>
        <v>NO</v>
      </c>
      <c r="Q20" s="367">
        <f aca="true" t="shared" si="5" ref="Q20:Q39">$F$15*IF(OR(M20="P",M20="RP"),0.1,1)*IF(P20="SI",1,0.1)</f>
        <v>2</v>
      </c>
      <c r="R20" s="349">
        <f aca="true" t="shared" si="6" ref="R20:R39">IF(M20="P",H20*Q20*ROUND(L20/60,2),"--")</f>
        <v>992.25</v>
      </c>
      <c r="S20" s="350" t="str">
        <f aca="true" t="shared" si="7" ref="S20:S39">IF(M20="RP",H20*Q20*N20/100*ROUND(L20/60,2),"--")</f>
        <v>--</v>
      </c>
      <c r="T20" s="351" t="str">
        <f aca="true" t="shared" si="8" ref="T20:T39">IF(AND(M20="F",O20="NO"),H20*Q20,"--")</f>
        <v>--</v>
      </c>
      <c r="U20" s="352" t="str">
        <f aca="true" t="shared" si="9" ref="U20:U39">IF(M20="F",H20*Q20*ROUND(L20/60,2),"--")</f>
        <v>--</v>
      </c>
      <c r="V20" s="353" t="str">
        <f aca="true" t="shared" si="10" ref="V20:V39">IF(AND(M20="R",O20="NO"),H20*Q20*N20/100,"--")</f>
        <v>--</v>
      </c>
      <c r="W20" s="354" t="str">
        <f aca="true" t="shared" si="11" ref="W20:W39">IF(M20="R",H20*Q20*N20/100*ROUND(L20/60,2),"--")</f>
        <v>--</v>
      </c>
      <c r="X20" s="355" t="str">
        <f aca="true" t="shared" si="12" ref="X20:X39">IF(M20="RF",H20*Q20*ROUND(L20/60,2),"--")</f>
        <v>--</v>
      </c>
      <c r="Y20" s="356" t="str">
        <f aca="true" t="shared" si="13" ref="Y20:Y39">IF(M20="RR",H20*Q20*N20/100*ROUND(L20/60,2),"--")</f>
        <v>--</v>
      </c>
      <c r="Z20" s="161" t="str">
        <f aca="true" t="shared" si="14" ref="Z20:Z39">IF(D20="","","SI")</f>
        <v>SI</v>
      </c>
      <c r="AA20" s="318">
        <f aca="true" t="shared" si="15" ref="AA20:AA39">IF(D20="","",SUM(R20:Y20)*IF(Z20="SI",1,2)*IF(AND(N22&lt;&gt;"--",M22="RF"),N22/100,1))</f>
        <v>992.25</v>
      </c>
      <c r="AB20" s="17"/>
    </row>
    <row r="21" spans="1:28" s="5" customFormat="1" ht="16.5" customHeight="1">
      <c r="A21" s="90"/>
      <c r="B21" s="95"/>
      <c r="C21" s="289"/>
      <c r="D21" s="151"/>
      <c r="E21" s="303"/>
      <c r="F21" s="304"/>
      <c r="G21" s="305"/>
      <c r="H21" s="306">
        <f t="shared" si="0"/>
        <v>0</v>
      </c>
      <c r="I21" s="158"/>
      <c r="J21" s="158"/>
      <c r="K21" s="307">
        <f t="shared" si="1"/>
      </c>
      <c r="L21" s="14">
        <f t="shared" si="2"/>
      </c>
      <c r="M21" s="159"/>
      <c r="N21" s="235">
        <f t="shared" si="3"/>
      </c>
      <c r="O21" s="156">
        <f aca="true" t="shared" si="16" ref="O21:O39">IF(D21="","",IF(M21="P","--","NO"))</f>
      </c>
      <c r="P21" s="155">
        <f t="shared" si="4"/>
      </c>
      <c r="Q21" s="367">
        <f t="shared" si="5"/>
        <v>20</v>
      </c>
      <c r="R21" s="349" t="str">
        <f t="shared" si="6"/>
        <v>--</v>
      </c>
      <c r="S21" s="350" t="str">
        <f t="shared" si="7"/>
        <v>--</v>
      </c>
      <c r="T21" s="351" t="str">
        <f t="shared" si="8"/>
        <v>--</v>
      </c>
      <c r="U21" s="352" t="str">
        <f t="shared" si="9"/>
        <v>--</v>
      </c>
      <c r="V21" s="353" t="str">
        <f t="shared" si="10"/>
        <v>--</v>
      </c>
      <c r="W21" s="354" t="str">
        <f t="shared" si="11"/>
        <v>--</v>
      </c>
      <c r="X21" s="355" t="str">
        <f t="shared" si="12"/>
        <v>--</v>
      </c>
      <c r="Y21" s="356" t="str">
        <f t="shared" si="13"/>
        <v>--</v>
      </c>
      <c r="Z21" s="161">
        <f t="shared" si="14"/>
      </c>
      <c r="AA21" s="318">
        <f t="shared" si="15"/>
      </c>
      <c r="AB21" s="17"/>
    </row>
    <row r="22" spans="1:28" s="5" customFormat="1" ht="16.5" customHeight="1">
      <c r="A22" s="90"/>
      <c r="B22" s="95"/>
      <c r="C22" s="157"/>
      <c r="D22" s="151"/>
      <c r="E22" s="303"/>
      <c r="F22" s="304"/>
      <c r="G22" s="305"/>
      <c r="H22" s="306">
        <f t="shared" si="0"/>
        <v>0</v>
      </c>
      <c r="I22" s="158"/>
      <c r="J22" s="158"/>
      <c r="K22" s="307">
        <f t="shared" si="1"/>
      </c>
      <c r="L22" s="14">
        <f t="shared" si="2"/>
      </c>
      <c r="M22" s="159"/>
      <c r="N22" s="235">
        <f t="shared" si="3"/>
      </c>
      <c r="O22" s="156">
        <f t="shared" si="16"/>
      </c>
      <c r="P22" s="155">
        <f t="shared" si="4"/>
      </c>
      <c r="Q22" s="367">
        <f t="shared" si="5"/>
        <v>20</v>
      </c>
      <c r="R22" s="349" t="str">
        <f t="shared" si="6"/>
        <v>--</v>
      </c>
      <c r="S22" s="350" t="str">
        <f t="shared" si="7"/>
        <v>--</v>
      </c>
      <c r="T22" s="351" t="str">
        <f t="shared" si="8"/>
        <v>--</v>
      </c>
      <c r="U22" s="352" t="str">
        <f t="shared" si="9"/>
        <v>--</v>
      </c>
      <c r="V22" s="353" t="str">
        <f t="shared" si="10"/>
        <v>--</v>
      </c>
      <c r="W22" s="354" t="str">
        <f t="shared" si="11"/>
        <v>--</v>
      </c>
      <c r="X22" s="355" t="str">
        <f t="shared" si="12"/>
        <v>--</v>
      </c>
      <c r="Y22" s="356" t="str">
        <f t="shared" si="13"/>
        <v>--</v>
      </c>
      <c r="Z22" s="161">
        <f t="shared" si="14"/>
      </c>
      <c r="AA22" s="318">
        <f t="shared" si="15"/>
      </c>
      <c r="AB22" s="17"/>
    </row>
    <row r="23" spans="1:28" s="5" customFormat="1" ht="16.5" customHeight="1">
      <c r="A23" s="90"/>
      <c r="B23" s="95"/>
      <c r="C23" s="289"/>
      <c r="D23" s="151"/>
      <c r="E23" s="303"/>
      <c r="F23" s="304"/>
      <c r="G23" s="305"/>
      <c r="H23" s="306">
        <f t="shared" si="0"/>
        <v>0</v>
      </c>
      <c r="I23" s="158"/>
      <c r="J23" s="158"/>
      <c r="K23" s="307">
        <f t="shared" si="1"/>
      </c>
      <c r="L23" s="14">
        <f t="shared" si="2"/>
      </c>
      <c r="M23" s="159"/>
      <c r="N23" s="235">
        <f t="shared" si="3"/>
      </c>
      <c r="O23" s="156">
        <f t="shared" si="16"/>
      </c>
      <c r="P23" s="155">
        <f t="shared" si="4"/>
      </c>
      <c r="Q23" s="367">
        <f t="shared" si="5"/>
        <v>20</v>
      </c>
      <c r="R23" s="349" t="str">
        <f t="shared" si="6"/>
        <v>--</v>
      </c>
      <c r="S23" s="350" t="str">
        <f t="shared" si="7"/>
        <v>--</v>
      </c>
      <c r="T23" s="351" t="str">
        <f t="shared" si="8"/>
        <v>--</v>
      </c>
      <c r="U23" s="352" t="str">
        <f t="shared" si="9"/>
        <v>--</v>
      </c>
      <c r="V23" s="353" t="str">
        <f t="shared" si="10"/>
        <v>--</v>
      </c>
      <c r="W23" s="354" t="str">
        <f t="shared" si="11"/>
        <v>--</v>
      </c>
      <c r="X23" s="355" t="str">
        <f t="shared" si="12"/>
        <v>--</v>
      </c>
      <c r="Y23" s="356" t="str">
        <f t="shared" si="13"/>
        <v>--</v>
      </c>
      <c r="Z23" s="161">
        <f t="shared" si="14"/>
      </c>
      <c r="AA23" s="318">
        <f t="shared" si="15"/>
      </c>
      <c r="AB23" s="17"/>
    </row>
    <row r="24" spans="1:28" s="5" customFormat="1" ht="16.5" customHeight="1">
      <c r="A24" s="90"/>
      <c r="B24" s="95"/>
      <c r="C24" s="157"/>
      <c r="D24" s="151"/>
      <c r="E24" s="303"/>
      <c r="F24" s="304"/>
      <c r="G24" s="305"/>
      <c r="H24" s="306">
        <f t="shared" si="0"/>
        <v>0</v>
      </c>
      <c r="I24" s="158"/>
      <c r="J24" s="158"/>
      <c r="K24" s="307">
        <f t="shared" si="1"/>
      </c>
      <c r="L24" s="14">
        <f t="shared" si="2"/>
      </c>
      <c r="M24" s="159"/>
      <c r="N24" s="235">
        <f t="shared" si="3"/>
      </c>
      <c r="O24" s="156">
        <f t="shared" si="16"/>
      </c>
      <c r="P24" s="155">
        <f t="shared" si="4"/>
      </c>
      <c r="Q24" s="367">
        <f t="shared" si="5"/>
        <v>20</v>
      </c>
      <c r="R24" s="349" t="str">
        <f t="shared" si="6"/>
        <v>--</v>
      </c>
      <c r="S24" s="350" t="str">
        <f t="shared" si="7"/>
        <v>--</v>
      </c>
      <c r="T24" s="351" t="str">
        <f t="shared" si="8"/>
        <v>--</v>
      </c>
      <c r="U24" s="352" t="str">
        <f t="shared" si="9"/>
        <v>--</v>
      </c>
      <c r="V24" s="353" t="str">
        <f t="shared" si="10"/>
        <v>--</v>
      </c>
      <c r="W24" s="354" t="str">
        <f t="shared" si="11"/>
        <v>--</v>
      </c>
      <c r="X24" s="355" t="str">
        <f t="shared" si="12"/>
        <v>--</v>
      </c>
      <c r="Y24" s="356" t="str">
        <f t="shared" si="13"/>
        <v>--</v>
      </c>
      <c r="Z24" s="161">
        <f t="shared" si="14"/>
      </c>
      <c r="AA24" s="318">
        <f t="shared" si="15"/>
      </c>
      <c r="AB24" s="17"/>
    </row>
    <row r="25" spans="1:28" s="5" customFormat="1" ht="16.5" customHeight="1">
      <c r="A25" s="90"/>
      <c r="B25" s="95"/>
      <c r="C25" s="289"/>
      <c r="D25" s="151"/>
      <c r="E25" s="303"/>
      <c r="F25" s="304"/>
      <c r="G25" s="305"/>
      <c r="H25" s="306">
        <f t="shared" si="0"/>
        <v>0</v>
      </c>
      <c r="I25" s="158"/>
      <c r="J25" s="158"/>
      <c r="K25" s="307">
        <f t="shared" si="1"/>
      </c>
      <c r="L25" s="14">
        <f t="shared" si="2"/>
      </c>
      <c r="M25" s="159"/>
      <c r="N25" s="235">
        <f t="shared" si="3"/>
      </c>
      <c r="O25" s="156">
        <f t="shared" si="16"/>
      </c>
      <c r="P25" s="155">
        <f t="shared" si="4"/>
      </c>
      <c r="Q25" s="367">
        <f t="shared" si="5"/>
        <v>20</v>
      </c>
      <c r="R25" s="349" t="str">
        <f t="shared" si="6"/>
        <v>--</v>
      </c>
      <c r="S25" s="350" t="str">
        <f t="shared" si="7"/>
        <v>--</v>
      </c>
      <c r="T25" s="351" t="str">
        <f t="shared" si="8"/>
        <v>--</v>
      </c>
      <c r="U25" s="352" t="str">
        <f t="shared" si="9"/>
        <v>--</v>
      </c>
      <c r="V25" s="353" t="str">
        <f t="shared" si="10"/>
        <v>--</v>
      </c>
      <c r="W25" s="354" t="str">
        <f t="shared" si="11"/>
        <v>--</v>
      </c>
      <c r="X25" s="355" t="str">
        <f t="shared" si="12"/>
        <v>--</v>
      </c>
      <c r="Y25" s="356" t="str">
        <f t="shared" si="13"/>
        <v>--</v>
      </c>
      <c r="Z25" s="161">
        <f t="shared" si="14"/>
      </c>
      <c r="AA25" s="318">
        <f t="shared" si="15"/>
      </c>
      <c r="AB25" s="17"/>
    </row>
    <row r="26" spans="1:29" s="5" customFormat="1" ht="16.5" customHeight="1">
      <c r="A26" s="90"/>
      <c r="B26" s="95"/>
      <c r="C26" s="157"/>
      <c r="D26" s="151"/>
      <c r="E26" s="303"/>
      <c r="F26" s="304"/>
      <c r="G26" s="305"/>
      <c r="H26" s="306">
        <f t="shared" si="0"/>
        <v>0</v>
      </c>
      <c r="I26" s="158"/>
      <c r="J26" s="158"/>
      <c r="K26" s="307">
        <f t="shared" si="1"/>
      </c>
      <c r="L26" s="14">
        <f t="shared" si="2"/>
      </c>
      <c r="M26" s="159"/>
      <c r="N26" s="235">
        <f t="shared" si="3"/>
      </c>
      <c r="O26" s="156">
        <f t="shared" si="16"/>
      </c>
      <c r="P26" s="155">
        <f t="shared" si="4"/>
      </c>
      <c r="Q26" s="367">
        <f t="shared" si="5"/>
        <v>20</v>
      </c>
      <c r="R26" s="349" t="str">
        <f t="shared" si="6"/>
        <v>--</v>
      </c>
      <c r="S26" s="350" t="str">
        <f t="shared" si="7"/>
        <v>--</v>
      </c>
      <c r="T26" s="351" t="str">
        <f t="shared" si="8"/>
        <v>--</v>
      </c>
      <c r="U26" s="352" t="str">
        <f t="shared" si="9"/>
        <v>--</v>
      </c>
      <c r="V26" s="353" t="str">
        <f t="shared" si="10"/>
        <v>--</v>
      </c>
      <c r="W26" s="354" t="str">
        <f t="shared" si="11"/>
        <v>--</v>
      </c>
      <c r="X26" s="355" t="str">
        <f t="shared" si="12"/>
        <v>--</v>
      </c>
      <c r="Y26" s="356" t="str">
        <f t="shared" si="13"/>
        <v>--</v>
      </c>
      <c r="Z26" s="161">
        <f t="shared" si="14"/>
      </c>
      <c r="AA26" s="318">
        <f t="shared" si="15"/>
      </c>
      <c r="AB26" s="17"/>
      <c r="AC26" s="15"/>
    </row>
    <row r="27" spans="1:28" s="5" customFormat="1" ht="16.5" customHeight="1">
      <c r="A27" s="90"/>
      <c r="B27" s="95"/>
      <c r="C27" s="289"/>
      <c r="D27" s="151"/>
      <c r="E27" s="303"/>
      <c r="F27" s="304"/>
      <c r="G27" s="305"/>
      <c r="H27" s="306">
        <f t="shared" si="0"/>
        <v>0</v>
      </c>
      <c r="I27" s="158"/>
      <c r="J27" s="158"/>
      <c r="K27" s="307">
        <f t="shared" si="1"/>
      </c>
      <c r="L27" s="14">
        <f t="shared" si="2"/>
      </c>
      <c r="M27" s="159"/>
      <c r="N27" s="235">
        <f t="shared" si="3"/>
      </c>
      <c r="O27" s="156">
        <f t="shared" si="16"/>
      </c>
      <c r="P27" s="155">
        <f t="shared" si="4"/>
      </c>
      <c r="Q27" s="367">
        <f t="shared" si="5"/>
        <v>20</v>
      </c>
      <c r="R27" s="349" t="str">
        <f t="shared" si="6"/>
        <v>--</v>
      </c>
      <c r="S27" s="350" t="str">
        <f t="shared" si="7"/>
        <v>--</v>
      </c>
      <c r="T27" s="351" t="str">
        <f t="shared" si="8"/>
        <v>--</v>
      </c>
      <c r="U27" s="352" t="str">
        <f t="shared" si="9"/>
        <v>--</v>
      </c>
      <c r="V27" s="353" t="str">
        <f t="shared" si="10"/>
        <v>--</v>
      </c>
      <c r="W27" s="354" t="str">
        <f t="shared" si="11"/>
        <v>--</v>
      </c>
      <c r="X27" s="355" t="str">
        <f t="shared" si="12"/>
        <v>--</v>
      </c>
      <c r="Y27" s="356" t="str">
        <f t="shared" si="13"/>
        <v>--</v>
      </c>
      <c r="Z27" s="161">
        <f t="shared" si="14"/>
      </c>
      <c r="AA27" s="318">
        <f t="shared" si="15"/>
      </c>
      <c r="AB27" s="17"/>
    </row>
    <row r="28" spans="1:28" s="5" customFormat="1" ht="16.5" customHeight="1">
      <c r="A28" s="90"/>
      <c r="B28" s="95"/>
      <c r="C28" s="157"/>
      <c r="D28" s="151"/>
      <c r="E28" s="303"/>
      <c r="F28" s="304"/>
      <c r="G28" s="305"/>
      <c r="H28" s="306">
        <f t="shared" si="0"/>
        <v>0</v>
      </c>
      <c r="I28" s="158"/>
      <c r="J28" s="158"/>
      <c r="K28" s="307">
        <f t="shared" si="1"/>
      </c>
      <c r="L28" s="14">
        <f t="shared" si="2"/>
      </c>
      <c r="M28" s="159"/>
      <c r="N28" s="235">
        <f t="shared" si="3"/>
      </c>
      <c r="O28" s="156">
        <f t="shared" si="16"/>
      </c>
      <c r="P28" s="155">
        <f t="shared" si="4"/>
      </c>
      <c r="Q28" s="367">
        <f t="shared" si="5"/>
        <v>20</v>
      </c>
      <c r="R28" s="349" t="str">
        <f t="shared" si="6"/>
        <v>--</v>
      </c>
      <c r="S28" s="350" t="str">
        <f t="shared" si="7"/>
        <v>--</v>
      </c>
      <c r="T28" s="351" t="str">
        <f t="shared" si="8"/>
        <v>--</v>
      </c>
      <c r="U28" s="352" t="str">
        <f t="shared" si="9"/>
        <v>--</v>
      </c>
      <c r="V28" s="353" t="str">
        <f t="shared" si="10"/>
        <v>--</v>
      </c>
      <c r="W28" s="354" t="str">
        <f t="shared" si="11"/>
        <v>--</v>
      </c>
      <c r="X28" s="355" t="str">
        <f t="shared" si="12"/>
        <v>--</v>
      </c>
      <c r="Y28" s="356" t="str">
        <f t="shared" si="13"/>
        <v>--</v>
      </c>
      <c r="Z28" s="161">
        <f t="shared" si="14"/>
      </c>
      <c r="AA28" s="318">
        <f t="shared" si="15"/>
      </c>
      <c r="AB28" s="17"/>
    </row>
    <row r="29" spans="1:28" s="5" customFormat="1" ht="16.5" customHeight="1">
      <c r="A29" s="90"/>
      <c r="B29" s="95"/>
      <c r="C29" s="289"/>
      <c r="D29" s="151"/>
      <c r="E29" s="303"/>
      <c r="F29" s="304"/>
      <c r="G29" s="305"/>
      <c r="H29" s="306">
        <f t="shared" si="0"/>
        <v>0</v>
      </c>
      <c r="I29" s="158"/>
      <c r="J29" s="158"/>
      <c r="K29" s="307">
        <f t="shared" si="1"/>
      </c>
      <c r="L29" s="14">
        <f t="shared" si="2"/>
      </c>
      <c r="M29" s="159"/>
      <c r="N29" s="235">
        <f t="shared" si="3"/>
      </c>
      <c r="O29" s="156">
        <f t="shared" si="16"/>
      </c>
      <c r="P29" s="155">
        <f t="shared" si="4"/>
      </c>
      <c r="Q29" s="367">
        <f t="shared" si="5"/>
        <v>20</v>
      </c>
      <c r="R29" s="349" t="str">
        <f t="shared" si="6"/>
        <v>--</v>
      </c>
      <c r="S29" s="350" t="str">
        <f t="shared" si="7"/>
        <v>--</v>
      </c>
      <c r="T29" s="351" t="str">
        <f t="shared" si="8"/>
        <v>--</v>
      </c>
      <c r="U29" s="352" t="str">
        <f t="shared" si="9"/>
        <v>--</v>
      </c>
      <c r="V29" s="353" t="str">
        <f t="shared" si="10"/>
        <v>--</v>
      </c>
      <c r="W29" s="354" t="str">
        <f t="shared" si="11"/>
        <v>--</v>
      </c>
      <c r="X29" s="355" t="str">
        <f t="shared" si="12"/>
        <v>--</v>
      </c>
      <c r="Y29" s="356" t="str">
        <f t="shared" si="13"/>
        <v>--</v>
      </c>
      <c r="Z29" s="161">
        <f t="shared" si="14"/>
      </c>
      <c r="AA29" s="318">
        <f t="shared" si="15"/>
      </c>
      <c r="AB29" s="17"/>
    </row>
    <row r="30" spans="1:28" s="5" customFormat="1" ht="16.5" customHeight="1">
      <c r="A30" s="90"/>
      <c r="B30" s="95"/>
      <c r="C30" s="157"/>
      <c r="D30" s="151"/>
      <c r="E30" s="319"/>
      <c r="F30" s="304"/>
      <c r="G30" s="305"/>
      <c r="H30" s="306">
        <f t="shared" si="0"/>
        <v>0</v>
      </c>
      <c r="I30" s="158"/>
      <c r="J30" s="158"/>
      <c r="K30" s="307">
        <f t="shared" si="1"/>
      </c>
      <c r="L30" s="14">
        <f t="shared" si="2"/>
      </c>
      <c r="M30" s="159"/>
      <c r="N30" s="235">
        <f t="shared" si="3"/>
      </c>
      <c r="O30" s="156">
        <f t="shared" si="16"/>
      </c>
      <c r="P30" s="155">
        <f t="shared" si="4"/>
      </c>
      <c r="Q30" s="367">
        <f t="shared" si="5"/>
        <v>20</v>
      </c>
      <c r="R30" s="349" t="str">
        <f t="shared" si="6"/>
        <v>--</v>
      </c>
      <c r="S30" s="350" t="str">
        <f t="shared" si="7"/>
        <v>--</v>
      </c>
      <c r="T30" s="351" t="str">
        <f t="shared" si="8"/>
        <v>--</v>
      </c>
      <c r="U30" s="352" t="str">
        <f t="shared" si="9"/>
        <v>--</v>
      </c>
      <c r="V30" s="353" t="str">
        <f t="shared" si="10"/>
        <v>--</v>
      </c>
      <c r="W30" s="354" t="str">
        <f t="shared" si="11"/>
        <v>--</v>
      </c>
      <c r="X30" s="355" t="str">
        <f t="shared" si="12"/>
        <v>--</v>
      </c>
      <c r="Y30" s="356" t="str">
        <f t="shared" si="13"/>
        <v>--</v>
      </c>
      <c r="Z30" s="161">
        <f t="shared" si="14"/>
      </c>
      <c r="AA30" s="318">
        <f t="shared" si="15"/>
      </c>
      <c r="AB30" s="17"/>
    </row>
    <row r="31" spans="1:28" s="5" customFormat="1" ht="16.5" customHeight="1">
      <c r="A31" s="90"/>
      <c r="B31" s="95"/>
      <c r="C31" s="289"/>
      <c r="D31" s="151"/>
      <c r="E31" s="319"/>
      <c r="F31" s="304"/>
      <c r="G31" s="305"/>
      <c r="H31" s="306">
        <f t="shared" si="0"/>
        <v>0</v>
      </c>
      <c r="I31" s="158"/>
      <c r="J31" s="158"/>
      <c r="K31" s="307">
        <f t="shared" si="1"/>
      </c>
      <c r="L31" s="14">
        <f t="shared" si="2"/>
      </c>
      <c r="M31" s="159"/>
      <c r="N31" s="235">
        <f t="shared" si="3"/>
      </c>
      <c r="O31" s="156">
        <f t="shared" si="16"/>
      </c>
      <c r="P31" s="155">
        <f t="shared" si="4"/>
      </c>
      <c r="Q31" s="367">
        <f t="shared" si="5"/>
        <v>20</v>
      </c>
      <c r="R31" s="349" t="str">
        <f t="shared" si="6"/>
        <v>--</v>
      </c>
      <c r="S31" s="350" t="str">
        <f t="shared" si="7"/>
        <v>--</v>
      </c>
      <c r="T31" s="351" t="str">
        <f t="shared" si="8"/>
        <v>--</v>
      </c>
      <c r="U31" s="352" t="str">
        <f t="shared" si="9"/>
        <v>--</v>
      </c>
      <c r="V31" s="353" t="str">
        <f t="shared" si="10"/>
        <v>--</v>
      </c>
      <c r="W31" s="354" t="str">
        <f t="shared" si="11"/>
        <v>--</v>
      </c>
      <c r="X31" s="355" t="str">
        <f t="shared" si="12"/>
        <v>--</v>
      </c>
      <c r="Y31" s="356" t="str">
        <f t="shared" si="13"/>
        <v>--</v>
      </c>
      <c r="Z31" s="161">
        <f t="shared" si="14"/>
      </c>
      <c r="AA31" s="318">
        <f t="shared" si="15"/>
      </c>
      <c r="AB31" s="17"/>
    </row>
    <row r="32" spans="1:28" s="5" customFormat="1" ht="16.5" customHeight="1">
      <c r="A32" s="90"/>
      <c r="B32" s="95"/>
      <c r="C32" s="157"/>
      <c r="D32" s="151"/>
      <c r="E32" s="319"/>
      <c r="F32" s="304"/>
      <c r="G32" s="305"/>
      <c r="H32" s="306">
        <f t="shared" si="0"/>
        <v>0</v>
      </c>
      <c r="I32" s="158"/>
      <c r="J32" s="158"/>
      <c r="K32" s="307">
        <f t="shared" si="1"/>
      </c>
      <c r="L32" s="14">
        <f t="shared" si="2"/>
      </c>
      <c r="M32" s="159"/>
      <c r="N32" s="235">
        <f t="shared" si="3"/>
      </c>
      <c r="O32" s="156">
        <f t="shared" si="16"/>
      </c>
      <c r="P32" s="155">
        <f t="shared" si="4"/>
      </c>
      <c r="Q32" s="367">
        <f t="shared" si="5"/>
        <v>20</v>
      </c>
      <c r="R32" s="349" t="str">
        <f t="shared" si="6"/>
        <v>--</v>
      </c>
      <c r="S32" s="350" t="str">
        <f t="shared" si="7"/>
        <v>--</v>
      </c>
      <c r="T32" s="351" t="str">
        <f t="shared" si="8"/>
        <v>--</v>
      </c>
      <c r="U32" s="352" t="str">
        <f t="shared" si="9"/>
        <v>--</v>
      </c>
      <c r="V32" s="353" t="str">
        <f t="shared" si="10"/>
        <v>--</v>
      </c>
      <c r="W32" s="354" t="str">
        <f t="shared" si="11"/>
        <v>--</v>
      </c>
      <c r="X32" s="355" t="str">
        <f t="shared" si="12"/>
        <v>--</v>
      </c>
      <c r="Y32" s="356" t="str">
        <f t="shared" si="13"/>
        <v>--</v>
      </c>
      <c r="Z32" s="161">
        <f t="shared" si="14"/>
      </c>
      <c r="AA32" s="318">
        <f t="shared" si="15"/>
      </c>
      <c r="AB32" s="17"/>
    </row>
    <row r="33" spans="1:28" s="5" customFormat="1" ht="16.5" customHeight="1">
      <c r="A33" s="90"/>
      <c r="B33" s="95"/>
      <c r="C33" s="289"/>
      <c r="D33" s="151"/>
      <c r="E33" s="319"/>
      <c r="F33" s="304"/>
      <c r="G33" s="305"/>
      <c r="H33" s="306">
        <f t="shared" si="0"/>
        <v>0</v>
      </c>
      <c r="I33" s="158"/>
      <c r="J33" s="158"/>
      <c r="K33" s="307">
        <f t="shared" si="1"/>
      </c>
      <c r="L33" s="14">
        <f t="shared" si="2"/>
      </c>
      <c r="M33" s="159"/>
      <c r="N33" s="235">
        <f t="shared" si="3"/>
      </c>
      <c r="O33" s="156">
        <f t="shared" si="16"/>
      </c>
      <c r="P33" s="155">
        <f t="shared" si="4"/>
      </c>
      <c r="Q33" s="367">
        <f t="shared" si="5"/>
        <v>20</v>
      </c>
      <c r="R33" s="349" t="str">
        <f t="shared" si="6"/>
        <v>--</v>
      </c>
      <c r="S33" s="350" t="str">
        <f t="shared" si="7"/>
        <v>--</v>
      </c>
      <c r="T33" s="351" t="str">
        <f t="shared" si="8"/>
        <v>--</v>
      </c>
      <c r="U33" s="352" t="str">
        <f t="shared" si="9"/>
        <v>--</v>
      </c>
      <c r="V33" s="353" t="str">
        <f t="shared" si="10"/>
        <v>--</v>
      </c>
      <c r="W33" s="354" t="str">
        <f t="shared" si="11"/>
        <v>--</v>
      </c>
      <c r="X33" s="355" t="str">
        <f t="shared" si="12"/>
        <v>--</v>
      </c>
      <c r="Y33" s="356" t="str">
        <f t="shared" si="13"/>
        <v>--</v>
      </c>
      <c r="Z33" s="161">
        <f t="shared" si="14"/>
      </c>
      <c r="AA33" s="318">
        <f t="shared" si="15"/>
      </c>
      <c r="AB33" s="17"/>
    </row>
    <row r="34" spans="1:28" s="5" customFormat="1" ht="16.5" customHeight="1">
      <c r="A34" s="90"/>
      <c r="B34" s="95"/>
      <c r="C34" s="157"/>
      <c r="D34" s="151"/>
      <c r="E34" s="319"/>
      <c r="F34" s="304"/>
      <c r="G34" s="305"/>
      <c r="H34" s="306">
        <f t="shared" si="0"/>
        <v>0</v>
      </c>
      <c r="I34" s="158"/>
      <c r="J34" s="158"/>
      <c r="K34" s="307">
        <f t="shared" si="1"/>
      </c>
      <c r="L34" s="14">
        <f t="shared" si="2"/>
      </c>
      <c r="M34" s="159"/>
      <c r="N34" s="235">
        <f t="shared" si="3"/>
      </c>
      <c r="O34" s="156">
        <f t="shared" si="16"/>
      </c>
      <c r="P34" s="155">
        <f t="shared" si="4"/>
      </c>
      <c r="Q34" s="367">
        <f t="shared" si="5"/>
        <v>20</v>
      </c>
      <c r="R34" s="349" t="str">
        <f t="shared" si="6"/>
        <v>--</v>
      </c>
      <c r="S34" s="350" t="str">
        <f t="shared" si="7"/>
        <v>--</v>
      </c>
      <c r="T34" s="351" t="str">
        <f t="shared" si="8"/>
        <v>--</v>
      </c>
      <c r="U34" s="352" t="str">
        <f t="shared" si="9"/>
        <v>--</v>
      </c>
      <c r="V34" s="353" t="str">
        <f t="shared" si="10"/>
        <v>--</v>
      </c>
      <c r="W34" s="354" t="str">
        <f t="shared" si="11"/>
        <v>--</v>
      </c>
      <c r="X34" s="355" t="str">
        <f t="shared" si="12"/>
        <v>--</v>
      </c>
      <c r="Y34" s="356" t="str">
        <f t="shared" si="13"/>
        <v>--</v>
      </c>
      <c r="Z34" s="161">
        <f t="shared" si="14"/>
      </c>
      <c r="AA34" s="318">
        <f t="shared" si="15"/>
      </c>
      <c r="AB34" s="17"/>
    </row>
    <row r="35" spans="1:28" s="5" customFormat="1" ht="16.5" customHeight="1">
      <c r="A35" s="90"/>
      <c r="B35" s="95"/>
      <c r="C35" s="289"/>
      <c r="D35" s="151"/>
      <c r="E35" s="319"/>
      <c r="F35" s="304"/>
      <c r="G35" s="305"/>
      <c r="H35" s="306">
        <f t="shared" si="0"/>
        <v>0</v>
      </c>
      <c r="I35" s="158"/>
      <c r="J35" s="158"/>
      <c r="K35" s="307">
        <f t="shared" si="1"/>
      </c>
      <c r="L35" s="14">
        <f t="shared" si="2"/>
      </c>
      <c r="M35" s="159"/>
      <c r="N35" s="235">
        <f t="shared" si="3"/>
      </c>
      <c r="O35" s="156">
        <f t="shared" si="16"/>
      </c>
      <c r="P35" s="155">
        <f t="shared" si="4"/>
      </c>
      <c r="Q35" s="367">
        <f t="shared" si="5"/>
        <v>20</v>
      </c>
      <c r="R35" s="349" t="str">
        <f t="shared" si="6"/>
        <v>--</v>
      </c>
      <c r="S35" s="350" t="str">
        <f t="shared" si="7"/>
        <v>--</v>
      </c>
      <c r="T35" s="351" t="str">
        <f t="shared" si="8"/>
        <v>--</v>
      </c>
      <c r="U35" s="352" t="str">
        <f t="shared" si="9"/>
        <v>--</v>
      </c>
      <c r="V35" s="353" t="str">
        <f t="shared" si="10"/>
        <v>--</v>
      </c>
      <c r="W35" s="354" t="str">
        <f t="shared" si="11"/>
        <v>--</v>
      </c>
      <c r="X35" s="355" t="str">
        <f t="shared" si="12"/>
        <v>--</v>
      </c>
      <c r="Y35" s="356" t="str">
        <f t="shared" si="13"/>
        <v>--</v>
      </c>
      <c r="Z35" s="161">
        <f t="shared" si="14"/>
      </c>
      <c r="AA35" s="318">
        <f t="shared" si="15"/>
      </c>
      <c r="AB35" s="17"/>
    </row>
    <row r="36" spans="1:28" s="5" customFormat="1" ht="16.5" customHeight="1">
      <c r="A36" s="90"/>
      <c r="B36" s="95"/>
      <c r="C36" s="157"/>
      <c r="D36" s="151"/>
      <c r="E36" s="319"/>
      <c r="F36" s="304"/>
      <c r="G36" s="305"/>
      <c r="H36" s="306">
        <f t="shared" si="0"/>
        <v>0</v>
      </c>
      <c r="I36" s="158"/>
      <c r="J36" s="158"/>
      <c r="K36" s="307">
        <f t="shared" si="1"/>
      </c>
      <c r="L36" s="14">
        <f t="shared" si="2"/>
      </c>
      <c r="M36" s="159"/>
      <c r="N36" s="235">
        <f t="shared" si="3"/>
      </c>
      <c r="O36" s="156">
        <f t="shared" si="16"/>
      </c>
      <c r="P36" s="155">
        <f t="shared" si="4"/>
      </c>
      <c r="Q36" s="367">
        <f t="shared" si="5"/>
        <v>20</v>
      </c>
      <c r="R36" s="349" t="str">
        <f t="shared" si="6"/>
        <v>--</v>
      </c>
      <c r="S36" s="350" t="str">
        <f t="shared" si="7"/>
        <v>--</v>
      </c>
      <c r="T36" s="351" t="str">
        <f t="shared" si="8"/>
        <v>--</v>
      </c>
      <c r="U36" s="352" t="str">
        <f t="shared" si="9"/>
        <v>--</v>
      </c>
      <c r="V36" s="353" t="str">
        <f t="shared" si="10"/>
        <v>--</v>
      </c>
      <c r="W36" s="354" t="str">
        <f t="shared" si="11"/>
        <v>--</v>
      </c>
      <c r="X36" s="355" t="str">
        <f t="shared" si="12"/>
        <v>--</v>
      </c>
      <c r="Y36" s="356" t="str">
        <f t="shared" si="13"/>
        <v>--</v>
      </c>
      <c r="Z36" s="161">
        <f t="shared" si="14"/>
      </c>
      <c r="AA36" s="318">
        <f t="shared" si="15"/>
      </c>
      <c r="AB36" s="17"/>
    </row>
    <row r="37" spans="1:28" s="5" customFormat="1" ht="16.5" customHeight="1">
      <c r="A37" s="90"/>
      <c r="B37" s="95"/>
      <c r="C37" s="289"/>
      <c r="D37" s="151"/>
      <c r="E37" s="319"/>
      <c r="F37" s="304"/>
      <c r="G37" s="305"/>
      <c r="H37" s="306">
        <f t="shared" si="0"/>
        <v>0</v>
      </c>
      <c r="I37" s="158"/>
      <c r="J37" s="158"/>
      <c r="K37" s="307">
        <f t="shared" si="1"/>
      </c>
      <c r="L37" s="14">
        <f t="shared" si="2"/>
      </c>
      <c r="M37" s="159"/>
      <c r="N37" s="235">
        <f t="shared" si="3"/>
      </c>
      <c r="O37" s="156">
        <f t="shared" si="16"/>
      </c>
      <c r="P37" s="155">
        <f t="shared" si="4"/>
      </c>
      <c r="Q37" s="367">
        <f t="shared" si="5"/>
        <v>20</v>
      </c>
      <c r="R37" s="349" t="str">
        <f t="shared" si="6"/>
        <v>--</v>
      </c>
      <c r="S37" s="350" t="str">
        <f t="shared" si="7"/>
        <v>--</v>
      </c>
      <c r="T37" s="351" t="str">
        <f t="shared" si="8"/>
        <v>--</v>
      </c>
      <c r="U37" s="352" t="str">
        <f t="shared" si="9"/>
        <v>--</v>
      </c>
      <c r="V37" s="353" t="str">
        <f t="shared" si="10"/>
        <v>--</v>
      </c>
      <c r="W37" s="354" t="str">
        <f t="shared" si="11"/>
        <v>--</v>
      </c>
      <c r="X37" s="355" t="str">
        <f t="shared" si="12"/>
        <v>--</v>
      </c>
      <c r="Y37" s="356" t="str">
        <f t="shared" si="13"/>
        <v>--</v>
      </c>
      <c r="Z37" s="161">
        <f t="shared" si="14"/>
      </c>
      <c r="AA37" s="318">
        <f t="shared" si="15"/>
      </c>
      <c r="AB37" s="17"/>
    </row>
    <row r="38" spans="1:28" s="5" customFormat="1" ht="16.5" customHeight="1">
      <c r="A38" s="90"/>
      <c r="B38" s="95"/>
      <c r="C38" s="157"/>
      <c r="D38" s="151"/>
      <c r="E38" s="319"/>
      <c r="F38" s="304"/>
      <c r="G38" s="305"/>
      <c r="H38" s="306">
        <f t="shared" si="0"/>
        <v>0</v>
      </c>
      <c r="I38" s="158"/>
      <c r="J38" s="158"/>
      <c r="K38" s="307">
        <f t="shared" si="1"/>
      </c>
      <c r="L38" s="14">
        <f t="shared" si="2"/>
      </c>
      <c r="M38" s="159"/>
      <c r="N38" s="235">
        <f t="shared" si="3"/>
      </c>
      <c r="O38" s="156">
        <f t="shared" si="16"/>
      </c>
      <c r="P38" s="155">
        <f t="shared" si="4"/>
      </c>
      <c r="Q38" s="367">
        <f t="shared" si="5"/>
        <v>20</v>
      </c>
      <c r="R38" s="349" t="str">
        <f t="shared" si="6"/>
        <v>--</v>
      </c>
      <c r="S38" s="350" t="str">
        <f t="shared" si="7"/>
        <v>--</v>
      </c>
      <c r="T38" s="351" t="str">
        <f t="shared" si="8"/>
        <v>--</v>
      </c>
      <c r="U38" s="352" t="str">
        <f t="shared" si="9"/>
        <v>--</v>
      </c>
      <c r="V38" s="353" t="str">
        <f t="shared" si="10"/>
        <v>--</v>
      </c>
      <c r="W38" s="354" t="str">
        <f t="shared" si="11"/>
        <v>--</v>
      </c>
      <c r="X38" s="355" t="str">
        <f t="shared" si="12"/>
        <v>--</v>
      </c>
      <c r="Y38" s="356" t="str">
        <f t="shared" si="13"/>
        <v>--</v>
      </c>
      <c r="Z38" s="161">
        <f t="shared" si="14"/>
      </c>
      <c r="AA38" s="318">
        <f t="shared" si="15"/>
      </c>
      <c r="AB38" s="17"/>
    </row>
    <row r="39" spans="1:28" s="5" customFormat="1" ht="16.5" customHeight="1">
      <c r="A39" s="90"/>
      <c r="B39" s="95"/>
      <c r="C39" s="289"/>
      <c r="D39" s="151"/>
      <c r="E39" s="319"/>
      <c r="F39" s="304"/>
      <c r="G39" s="305"/>
      <c r="H39" s="306">
        <f t="shared" si="0"/>
        <v>0</v>
      </c>
      <c r="I39" s="158"/>
      <c r="J39" s="158"/>
      <c r="K39" s="307">
        <f t="shared" si="1"/>
      </c>
      <c r="L39" s="14">
        <f t="shared" si="2"/>
      </c>
      <c r="M39" s="159"/>
      <c r="N39" s="235">
        <f t="shared" si="3"/>
      </c>
      <c r="O39" s="156">
        <f t="shared" si="16"/>
      </c>
      <c r="P39" s="155">
        <f t="shared" si="4"/>
      </c>
      <c r="Q39" s="367">
        <f t="shared" si="5"/>
        <v>20</v>
      </c>
      <c r="R39" s="349" t="str">
        <f t="shared" si="6"/>
        <v>--</v>
      </c>
      <c r="S39" s="350" t="str">
        <f t="shared" si="7"/>
        <v>--</v>
      </c>
      <c r="T39" s="351" t="str">
        <f t="shared" si="8"/>
        <v>--</v>
      </c>
      <c r="U39" s="352" t="str">
        <f t="shared" si="9"/>
        <v>--</v>
      </c>
      <c r="V39" s="353" t="str">
        <f t="shared" si="10"/>
        <v>--</v>
      </c>
      <c r="W39" s="354" t="str">
        <f t="shared" si="11"/>
        <v>--</v>
      </c>
      <c r="X39" s="355" t="str">
        <f t="shared" si="12"/>
        <v>--</v>
      </c>
      <c r="Y39" s="356" t="str">
        <f t="shared" si="13"/>
        <v>--</v>
      </c>
      <c r="Z39" s="161">
        <f t="shared" si="14"/>
      </c>
      <c r="AA39" s="318">
        <f t="shared" si="15"/>
      </c>
      <c r="AB39" s="17"/>
    </row>
    <row r="40" spans="1:28" s="5" customFormat="1" ht="16.5" customHeight="1" thickBot="1">
      <c r="A40" s="90"/>
      <c r="B40" s="95"/>
      <c r="C40" s="157"/>
      <c r="D40" s="320"/>
      <c r="E40" s="321"/>
      <c r="F40" s="320"/>
      <c r="G40" s="322"/>
      <c r="H40" s="132"/>
      <c r="I40" s="160"/>
      <c r="J40" s="323"/>
      <c r="K40" s="324"/>
      <c r="L40" s="325"/>
      <c r="M40" s="165"/>
      <c r="N40" s="197"/>
      <c r="O40" s="163"/>
      <c r="P40" s="165"/>
      <c r="Q40" s="368"/>
      <c r="R40" s="357"/>
      <c r="S40" s="358"/>
      <c r="T40" s="359"/>
      <c r="U40" s="360"/>
      <c r="V40" s="361"/>
      <c r="W40" s="362"/>
      <c r="X40" s="363"/>
      <c r="Y40" s="364"/>
      <c r="Z40" s="365"/>
      <c r="AA40" s="336"/>
      <c r="AB40" s="17"/>
    </row>
    <row r="41" spans="1:28" s="5" customFormat="1" ht="16.5" customHeight="1" thickBot="1" thickTop="1">
      <c r="A41" s="90"/>
      <c r="B41" s="95"/>
      <c r="C41" s="128" t="s">
        <v>25</v>
      </c>
      <c r="D41" s="129" t="s">
        <v>330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337">
        <f aca="true" t="shared" si="17" ref="R41:Y41">SUM(R18:R40)</f>
        <v>992.25</v>
      </c>
      <c r="S41" s="338">
        <f t="shared" si="17"/>
        <v>0</v>
      </c>
      <c r="T41" s="339">
        <f t="shared" si="17"/>
        <v>0</v>
      </c>
      <c r="U41" s="340">
        <f t="shared" si="17"/>
        <v>0</v>
      </c>
      <c r="V41" s="341">
        <f t="shared" si="17"/>
        <v>0</v>
      </c>
      <c r="W41" s="342">
        <f t="shared" si="17"/>
        <v>0</v>
      </c>
      <c r="X41" s="343">
        <f t="shared" si="17"/>
        <v>0</v>
      </c>
      <c r="Y41" s="344">
        <f t="shared" si="17"/>
        <v>0</v>
      </c>
      <c r="Z41" s="90"/>
      <c r="AA41" s="345">
        <f>ROUND(SUM(AA18:AA40),2)</f>
        <v>992.25</v>
      </c>
      <c r="AB41" s="17"/>
    </row>
    <row r="42" spans="1:28" s="5" customFormat="1" ht="16.5" customHeight="1" thickBot="1" thickTop="1">
      <c r="A42" s="90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ht="16.5" customHeight="1" thickTop="1">
      <c r="A43" s="2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</row>
    <row r="44" spans="1:29" ht="16.5" customHeight="1">
      <c r="A44" s="2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ht="16.5" customHeight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4:29" ht="16.5" customHeight="1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4:29" ht="16.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ht="16.5" customHeight="1">
      <c r="AC151" s="179"/>
    </row>
    <row r="152" ht="16.5" customHeight="1">
      <c r="AC152" s="179"/>
    </row>
    <row r="153" ht="16.5" customHeight="1">
      <c r="AC153" s="179"/>
    </row>
    <row r="154" ht="16.5" customHeight="1">
      <c r="AC154" s="179"/>
    </row>
    <row r="155" ht="16.5" customHeight="1"/>
    <row r="156" ht="16.5" customHeight="1"/>
    <row r="157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76"/>
  <sheetViews>
    <sheetView zoomScale="50" zoomScaleNormal="50" workbookViewId="0" topLeftCell="A16">
      <selection activeCell="L29" sqref="L29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2" width="8.421875" style="0" hidden="1" customWidth="1"/>
    <col min="23" max="23" width="15.57421875" style="0" hidden="1" customWidth="1"/>
    <col min="24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47" customFormat="1" ht="30.75">
      <c r="A3" s="544"/>
      <c r="B3" s="545" t="str">
        <f>+'TOT-0209'!B2</f>
        <v>ANEXO III al Memorandum  D.T.E.E. N°  770        /2010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AB3" s="546"/>
      <c r="AC3" s="546"/>
      <c r="AD3" s="546"/>
    </row>
    <row r="4" spans="1:2" s="25" customFormat="1" ht="11.25">
      <c r="A4" s="778" t="s">
        <v>2</v>
      </c>
      <c r="B4" s="779"/>
    </row>
    <row r="5" spans="1:2" s="25" customFormat="1" ht="12" thickBot="1">
      <c r="A5" s="778" t="s">
        <v>3</v>
      </c>
      <c r="B5" s="778"/>
    </row>
    <row r="6" spans="1:30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80"/>
      <c r="X6" s="180"/>
      <c r="Y6" s="180"/>
      <c r="Z6" s="180"/>
      <c r="AA6" s="180"/>
      <c r="AB6" s="180"/>
      <c r="AC6" s="180"/>
      <c r="AD6" s="94"/>
    </row>
    <row r="7" spans="1:30" ht="20.25">
      <c r="A7" s="5"/>
      <c r="B7" s="50"/>
      <c r="C7" s="4"/>
      <c r="D7" s="178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8" t="s">
        <v>98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203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8" t="s">
        <v>115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203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'TOT-0209'!B14</f>
        <v>Desde el 01 al 28 de febrero de 2009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/>
      <c r="X13" s="548"/>
      <c r="Y13" s="548"/>
      <c r="Z13" s="548"/>
      <c r="AA13" s="548"/>
      <c r="AB13" s="127"/>
      <c r="AC13" s="176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54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66" t="s">
        <v>99</v>
      </c>
      <c r="D17" s="54" t="s">
        <v>100</v>
      </c>
      <c r="E17" s="66"/>
      <c r="F17" s="66"/>
      <c r="G17" s="4"/>
      <c r="H17" s="4"/>
      <c r="I17" s="4"/>
      <c r="J17" s="54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550"/>
      <c r="C18" s="33"/>
      <c r="D18" s="551"/>
      <c r="E18" s="552"/>
      <c r="F18" s="553"/>
      <c r="G18" s="33"/>
      <c r="H18" s="33"/>
      <c r="I18" s="33"/>
      <c r="J18" s="554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555"/>
    </row>
    <row r="19" spans="2:30" s="32" customFormat="1" ht="16.5" customHeight="1">
      <c r="B19" s="550"/>
      <c r="C19" s="33"/>
      <c r="D19" s="556" t="s">
        <v>101</v>
      </c>
      <c r="F19" s="557">
        <v>117.179</v>
      </c>
      <c r="G19" s="556" t="s">
        <v>102</v>
      </c>
      <c r="H19" s="33"/>
      <c r="I19" s="33"/>
      <c r="J19" s="558"/>
      <c r="K19" s="559" t="s">
        <v>40</v>
      </c>
      <c r="L19" s="560">
        <v>0.04</v>
      </c>
      <c r="R19" s="33"/>
      <c r="S19" s="33"/>
      <c r="T19" s="33"/>
      <c r="U19" s="33"/>
      <c r="V19" s="33"/>
      <c r="W19"/>
      <c r="AD19" s="555"/>
    </row>
    <row r="20" spans="2:30" s="32" customFormat="1" ht="16.5" customHeight="1">
      <c r="B20" s="550"/>
      <c r="C20" s="33"/>
      <c r="D20" s="556" t="s">
        <v>116</v>
      </c>
      <c r="F20" s="557">
        <v>0.319</v>
      </c>
      <c r="G20" s="556" t="s">
        <v>117</v>
      </c>
      <c r="H20" s="33"/>
      <c r="I20" s="33"/>
      <c r="J20" s="33"/>
      <c r="K20" s="551" t="s">
        <v>38</v>
      </c>
      <c r="L20" s="33">
        <f>MID(B13,16,2)*24</f>
        <v>672</v>
      </c>
      <c r="M20" s="33" t="s">
        <v>39</v>
      </c>
      <c r="N20" s="33"/>
      <c r="O20" s="33"/>
      <c r="P20" s="780"/>
      <c r="Q20" s="33"/>
      <c r="R20" s="33"/>
      <c r="S20" s="33"/>
      <c r="T20" s="33"/>
      <c r="U20" s="33"/>
      <c r="V20" s="33"/>
      <c r="W20"/>
      <c r="AD20" s="555"/>
    </row>
    <row r="21" spans="2:30" s="32" customFormat="1" ht="16.5" customHeight="1">
      <c r="B21" s="550"/>
      <c r="C21" s="33"/>
      <c r="D21" s="556" t="s">
        <v>118</v>
      </c>
      <c r="F21" s="557">
        <v>51.126</v>
      </c>
      <c r="G21" s="556" t="s">
        <v>119</v>
      </c>
      <c r="H21" s="33"/>
      <c r="I21" s="33"/>
      <c r="J21" s="33"/>
      <c r="K21" s="214"/>
      <c r="L21" s="215"/>
      <c r="M21" s="33"/>
      <c r="N21" s="33"/>
      <c r="O21" s="33"/>
      <c r="P21" s="780"/>
      <c r="Q21" s="33"/>
      <c r="R21" s="33"/>
      <c r="S21" s="33"/>
      <c r="T21" s="33"/>
      <c r="U21" s="33"/>
      <c r="V21" s="33"/>
      <c r="W21"/>
      <c r="AD21" s="555"/>
    </row>
    <row r="22" spans="2:30" s="32" customFormat="1" ht="16.5" customHeight="1">
      <c r="B22" s="550"/>
      <c r="C22" s="33"/>
      <c r="D22" s="556" t="s">
        <v>120</v>
      </c>
      <c r="F22" s="557">
        <v>63.904</v>
      </c>
      <c r="G22" s="556" t="s">
        <v>119</v>
      </c>
      <c r="H22" s="33"/>
      <c r="I22" s="33"/>
      <c r="J22" s="33"/>
      <c r="K22" s="214"/>
      <c r="L22" s="215"/>
      <c r="M22" s="33"/>
      <c r="N22" s="33"/>
      <c r="O22" s="33"/>
      <c r="P22" s="780"/>
      <c r="Q22" s="33"/>
      <c r="R22" s="33"/>
      <c r="S22" s="33"/>
      <c r="T22" s="33"/>
      <c r="U22" s="33"/>
      <c r="V22" s="33"/>
      <c r="W22"/>
      <c r="AD22" s="555"/>
    </row>
    <row r="23" spans="2:30" s="32" customFormat="1" ht="8.25" customHeight="1">
      <c r="B23" s="550"/>
      <c r="C23" s="33"/>
      <c r="D23" s="33"/>
      <c r="E23" s="56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555"/>
    </row>
    <row r="24" spans="1:30" ht="16.5" customHeight="1">
      <c r="A24" s="5"/>
      <c r="B24" s="50"/>
      <c r="C24" s="166" t="s">
        <v>103</v>
      </c>
      <c r="D24" s="3" t="s">
        <v>145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550"/>
      <c r="C26" s="553"/>
      <c r="D26"/>
      <c r="E26"/>
      <c r="F26"/>
      <c r="G26"/>
      <c r="H26"/>
      <c r="I26"/>
      <c r="J26" s="564" t="s">
        <v>45</v>
      </c>
      <c r="K26" s="565">
        <f>L19*AC68</f>
        <v>39729.6936832</v>
      </c>
      <c r="L26"/>
      <c r="S26"/>
      <c r="T26"/>
      <c r="U26"/>
      <c r="W26"/>
      <c r="AD26" s="555"/>
    </row>
    <row r="27" spans="2:30" s="32" customFormat="1" ht="11.25" customHeight="1" thickTop="1">
      <c r="B27" s="550"/>
      <c r="C27" s="553"/>
      <c r="D27" s="33"/>
      <c r="E27" s="56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555"/>
    </row>
    <row r="28" spans="1:30" ht="16.5" customHeight="1">
      <c r="A28" s="5"/>
      <c r="B28" s="50"/>
      <c r="C28" s="166" t="s">
        <v>104</v>
      </c>
      <c r="D28" s="3" t="s">
        <v>146</v>
      </c>
      <c r="E28" s="21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1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19" t="s">
        <v>0</v>
      </c>
      <c r="E30" s="182" t="s">
        <v>14</v>
      </c>
      <c r="F30" s="87" t="s">
        <v>15</v>
      </c>
      <c r="G30" s="220" t="s">
        <v>76</v>
      </c>
      <c r="H30" s="221" t="s">
        <v>37</v>
      </c>
      <c r="I30" s="136" t="s">
        <v>16</v>
      </c>
      <c r="J30" s="85" t="s">
        <v>17</v>
      </c>
      <c r="K30" s="183" t="s">
        <v>18</v>
      </c>
      <c r="L30" s="88" t="s">
        <v>36</v>
      </c>
      <c r="M30" s="86" t="s">
        <v>31</v>
      </c>
      <c r="N30" s="88" t="s">
        <v>105</v>
      </c>
      <c r="O30" s="88" t="s">
        <v>58</v>
      </c>
      <c r="P30" s="183" t="s">
        <v>59</v>
      </c>
      <c r="Q30" s="85" t="s">
        <v>32</v>
      </c>
      <c r="R30" s="138" t="s">
        <v>20</v>
      </c>
      <c r="S30" s="566" t="s">
        <v>21</v>
      </c>
      <c r="T30" s="567" t="s">
        <v>77</v>
      </c>
      <c r="U30" s="568"/>
      <c r="V30" s="569"/>
      <c r="W30" s="570" t="s">
        <v>106</v>
      </c>
      <c r="X30" s="571"/>
      <c r="Y30" s="572"/>
      <c r="Z30" s="573" t="s">
        <v>22</v>
      </c>
      <c r="AA30" s="574" t="s">
        <v>23</v>
      </c>
      <c r="AB30" s="89" t="s">
        <v>79</v>
      </c>
      <c r="AC30" s="122" t="s">
        <v>24</v>
      </c>
      <c r="AD30" s="227"/>
      <c r="AE30"/>
    </row>
    <row r="31" spans="1:30" ht="16.5" customHeight="1" thickTop="1">
      <c r="A31" s="5"/>
      <c r="B31" s="50"/>
      <c r="C31" s="7"/>
      <c r="D31" s="575"/>
      <c r="E31" s="576"/>
      <c r="F31" s="577"/>
      <c r="G31" s="578"/>
      <c r="H31" s="579"/>
      <c r="I31" s="580"/>
      <c r="J31" s="581"/>
      <c r="K31" s="582"/>
      <c r="L31" s="7"/>
      <c r="M31" s="7"/>
      <c r="N31" s="189"/>
      <c r="O31" s="189"/>
      <c r="P31" s="7"/>
      <c r="Q31" s="186"/>
      <c r="R31" s="583"/>
      <c r="S31" s="584"/>
      <c r="T31" s="585"/>
      <c r="U31" s="586"/>
      <c r="V31" s="587"/>
      <c r="W31" s="588"/>
      <c r="X31" s="589"/>
      <c r="Y31" s="590"/>
      <c r="Z31" s="591"/>
      <c r="AA31" s="592"/>
      <c r="AB31" s="593"/>
      <c r="AC31" s="594"/>
      <c r="AD31" s="17"/>
    </row>
    <row r="32" spans="1:30" ht="16.5" customHeight="1">
      <c r="A32" s="5"/>
      <c r="B32" s="50"/>
      <c r="C32" s="914" t="s">
        <v>223</v>
      </c>
      <c r="D32" s="7"/>
      <c r="E32" s="542"/>
      <c r="F32" s="595"/>
      <c r="G32" s="596"/>
      <c r="H32" s="597">
        <f>IF(G32="A",200,IF(G32="B",60,20))</f>
        <v>20</v>
      </c>
      <c r="I32" s="598">
        <f>IF(F32&gt;100,F32,100)*$F$19/100</f>
        <v>117.179</v>
      </c>
      <c r="J32" s="599"/>
      <c r="K32" s="543"/>
      <c r="L32" s="600">
        <f>IF(D32="","",(K32-J32)*24)</f>
      </c>
      <c r="M32" s="416">
        <f>IF(D32="","",ROUND((K32-J32)*24*60,0))</f>
      </c>
      <c r="N32" s="601"/>
      <c r="O32" s="602">
        <f>IF(D32="","","--")</f>
      </c>
      <c r="P32" s="236">
        <f>IF(D32="","","NO")</f>
      </c>
      <c r="Q32" s="236">
        <f>IF(D32="","",IF(OR(N32="P",N32="RP"),"--","NO"))</f>
      </c>
      <c r="R32" s="603" t="str">
        <f>IF(N32="P",+I32*H32*ROUND(M32/60,2)/100,"--")</f>
        <v>--</v>
      </c>
      <c r="S32" s="604" t="str">
        <f>IF(N32="RP",I32*H32*ROUND(M32/60,2)*0.01*O32/100,"--")</f>
        <v>--</v>
      </c>
      <c r="T32" s="605" t="str">
        <f>IF(AND(N32="F",Q32="NO"),IF(P32="SI",1.2,1)*I32*H32,"--")</f>
        <v>--</v>
      </c>
      <c r="U32" s="606" t="str">
        <f>IF(AND(M32&gt;10,N32="F"),IF(M32&lt;=300,ROUND(M32/60,2),5)*I32*H32*IF(P32="SI",1.2,1),"--")</f>
        <v>--</v>
      </c>
      <c r="V32" s="607" t="str">
        <f>IF(AND(N32="F",M32&gt;300),IF(P32="SI",1.2,1)*(ROUND(M32/60,2)-5)*I32*H32*0.1,"--")</f>
        <v>--</v>
      </c>
      <c r="W32" s="608" t="str">
        <f>IF(AND(N32="R",Q32="NO"),IF(P32="SI",1.2,1)*I32*H32*O32/100,"--")</f>
        <v>--</v>
      </c>
      <c r="X32" s="609" t="str">
        <f>IF(AND(M32&gt;10,N32="R"),IF(M32&lt;=300,ROUND(M32/60,2),5)*I32*H32*O32/100*IF(P32="SI",1.2,1),"--")</f>
        <v>--</v>
      </c>
      <c r="Y32" s="610" t="str">
        <f>IF(AND(N32="R",M32&gt;300),IF(P32="SI",1.2,1)*(ROUND(M32/60,2)-5)*I32*H32*O32/100*0.1,"--")</f>
        <v>--</v>
      </c>
      <c r="Z32" s="611" t="str">
        <f>IF(N32="RF",IF(P32="SI",1.2,1)*ROUND(M32/60,2)*I32*H32*0.1,"--")</f>
        <v>--</v>
      </c>
      <c r="AA32" s="612" t="str">
        <f>IF(N32="RR",IF(P32="SI",1.2,1)*ROUND(M32/60,2)*I32*H32*O32/100*0.1,"--")</f>
        <v>--</v>
      </c>
      <c r="AB32" s="613">
        <f>IF(D32="","","SI")</f>
      </c>
      <c r="AC32" s="16">
        <f>IF(D32="","",SUM(R32:AA32)*IF(AB32="SI",1,2))</f>
      </c>
      <c r="AD32" s="17"/>
    </row>
    <row r="33" spans="1:30" ht="16.5" customHeight="1">
      <c r="A33" s="5"/>
      <c r="B33" s="50"/>
      <c r="C33" s="914" t="s">
        <v>224</v>
      </c>
      <c r="D33" s="7"/>
      <c r="E33" s="542"/>
      <c r="F33" s="595"/>
      <c r="G33" s="596"/>
      <c r="H33" s="597">
        <f>IF(G33="A",200,IF(G33="B",60,20))</f>
        <v>20</v>
      </c>
      <c r="I33" s="598">
        <f>IF(F33&gt;100,F33,100)*$F$19/100</f>
        <v>117.179</v>
      </c>
      <c r="J33" s="599"/>
      <c r="K33" s="543"/>
      <c r="L33" s="600">
        <f>IF(D33="","",(K33-J33)*24)</f>
      </c>
      <c r="M33" s="416">
        <f>IF(D33="","",ROUND((K33-J33)*24*60,0))</f>
      </c>
      <c r="N33" s="601"/>
      <c r="O33" s="602">
        <f>IF(D33="","","--")</f>
      </c>
      <c r="P33" s="236">
        <f>IF(D33="","","NO")</f>
      </c>
      <c r="Q33" s="236">
        <f>IF(D33="","",IF(OR(N33="P",N33="RP"),"--","NO"))</f>
      </c>
      <c r="R33" s="603" t="str">
        <f>IF(N33="P",+I33*H33*ROUND(M33/60,2)/100,"--")</f>
        <v>--</v>
      </c>
      <c r="S33" s="604" t="str">
        <f>IF(N33="RP",I33*H33*ROUND(M33/60,2)*0.01*O33/100,"--")</f>
        <v>--</v>
      </c>
      <c r="T33" s="605" t="str">
        <f>IF(AND(N33="F",Q33="NO"),IF(P33="SI",1.2,1)*I33*H33,"--")</f>
        <v>--</v>
      </c>
      <c r="U33" s="606" t="str">
        <f>IF(AND(M33&gt;10,N33="F"),IF(M33&lt;=300,ROUND(M33/60,2),5)*I33*H33*IF(P33="SI",1.2,1),"--")</f>
        <v>--</v>
      </c>
      <c r="V33" s="607" t="str">
        <f>IF(AND(N33="F",M33&gt;300),IF(P33="SI",1.2,1)*(ROUND(M33/60,2)-5)*I33*H33*0.1,"--")</f>
        <v>--</v>
      </c>
      <c r="W33" s="608" t="str">
        <f>IF(AND(N33="R",Q33="NO"),IF(P33="SI",1.2,1)*I33*H33*O33/100,"--")</f>
        <v>--</v>
      </c>
      <c r="X33" s="609" t="str">
        <f>IF(AND(M33&gt;10,N33="R"),IF(M33&lt;=300,ROUND(M33/60,2),5)*I33*H33*O33/100*IF(P33="SI",1.2,1),"--")</f>
        <v>--</v>
      </c>
      <c r="Y33" s="610" t="str">
        <f>IF(AND(N33="R",M33&gt;300),IF(P33="SI",1.2,1)*(ROUND(M33/60,2)-5)*I33*H33*O33/100*0.1,"--")</f>
        <v>--</v>
      </c>
      <c r="Z33" s="611" t="str">
        <f>IF(N33="RF",IF(P33="SI",1.2,1)*ROUND(M33/60,2)*I33*H33*0.1,"--")</f>
        <v>--</v>
      </c>
      <c r="AA33" s="612" t="str">
        <f>IF(N33="RR",IF(P33="SI",1.2,1)*ROUND(M33/60,2)*I33*H33*O33/100*0.1,"--")</f>
        <v>--</v>
      </c>
      <c r="AB33" s="613">
        <f>IF(D33="","","SI")</f>
      </c>
      <c r="AC33" s="16">
        <f>IF(D33="","",SUM(R33:AA33)*IF(AB33="SI",1,2))</f>
      </c>
      <c r="AD33" s="17"/>
    </row>
    <row r="34" spans="1:30" ht="16.5" customHeight="1" thickBot="1">
      <c r="A34" s="32"/>
      <c r="B34" s="50"/>
      <c r="C34" s="691"/>
      <c r="D34" s="614"/>
      <c r="E34" s="615"/>
      <c r="F34" s="616"/>
      <c r="G34" s="617"/>
      <c r="H34" s="618"/>
      <c r="I34" s="619"/>
      <c r="J34" s="620"/>
      <c r="K34" s="620"/>
      <c r="L34" s="9"/>
      <c r="M34" s="9"/>
      <c r="N34" s="9"/>
      <c r="O34" s="621"/>
      <c r="P34" s="9"/>
      <c r="Q34" s="9"/>
      <c r="R34" s="622"/>
      <c r="S34" s="623"/>
      <c r="T34" s="624"/>
      <c r="U34" s="625"/>
      <c r="V34" s="626"/>
      <c r="W34" s="627"/>
      <c r="X34" s="628"/>
      <c r="Y34" s="629"/>
      <c r="Z34" s="630"/>
      <c r="AA34" s="631"/>
      <c r="AB34" s="632"/>
      <c r="AC34" s="633"/>
      <c r="AD34" s="242"/>
    </row>
    <row r="35" spans="1:30" ht="16.5" customHeight="1" thickBot="1" thickTop="1">
      <c r="A35" s="32"/>
      <c r="B35" s="50"/>
      <c r="C35" s="553"/>
      <c r="D35" s="553"/>
      <c r="E35" s="634"/>
      <c r="F35" s="563"/>
      <c r="G35" s="635"/>
      <c r="H35" s="635"/>
      <c r="I35" s="636"/>
      <c r="J35" s="636"/>
      <c r="K35" s="636"/>
      <c r="L35" s="636"/>
      <c r="M35" s="636"/>
      <c r="N35" s="636"/>
      <c r="O35" s="637"/>
      <c r="P35" s="636"/>
      <c r="Q35" s="636"/>
      <c r="R35" s="638">
        <f aca="true" t="shared" si="0" ref="R35:AA35">SUM(R31:R34)</f>
        <v>0</v>
      </c>
      <c r="S35" s="639">
        <f t="shared" si="0"/>
        <v>0</v>
      </c>
      <c r="T35" s="640">
        <f t="shared" si="0"/>
        <v>0</v>
      </c>
      <c r="U35" s="640">
        <f t="shared" si="0"/>
        <v>0</v>
      </c>
      <c r="V35" s="640">
        <f t="shared" si="0"/>
        <v>0</v>
      </c>
      <c r="W35" s="641">
        <f t="shared" si="0"/>
        <v>0</v>
      </c>
      <c r="X35" s="641">
        <f t="shared" si="0"/>
        <v>0</v>
      </c>
      <c r="Y35" s="641">
        <f t="shared" si="0"/>
        <v>0</v>
      </c>
      <c r="Z35" s="642">
        <f t="shared" si="0"/>
        <v>0</v>
      </c>
      <c r="AA35" s="643">
        <f t="shared" si="0"/>
        <v>0</v>
      </c>
      <c r="AB35" s="644"/>
      <c r="AC35" s="645">
        <f>SUM(AC31:AC34)</f>
        <v>0</v>
      </c>
      <c r="AD35" s="242"/>
    </row>
    <row r="36" spans="1:30" ht="13.5" customHeight="1" thickBot="1" thickTop="1">
      <c r="A36" s="32"/>
      <c r="B36" s="50"/>
      <c r="C36" s="553"/>
      <c r="D36" s="553"/>
      <c r="E36" s="634"/>
      <c r="F36" s="563"/>
      <c r="G36" s="635"/>
      <c r="H36" s="635"/>
      <c r="I36" s="636"/>
      <c r="J36" s="636"/>
      <c r="K36" s="636"/>
      <c r="L36" s="636"/>
      <c r="M36" s="636"/>
      <c r="N36" s="636"/>
      <c r="O36" s="637"/>
      <c r="P36" s="636"/>
      <c r="Q36" s="636"/>
      <c r="R36" s="646"/>
      <c r="S36" s="647"/>
      <c r="T36" s="648"/>
      <c r="U36" s="648"/>
      <c r="V36" s="648"/>
      <c r="W36" s="646"/>
      <c r="X36" s="646"/>
      <c r="Y36" s="646"/>
      <c r="Z36" s="646"/>
      <c r="AA36" s="646"/>
      <c r="AB36" s="649"/>
      <c r="AC36" s="650"/>
      <c r="AD36" s="242"/>
    </row>
    <row r="37" spans="1:33" s="5" customFormat="1" ht="33.75" customHeight="1" thickBot="1" thickTop="1">
      <c r="A37" s="90"/>
      <c r="B37" s="95"/>
      <c r="C37" s="124" t="s">
        <v>13</v>
      </c>
      <c r="D37" s="120" t="s">
        <v>27</v>
      </c>
      <c r="E37" s="119" t="s">
        <v>28</v>
      </c>
      <c r="F37" s="121" t="s">
        <v>29</v>
      </c>
      <c r="G37" s="122" t="s">
        <v>14</v>
      </c>
      <c r="H37" s="130" t="s">
        <v>16</v>
      </c>
      <c r="I37" s="651"/>
      <c r="J37" s="119" t="s">
        <v>17</v>
      </c>
      <c r="K37" s="119" t="s">
        <v>18</v>
      </c>
      <c r="L37" s="120" t="s">
        <v>30</v>
      </c>
      <c r="M37" s="120" t="s">
        <v>31</v>
      </c>
      <c r="N37" s="88" t="s">
        <v>107</v>
      </c>
      <c r="O37" s="119" t="s">
        <v>32</v>
      </c>
      <c r="P37" s="652" t="s">
        <v>33</v>
      </c>
      <c r="Q37" s="653"/>
      <c r="R37" s="130" t="s">
        <v>34</v>
      </c>
      <c r="S37" s="654" t="s">
        <v>20</v>
      </c>
      <c r="T37" s="655" t="s">
        <v>108</v>
      </c>
      <c r="U37" s="656"/>
      <c r="V37" s="657" t="s">
        <v>22</v>
      </c>
      <c r="W37" s="658"/>
      <c r="X37" s="659"/>
      <c r="Y37" s="659"/>
      <c r="Z37" s="659"/>
      <c r="AA37" s="660"/>
      <c r="AB37" s="133" t="s">
        <v>79</v>
      </c>
      <c r="AC37" s="122" t="s">
        <v>24</v>
      </c>
      <c r="AD37" s="17"/>
      <c r="AF37"/>
      <c r="AG37"/>
    </row>
    <row r="38" spans="1:30" ht="16.5" customHeight="1" thickTop="1">
      <c r="A38" s="5"/>
      <c r="B38" s="50"/>
      <c r="C38" s="7"/>
      <c r="D38" s="10"/>
      <c r="E38" s="10"/>
      <c r="F38" s="10"/>
      <c r="G38" s="661"/>
      <c r="H38" s="662"/>
      <c r="I38" s="663"/>
      <c r="J38" s="10"/>
      <c r="K38" s="10"/>
      <c r="L38" s="10"/>
      <c r="M38" s="10"/>
      <c r="N38" s="10"/>
      <c r="O38" s="664"/>
      <c r="P38" s="665"/>
      <c r="Q38" s="666"/>
      <c r="R38" s="134"/>
      <c r="S38" s="667"/>
      <c r="T38" s="668"/>
      <c r="U38" s="669"/>
      <c r="V38" s="670"/>
      <c r="W38" s="671"/>
      <c r="X38" s="672"/>
      <c r="Y38" s="672"/>
      <c r="Z38" s="672"/>
      <c r="AA38" s="673"/>
      <c r="AB38" s="664"/>
      <c r="AC38" s="674"/>
      <c r="AD38" s="17"/>
    </row>
    <row r="39" spans="1:30" ht="16.5" customHeight="1">
      <c r="A39" s="5"/>
      <c r="B39" s="50"/>
      <c r="C39" s="914" t="s">
        <v>223</v>
      </c>
      <c r="D39" s="675" t="s">
        <v>342</v>
      </c>
      <c r="E39" s="676" t="s">
        <v>319</v>
      </c>
      <c r="F39" s="677">
        <v>80</v>
      </c>
      <c r="G39" s="678">
        <v>500</v>
      </c>
      <c r="H39" s="679">
        <f>F39*$F$20</f>
        <v>25.52</v>
      </c>
      <c r="I39" s="680"/>
      <c r="J39" s="681">
        <v>39867.40833333333</v>
      </c>
      <c r="K39" s="681">
        <v>39867.70277777778</v>
      </c>
      <c r="L39" s="307">
        <f>IF(D39="","",(K39-J39)*24)</f>
        <v>7.066666666651145</v>
      </c>
      <c r="M39" s="14">
        <f>IF(D39="","",(K39-J39)*24*60)</f>
        <v>423.9999999990687</v>
      </c>
      <c r="N39" s="13" t="s">
        <v>241</v>
      </c>
      <c r="O39" s="8" t="str">
        <f>IF(D39="","",IF(OR(N39="P",N39="RP"),"--","NO"))</f>
        <v>--</v>
      </c>
      <c r="P39" s="682" t="str">
        <f>IF(D39="","","NO")</f>
        <v>NO</v>
      </c>
      <c r="Q39" s="683"/>
      <c r="R39" s="684">
        <f>200*IF(P39="SI",1,0.1)*IF(N39="P",0.1,1)</f>
        <v>2</v>
      </c>
      <c r="S39" s="685">
        <f>IF(N39="P",H39*R39*ROUND(M39/60,2),"--")</f>
        <v>360.8528</v>
      </c>
      <c r="T39" s="686" t="str">
        <f>IF(AND(N39="F",O39="NO"),H39*R39,"--")</f>
        <v>--</v>
      </c>
      <c r="U39" s="687" t="str">
        <f>IF(N39="F",H39*R39*ROUND(M39/60,2),"--")</f>
        <v>--</v>
      </c>
      <c r="V39" s="410" t="str">
        <f>IF(N39="RF",H39*R39*ROUND(M39/60,2),"--")</f>
        <v>--</v>
      </c>
      <c r="W39" s="688"/>
      <c r="X39" s="689"/>
      <c r="Y39" s="689"/>
      <c r="Z39" s="689"/>
      <c r="AA39" s="690"/>
      <c r="AB39" s="317" t="str">
        <f>IF(D39="","","SI")</f>
        <v>SI</v>
      </c>
      <c r="AC39" s="318">
        <f>IF(D39="","",SUM(S39:V39)*IF(AB39="SI",1,2))</f>
        <v>360.8528</v>
      </c>
      <c r="AD39" s="17"/>
    </row>
    <row r="40" spans="1:30" ht="16.5" customHeight="1">
      <c r="A40" s="5"/>
      <c r="B40" s="50"/>
      <c r="C40" s="914" t="s">
        <v>224</v>
      </c>
      <c r="D40" s="675" t="s">
        <v>342</v>
      </c>
      <c r="E40" s="676" t="s">
        <v>319</v>
      </c>
      <c r="F40" s="677">
        <v>80</v>
      </c>
      <c r="G40" s="678">
        <v>500</v>
      </c>
      <c r="H40" s="679">
        <f>F40*$F$20</f>
        <v>25.52</v>
      </c>
      <c r="I40" s="680"/>
      <c r="J40" s="681">
        <v>39868.35625</v>
      </c>
      <c r="K40" s="681">
        <v>39868.73541666667</v>
      </c>
      <c r="L40" s="307">
        <f>IF(D40="","",(K40-J40)*24)</f>
        <v>9.10000000015134</v>
      </c>
      <c r="M40" s="14">
        <f>IF(D40="","",(K40-J40)*24*60)</f>
        <v>546.0000000090804</v>
      </c>
      <c r="N40" s="13" t="s">
        <v>241</v>
      </c>
      <c r="O40" s="8" t="str">
        <f>IF(D40="","",IF(OR(N40="P",N40="RP"),"--","NO"))</f>
        <v>--</v>
      </c>
      <c r="P40" s="682" t="str">
        <f>IF(D40="","","NO")</f>
        <v>NO</v>
      </c>
      <c r="Q40" s="683"/>
      <c r="R40" s="684">
        <f>200*IF(P40="SI",1,0.1)*IF(N40="P",0.1,1)</f>
        <v>2</v>
      </c>
      <c r="S40" s="685">
        <f>IF(N40="P",H40*R40*ROUND(M40/60,2),"--")</f>
        <v>464.464</v>
      </c>
      <c r="T40" s="686" t="str">
        <f>IF(AND(N40="F",O40="NO"),H40*R40,"--")</f>
        <v>--</v>
      </c>
      <c r="U40" s="687" t="str">
        <f>IF(N40="F",H40*R40*ROUND(M40/60,2),"--")</f>
        <v>--</v>
      </c>
      <c r="V40" s="410" t="str">
        <f>IF(N40="RF",H40*R40*ROUND(M40/60,2),"--")</f>
        <v>--</v>
      </c>
      <c r="W40" s="688"/>
      <c r="X40" s="689"/>
      <c r="Y40" s="689"/>
      <c r="Z40" s="689"/>
      <c r="AA40" s="690"/>
      <c r="AB40" s="317" t="str">
        <f>IF(D40="","","SI")</f>
        <v>SI</v>
      </c>
      <c r="AC40" s="318">
        <f>IF(D40="","",SUM(S40:V40)*IF(AB40="SI",1,2))</f>
        <v>464.464</v>
      </c>
      <c r="AD40" s="17"/>
    </row>
    <row r="41" spans="1:30" ht="16.5" customHeight="1" thickBot="1">
      <c r="A41" s="32"/>
      <c r="B41" s="50"/>
      <c r="C41" s="691"/>
      <c r="D41" s="692"/>
      <c r="E41" s="693"/>
      <c r="F41" s="694"/>
      <c r="G41" s="695"/>
      <c r="H41" s="696"/>
      <c r="I41" s="697"/>
      <c r="J41" s="698"/>
      <c r="K41" s="699"/>
      <c r="L41" s="700"/>
      <c r="M41" s="701"/>
      <c r="N41" s="702"/>
      <c r="O41" s="9"/>
      <c r="P41" s="703"/>
      <c r="Q41" s="704"/>
      <c r="R41" s="705"/>
      <c r="S41" s="706"/>
      <c r="T41" s="707"/>
      <c r="U41" s="708"/>
      <c r="V41" s="709"/>
      <c r="W41" s="710"/>
      <c r="X41" s="711"/>
      <c r="Y41" s="711"/>
      <c r="Z41" s="711"/>
      <c r="AA41" s="712"/>
      <c r="AB41" s="713"/>
      <c r="AC41" s="714"/>
      <c r="AD41" s="242"/>
    </row>
    <row r="42" spans="1:30" ht="16.5" customHeight="1" thickBot="1" thickTop="1">
      <c r="A42" s="32"/>
      <c r="B42" s="50"/>
      <c r="C42" s="98"/>
      <c r="D42" s="217"/>
      <c r="E42" s="217"/>
      <c r="F42" s="447"/>
      <c r="G42" s="715"/>
      <c r="H42" s="716"/>
      <c r="I42" s="717"/>
      <c r="J42" s="718"/>
      <c r="K42" s="719"/>
      <c r="L42" s="720"/>
      <c r="M42" s="716"/>
      <c r="N42" s="721"/>
      <c r="O42" s="198"/>
      <c r="P42" s="976"/>
      <c r="Q42" s="977"/>
      <c r="R42" s="970"/>
      <c r="S42" s="970"/>
      <c r="T42" s="970"/>
      <c r="U42" s="971"/>
      <c r="V42" s="971"/>
      <c r="W42" s="971"/>
      <c r="X42" s="971"/>
      <c r="Y42" s="971"/>
      <c r="Z42" s="971"/>
      <c r="AA42" s="971"/>
      <c r="AB42" s="971"/>
      <c r="AC42" s="725">
        <f>SUM(AC38:AC41)</f>
        <v>825.3168000000001</v>
      </c>
      <c r="AD42" s="242"/>
    </row>
    <row r="43" spans="1:30" ht="13.5" customHeight="1" thickBot="1" thickTop="1">
      <c r="A43" s="32"/>
      <c r="B43" s="50"/>
      <c r="C43" s="553"/>
      <c r="D43" s="553"/>
      <c r="E43" s="634"/>
      <c r="F43" s="563"/>
      <c r="G43" s="635"/>
      <c r="H43" s="635"/>
      <c r="I43" s="636"/>
      <c r="J43" s="636"/>
      <c r="K43" s="636"/>
      <c r="L43" s="636"/>
      <c r="M43" s="636"/>
      <c r="N43" s="636"/>
      <c r="O43" s="637"/>
      <c r="P43" s="978"/>
      <c r="Q43" s="978"/>
      <c r="R43" s="801"/>
      <c r="S43" s="802"/>
      <c r="T43" s="803"/>
      <c r="U43" s="803"/>
      <c r="V43" s="803"/>
      <c r="W43" s="801"/>
      <c r="X43" s="801"/>
      <c r="Y43" s="801"/>
      <c r="Z43" s="801"/>
      <c r="AA43" s="801"/>
      <c r="AB43" s="979"/>
      <c r="AC43" s="650"/>
      <c r="AD43" s="242"/>
    </row>
    <row r="44" spans="1:33" s="5" customFormat="1" ht="33.75" customHeight="1" thickBot="1" thickTop="1">
      <c r="A44" s="90"/>
      <c r="B44" s="95"/>
      <c r="C44" s="124" t="s">
        <v>13</v>
      </c>
      <c r="D44" s="120" t="s">
        <v>27</v>
      </c>
      <c r="E44" s="119" t="s">
        <v>28</v>
      </c>
      <c r="F44" s="1363" t="s">
        <v>270</v>
      </c>
      <c r="G44" s="1364"/>
      <c r="H44" s="130" t="s">
        <v>16</v>
      </c>
      <c r="I44" s="651"/>
      <c r="J44" s="119" t="s">
        <v>17</v>
      </c>
      <c r="K44" s="119" t="s">
        <v>18</v>
      </c>
      <c r="L44" s="120" t="s">
        <v>30</v>
      </c>
      <c r="M44" s="120" t="s">
        <v>31</v>
      </c>
      <c r="N44" s="88" t="s">
        <v>107</v>
      </c>
      <c r="O44" s="119" t="s">
        <v>32</v>
      </c>
      <c r="P44" s="652" t="s">
        <v>33</v>
      </c>
      <c r="Q44" s="653"/>
      <c r="R44" s="130" t="s">
        <v>34</v>
      </c>
      <c r="S44" s="654" t="s">
        <v>20</v>
      </c>
      <c r="T44" s="655" t="s">
        <v>108</v>
      </c>
      <c r="U44" s="656"/>
      <c r="V44" s="657" t="s">
        <v>22</v>
      </c>
      <c r="W44" s="972" t="s">
        <v>260</v>
      </c>
      <c r="X44" s="659"/>
      <c r="Y44" s="659"/>
      <c r="Z44" s="659"/>
      <c r="AA44" s="660"/>
      <c r="AB44" s="133" t="s">
        <v>79</v>
      </c>
      <c r="AC44" s="122" t="s">
        <v>24</v>
      </c>
      <c r="AD44" s="17"/>
      <c r="AF44"/>
      <c r="AG44"/>
    </row>
    <row r="45" spans="1:30" ht="16.5" customHeight="1" thickTop="1">
      <c r="A45" s="5"/>
      <c r="B45" s="50"/>
      <c r="C45" s="7"/>
      <c r="D45" s="10"/>
      <c r="E45" s="10"/>
      <c r="F45" s="1365"/>
      <c r="G45" s="1366"/>
      <c r="H45" s="662"/>
      <c r="I45" s="663"/>
      <c r="J45" s="10"/>
      <c r="K45" s="10"/>
      <c r="L45" s="10"/>
      <c r="M45" s="10"/>
      <c r="N45" s="10"/>
      <c r="O45" s="664"/>
      <c r="P45" s="665"/>
      <c r="Q45" s="666"/>
      <c r="R45" s="134"/>
      <c r="S45" s="667"/>
      <c r="T45" s="668"/>
      <c r="U45" s="669"/>
      <c r="V45" s="670"/>
      <c r="W45" s="973"/>
      <c r="X45" s="672"/>
      <c r="Y45" s="672"/>
      <c r="Z45" s="672"/>
      <c r="AA45" s="673"/>
      <c r="AB45" s="664"/>
      <c r="AC45" s="674"/>
      <c r="AD45" s="17"/>
    </row>
    <row r="46" spans="1:30" ht="15">
      <c r="A46" s="5"/>
      <c r="B46" s="50"/>
      <c r="C46" s="914" t="s">
        <v>223</v>
      </c>
      <c r="D46" s="675"/>
      <c r="E46" s="676"/>
      <c r="F46" s="1367"/>
      <c r="G46" s="1368"/>
      <c r="H46" s="679">
        <f>F46*$F$20</f>
        <v>0</v>
      </c>
      <c r="I46" s="680"/>
      <c r="J46" s="414"/>
      <c r="K46" s="192"/>
      <c r="L46" s="307">
        <f>IF(D46="","",(K46-J46)*24)</f>
      </c>
      <c r="M46" s="14">
        <f>IF(D46="","",(K46-J46)*24*60)</f>
      </c>
      <c r="N46" s="13"/>
      <c r="O46" s="8">
        <f>IF(D46="","",IF(N46="P","--","NO"))</f>
      </c>
      <c r="P46" s="1369">
        <f>IF(D46="","","--")</f>
      </c>
      <c r="Q46" s="1370"/>
      <c r="R46" s="486">
        <f>IF(OR(N46="P",N46="RP"),20/10,20)</f>
        <v>20</v>
      </c>
      <c r="S46" s="685" t="str">
        <f>IF(N46="P",H46*R46*ROUND(M46/60,2),"--")</f>
        <v>--</v>
      </c>
      <c r="T46" s="686" t="str">
        <f>IF(AND(N46="F",O46="NO"),H46*R46,"--")</f>
        <v>--</v>
      </c>
      <c r="U46" s="687" t="str">
        <f>IF(N46="F",H46*R46*ROUND(M46/60,2),"--")</f>
        <v>--</v>
      </c>
      <c r="V46" s="410" t="str">
        <f>IF(N46="RF",H46*R46*ROUND(M46/60,2),"--")</f>
        <v>--</v>
      </c>
      <c r="W46" s="974" t="str">
        <f>IF(N46="RP",H46*R46*P46/100*ROUND(M46/60,2),"--")</f>
        <v>--</v>
      </c>
      <c r="X46" s="689"/>
      <c r="Y46" s="689"/>
      <c r="Z46" s="689"/>
      <c r="AA46" s="690"/>
      <c r="AB46" s="317">
        <f>IF(D46="","","SI")</f>
      </c>
      <c r="AC46" s="318">
        <f>IF(D46="","",SUM(S46:W46)*IF(AB46="SI",1,2)*IF(AND(P46&lt;&gt;"--",N46="RF"),P46/100,1))</f>
      </c>
      <c r="AD46" s="242"/>
    </row>
    <row r="47" spans="1:30" ht="16.5" customHeight="1">
      <c r="A47" s="5"/>
      <c r="B47" s="50"/>
      <c r="C47" s="914" t="s">
        <v>224</v>
      </c>
      <c r="D47" s="675"/>
      <c r="E47" s="676"/>
      <c r="F47" s="1367"/>
      <c r="G47" s="1368"/>
      <c r="H47" s="679">
        <f>F47*$F$20</f>
        <v>0</v>
      </c>
      <c r="I47" s="680"/>
      <c r="J47" s="681"/>
      <c r="K47" s="681"/>
      <c r="L47" s="307">
        <f>IF(D47="","",(K47-J47)*24)</f>
      </c>
      <c r="M47" s="14">
        <f>IF(D47="","",(K47-J47)*24*60)</f>
      </c>
      <c r="N47" s="13"/>
      <c r="O47" s="8">
        <f>IF(D47="","",IF(OR(N47="P",N47="RP"),"--","NO"))</f>
      </c>
      <c r="P47" s="682">
        <f>IF(D47="","","NO")</f>
      </c>
      <c r="Q47" s="683"/>
      <c r="R47" s="486">
        <f>IF(OR(N47="P",N47="RP"),20/10,20)</f>
        <v>20</v>
      </c>
      <c r="S47" s="685" t="str">
        <f>IF(N47="P",H47*R47*ROUND(M47/60,2),"--")</f>
        <v>--</v>
      </c>
      <c r="T47" s="686" t="str">
        <f>IF(AND(N47="F",O47="NO"),H47*R47,"--")</f>
        <v>--</v>
      </c>
      <c r="U47" s="687" t="str">
        <f>IF(N47="F",H47*R47*ROUND(M47/60,2),"--")</f>
        <v>--</v>
      </c>
      <c r="V47" s="410" t="str">
        <f>IF(N47="RF",H47*R47*ROUND(M47/60,2),"--")</f>
        <v>--</v>
      </c>
      <c r="W47" s="974" t="str">
        <f>IF(N47="RP",H47*R47*P47/100*ROUND(M47/60,2),"--")</f>
        <v>--</v>
      </c>
      <c r="X47" s="689"/>
      <c r="Y47" s="689"/>
      <c r="Z47" s="689"/>
      <c r="AA47" s="690"/>
      <c r="AB47" s="317">
        <f>IF(D47="","","SI")</f>
      </c>
      <c r="AC47" s="318">
        <f>IF(D47="","",SUM(S47:V47)*IF(AB47="SI",1,2))</f>
      </c>
      <c r="AD47" s="17"/>
    </row>
    <row r="48" spans="1:30" ht="16.5" customHeight="1">
      <c r="A48" s="5"/>
      <c r="B48" s="50"/>
      <c r="C48" s="914" t="s">
        <v>225</v>
      </c>
      <c r="D48" s="675"/>
      <c r="E48" s="676"/>
      <c r="F48" s="1367"/>
      <c r="G48" s="1368"/>
      <c r="H48" s="679">
        <f>F48*$F$20</f>
        <v>0</v>
      </c>
      <c r="I48" s="680"/>
      <c r="J48" s="681"/>
      <c r="K48" s="681"/>
      <c r="L48" s="307">
        <f>IF(D48="","",(K48-J48)*24)</f>
      </c>
      <c r="M48" s="14">
        <f>IF(D48="","",(K48-J48)*24*60)</f>
      </c>
      <c r="N48" s="13"/>
      <c r="O48" s="8">
        <f>IF(D48="","",IF(OR(N48="P",N48="RP"),"--","NO"))</f>
      </c>
      <c r="P48" s="682">
        <f>IF(D48="","","NO")</f>
      </c>
      <c r="Q48" s="683"/>
      <c r="R48" s="486">
        <f>IF(OR(N48="P",N48="RP"),20/10,20)</f>
        <v>20</v>
      </c>
      <c r="S48" s="685" t="str">
        <f>IF(N48="P",H48*R48*ROUND(M48/60,2),"--")</f>
        <v>--</v>
      </c>
      <c r="T48" s="686" t="str">
        <f>IF(AND(N48="F",O48="NO"),H48*R48,"--")</f>
        <v>--</v>
      </c>
      <c r="U48" s="687" t="str">
        <f>IF(N48="F",H48*R48*ROUND(M48/60,2),"--")</f>
        <v>--</v>
      </c>
      <c r="V48" s="410" t="str">
        <f>IF(N48="RF",H48*R48*ROUND(M48/60,2),"--")</f>
        <v>--</v>
      </c>
      <c r="W48" s="974" t="str">
        <f>IF(N48="RP",H48*R48*P48/100*ROUND(M48/60,2),"--")</f>
        <v>--</v>
      </c>
      <c r="X48" s="689"/>
      <c r="Y48" s="689"/>
      <c r="Z48" s="689"/>
      <c r="AA48" s="690"/>
      <c r="AB48" s="317">
        <f>IF(D48="","","SI")</f>
      </c>
      <c r="AC48" s="318">
        <f>IF(D48="","",SUM(S48:V48)*IF(AB48="SI",1,2))</f>
      </c>
      <c r="AD48" s="17"/>
    </row>
    <row r="49" spans="1:30" ht="16.5" customHeight="1">
      <c r="A49" s="5"/>
      <c r="B49" s="50"/>
      <c r="C49" s="914" t="s">
        <v>226</v>
      </c>
      <c r="D49" s="675"/>
      <c r="E49" s="676"/>
      <c r="F49" s="1367"/>
      <c r="G49" s="1368"/>
      <c r="H49" s="679">
        <f>F49*$F$20</f>
        <v>0</v>
      </c>
      <c r="I49" s="680"/>
      <c r="J49" s="681"/>
      <c r="K49" s="681"/>
      <c r="L49" s="307">
        <f>IF(D49="","",(K49-J49)*24)</f>
      </c>
      <c r="M49" s="14">
        <f>IF(D49="","",(K49-J49)*24*60)</f>
      </c>
      <c r="N49" s="13"/>
      <c r="O49" s="8">
        <f>IF(D49="","",IF(OR(N49="P",N49="RP"),"--","NO"))</f>
      </c>
      <c r="P49" s="682">
        <f>IF(D49="","","NO")</f>
      </c>
      <c r="Q49" s="683"/>
      <c r="R49" s="486">
        <f>IF(OR(N49="P",N49="RP"),20/10,20)</f>
        <v>20</v>
      </c>
      <c r="S49" s="685" t="str">
        <f>IF(N49="P",H49*R49*ROUND(M49/60,2),"--")</f>
        <v>--</v>
      </c>
      <c r="T49" s="686" t="str">
        <f>IF(AND(N49="F",O49="NO"),H49*R49,"--")</f>
        <v>--</v>
      </c>
      <c r="U49" s="687" t="str">
        <f>IF(N49="F",H49*R49*ROUND(M49/60,2),"--")</f>
        <v>--</v>
      </c>
      <c r="V49" s="410" t="str">
        <f>IF(N49="RF",H49*R49*ROUND(M49/60,2),"--")</f>
        <v>--</v>
      </c>
      <c r="W49" s="974" t="str">
        <f>IF(N49="RP",H49*R49*P49/100*ROUND(M49/60,2),"--")</f>
        <v>--</v>
      </c>
      <c r="X49" s="689"/>
      <c r="Y49" s="689"/>
      <c r="Z49" s="689"/>
      <c r="AA49" s="690"/>
      <c r="AB49" s="317">
        <f>IF(D49="","","SI")</f>
      </c>
      <c r="AC49" s="318">
        <f>IF(D49="","",SUM(S49:V49)*IF(AB49="SI",1,2))</f>
      </c>
      <c r="AD49" s="17"/>
    </row>
    <row r="50" spans="1:30" ht="16.5" customHeight="1">
      <c r="A50" s="5"/>
      <c r="B50" s="50"/>
      <c r="C50" s="914" t="s">
        <v>227</v>
      </c>
      <c r="D50" s="675"/>
      <c r="E50" s="676"/>
      <c r="F50" s="1367"/>
      <c r="G50" s="1368"/>
      <c r="H50" s="679">
        <f>F50*$F$20</f>
        <v>0</v>
      </c>
      <c r="I50" s="680"/>
      <c r="J50" s="681"/>
      <c r="K50" s="681"/>
      <c r="L50" s="307">
        <f>IF(D50="","",(K50-J50)*24)</f>
      </c>
      <c r="M50" s="14">
        <f>IF(D50="","",(K50-J50)*24*60)</f>
      </c>
      <c r="N50" s="13"/>
      <c r="O50" s="8">
        <f>IF(D50="","",IF(OR(N50="P",N50="RP"),"--","NO"))</f>
      </c>
      <c r="P50" s="682">
        <f>IF(D50="","","NO")</f>
      </c>
      <c r="Q50" s="683"/>
      <c r="R50" s="486">
        <f>IF(OR(N50="P",N50="RP"),20/10,20)</f>
        <v>20</v>
      </c>
      <c r="S50" s="685" t="str">
        <f>IF(N50="P",H50*R50*ROUND(M50/60,2),"--")</f>
        <v>--</v>
      </c>
      <c r="T50" s="686" t="str">
        <f>IF(AND(N50="F",O50="NO"),H50*R50,"--")</f>
        <v>--</v>
      </c>
      <c r="U50" s="687" t="str">
        <f>IF(N50="F",H50*R50*ROUND(M50/60,2),"--")</f>
        <v>--</v>
      </c>
      <c r="V50" s="410" t="str">
        <f>IF(N50="RF",H50*R50*ROUND(M50/60,2),"--")</f>
        <v>--</v>
      </c>
      <c r="W50" s="974" t="str">
        <f>IF(N50="RP",H50*R50*P50/100*ROUND(M50/60,2),"--")</f>
        <v>--</v>
      </c>
      <c r="X50" s="689"/>
      <c r="Y50" s="689"/>
      <c r="Z50" s="689"/>
      <c r="AA50" s="690"/>
      <c r="AB50" s="317">
        <f>IF(D50="","","SI")</f>
      </c>
      <c r="AC50" s="318">
        <f>IF(D50="","",SUM(S50:V50)*IF(AB50="SI",1,2))</f>
      </c>
      <c r="AD50" s="17"/>
    </row>
    <row r="51" spans="1:30" ht="16.5" customHeight="1" thickBot="1">
      <c r="A51" s="32"/>
      <c r="B51" s="50"/>
      <c r="C51" s="691"/>
      <c r="D51" s="692"/>
      <c r="E51" s="693"/>
      <c r="F51" s="1371"/>
      <c r="G51" s="1372"/>
      <c r="H51" s="696"/>
      <c r="I51" s="697"/>
      <c r="J51" s="698"/>
      <c r="K51" s="699"/>
      <c r="L51" s="700"/>
      <c r="M51" s="701"/>
      <c r="N51" s="702"/>
      <c r="O51" s="9"/>
      <c r="P51" s="703"/>
      <c r="Q51" s="704"/>
      <c r="R51" s="705"/>
      <c r="S51" s="706"/>
      <c r="T51" s="707"/>
      <c r="U51" s="708"/>
      <c r="V51" s="709"/>
      <c r="W51" s="980"/>
      <c r="X51" s="711"/>
      <c r="Y51" s="711"/>
      <c r="Z51" s="711"/>
      <c r="AA51" s="712"/>
      <c r="AB51" s="713"/>
      <c r="AC51" s="714"/>
      <c r="AD51" s="242"/>
    </row>
    <row r="52" spans="1:30" ht="16.5" customHeight="1" thickBot="1" thickTop="1">
      <c r="A52" s="32"/>
      <c r="B52" s="50"/>
      <c r="C52" s="98"/>
      <c r="D52" s="217"/>
      <c r="E52" s="217"/>
      <c r="F52" s="447"/>
      <c r="G52" s="715"/>
      <c r="H52" s="716"/>
      <c r="I52" s="717"/>
      <c r="J52" s="718"/>
      <c r="K52" s="719"/>
      <c r="L52" s="720"/>
      <c r="M52" s="716"/>
      <c r="N52" s="721"/>
      <c r="O52" s="198"/>
      <c r="P52" s="722"/>
      <c r="Q52" s="723"/>
      <c r="R52" s="724"/>
      <c r="S52" s="724"/>
      <c r="T52" s="724"/>
      <c r="U52" s="199"/>
      <c r="V52" s="199"/>
      <c r="W52" s="199"/>
      <c r="X52" s="199"/>
      <c r="Y52" s="199"/>
      <c r="Z52" s="199"/>
      <c r="AA52" s="199"/>
      <c r="AB52" s="199"/>
      <c r="AC52" s="725">
        <f>SUM(AC45:AC51)</f>
        <v>0</v>
      </c>
      <c r="AD52" s="242"/>
    </row>
    <row r="53" spans="1:30" ht="16.5" customHeight="1" thickBot="1" thickTop="1">
      <c r="A53" s="32"/>
      <c r="B53" s="50"/>
      <c r="C53" s="98"/>
      <c r="D53" s="217"/>
      <c r="E53" s="217"/>
      <c r="F53" s="447"/>
      <c r="G53" s="715"/>
      <c r="H53" s="716"/>
      <c r="I53" s="717"/>
      <c r="J53" s="564" t="s">
        <v>42</v>
      </c>
      <c r="K53" s="565">
        <f>+AC42+AC35+AC52</f>
        <v>825.3168000000001</v>
      </c>
      <c r="L53" s="720"/>
      <c r="M53" s="716"/>
      <c r="N53" s="726"/>
      <c r="O53" s="727"/>
      <c r="P53" s="722"/>
      <c r="Q53" s="723"/>
      <c r="R53" s="724"/>
      <c r="S53" s="724"/>
      <c r="T53" s="724"/>
      <c r="U53" s="199"/>
      <c r="V53" s="199"/>
      <c r="W53" s="199"/>
      <c r="X53" s="199"/>
      <c r="Y53" s="199"/>
      <c r="Z53" s="199"/>
      <c r="AA53" s="199"/>
      <c r="AB53" s="199"/>
      <c r="AC53" s="728"/>
      <c r="AD53" s="242"/>
    </row>
    <row r="54" spans="1:30" ht="13.5" customHeight="1" thickTop="1">
      <c r="A54" s="32"/>
      <c r="B54" s="550"/>
      <c r="C54" s="553"/>
      <c r="D54" s="729"/>
      <c r="E54" s="730"/>
      <c r="F54" s="731"/>
      <c r="G54" s="732"/>
      <c r="H54" s="732"/>
      <c r="I54" s="730"/>
      <c r="J54" s="541"/>
      <c r="K54" s="541"/>
      <c r="L54" s="730"/>
      <c r="M54" s="730"/>
      <c r="N54" s="730"/>
      <c r="O54" s="733"/>
      <c r="P54" s="730"/>
      <c r="Q54" s="730"/>
      <c r="R54" s="734"/>
      <c r="S54" s="735"/>
      <c r="T54" s="735"/>
      <c r="U54" s="736"/>
      <c r="AC54" s="736"/>
      <c r="AD54" s="737"/>
    </row>
    <row r="55" spans="1:30" ht="16.5" customHeight="1">
      <c r="A55" s="32"/>
      <c r="B55" s="550"/>
      <c r="C55" s="738" t="s">
        <v>109</v>
      </c>
      <c r="D55" s="739" t="s">
        <v>147</v>
      </c>
      <c r="E55" s="730"/>
      <c r="F55" s="731"/>
      <c r="G55" s="732"/>
      <c r="H55" s="732"/>
      <c r="I55" s="730"/>
      <c r="J55" s="541"/>
      <c r="K55" s="541"/>
      <c r="L55" s="730"/>
      <c r="M55" s="730"/>
      <c r="N55" s="730"/>
      <c r="O55" s="733"/>
      <c r="P55" s="730"/>
      <c r="Q55" s="730"/>
      <c r="R55" s="734"/>
      <c r="S55" s="735"/>
      <c r="T55" s="735"/>
      <c r="U55" s="736"/>
      <c r="AC55" s="736"/>
      <c r="AD55" s="737"/>
    </row>
    <row r="56" spans="1:30" ht="16.5" customHeight="1">
      <c r="A56" s="32"/>
      <c r="B56" s="550"/>
      <c r="C56" s="738"/>
      <c r="D56" s="729"/>
      <c r="E56" s="730"/>
      <c r="F56" s="731"/>
      <c r="G56" s="732"/>
      <c r="H56" s="732"/>
      <c r="I56" s="730"/>
      <c r="J56" s="541"/>
      <c r="K56" s="541"/>
      <c r="L56" s="730"/>
      <c r="M56" s="730"/>
      <c r="N56" s="730"/>
      <c r="O56" s="733"/>
      <c r="P56" s="730"/>
      <c r="Q56" s="730"/>
      <c r="R56" s="730"/>
      <c r="S56" s="734"/>
      <c r="T56" s="735"/>
      <c r="AD56" s="737"/>
    </row>
    <row r="57" spans="2:30" s="32" customFormat="1" ht="16.5" customHeight="1">
      <c r="B57" s="550"/>
      <c r="C57" s="553"/>
      <c r="D57" s="740" t="s">
        <v>0</v>
      </c>
      <c r="E57" s="636" t="s">
        <v>110</v>
      </c>
      <c r="F57" s="636" t="s">
        <v>43</v>
      </c>
      <c r="G57" s="741" t="s">
        <v>148</v>
      </c>
      <c r="H57" s="637"/>
      <c r="I57" s="636"/>
      <c r="J57"/>
      <c r="K57"/>
      <c r="L57" s="742" t="s">
        <v>149</v>
      </c>
      <c r="M57"/>
      <c r="N57"/>
      <c r="O57"/>
      <c r="P57"/>
      <c r="Q57" s="745"/>
      <c r="R57" s="745"/>
      <c r="S57" s="33"/>
      <c r="T57"/>
      <c r="U57"/>
      <c r="V57"/>
      <c r="W57"/>
      <c r="X57" s="33"/>
      <c r="Y57" s="33"/>
      <c r="Z57" s="33"/>
      <c r="AA57" s="33"/>
      <c r="AB57" s="33"/>
      <c r="AC57" s="746" t="s">
        <v>151</v>
      </c>
      <c r="AD57" s="737"/>
    </row>
    <row r="58" spans="2:30" s="32" customFormat="1" ht="16.5" customHeight="1">
      <c r="B58" s="550"/>
      <c r="C58" s="553"/>
      <c r="D58" s="636" t="s">
        <v>121</v>
      </c>
      <c r="E58" s="747">
        <v>506</v>
      </c>
      <c r="F58" s="747">
        <v>500</v>
      </c>
      <c r="G58" s="748">
        <f>E58*$F$19*$L$20/100</f>
        <v>398446.09728</v>
      </c>
      <c r="H58" s="748"/>
      <c r="I58" s="748"/>
      <c r="J58" s="176"/>
      <c r="K58"/>
      <c r="L58" s="749">
        <v>431398</v>
      </c>
      <c r="M58" s="176"/>
      <c r="N58" s="750" t="str">
        <f>"(DTE "&amp;DATO!$G$14&amp;DATO!$H$14&amp;")"</f>
        <v>(DTE 0209)</v>
      </c>
      <c r="O58"/>
      <c r="P58"/>
      <c r="Q58" s="745"/>
      <c r="R58" s="745"/>
      <c r="S58" s="33"/>
      <c r="T58"/>
      <c r="U58"/>
      <c r="V58"/>
      <c r="W58"/>
      <c r="X58" s="33"/>
      <c r="Y58" s="33"/>
      <c r="Z58" s="33"/>
      <c r="AA58" s="33"/>
      <c r="AB58" s="751"/>
      <c r="AC58" s="562">
        <f>L58+G58</f>
        <v>829844.09728</v>
      </c>
      <c r="AD58" s="737"/>
    </row>
    <row r="59" spans="2:30" s="32" customFormat="1" ht="16.5" customHeight="1">
      <c r="B59" s="550"/>
      <c r="C59" s="553"/>
      <c r="D59" s="752" t="s">
        <v>122</v>
      </c>
      <c r="E59" s="747">
        <v>85</v>
      </c>
      <c r="F59" s="747">
        <v>500</v>
      </c>
      <c r="G59" s="748">
        <f>E59*$F$19*$L$20/100</f>
        <v>66932.64480000001</v>
      </c>
      <c r="H59" s="752"/>
      <c r="I59" s="753"/>
      <c r="J59" s="176"/>
      <c r="K59"/>
      <c r="L59" s="748">
        <v>0</v>
      </c>
      <c r="M59" s="176"/>
      <c r="N59" s="750" t="str">
        <f>"(DTE "&amp;DATO!$G$14&amp;DATO!$H$14&amp;")"</f>
        <v>(DTE 0209)</v>
      </c>
      <c r="O59" s="754"/>
      <c r="P59"/>
      <c r="Q59" s="745"/>
      <c r="R59" s="745"/>
      <c r="S59" s="33"/>
      <c r="T59"/>
      <c r="U59"/>
      <c r="V59"/>
      <c r="W59"/>
      <c r="X59" s="33"/>
      <c r="Y59" s="33"/>
      <c r="Z59" s="33"/>
      <c r="AA59" s="33"/>
      <c r="AB59" s="33"/>
      <c r="AC59" s="562">
        <f>L59+G59</f>
        <v>66932.64480000001</v>
      </c>
      <c r="AD59" s="737"/>
    </row>
    <row r="60" spans="2:30" s="32" customFormat="1" ht="16.5" customHeight="1">
      <c r="B60" s="550"/>
      <c r="C60" s="553"/>
      <c r="E60" s="558"/>
      <c r="F60" s="636"/>
      <c r="G60" s="637"/>
      <c r="H60"/>
      <c r="I60" s="636"/>
      <c r="J60" s="636"/>
      <c r="K60"/>
      <c r="L60" s="562"/>
      <c r="M60" s="744"/>
      <c r="N60" s="744"/>
      <c r="O60" s="745"/>
      <c r="P60" s="745"/>
      <c r="Q60" s="745"/>
      <c r="R60" s="745"/>
      <c r="S60" s="33"/>
      <c r="T60"/>
      <c r="U60"/>
      <c r="V60"/>
      <c r="W60"/>
      <c r="X60" s="33"/>
      <c r="Y60" s="33"/>
      <c r="Z60" s="33"/>
      <c r="AA60" s="33"/>
      <c r="AB60" s="33"/>
      <c r="AC60" s="562"/>
      <c r="AD60" s="737"/>
    </row>
    <row r="61" spans="1:30" ht="16.5" customHeight="1">
      <c r="A61" s="32"/>
      <c r="B61" s="550"/>
      <c r="C61" s="553"/>
      <c r="D61" s="740" t="s">
        <v>123</v>
      </c>
      <c r="E61" s="636" t="s">
        <v>124</v>
      </c>
      <c r="F61" s="636" t="s">
        <v>43</v>
      </c>
      <c r="G61" s="741" t="s">
        <v>152</v>
      </c>
      <c r="I61" s="743"/>
      <c r="J61" s="636"/>
      <c r="L61" s="742" t="s">
        <v>150</v>
      </c>
      <c r="M61" s="743"/>
      <c r="N61" s="744"/>
      <c r="O61" s="745"/>
      <c r="P61" s="745"/>
      <c r="Q61" s="745"/>
      <c r="R61" s="745"/>
      <c r="S61" s="745"/>
      <c r="AC61" s="562">
        <f>+L62</f>
        <v>0</v>
      </c>
      <c r="AD61" s="737"/>
    </row>
    <row r="62" spans="1:30" ht="16.5" customHeight="1">
      <c r="A62" s="32"/>
      <c r="B62" s="550"/>
      <c r="C62" s="553"/>
      <c r="D62" s="636" t="s">
        <v>125</v>
      </c>
      <c r="E62" s="747">
        <v>300</v>
      </c>
      <c r="F62" s="747" t="s">
        <v>126</v>
      </c>
      <c r="G62" s="748">
        <f>E62*F20*L20</f>
        <v>64310.4</v>
      </c>
      <c r="H62" s="176"/>
      <c r="I62" s="176"/>
      <c r="J62" s="749"/>
      <c r="L62" s="749">
        <v>0</v>
      </c>
      <c r="M62" s="176"/>
      <c r="N62" s="750" t="str">
        <f>"(DTE "&amp;DATO!$G$14&amp;DATO!$H$14&amp;")"</f>
        <v>(DTE 0209)</v>
      </c>
      <c r="O62" s="781"/>
      <c r="P62" s="781"/>
      <c r="Q62" s="781"/>
      <c r="R62" s="781"/>
      <c r="S62" s="781"/>
      <c r="AC62" s="782">
        <f>G62</f>
        <v>64310.4</v>
      </c>
      <c r="AD62" s="737"/>
    </row>
    <row r="63" spans="1:30" ht="16.5" customHeight="1">
      <c r="A63" s="32"/>
      <c r="B63" s="550"/>
      <c r="C63" s="553"/>
      <c r="D63" s="636" t="s">
        <v>127</v>
      </c>
      <c r="E63" s="747">
        <v>150</v>
      </c>
      <c r="F63" s="747" t="s">
        <v>128</v>
      </c>
      <c r="G63" s="748">
        <f>E63*F20*L20</f>
        <v>32155.2</v>
      </c>
      <c r="H63" s="176"/>
      <c r="I63" s="176"/>
      <c r="J63" s="749"/>
      <c r="L63" s="749">
        <v>0</v>
      </c>
      <c r="M63" s="176"/>
      <c r="N63" s="750" t="str">
        <f>"(DTE "&amp;DATO!$G$14&amp;DATO!$H$14&amp;")"</f>
        <v>(DTE 0209)</v>
      </c>
      <c r="O63" s="781"/>
      <c r="P63" s="781"/>
      <c r="Q63" s="781"/>
      <c r="R63" s="781"/>
      <c r="S63" s="781"/>
      <c r="AC63" s="782">
        <f>G63</f>
        <v>32155.2</v>
      </c>
      <c r="AD63" s="737"/>
    </row>
    <row r="64" spans="1:30" ht="16.5" customHeight="1">
      <c r="A64" s="32"/>
      <c r="B64" s="550"/>
      <c r="C64" s="553"/>
      <c r="D64" s="636"/>
      <c r="E64" s="747"/>
      <c r="F64" s="747"/>
      <c r="G64" s="748"/>
      <c r="H64" s="176"/>
      <c r="I64" s="176"/>
      <c r="J64" s="749"/>
      <c r="L64" s="749"/>
      <c r="M64" s="176"/>
      <c r="N64" s="750"/>
      <c r="O64" s="781"/>
      <c r="P64" s="781"/>
      <c r="Q64" s="781"/>
      <c r="R64" s="781"/>
      <c r="S64" s="781"/>
      <c r="AC64" s="782"/>
      <c r="AD64" s="737"/>
    </row>
    <row r="65" spans="1:30" ht="16.5" customHeight="1">
      <c r="A65" s="32"/>
      <c r="B65" s="550"/>
      <c r="C65" s="553"/>
      <c r="D65" s="740" t="s">
        <v>61</v>
      </c>
      <c r="E65" s="753" t="s">
        <v>1</v>
      </c>
      <c r="F65" s="753"/>
      <c r="G65" s="636" t="s">
        <v>43</v>
      </c>
      <c r="I65" s="743"/>
      <c r="J65" s="741" t="s">
        <v>153</v>
      </c>
      <c r="L65" s="742"/>
      <c r="M65" s="743"/>
      <c r="N65" s="744"/>
      <c r="O65" s="745"/>
      <c r="P65" s="745"/>
      <c r="Q65" s="745"/>
      <c r="R65" s="745"/>
      <c r="S65" s="745"/>
      <c r="AC65" s="562"/>
      <c r="AD65" s="737"/>
    </row>
    <row r="66" spans="1:30" ht="16.5" customHeight="1">
      <c r="A66" s="32"/>
      <c r="B66" s="550"/>
      <c r="C66" s="553"/>
      <c r="D66" s="636" t="s">
        <v>129</v>
      </c>
      <c r="E66" s="783" t="s">
        <v>130</v>
      </c>
      <c r="F66" s="784"/>
      <c r="G66" s="747">
        <v>132</v>
      </c>
      <c r="H66" s="176"/>
      <c r="I66" s="176"/>
      <c r="J66" s="748">
        <f>0*F21*L20</f>
        <v>0</v>
      </c>
      <c r="L66" s="749"/>
      <c r="M66" s="176"/>
      <c r="N66" s="750"/>
      <c r="O66" s="781"/>
      <c r="P66" s="781"/>
      <c r="Q66" s="781"/>
      <c r="R66" s="781"/>
      <c r="S66" s="781"/>
      <c r="AC66" s="782">
        <f>J66</f>
        <v>0</v>
      </c>
      <c r="AD66" s="737"/>
    </row>
    <row r="67" spans="1:30" ht="16.5" customHeight="1">
      <c r="A67" s="32"/>
      <c r="B67" s="550"/>
      <c r="C67" s="553"/>
      <c r="D67" s="636" t="s">
        <v>131</v>
      </c>
      <c r="E67" s="783" t="s">
        <v>132</v>
      </c>
      <c r="F67" s="784"/>
      <c r="G67" s="747">
        <v>500</v>
      </c>
      <c r="H67" s="176"/>
      <c r="I67" s="176"/>
      <c r="J67" s="748">
        <f>F22*L20</f>
        <v>42943.488000000005</v>
      </c>
      <c r="L67" s="749"/>
      <c r="M67" s="176"/>
      <c r="N67" s="750"/>
      <c r="O67" s="781"/>
      <c r="P67" s="781"/>
      <c r="Q67" s="781"/>
      <c r="R67" s="781"/>
      <c r="S67" s="781"/>
      <c r="AC67" s="785">
        <f>J67</f>
        <v>42943.488000000005</v>
      </c>
      <c r="AD67" s="737"/>
    </row>
    <row r="68" spans="1:30" ht="16.5" customHeight="1">
      <c r="A68" s="32"/>
      <c r="B68" s="550"/>
      <c r="C68" s="553"/>
      <c r="D68" s="541"/>
      <c r="E68" s="558"/>
      <c r="F68" s="636"/>
      <c r="G68" s="636"/>
      <c r="H68" s="637"/>
      <c r="J68" s="636"/>
      <c r="L68" s="755"/>
      <c r="M68" s="744"/>
      <c r="N68" s="744"/>
      <c r="O68" s="745"/>
      <c r="P68" s="745"/>
      <c r="Q68" s="745"/>
      <c r="R68" s="745"/>
      <c r="S68" s="745"/>
      <c r="AC68" s="552">
        <f>SUM(AC58:AC66)</f>
        <v>993242.34208</v>
      </c>
      <c r="AD68" s="737"/>
    </row>
    <row r="69" spans="2:30" ht="16.5" customHeight="1">
      <c r="B69" s="550"/>
      <c r="C69" s="738" t="s">
        <v>111</v>
      </c>
      <c r="D69" s="756" t="s">
        <v>112</v>
      </c>
      <c r="E69" s="636"/>
      <c r="F69" s="757"/>
      <c r="G69" s="635"/>
      <c r="H69" s="541"/>
      <c r="I69" s="541"/>
      <c r="J69" s="541"/>
      <c r="K69" s="636"/>
      <c r="L69" s="636"/>
      <c r="M69" s="541"/>
      <c r="N69" s="636"/>
      <c r="O69" s="541"/>
      <c r="P69" s="541"/>
      <c r="Q69" s="541"/>
      <c r="R69" s="541"/>
      <c r="S69" s="541"/>
      <c r="T69" s="541"/>
      <c r="U69" s="541"/>
      <c r="AC69" s="541"/>
      <c r="AD69" s="737"/>
    </row>
    <row r="70" spans="2:30" s="32" customFormat="1" ht="16.5" customHeight="1">
      <c r="B70" s="550"/>
      <c r="C70" s="553"/>
      <c r="D70" s="740" t="s">
        <v>113</v>
      </c>
      <c r="E70" s="758">
        <f>10*K53*K26/AC68</f>
        <v>330.12672000000003</v>
      </c>
      <c r="G70" s="635"/>
      <c r="L70" s="636"/>
      <c r="N70" s="636"/>
      <c r="O70" s="637"/>
      <c r="V70"/>
      <c r="W70"/>
      <c r="AD70" s="737"/>
    </row>
    <row r="71" spans="2:30" s="32" customFormat="1" ht="16.5" customHeight="1">
      <c r="B71" s="550"/>
      <c r="C71" s="553"/>
      <c r="E71" s="759"/>
      <c r="F71" s="563"/>
      <c r="G71" s="635"/>
      <c r="J71" s="635"/>
      <c r="K71" s="650"/>
      <c r="L71" s="636"/>
      <c r="M71" s="636"/>
      <c r="N71" s="636"/>
      <c r="O71" s="637"/>
      <c r="P71" s="636"/>
      <c r="Q71" s="636"/>
      <c r="R71" s="649"/>
      <c r="S71" s="649"/>
      <c r="T71" s="649"/>
      <c r="U71" s="760"/>
      <c r="V71"/>
      <c r="W71"/>
      <c r="AC71" s="760"/>
      <c r="AD71" s="737"/>
    </row>
    <row r="72" spans="2:30" ht="16.5" customHeight="1">
      <c r="B72" s="550"/>
      <c r="C72" s="553"/>
      <c r="D72" s="761" t="s">
        <v>133</v>
      </c>
      <c r="E72" s="762"/>
      <c r="F72" s="563"/>
      <c r="G72" s="635"/>
      <c r="H72" s="541"/>
      <c r="I72" s="541"/>
      <c r="N72" s="636"/>
      <c r="O72" s="637"/>
      <c r="P72" s="636"/>
      <c r="Q72" s="636"/>
      <c r="R72" s="743"/>
      <c r="S72" s="743"/>
      <c r="T72" s="743"/>
      <c r="U72" s="744"/>
      <c r="AC72" s="744"/>
      <c r="AD72" s="737"/>
    </row>
    <row r="73" spans="2:30" ht="16.5" customHeight="1" thickBot="1">
      <c r="B73" s="550"/>
      <c r="C73" s="553"/>
      <c r="D73" s="761"/>
      <c r="E73" s="762"/>
      <c r="F73" s="563"/>
      <c r="G73" s="635"/>
      <c r="H73" s="541"/>
      <c r="I73" s="541"/>
      <c r="N73" s="636"/>
      <c r="O73" s="637"/>
      <c r="P73" s="636"/>
      <c r="Q73" s="636"/>
      <c r="R73" s="743"/>
      <c r="S73" s="743"/>
      <c r="T73" s="743"/>
      <c r="U73" s="744"/>
      <c r="AC73" s="744"/>
      <c r="AD73" s="737"/>
    </row>
    <row r="74" spans="2:30" s="763" customFormat="1" ht="21" thickBot="1" thickTop="1">
      <c r="B74" s="764"/>
      <c r="C74" s="765"/>
      <c r="D74" s="766"/>
      <c r="E74" s="767"/>
      <c r="F74" s="768"/>
      <c r="G74" s="769"/>
      <c r="I74"/>
      <c r="J74" s="770" t="s">
        <v>114</v>
      </c>
      <c r="K74" s="771">
        <f>IF(E70&gt;3*K26,K26*3,E70)</f>
        <v>330.12672000000003</v>
      </c>
      <c r="M74" s="772"/>
      <c r="N74" s="772"/>
      <c r="O74" s="773"/>
      <c r="P74" s="772"/>
      <c r="Q74" s="772"/>
      <c r="R74" s="774"/>
      <c r="S74" s="774"/>
      <c r="T74" s="774"/>
      <c r="U74" s="775"/>
      <c r="V74"/>
      <c r="W74"/>
      <c r="AC74" s="775"/>
      <c r="AD74" s="776"/>
    </row>
    <row r="75" spans="2:30" ht="16.5" customHeight="1" thickBot="1" thickTop="1">
      <c r="B75" s="5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200"/>
      <c r="W75" s="200"/>
      <c r="X75" s="200"/>
      <c r="Y75" s="200"/>
      <c r="Z75" s="200"/>
      <c r="AA75" s="200"/>
      <c r="AB75" s="200"/>
      <c r="AC75" s="59"/>
      <c r="AD75" s="777"/>
    </row>
    <row r="76" spans="2:23" ht="16.5" customHeight="1" thickTop="1">
      <c r="B76" s="1"/>
      <c r="C76" s="73"/>
      <c r="W76" s="1"/>
    </row>
  </sheetData>
  <sheetProtection password="CC12"/>
  <mergeCells count="9">
    <mergeCell ref="P46:Q46"/>
    <mergeCell ref="F51:G51"/>
    <mergeCell ref="F48:G48"/>
    <mergeCell ref="F49:G49"/>
    <mergeCell ref="F50:G50"/>
    <mergeCell ref="F44:G44"/>
    <mergeCell ref="F45:G45"/>
    <mergeCell ref="F47:G47"/>
    <mergeCell ref="F46:G46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7" r:id="rId4"/>
  <headerFooter alignWithMargins="0">
    <oddFooter>&amp;L&amp;"Times New Roman,Normal"&amp;8&amp;F-&amp;A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6"/>
  <sheetViews>
    <sheetView zoomScale="50" zoomScaleNormal="50" workbookViewId="0" topLeftCell="A37">
      <selection activeCell="L29" sqref="L29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10.00390625" style="0" hidden="1" customWidth="1"/>
    <col min="9" max="9" width="18.7109375" style="0" customWidth="1"/>
    <col min="10" max="10" width="20.71093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8" width="9.140625" style="0" hidden="1" customWidth="1"/>
    <col min="19" max="19" width="9.4218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6"/>
      <c r="AD1" s="78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47" customFormat="1" ht="30.75">
      <c r="A3" s="544"/>
      <c r="B3" s="545" t="str">
        <f>+'TOT-0209'!B2</f>
        <v>ANEXO III al Memorandum  D.T.E.E. N°  770        /2010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AB3" s="546"/>
      <c r="AC3" s="546"/>
      <c r="AD3" s="546"/>
    </row>
    <row r="4" spans="1:2" s="25" customFormat="1" ht="11.25">
      <c r="A4" s="778" t="s">
        <v>2</v>
      </c>
      <c r="B4" s="779"/>
    </row>
    <row r="5" spans="1:2" s="25" customFormat="1" ht="12" thickBot="1">
      <c r="A5" s="778" t="s">
        <v>3</v>
      </c>
      <c r="B5" s="778"/>
    </row>
    <row r="6" spans="1:23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8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8" t="s">
        <v>98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 s="203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8" t="s">
        <v>262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 s="203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'TOT-0209'!B14</f>
        <v>Desde el 01 al 28 de febrero de 2009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54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6" t="s">
        <v>99</v>
      </c>
      <c r="D17" s="54" t="s">
        <v>100</v>
      </c>
      <c r="E17" s="66"/>
      <c r="F17" s="66"/>
      <c r="G17" s="4"/>
      <c r="H17" s="4"/>
      <c r="I17" s="4"/>
      <c r="J17" s="54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550"/>
      <c r="C18" s="33"/>
      <c r="D18" s="551"/>
      <c r="E18" s="559" t="s">
        <v>266</v>
      </c>
      <c r="F18" s="748">
        <v>450902</v>
      </c>
      <c r="G18" s="750" t="str">
        <f>"(DTE "&amp;DATO!$G$14&amp;DATO!$H$14&amp;")"</f>
        <v>(DTE 0209)</v>
      </c>
      <c r="H18" s="33"/>
      <c r="I18" s="33"/>
      <c r="J18" s="554"/>
      <c r="K18" s="33"/>
      <c r="L18" s="33"/>
      <c r="M18" s="33"/>
      <c r="N18" s="787" t="s">
        <v>37</v>
      </c>
      <c r="P18" s="33"/>
      <c r="Q18" s="33"/>
      <c r="R18" s="33"/>
      <c r="S18" s="33"/>
      <c r="T18" s="33"/>
      <c r="U18" s="33"/>
      <c r="V18" s="33"/>
      <c r="W18" s="555"/>
    </row>
    <row r="19" spans="2:23" s="32" customFormat="1" ht="16.5" customHeight="1">
      <c r="B19" s="550"/>
      <c r="C19" s="33"/>
      <c r="D19" s="975"/>
      <c r="E19" s="559" t="s">
        <v>40</v>
      </c>
      <c r="F19" s="560">
        <v>0.025</v>
      </c>
      <c r="G19" s="557"/>
      <c r="H19" s="33"/>
      <c r="I19" s="214"/>
      <c r="J19" s="215"/>
      <c r="K19" s="788" t="s">
        <v>134</v>
      </c>
      <c r="L19" s="789"/>
      <c r="M19" s="790">
        <v>63.904</v>
      </c>
      <c r="N19" s="791">
        <v>200</v>
      </c>
      <c r="R19" s="33"/>
      <c r="S19" s="33"/>
      <c r="T19" s="33"/>
      <c r="U19" s="33"/>
      <c r="V19" s="33"/>
      <c r="W19" s="555"/>
    </row>
    <row r="20" spans="2:23" s="32" customFormat="1" ht="16.5" customHeight="1">
      <c r="B20" s="550"/>
      <c r="C20" s="33"/>
      <c r="D20" s="975"/>
      <c r="E20" s="551" t="s">
        <v>38</v>
      </c>
      <c r="F20" s="33">
        <f>MID(B13,16,2)*24</f>
        <v>672</v>
      </c>
      <c r="G20" s="33" t="s">
        <v>39</v>
      </c>
      <c r="H20" s="33"/>
      <c r="I20" s="33"/>
      <c r="J20" s="33"/>
      <c r="K20" s="792" t="s">
        <v>87</v>
      </c>
      <c r="L20" s="793"/>
      <c r="M20" s="794">
        <v>57.511</v>
      </c>
      <c r="N20" s="795">
        <v>100</v>
      </c>
      <c r="O20" s="33"/>
      <c r="P20" s="780"/>
      <c r="Q20" s="33"/>
      <c r="R20" s="33"/>
      <c r="S20" s="33"/>
      <c r="T20" s="33"/>
      <c r="U20" s="33"/>
      <c r="V20" s="33"/>
      <c r="W20" s="555"/>
    </row>
    <row r="21" spans="2:23" s="32" customFormat="1" ht="16.5" customHeight="1" thickBot="1">
      <c r="B21" s="550"/>
      <c r="C21" s="33"/>
      <c r="D21" s="975"/>
      <c r="E21" s="551" t="s">
        <v>41</v>
      </c>
      <c r="F21" s="33">
        <v>0.319</v>
      </c>
      <c r="G21" s="32" t="s">
        <v>117</v>
      </c>
      <c r="H21" s="33"/>
      <c r="I21" s="33"/>
      <c r="J21" s="33"/>
      <c r="K21" s="796" t="s">
        <v>135</v>
      </c>
      <c r="L21" s="797"/>
      <c r="M21" s="798">
        <v>51.126</v>
      </c>
      <c r="N21" s="799">
        <v>40</v>
      </c>
      <c r="O21" s="33"/>
      <c r="P21" s="780"/>
      <c r="Q21" s="33"/>
      <c r="R21" s="33"/>
      <c r="S21" s="33"/>
      <c r="T21" s="33"/>
      <c r="U21" s="33"/>
      <c r="V21" s="33"/>
      <c r="W21" s="555"/>
    </row>
    <row r="22" spans="2:23" s="32" customFormat="1" ht="16.5" customHeight="1">
      <c r="B22" s="550"/>
      <c r="C22" s="33"/>
      <c r="D22" s="33"/>
      <c r="E22" s="56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55"/>
    </row>
    <row r="23" spans="1:23" ht="16.5" customHeight="1">
      <c r="A23" s="5"/>
      <c r="B23" s="50"/>
      <c r="C23" s="166" t="s">
        <v>103</v>
      </c>
      <c r="D23" s="3" t="s">
        <v>145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550"/>
      <c r="C25" s="553"/>
      <c r="D25"/>
      <c r="E25"/>
      <c r="F25"/>
      <c r="G25"/>
      <c r="H25"/>
      <c r="I25" s="564" t="s">
        <v>45</v>
      </c>
      <c r="J25" s="800">
        <f>+F18*F19</f>
        <v>11272.550000000001</v>
      </c>
      <c r="L25"/>
      <c r="S25"/>
      <c r="T25"/>
      <c r="U25"/>
      <c r="W25" s="555"/>
    </row>
    <row r="26" spans="2:23" s="32" customFormat="1" ht="11.25" customHeight="1" thickTop="1">
      <c r="B26" s="550"/>
      <c r="C26" s="553"/>
      <c r="D26" s="33"/>
      <c r="E26" s="56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555"/>
    </row>
    <row r="27" spans="1:23" ht="16.5" customHeight="1">
      <c r="A27" s="5"/>
      <c r="B27" s="50"/>
      <c r="C27" s="166" t="s">
        <v>104</v>
      </c>
      <c r="D27" s="3" t="s">
        <v>146</v>
      </c>
      <c r="E27" s="21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553"/>
      <c r="D28" s="553"/>
      <c r="E28" s="634"/>
      <c r="F28" s="563"/>
      <c r="G28" s="635"/>
      <c r="H28" s="635"/>
      <c r="I28" s="636"/>
      <c r="J28" s="636"/>
      <c r="K28" s="636"/>
      <c r="L28" s="636"/>
      <c r="M28" s="636"/>
      <c r="N28" s="636"/>
      <c r="O28" s="637"/>
      <c r="P28" s="636"/>
      <c r="Q28" s="636"/>
      <c r="R28" s="801"/>
      <c r="S28" s="802"/>
      <c r="T28" s="803"/>
      <c r="U28" s="803"/>
      <c r="V28" s="803"/>
      <c r="W28" s="242"/>
    </row>
    <row r="29" spans="1:26" s="5" customFormat="1" ht="33.75" customHeight="1" thickBot="1" thickTop="1">
      <c r="A29" s="90"/>
      <c r="B29" s="95"/>
      <c r="C29" s="124" t="s">
        <v>13</v>
      </c>
      <c r="D29" s="120" t="s">
        <v>27</v>
      </c>
      <c r="E29" s="119" t="s">
        <v>28</v>
      </c>
      <c r="F29" s="121" t="s">
        <v>29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30</v>
      </c>
      <c r="L29" s="120" t="s">
        <v>31</v>
      </c>
      <c r="M29" s="88" t="s">
        <v>107</v>
      </c>
      <c r="N29" s="119" t="s">
        <v>32</v>
      </c>
      <c r="O29" s="652" t="s">
        <v>33</v>
      </c>
      <c r="P29" s="130" t="s">
        <v>34</v>
      </c>
      <c r="Q29" s="654" t="s">
        <v>20</v>
      </c>
      <c r="R29" s="655" t="s">
        <v>108</v>
      </c>
      <c r="S29" s="656"/>
      <c r="T29" s="657" t="s">
        <v>22</v>
      </c>
      <c r="U29" s="133" t="s">
        <v>79</v>
      </c>
      <c r="V29" s="122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661"/>
      <c r="H30" s="662"/>
      <c r="I30" s="10"/>
      <c r="J30" s="10"/>
      <c r="K30" s="10"/>
      <c r="L30" s="10"/>
      <c r="M30" s="10"/>
      <c r="N30" s="664"/>
      <c r="O30" s="804"/>
      <c r="P30" s="134"/>
      <c r="Q30" s="667"/>
      <c r="R30" s="668"/>
      <c r="S30" s="669"/>
      <c r="T30" s="670"/>
      <c r="U30" s="664"/>
      <c r="V30" s="674"/>
      <c r="W30" s="17"/>
    </row>
    <row r="31" spans="1:23" ht="16.5" customHeight="1">
      <c r="A31" s="5"/>
      <c r="B31" s="50"/>
      <c r="C31" s="914" t="s">
        <v>223</v>
      </c>
      <c r="D31" s="675" t="s">
        <v>332</v>
      </c>
      <c r="E31" s="676" t="s">
        <v>333</v>
      </c>
      <c r="F31" s="677">
        <v>300</v>
      </c>
      <c r="G31" s="990" t="s">
        <v>286</v>
      </c>
      <c r="H31" s="679">
        <f>F31*$F$21</f>
        <v>95.7</v>
      </c>
      <c r="I31" s="681">
        <v>39858.10486111111</v>
      </c>
      <c r="J31" s="681">
        <v>39858.16180555556</v>
      </c>
      <c r="K31" s="307">
        <f>IF(D31="","",(J31-I31)*24)</f>
        <v>1.3666666667559184</v>
      </c>
      <c r="L31" s="14">
        <f>IF(D31="","",(J31-I31)*24*60)</f>
        <v>82.0000000053551</v>
      </c>
      <c r="M31" s="13" t="s">
        <v>273</v>
      </c>
      <c r="N31" s="8" t="str">
        <f>IF(D31="","",IF(OR(M31="P",M31="RP"),"--","NO"))</f>
        <v>NO</v>
      </c>
      <c r="O31" s="805" t="str">
        <f>IF(D31="","","NO")</f>
        <v>NO</v>
      </c>
      <c r="P31" s="684">
        <f>200*IF(O31="SI",1,0.1)*IF(M31="P",0.1,1)</f>
        <v>20</v>
      </c>
      <c r="Q31" s="685" t="str">
        <f>IF(M31="P",H31*P31*ROUND(L31/60,2),"--")</f>
        <v>--</v>
      </c>
      <c r="R31" s="686">
        <f>IF(AND(M31="F",N31="NO"),H31*P31,"--")</f>
        <v>1914</v>
      </c>
      <c r="S31" s="687">
        <f>IF(M31="F",H31*P31*ROUND(L31/60,2),"--")</f>
        <v>2622.1800000000003</v>
      </c>
      <c r="T31" s="410" t="str">
        <f>IF(M31="RF",H31*P31*ROUND(L31/60,2),"--")</f>
        <v>--</v>
      </c>
      <c r="U31" s="317" t="str">
        <f>IF(D31="","","SI")</f>
        <v>SI</v>
      </c>
      <c r="V31" s="318">
        <f>IF(D31="","",SUM(Q31:T31)*IF(U31="SI",1,2))</f>
        <v>4536.18</v>
      </c>
      <c r="W31" s="242"/>
    </row>
    <row r="32" spans="1:23" ht="16.5" customHeight="1">
      <c r="A32" s="5"/>
      <c r="B32" s="50"/>
      <c r="C32" s="914" t="s">
        <v>224</v>
      </c>
      <c r="D32" s="675" t="s">
        <v>332</v>
      </c>
      <c r="E32" s="676" t="s">
        <v>333</v>
      </c>
      <c r="F32" s="677">
        <v>300</v>
      </c>
      <c r="G32" s="990" t="s">
        <v>286</v>
      </c>
      <c r="H32" s="679">
        <f>F32*$F$21</f>
        <v>95.7</v>
      </c>
      <c r="I32" s="681">
        <v>39867.48402777778</v>
      </c>
      <c r="J32" s="681">
        <v>39867.654861111114</v>
      </c>
      <c r="K32" s="307">
        <f>IF(D32="","",(J32-I32)*24)</f>
        <v>4.100000000093132</v>
      </c>
      <c r="L32" s="14">
        <f>IF(D32="","",(J32-I32)*24*60)</f>
        <v>246.00000000558794</v>
      </c>
      <c r="M32" s="13" t="s">
        <v>241</v>
      </c>
      <c r="N32" s="8" t="str">
        <f>IF(D32="","",IF(OR(M32="P",M32="RP"),"--","NO"))</f>
        <v>--</v>
      </c>
      <c r="O32" s="805" t="str">
        <f>IF(D32="","","NO")</f>
        <v>NO</v>
      </c>
      <c r="P32" s="684">
        <f>200*IF(O32="SI",1,0.1)*IF(M32="P",0.1,1)</f>
        <v>2</v>
      </c>
      <c r="Q32" s="685">
        <f>IF(M32="P",H32*P32*ROUND(L32/60,2),"--")</f>
        <v>784.74</v>
      </c>
      <c r="R32" s="686" t="str">
        <f>IF(AND(M32="F",N32="NO"),H32*P32,"--")</f>
        <v>--</v>
      </c>
      <c r="S32" s="687" t="str">
        <f>IF(M32="F",H32*P32*ROUND(L32/60,2),"--")</f>
        <v>--</v>
      </c>
      <c r="T32" s="410" t="str">
        <f>IF(M32="RF",H32*P32*ROUND(L32/60,2),"--")</f>
        <v>--</v>
      </c>
      <c r="U32" s="317" t="str">
        <f>IF(D32="","","SI")</f>
        <v>SI</v>
      </c>
      <c r="V32" s="318">
        <f>IF(D32="","",SUM(Q32:T32)*IF(U32="SI",1,2))</f>
        <v>784.74</v>
      </c>
      <c r="W32" s="242"/>
    </row>
    <row r="33" spans="1:23" ht="16.5" customHeight="1">
      <c r="A33" s="5"/>
      <c r="B33" s="50"/>
      <c r="C33" s="986" t="s">
        <v>225</v>
      </c>
      <c r="D33" s="987" t="s">
        <v>332</v>
      </c>
      <c r="E33" s="988" t="s">
        <v>333</v>
      </c>
      <c r="F33" s="989">
        <v>300</v>
      </c>
      <c r="G33" s="991" t="s">
        <v>286</v>
      </c>
      <c r="H33" s="679">
        <f>F33*$F$21</f>
        <v>95.7</v>
      </c>
      <c r="I33" s="992">
        <v>39868.50555555556</v>
      </c>
      <c r="J33" s="992">
        <v>39868.73333333333</v>
      </c>
      <c r="K33" s="307">
        <f>IF(D33="","",(J33-I33)*24)</f>
        <v>5.466666666499805</v>
      </c>
      <c r="L33" s="14">
        <f>IF(D33="","",(J33-I33)*24*60)</f>
        <v>327.9999999899883</v>
      </c>
      <c r="M33" s="13" t="s">
        <v>241</v>
      </c>
      <c r="N33" s="8" t="str">
        <f>IF(D33="","",IF(OR(M33="P",M33="RP"),"--","NO"))</f>
        <v>--</v>
      </c>
      <c r="O33" s="805" t="str">
        <f>IF(D33="","","NO")</f>
        <v>NO</v>
      </c>
      <c r="P33" s="684">
        <f>200*IF(O33="SI",1,0.1)*IF(M33="P",0.1,1)</f>
        <v>2</v>
      </c>
      <c r="Q33" s="685">
        <f>IF(M33="P",H33*P33*ROUND(L33/60,2),"--")</f>
        <v>1046.958</v>
      </c>
      <c r="R33" s="686" t="str">
        <f>IF(AND(M33="F",N33="NO"),H33*P33,"--")</f>
        <v>--</v>
      </c>
      <c r="S33" s="687" t="str">
        <f>IF(M33="F",H33*P33*ROUND(L33/60,2),"--")</f>
        <v>--</v>
      </c>
      <c r="T33" s="410" t="str">
        <f>IF(M33="RF",H33*P33*ROUND(L33/60,2),"--")</f>
        <v>--</v>
      </c>
      <c r="U33" s="317" t="str">
        <f>IF(D33="","","SI")</f>
        <v>SI</v>
      </c>
      <c r="V33" s="318">
        <f>IF(D33="","",SUM(Q33:T33)*IF(U33="SI",1,2))</f>
        <v>1046.958</v>
      </c>
      <c r="W33" s="242"/>
    </row>
    <row r="34" spans="1:23" ht="16.5" customHeight="1" thickBot="1">
      <c r="A34" s="32"/>
      <c r="B34" s="50"/>
      <c r="C34" s="691" t="s">
        <v>226</v>
      </c>
      <c r="D34" s="692" t="s">
        <v>332</v>
      </c>
      <c r="E34" s="693" t="s">
        <v>333</v>
      </c>
      <c r="F34" s="694">
        <v>300</v>
      </c>
      <c r="G34" s="695" t="s">
        <v>286</v>
      </c>
      <c r="H34" s="679">
        <f>F34*$F$21</f>
        <v>95.7</v>
      </c>
      <c r="I34" s="698">
        <v>39859.275</v>
      </c>
      <c r="J34" s="699">
        <v>39859.665972222225</v>
      </c>
      <c r="K34" s="1246">
        <f>IF(D34="","",(J34-I34)*24)</f>
        <v>9.383333333360497</v>
      </c>
      <c r="L34" s="694">
        <f>IF(D34="","",(J34-I34)*24*60)</f>
        <v>563.0000000016298</v>
      </c>
      <c r="M34" s="694" t="s">
        <v>241</v>
      </c>
      <c r="N34" s="694" t="str">
        <f>IF(D34="","",IF(OR(M34="P",M34="RP"),"--","NO"))</f>
        <v>--</v>
      </c>
      <c r="O34" s="694" t="str">
        <f>IF(D34="","","NO")</f>
        <v>NO</v>
      </c>
      <c r="P34" s="684">
        <f>200*IF(O34="SI",1,0.1)*IF(M34="P",0.1,1)</f>
        <v>2</v>
      </c>
      <c r="Q34" s="685">
        <f>IF(M34="P",H34*P34*ROUND(L34/60,2),"--")</f>
        <v>1795.332</v>
      </c>
      <c r="R34" s="686" t="str">
        <f>IF(AND(M34="F",N34="NO"),H34*P34,"--")</f>
        <v>--</v>
      </c>
      <c r="S34" s="687" t="str">
        <f>IF(M34="F",H34*P34*ROUND(L34/60,2),"--")</f>
        <v>--</v>
      </c>
      <c r="T34" s="410" t="str">
        <f>IF(M34="RF",H34*P34*ROUND(L34/60,2),"--")</f>
        <v>--</v>
      </c>
      <c r="U34" s="694" t="str">
        <f>IF(D34="","","SI")</f>
        <v>SI</v>
      </c>
      <c r="V34" s="714">
        <f>IF(D34="","",SUM(Q34:T34)*IF(U34="SI",1,2))</f>
        <v>1795.332</v>
      </c>
      <c r="W34" s="242"/>
    </row>
    <row r="35" spans="1:23" ht="16.5" customHeight="1" thickBot="1" thickTop="1">
      <c r="A35" s="32"/>
      <c r="B35" s="50"/>
      <c r="C35" s="98"/>
      <c r="D35" s="217"/>
      <c r="E35" s="217"/>
      <c r="F35" s="447"/>
      <c r="G35" s="715"/>
      <c r="H35" s="716"/>
      <c r="I35" s="717"/>
      <c r="J35" s="718"/>
      <c r="K35" s="719"/>
      <c r="L35" s="720"/>
      <c r="M35" s="716"/>
      <c r="N35" s="721"/>
      <c r="O35" s="198"/>
      <c r="P35" s="722"/>
      <c r="Q35" s="723"/>
      <c r="R35" s="724"/>
      <c r="S35" s="724"/>
      <c r="T35" s="724"/>
      <c r="U35" s="199"/>
      <c r="V35" s="725">
        <f>SUM(V30:V34)</f>
        <v>8163.210000000001</v>
      </c>
      <c r="W35" s="242"/>
    </row>
    <row r="36" spans="1:23" ht="16.5" customHeight="1" thickBot="1" thickTop="1">
      <c r="A36" s="32"/>
      <c r="B36" s="50"/>
      <c r="C36" s="98"/>
      <c r="D36" s="217"/>
      <c r="E36" s="217"/>
      <c r="F36" s="447"/>
      <c r="G36" s="715"/>
      <c r="H36" s="716"/>
      <c r="I36" s="717"/>
      <c r="L36" s="720"/>
      <c r="M36" s="716"/>
      <c r="N36" s="726"/>
      <c r="O36" s="727"/>
      <c r="P36" s="722"/>
      <c r="Q36" s="723"/>
      <c r="R36" s="724"/>
      <c r="S36" s="724"/>
      <c r="T36" s="724"/>
      <c r="U36" s="199"/>
      <c r="V36" s="199"/>
      <c r="W36" s="242"/>
    </row>
    <row r="37" spans="2:23" s="5" customFormat="1" ht="33.75" customHeight="1" thickBot="1" thickTop="1">
      <c r="B37" s="50"/>
      <c r="C37" s="84" t="s">
        <v>13</v>
      </c>
      <c r="D37" s="86" t="s">
        <v>27</v>
      </c>
      <c r="E37" s="1376" t="s">
        <v>28</v>
      </c>
      <c r="F37" s="1378"/>
      <c r="G37" s="133" t="s">
        <v>14</v>
      </c>
      <c r="H37" s="130" t="s">
        <v>16</v>
      </c>
      <c r="I37" s="85" t="s">
        <v>17</v>
      </c>
      <c r="J37" s="393" t="s">
        <v>18</v>
      </c>
      <c r="K37" s="395" t="s">
        <v>36</v>
      </c>
      <c r="L37" s="395" t="s">
        <v>31</v>
      </c>
      <c r="M37" s="88" t="s">
        <v>19</v>
      </c>
      <c r="N37" s="1376" t="s">
        <v>32</v>
      </c>
      <c r="O37" s="1377"/>
      <c r="P37" s="136" t="s">
        <v>37</v>
      </c>
      <c r="Q37" s="396" t="s">
        <v>70</v>
      </c>
      <c r="R37" s="184" t="s">
        <v>35</v>
      </c>
      <c r="S37" s="397"/>
      <c r="T37" s="135" t="s">
        <v>22</v>
      </c>
      <c r="U37" s="133" t="s">
        <v>79</v>
      </c>
      <c r="V37" s="122" t="s">
        <v>24</v>
      </c>
      <c r="W37" s="6"/>
    </row>
    <row r="38" spans="2:23" s="5" customFormat="1" ht="16.5" customHeight="1" thickTop="1">
      <c r="B38" s="50"/>
      <c r="C38" s="7"/>
      <c r="D38" s="405"/>
      <c r="E38" s="1379"/>
      <c r="F38" s="1380"/>
      <c r="G38" s="405"/>
      <c r="H38" s="406"/>
      <c r="I38" s="405"/>
      <c r="J38" s="405"/>
      <c r="K38" s="405"/>
      <c r="L38" s="405"/>
      <c r="M38" s="405"/>
      <c r="N38" s="405"/>
      <c r="O38" s="806"/>
      <c r="P38" s="407"/>
      <c r="Q38" s="408"/>
      <c r="R38" s="196"/>
      <c r="S38" s="409"/>
      <c r="T38" s="410"/>
      <c r="U38" s="405"/>
      <c r="V38" s="411"/>
      <c r="W38" s="6"/>
    </row>
    <row r="39" spans="2:23" s="5" customFormat="1" ht="16.5" customHeight="1">
      <c r="B39" s="50"/>
      <c r="C39" s="914" t="s">
        <v>223</v>
      </c>
      <c r="D39" s="1247" t="s">
        <v>320</v>
      </c>
      <c r="E39" s="1381" t="s">
        <v>321</v>
      </c>
      <c r="F39" s="1382"/>
      <c r="G39" s="1248">
        <v>132</v>
      </c>
      <c r="H39" s="131">
        <f>IF(G39=500,$M$19,IF(G39=220,$M$20,$M$21))</f>
        <v>51.126</v>
      </c>
      <c r="I39" s="808">
        <v>39846.34027777778</v>
      </c>
      <c r="J39" s="809">
        <v>39846.75277777778</v>
      </c>
      <c r="K39" s="415">
        <f>IF(D39="","",(J39-I39)*24)</f>
        <v>9.899999999965075</v>
      </c>
      <c r="L39" s="416">
        <f>IF(D39="","",ROUND((J39-I39)*24*60,0))</f>
        <v>594</v>
      </c>
      <c r="M39" s="601" t="s">
        <v>241</v>
      </c>
      <c r="N39" s="521" t="str">
        <f>IF(D39="","",IF(OR(M39="P",M39="RP"),"--","NO"))</f>
        <v>--</v>
      </c>
      <c r="O39" s="476"/>
      <c r="P39" s="810">
        <f>IF(G39=500,$N$19,IF(G39=220,$N$20,$N$21))</f>
        <v>40</v>
      </c>
      <c r="Q39" s="811">
        <f>IF(M39="P",H39*P39*ROUND(L39/60,2)*0.1,"--")</f>
        <v>2024.5896000000002</v>
      </c>
      <c r="R39" s="196" t="str">
        <f>IF(AND(M39="F",N39="NO"),H39*P39,"--")</f>
        <v>--</v>
      </c>
      <c r="S39" s="409" t="str">
        <f>IF(M39="F",H39*P39*ROUND(L39/60,2),"--")</f>
        <v>--</v>
      </c>
      <c r="T39" s="410" t="str">
        <f>IF(M39="RF",H39*P39*ROUND(L39/60,2),"--")</f>
        <v>--</v>
      </c>
      <c r="U39" s="812" t="str">
        <f>IF(D39="","","SI")</f>
        <v>SI</v>
      </c>
      <c r="V39" s="421">
        <f>IF(D39="","",SUM(Q39:T39)*IF(U39="SI",1,2))</f>
        <v>2024.5896000000002</v>
      </c>
      <c r="W39" s="6"/>
    </row>
    <row r="40" spans="2:23" s="5" customFormat="1" ht="16.5" customHeight="1">
      <c r="B40" s="50"/>
      <c r="C40" s="914" t="s">
        <v>224</v>
      </c>
      <c r="D40" s="1247" t="s">
        <v>320</v>
      </c>
      <c r="E40" s="1381" t="s">
        <v>321</v>
      </c>
      <c r="F40" s="1382"/>
      <c r="G40" s="1248">
        <v>132</v>
      </c>
      <c r="H40" s="131">
        <f aca="true" t="shared" si="0" ref="H40:H49">IF(G40=500,$M$19,IF(G40=220,$M$20,$M$21))</f>
        <v>51.126</v>
      </c>
      <c r="I40" s="808">
        <v>39847.35833333333</v>
      </c>
      <c r="J40" s="809">
        <v>39847.77569444444</v>
      </c>
      <c r="K40" s="415">
        <f aca="true" t="shared" si="1" ref="K40:K49">IF(D40="","",(J40-I40)*24)</f>
        <v>10.016666666662786</v>
      </c>
      <c r="L40" s="416">
        <f aca="true" t="shared" si="2" ref="L40:L49">IF(D40="","",ROUND((J40-I40)*24*60,0))</f>
        <v>601</v>
      </c>
      <c r="M40" s="601" t="s">
        <v>241</v>
      </c>
      <c r="N40" s="521" t="str">
        <f aca="true" t="shared" si="3" ref="N40:N49">IF(D40="","",IF(OR(M40="P",M40="RP"),"--","NO"))</f>
        <v>--</v>
      </c>
      <c r="O40" s="476"/>
      <c r="P40" s="810">
        <f aca="true" t="shared" si="4" ref="P40:P49">IF(G40=500,$N$19,IF(G40=220,$N$20,$N$21))</f>
        <v>40</v>
      </c>
      <c r="Q40" s="811">
        <f aca="true" t="shared" si="5" ref="Q40:Q49">IF(M40="P",H40*P40*ROUND(L40/60,2)*0.1,"--")</f>
        <v>2049.13008</v>
      </c>
      <c r="R40" s="196" t="str">
        <f aca="true" t="shared" si="6" ref="R40:R49">IF(AND(M40="F",N40="NO"),H40*P40,"--")</f>
        <v>--</v>
      </c>
      <c r="S40" s="409" t="str">
        <f aca="true" t="shared" si="7" ref="S40:S49">IF(M40="F",H40*P40*ROUND(L40/60,2),"--")</f>
        <v>--</v>
      </c>
      <c r="T40" s="410" t="str">
        <f aca="true" t="shared" si="8" ref="T40:T49">IF(M40="RF",H40*P40*ROUND(L40/60,2),"--")</f>
        <v>--</v>
      </c>
      <c r="U40" s="812" t="str">
        <f aca="true" t="shared" si="9" ref="U40:U49">IF(D40="","","SI")</f>
        <v>SI</v>
      </c>
      <c r="V40" s="421">
        <f aca="true" t="shared" si="10" ref="V40:V49">IF(D40="","",SUM(Q40:T40)*IF(U40="SI",1,2))</f>
        <v>2049.13008</v>
      </c>
      <c r="W40" s="6"/>
    </row>
    <row r="41" spans="2:23" s="5" customFormat="1" ht="16.5" customHeight="1">
      <c r="B41" s="50"/>
      <c r="C41" s="914" t="s">
        <v>225</v>
      </c>
      <c r="D41" s="1247" t="s">
        <v>320</v>
      </c>
      <c r="E41" s="1381" t="s">
        <v>322</v>
      </c>
      <c r="F41" s="1382"/>
      <c r="G41" s="1248">
        <v>132</v>
      </c>
      <c r="H41" s="131">
        <f t="shared" si="0"/>
        <v>51.126</v>
      </c>
      <c r="I41" s="808">
        <v>39850.37291666667</v>
      </c>
      <c r="J41" s="809">
        <v>39850.73888888889</v>
      </c>
      <c r="K41" s="415">
        <f t="shared" si="1"/>
        <v>8.783333333325572</v>
      </c>
      <c r="L41" s="416">
        <f t="shared" si="2"/>
        <v>527</v>
      </c>
      <c r="M41" s="601" t="s">
        <v>241</v>
      </c>
      <c r="N41" s="521" t="str">
        <f t="shared" si="3"/>
        <v>--</v>
      </c>
      <c r="O41" s="476"/>
      <c r="P41" s="810">
        <f t="shared" si="4"/>
        <v>40</v>
      </c>
      <c r="Q41" s="811">
        <f t="shared" si="5"/>
        <v>1795.54512</v>
      </c>
      <c r="R41" s="196" t="str">
        <f t="shared" si="6"/>
        <v>--</v>
      </c>
      <c r="S41" s="409" t="str">
        <f t="shared" si="7"/>
        <v>--</v>
      </c>
      <c r="T41" s="410" t="str">
        <f t="shared" si="8"/>
        <v>--</v>
      </c>
      <c r="U41" s="812" t="str">
        <f t="shared" si="9"/>
        <v>SI</v>
      </c>
      <c r="V41" s="421">
        <f t="shared" si="10"/>
        <v>1795.54512</v>
      </c>
      <c r="W41" s="6"/>
    </row>
    <row r="42" spans="2:23" s="5" customFormat="1" ht="16.5" customHeight="1">
      <c r="B42" s="50"/>
      <c r="C42" s="914" t="s">
        <v>226</v>
      </c>
      <c r="D42" s="1247" t="s">
        <v>305</v>
      </c>
      <c r="E42" s="1381" t="s">
        <v>323</v>
      </c>
      <c r="F42" s="1382"/>
      <c r="G42" s="1248">
        <v>132</v>
      </c>
      <c r="H42" s="131">
        <f t="shared" si="0"/>
        <v>51.126</v>
      </c>
      <c r="I42" s="808">
        <v>39851.2875</v>
      </c>
      <c r="J42" s="809">
        <v>39851.44861111111</v>
      </c>
      <c r="K42" s="415">
        <f t="shared" si="1"/>
        <v>3.8666666666977108</v>
      </c>
      <c r="L42" s="416">
        <f t="shared" si="2"/>
        <v>232</v>
      </c>
      <c r="M42" s="601" t="s">
        <v>241</v>
      </c>
      <c r="N42" s="521" t="str">
        <f t="shared" si="3"/>
        <v>--</v>
      </c>
      <c r="O42" s="476"/>
      <c r="P42" s="810">
        <f t="shared" si="4"/>
        <v>40</v>
      </c>
      <c r="Q42" s="811">
        <f t="shared" si="5"/>
        <v>791.43048</v>
      </c>
      <c r="R42" s="196" t="str">
        <f t="shared" si="6"/>
        <v>--</v>
      </c>
      <c r="S42" s="409" t="str">
        <f t="shared" si="7"/>
        <v>--</v>
      </c>
      <c r="T42" s="410" t="str">
        <f t="shared" si="8"/>
        <v>--</v>
      </c>
      <c r="U42" s="812" t="str">
        <f t="shared" si="9"/>
        <v>SI</v>
      </c>
      <c r="V42" s="421">
        <f t="shared" si="10"/>
        <v>791.43048</v>
      </c>
      <c r="W42" s="6"/>
    </row>
    <row r="43" spans="2:23" s="5" customFormat="1" ht="16.5" customHeight="1">
      <c r="B43" s="50"/>
      <c r="C43" s="914" t="s">
        <v>227</v>
      </c>
      <c r="D43" s="1247" t="s">
        <v>320</v>
      </c>
      <c r="E43" s="1381" t="s">
        <v>324</v>
      </c>
      <c r="F43" s="1382"/>
      <c r="G43" s="1248">
        <v>132</v>
      </c>
      <c r="H43" s="131">
        <f t="shared" si="0"/>
        <v>51.126</v>
      </c>
      <c r="I43" s="808">
        <v>39860.40069444444</v>
      </c>
      <c r="J43" s="809">
        <v>39860.62013888889</v>
      </c>
      <c r="K43" s="415">
        <f t="shared" si="1"/>
        <v>5.266666666720994</v>
      </c>
      <c r="L43" s="416">
        <f t="shared" si="2"/>
        <v>316</v>
      </c>
      <c r="M43" s="601" t="s">
        <v>241</v>
      </c>
      <c r="N43" s="521" t="str">
        <f t="shared" si="3"/>
        <v>--</v>
      </c>
      <c r="O43" s="476"/>
      <c r="P43" s="810">
        <f t="shared" si="4"/>
        <v>40</v>
      </c>
      <c r="Q43" s="811">
        <f t="shared" si="5"/>
        <v>1077.73608</v>
      </c>
      <c r="R43" s="196" t="str">
        <f t="shared" si="6"/>
        <v>--</v>
      </c>
      <c r="S43" s="409" t="str">
        <f t="shared" si="7"/>
        <v>--</v>
      </c>
      <c r="T43" s="410" t="str">
        <f t="shared" si="8"/>
        <v>--</v>
      </c>
      <c r="U43" s="812" t="str">
        <f t="shared" si="9"/>
        <v>SI</v>
      </c>
      <c r="V43" s="421">
        <f t="shared" si="10"/>
        <v>1077.73608</v>
      </c>
      <c r="W43" s="6"/>
    </row>
    <row r="44" spans="2:23" s="5" customFormat="1" ht="16.5" customHeight="1">
      <c r="B44" s="50"/>
      <c r="C44" s="914" t="s">
        <v>228</v>
      </c>
      <c r="D44" s="1247" t="s">
        <v>325</v>
      </c>
      <c r="E44" s="1381" t="s">
        <v>326</v>
      </c>
      <c r="F44" s="1382"/>
      <c r="G44" s="1248">
        <v>132</v>
      </c>
      <c r="H44" s="131">
        <f t="shared" si="0"/>
        <v>51.126</v>
      </c>
      <c r="I44" s="808">
        <v>39862.339583333334</v>
      </c>
      <c r="J44" s="809">
        <v>39862.62222222222</v>
      </c>
      <c r="K44" s="415">
        <f t="shared" si="1"/>
        <v>6.783333333267365</v>
      </c>
      <c r="L44" s="416">
        <f t="shared" si="2"/>
        <v>407</v>
      </c>
      <c r="M44" s="601" t="s">
        <v>241</v>
      </c>
      <c r="N44" s="521" t="str">
        <f t="shared" si="3"/>
        <v>--</v>
      </c>
      <c r="O44" s="476"/>
      <c r="P44" s="810">
        <f t="shared" si="4"/>
        <v>40</v>
      </c>
      <c r="Q44" s="811">
        <f t="shared" si="5"/>
        <v>1386.53712</v>
      </c>
      <c r="R44" s="196" t="str">
        <f t="shared" si="6"/>
        <v>--</v>
      </c>
      <c r="S44" s="409" t="str">
        <f t="shared" si="7"/>
        <v>--</v>
      </c>
      <c r="T44" s="410" t="str">
        <f t="shared" si="8"/>
        <v>--</v>
      </c>
      <c r="U44" s="812" t="str">
        <f t="shared" si="9"/>
        <v>SI</v>
      </c>
      <c r="V44" s="421">
        <f t="shared" si="10"/>
        <v>1386.53712</v>
      </c>
      <c r="W44" s="6"/>
    </row>
    <row r="45" spans="2:23" s="5" customFormat="1" ht="16.5" customHeight="1">
      <c r="B45" s="50"/>
      <c r="C45" s="914" t="s">
        <v>229</v>
      </c>
      <c r="D45" s="1247" t="s">
        <v>325</v>
      </c>
      <c r="E45" s="1381" t="s">
        <v>326</v>
      </c>
      <c r="F45" s="1382"/>
      <c r="G45" s="1248">
        <v>132</v>
      </c>
      <c r="H45" s="131">
        <f t="shared" si="0"/>
        <v>51.126</v>
      </c>
      <c r="I45" s="808">
        <v>39864.34305555555</v>
      </c>
      <c r="J45" s="809">
        <v>39864.49444444444</v>
      </c>
      <c r="K45" s="415">
        <f t="shared" si="1"/>
        <v>3.6333333333022892</v>
      </c>
      <c r="L45" s="416">
        <f t="shared" si="2"/>
        <v>218</v>
      </c>
      <c r="M45" s="601" t="s">
        <v>241</v>
      </c>
      <c r="N45" s="521" t="str">
        <f t="shared" si="3"/>
        <v>--</v>
      </c>
      <c r="O45" s="476"/>
      <c r="P45" s="810">
        <f t="shared" si="4"/>
        <v>40</v>
      </c>
      <c r="Q45" s="811">
        <f t="shared" si="5"/>
        <v>742.34952</v>
      </c>
      <c r="R45" s="196" t="str">
        <f t="shared" si="6"/>
        <v>--</v>
      </c>
      <c r="S45" s="409" t="str">
        <f t="shared" si="7"/>
        <v>--</v>
      </c>
      <c r="T45" s="410" t="str">
        <f t="shared" si="8"/>
        <v>--</v>
      </c>
      <c r="U45" s="812" t="str">
        <f t="shared" si="9"/>
        <v>SI</v>
      </c>
      <c r="V45" s="421">
        <f t="shared" si="10"/>
        <v>742.34952</v>
      </c>
      <c r="W45" s="6"/>
    </row>
    <row r="46" spans="2:23" s="5" customFormat="1" ht="16.5" customHeight="1">
      <c r="B46" s="50"/>
      <c r="C46" s="914" t="s">
        <v>230</v>
      </c>
      <c r="D46" s="1247" t="s">
        <v>325</v>
      </c>
      <c r="E46" s="1381" t="s">
        <v>327</v>
      </c>
      <c r="F46" s="1382"/>
      <c r="G46" s="1248">
        <v>132</v>
      </c>
      <c r="H46" s="131">
        <f t="shared" si="0"/>
        <v>51.126</v>
      </c>
      <c r="I46" s="808">
        <v>39867.37986111111</v>
      </c>
      <c r="J46" s="809">
        <v>39867.45486111111</v>
      </c>
      <c r="K46" s="415">
        <f t="shared" si="1"/>
        <v>1.7999999999301508</v>
      </c>
      <c r="L46" s="416">
        <f t="shared" si="2"/>
        <v>108</v>
      </c>
      <c r="M46" s="601" t="s">
        <v>241</v>
      </c>
      <c r="N46" s="521" t="str">
        <f t="shared" si="3"/>
        <v>--</v>
      </c>
      <c r="O46" s="476"/>
      <c r="P46" s="810">
        <f t="shared" si="4"/>
        <v>40</v>
      </c>
      <c r="Q46" s="811">
        <f t="shared" si="5"/>
        <v>368.10720000000003</v>
      </c>
      <c r="R46" s="196" t="str">
        <f t="shared" si="6"/>
        <v>--</v>
      </c>
      <c r="S46" s="409" t="str">
        <f t="shared" si="7"/>
        <v>--</v>
      </c>
      <c r="T46" s="410" t="str">
        <f t="shared" si="8"/>
        <v>--</v>
      </c>
      <c r="U46" s="812" t="str">
        <f t="shared" si="9"/>
        <v>SI</v>
      </c>
      <c r="V46" s="421">
        <f t="shared" si="10"/>
        <v>368.10720000000003</v>
      </c>
      <c r="W46" s="6"/>
    </row>
    <row r="47" spans="2:23" s="5" customFormat="1" ht="16.5" customHeight="1">
      <c r="B47" s="50"/>
      <c r="C47" s="914" t="s">
        <v>231</v>
      </c>
      <c r="D47" s="1247" t="s">
        <v>325</v>
      </c>
      <c r="E47" s="1381" t="s">
        <v>327</v>
      </c>
      <c r="F47" s="1382"/>
      <c r="G47" s="1248">
        <v>132</v>
      </c>
      <c r="H47" s="131">
        <f t="shared" si="0"/>
        <v>51.126</v>
      </c>
      <c r="I47" s="808">
        <v>39868.611805555556</v>
      </c>
      <c r="J47" s="809">
        <v>39868.70277777778</v>
      </c>
      <c r="K47" s="415">
        <f t="shared" si="1"/>
        <v>2.1833333332906477</v>
      </c>
      <c r="L47" s="416">
        <f t="shared" si="2"/>
        <v>131</v>
      </c>
      <c r="M47" s="601" t="s">
        <v>241</v>
      </c>
      <c r="N47" s="521" t="str">
        <f t="shared" si="3"/>
        <v>--</v>
      </c>
      <c r="O47" s="476"/>
      <c r="P47" s="810">
        <f t="shared" si="4"/>
        <v>40</v>
      </c>
      <c r="Q47" s="811">
        <f t="shared" si="5"/>
        <v>445.81872000000004</v>
      </c>
      <c r="R47" s="196" t="str">
        <f t="shared" si="6"/>
        <v>--</v>
      </c>
      <c r="S47" s="409" t="str">
        <f t="shared" si="7"/>
        <v>--</v>
      </c>
      <c r="T47" s="410" t="str">
        <f t="shared" si="8"/>
        <v>--</v>
      </c>
      <c r="U47" s="812" t="str">
        <f t="shared" si="9"/>
        <v>SI</v>
      </c>
      <c r="V47" s="421">
        <f t="shared" si="10"/>
        <v>445.81872000000004</v>
      </c>
      <c r="W47" s="6"/>
    </row>
    <row r="48" spans="2:23" s="5" customFormat="1" ht="16.5" customHeight="1">
      <c r="B48" s="50"/>
      <c r="C48" s="914" t="s">
        <v>232</v>
      </c>
      <c r="D48" s="1247"/>
      <c r="E48" s="1381"/>
      <c r="F48" s="1382"/>
      <c r="G48" s="1248"/>
      <c r="H48" s="131">
        <f t="shared" si="0"/>
        <v>51.126</v>
      </c>
      <c r="I48" s="808"/>
      <c r="J48" s="809"/>
      <c r="K48" s="415">
        <f t="shared" si="1"/>
      </c>
      <c r="L48" s="416">
        <f t="shared" si="2"/>
      </c>
      <c r="M48" s="601"/>
      <c r="N48" s="521">
        <f t="shared" si="3"/>
      </c>
      <c r="O48" s="476"/>
      <c r="P48" s="810">
        <f t="shared" si="4"/>
        <v>40</v>
      </c>
      <c r="Q48" s="811" t="str">
        <f t="shared" si="5"/>
        <v>--</v>
      </c>
      <c r="R48" s="196" t="str">
        <f t="shared" si="6"/>
        <v>--</v>
      </c>
      <c r="S48" s="409" t="str">
        <f t="shared" si="7"/>
        <v>--</v>
      </c>
      <c r="T48" s="410" t="str">
        <f t="shared" si="8"/>
        <v>--</v>
      </c>
      <c r="U48" s="812">
        <f t="shared" si="9"/>
      </c>
      <c r="V48" s="421">
        <f t="shared" si="10"/>
      </c>
      <c r="W48" s="6"/>
    </row>
    <row r="49" spans="2:23" s="5" customFormat="1" ht="16.5" customHeight="1">
      <c r="B49" s="50"/>
      <c r="C49" s="914" t="s">
        <v>233</v>
      </c>
      <c r="D49" s="405"/>
      <c r="E49" s="1379"/>
      <c r="F49" s="1380"/>
      <c r="G49" s="807"/>
      <c r="H49" s="131">
        <f t="shared" si="0"/>
        <v>51.126</v>
      </c>
      <c r="I49" s="808"/>
      <c r="J49" s="809"/>
      <c r="K49" s="415">
        <f t="shared" si="1"/>
      </c>
      <c r="L49" s="416">
        <f t="shared" si="2"/>
      </c>
      <c r="M49" s="601"/>
      <c r="N49" s="521">
        <f t="shared" si="3"/>
      </c>
      <c r="O49" s="476"/>
      <c r="P49" s="810">
        <f t="shared" si="4"/>
        <v>40</v>
      </c>
      <c r="Q49" s="811" t="str">
        <f t="shared" si="5"/>
        <v>--</v>
      </c>
      <c r="R49" s="196" t="str">
        <f t="shared" si="6"/>
        <v>--</v>
      </c>
      <c r="S49" s="409" t="str">
        <f t="shared" si="7"/>
        <v>--</v>
      </c>
      <c r="T49" s="410" t="str">
        <f t="shared" si="8"/>
        <v>--</v>
      </c>
      <c r="U49" s="812">
        <f t="shared" si="9"/>
      </c>
      <c r="V49" s="421">
        <f t="shared" si="10"/>
      </c>
      <c r="W49" s="6"/>
    </row>
    <row r="50" spans="2:28" s="5" customFormat="1" ht="16.5" customHeight="1" thickBot="1">
      <c r="B50" s="50"/>
      <c r="C50" s="691"/>
      <c r="D50" s="813"/>
      <c r="E50" s="1374"/>
      <c r="F50" s="1375"/>
      <c r="G50" s="814"/>
      <c r="H50" s="815"/>
      <c r="I50" s="816"/>
      <c r="J50" s="817"/>
      <c r="K50" s="818"/>
      <c r="L50" s="819"/>
      <c r="M50" s="820"/>
      <c r="N50" s="821"/>
      <c r="O50" s="820"/>
      <c r="P50" s="822"/>
      <c r="Q50" s="823"/>
      <c r="R50" s="824"/>
      <c r="S50" s="825"/>
      <c r="T50" s="826"/>
      <c r="U50" s="827"/>
      <c r="V50" s="828"/>
      <c r="W50" s="6"/>
      <c r="X50"/>
      <c r="Y50"/>
      <c r="Z50"/>
      <c r="AA50"/>
      <c r="AB50"/>
    </row>
    <row r="51" spans="1:23" ht="17.25" thickBot="1" thickTop="1">
      <c r="A51" s="32"/>
      <c r="B51" s="550"/>
      <c r="C51" s="553"/>
      <c r="D51" s="729"/>
      <c r="E51" s="730"/>
      <c r="F51" s="731"/>
      <c r="G51" s="732"/>
      <c r="H51" s="732"/>
      <c r="I51" s="730"/>
      <c r="J51" s="541"/>
      <c r="K51" s="541"/>
      <c r="L51" s="730"/>
      <c r="M51" s="730"/>
      <c r="N51" s="730"/>
      <c r="O51" s="733"/>
      <c r="P51" s="730"/>
      <c r="Q51" s="730"/>
      <c r="R51" s="734"/>
      <c r="S51" s="735"/>
      <c r="T51" s="735"/>
      <c r="U51" s="736"/>
      <c r="V51" s="725">
        <f>SUM(V39:V50)</f>
        <v>10681.243919999999</v>
      </c>
      <c r="W51" s="737"/>
    </row>
    <row r="52" spans="1:23" ht="17.25" thickBot="1" thickTop="1">
      <c r="A52" s="32"/>
      <c r="B52" s="550"/>
      <c r="C52" s="553"/>
      <c r="D52" s="729"/>
      <c r="E52" s="730"/>
      <c r="F52" s="731"/>
      <c r="G52" s="732"/>
      <c r="H52" s="732"/>
      <c r="I52" s="564" t="s">
        <v>42</v>
      </c>
      <c r="J52" s="800">
        <f>+V51+V35</f>
        <v>18844.45392</v>
      </c>
      <c r="L52" s="730"/>
      <c r="M52" s="730"/>
      <c r="N52" s="730"/>
      <c r="O52" s="733"/>
      <c r="P52" s="730"/>
      <c r="Q52" s="730"/>
      <c r="R52" s="734"/>
      <c r="S52" s="735"/>
      <c r="T52" s="735"/>
      <c r="U52" s="736"/>
      <c r="W52" s="737"/>
    </row>
    <row r="53" spans="1:23" ht="13.5" customHeight="1" thickTop="1">
      <c r="A53" s="32"/>
      <c r="B53" s="550"/>
      <c r="C53" s="553"/>
      <c r="D53" s="729"/>
      <c r="E53" s="730"/>
      <c r="F53" s="731"/>
      <c r="G53" s="732"/>
      <c r="H53" s="732"/>
      <c r="I53" s="730"/>
      <c r="J53" s="541"/>
      <c r="K53" s="541"/>
      <c r="L53" s="730"/>
      <c r="M53" s="730"/>
      <c r="N53" s="730"/>
      <c r="O53" s="733"/>
      <c r="P53" s="730"/>
      <c r="Q53" s="730"/>
      <c r="R53" s="734"/>
      <c r="S53" s="735"/>
      <c r="T53" s="735"/>
      <c r="U53" s="736"/>
      <c r="W53" s="737"/>
    </row>
    <row r="54" spans="1:23" ht="16.5" customHeight="1">
      <c r="A54" s="32"/>
      <c r="B54" s="550"/>
      <c r="C54" s="738" t="s">
        <v>109</v>
      </c>
      <c r="D54" s="739" t="s">
        <v>147</v>
      </c>
      <c r="E54" s="730"/>
      <c r="F54" s="731"/>
      <c r="G54" s="732"/>
      <c r="H54" s="732"/>
      <c r="I54" s="730"/>
      <c r="J54" s="541"/>
      <c r="K54" s="541"/>
      <c r="L54" s="730"/>
      <c r="M54" s="730"/>
      <c r="N54" s="730"/>
      <c r="O54" s="733"/>
      <c r="P54" s="730"/>
      <c r="Q54" s="730"/>
      <c r="R54" s="734"/>
      <c r="S54" s="735"/>
      <c r="T54" s="735"/>
      <c r="U54" s="736"/>
      <c r="W54" s="737"/>
    </row>
    <row r="55" spans="1:23" ht="16.5" customHeight="1">
      <c r="A55" s="32"/>
      <c r="B55" s="550"/>
      <c r="C55" s="738"/>
      <c r="D55" s="729"/>
      <c r="E55" s="730"/>
      <c r="F55" s="731"/>
      <c r="G55" s="732"/>
      <c r="H55" s="732"/>
      <c r="I55" s="730"/>
      <c r="J55" s="541"/>
      <c r="K55" s="541"/>
      <c r="L55" s="730"/>
      <c r="M55" s="730"/>
      <c r="N55" s="730"/>
      <c r="O55" s="733"/>
      <c r="P55" s="730"/>
      <c r="Q55" s="730"/>
      <c r="R55" s="730"/>
      <c r="S55" s="734"/>
      <c r="T55" s="735"/>
      <c r="W55" s="737"/>
    </row>
    <row r="56" spans="2:23" s="32" customFormat="1" ht="16.5" customHeight="1">
      <c r="B56" s="550"/>
      <c r="C56" s="553"/>
      <c r="D56" s="740" t="s">
        <v>123</v>
      </c>
      <c r="E56" s="636" t="s">
        <v>124</v>
      </c>
      <c r="F56" s="636" t="s">
        <v>43</v>
      </c>
      <c r="G56" s="741" t="s">
        <v>152</v>
      </c>
      <c r="H56"/>
      <c r="I56" s="140"/>
      <c r="J56" s="752" t="s">
        <v>61</v>
      </c>
      <c r="K56" s="752"/>
      <c r="L56" s="636" t="s">
        <v>43</v>
      </c>
      <c r="M56" t="s">
        <v>136</v>
      </c>
      <c r="O56" s="741" t="s">
        <v>154</v>
      </c>
      <c r="P56"/>
      <c r="Q56" s="745"/>
      <c r="R56" s="745"/>
      <c r="S56" s="33"/>
      <c r="T56"/>
      <c r="U56"/>
      <c r="V56"/>
      <c r="W56" s="737"/>
    </row>
    <row r="57" spans="2:23" s="32" customFormat="1" ht="16.5" customHeight="1">
      <c r="B57" s="550"/>
      <c r="C57" s="553"/>
      <c r="D57" s="145" t="s">
        <v>137</v>
      </c>
      <c r="E57" s="145">
        <v>300</v>
      </c>
      <c r="F57" s="829">
        <v>500</v>
      </c>
      <c r="G57" s="1373">
        <f>+E57*$F$20*$F$21</f>
        <v>64310.4</v>
      </c>
      <c r="H57" s="1373"/>
      <c r="I57" s="1373"/>
      <c r="J57" s="830" t="s">
        <v>138</v>
      </c>
      <c r="K57" s="830"/>
      <c r="L57" s="145">
        <v>500</v>
      </c>
      <c r="M57" s="145">
        <v>2</v>
      </c>
      <c r="O57" s="1373">
        <f>+M57*$F$20*$M$19</f>
        <v>85886.97600000001</v>
      </c>
      <c r="P57" s="1373"/>
      <c r="Q57" s="1373"/>
      <c r="R57" s="1373"/>
      <c r="S57" s="1373"/>
      <c r="T57" s="1373"/>
      <c r="U57" s="1373"/>
      <c r="V57"/>
      <c r="W57" s="737"/>
    </row>
    <row r="58" spans="2:23" s="32" customFormat="1" ht="16.5" customHeight="1">
      <c r="B58" s="550"/>
      <c r="C58" s="553"/>
      <c r="D58" s="145" t="s">
        <v>139</v>
      </c>
      <c r="E58" s="144">
        <v>300</v>
      </c>
      <c r="F58" s="829">
        <v>500</v>
      </c>
      <c r="G58" s="1373">
        <f>+E58*$F$20*$F$21</f>
        <v>64310.4</v>
      </c>
      <c r="H58" s="1373"/>
      <c r="I58" s="1373"/>
      <c r="J58" s="830" t="s">
        <v>138</v>
      </c>
      <c r="K58" s="830"/>
      <c r="L58" s="145">
        <v>132</v>
      </c>
      <c r="M58" s="145">
        <v>9</v>
      </c>
      <c r="O58" s="1373">
        <f>+M58*$F$20*$M$21</f>
        <v>309210.048</v>
      </c>
      <c r="P58" s="1373"/>
      <c r="Q58" s="1373"/>
      <c r="R58" s="1373"/>
      <c r="S58" s="1373"/>
      <c r="T58" s="1373"/>
      <c r="U58" s="1373"/>
      <c r="V58"/>
      <c r="W58" s="737"/>
    </row>
    <row r="59" spans="2:23" s="32" customFormat="1" ht="16.5" customHeight="1">
      <c r="B59" s="550"/>
      <c r="C59" s="553"/>
      <c r="D59" s="143" t="s">
        <v>140</v>
      </c>
      <c r="E59" s="144">
        <v>300</v>
      </c>
      <c r="F59" s="829">
        <v>500</v>
      </c>
      <c r="G59" s="1373">
        <f>+E59*$F$20*$F$21</f>
        <v>64310.4</v>
      </c>
      <c r="H59" s="1373"/>
      <c r="I59" s="1373"/>
      <c r="J59" s="830" t="s">
        <v>141</v>
      </c>
      <c r="K59" s="830"/>
      <c r="L59" s="145">
        <v>132</v>
      </c>
      <c r="M59" s="145">
        <v>8</v>
      </c>
      <c r="O59" s="1373">
        <f>+M59*$F$20*$M$21</f>
        <v>274853.376</v>
      </c>
      <c r="P59" s="1373"/>
      <c r="Q59" s="1373"/>
      <c r="R59" s="1373"/>
      <c r="S59" s="1373"/>
      <c r="T59" s="1373"/>
      <c r="U59" s="1373"/>
      <c r="V59"/>
      <c r="W59" s="737"/>
    </row>
    <row r="60" spans="1:23" ht="16.5" customHeight="1">
      <c r="A60" s="32"/>
      <c r="B60" s="550"/>
      <c r="C60" s="553"/>
      <c r="D60" s="143" t="s">
        <v>142</v>
      </c>
      <c r="E60" s="144">
        <v>300</v>
      </c>
      <c r="F60" s="829">
        <v>500</v>
      </c>
      <c r="G60" s="1373">
        <f>+E60*$F$20*$F$21</f>
        <v>64310.4</v>
      </c>
      <c r="H60" s="1373"/>
      <c r="I60" s="1373"/>
      <c r="J60" s="830" t="s">
        <v>143</v>
      </c>
      <c r="K60" s="830"/>
      <c r="L60" s="145">
        <v>132</v>
      </c>
      <c r="M60" s="145">
        <v>5</v>
      </c>
      <c r="O60" s="1383">
        <f>+M60*$F$20*$M$21</f>
        <v>171783.36</v>
      </c>
      <c r="P60" s="1383"/>
      <c r="Q60" s="1383"/>
      <c r="R60" s="1383"/>
      <c r="S60" s="1383"/>
      <c r="T60" s="1383"/>
      <c r="U60" s="1383"/>
      <c r="W60" s="737"/>
    </row>
    <row r="61" spans="1:23" ht="16.5" customHeight="1">
      <c r="A61" s="32"/>
      <c r="B61" s="550"/>
      <c r="C61" s="553"/>
      <c r="D61" s="143" t="s">
        <v>267</v>
      </c>
      <c r="E61" s="144">
        <v>600</v>
      </c>
      <c r="F61" s="829">
        <v>500</v>
      </c>
      <c r="G61" s="1383">
        <f>+E61*$F$20*$F$21</f>
        <v>128620.8</v>
      </c>
      <c r="H61" s="1383"/>
      <c r="I61" s="1383"/>
      <c r="M61" s="145"/>
      <c r="O61" s="1373">
        <f>SUM(O57:P60)</f>
        <v>841733.76</v>
      </c>
      <c r="P61" s="1373"/>
      <c r="Q61" s="1373"/>
      <c r="R61" s="1373"/>
      <c r="S61" s="1373"/>
      <c r="T61" s="1373"/>
      <c r="U61" s="1373"/>
      <c r="W61" s="737"/>
    </row>
    <row r="62" spans="1:23" ht="16.5" customHeight="1">
      <c r="A62" s="32"/>
      <c r="B62" s="550"/>
      <c r="C62" s="553"/>
      <c r="D62" s="143"/>
      <c r="E62" s="144"/>
      <c r="F62" s="829"/>
      <c r="G62" s="1373">
        <f>SUM(G57:G61)</f>
        <v>385862.4</v>
      </c>
      <c r="H62" s="1373"/>
      <c r="I62" s="1373"/>
      <c r="M62" s="145"/>
      <c r="N62" s="140"/>
      <c r="O62" s="140"/>
      <c r="P62" s="781"/>
      <c r="Q62" s="781"/>
      <c r="R62" s="781"/>
      <c r="S62" s="781"/>
      <c r="W62" s="737"/>
    </row>
    <row r="63" spans="1:23" ht="16.5" customHeight="1">
      <c r="A63" s="32"/>
      <c r="B63" s="550"/>
      <c r="C63" s="553"/>
      <c r="D63" s="143"/>
      <c r="E63" s="144"/>
      <c r="F63" s="829"/>
      <c r="G63" s="1058"/>
      <c r="H63" s="1058"/>
      <c r="I63" s="1058"/>
      <c r="M63" s="145"/>
      <c r="N63" s="140"/>
      <c r="O63" s="140"/>
      <c r="P63" s="781"/>
      <c r="Q63" s="781"/>
      <c r="R63" s="781"/>
      <c r="S63" s="781"/>
      <c r="W63" s="737"/>
    </row>
    <row r="64" spans="1:23" ht="16.5" customHeight="1">
      <c r="A64" s="32"/>
      <c r="B64" s="550"/>
      <c r="C64" s="561"/>
      <c r="D64" s="1251" t="s">
        <v>394</v>
      </c>
      <c r="E64" s="144" t="s">
        <v>397</v>
      </c>
      <c r="F64" s="1252">
        <v>5176</v>
      </c>
      <c r="G64" s="1058" t="s">
        <v>392</v>
      </c>
      <c r="H64" s="1058"/>
      <c r="I64" s="1058"/>
      <c r="M64" s="145"/>
      <c r="N64" s="140"/>
      <c r="O64" s="140"/>
      <c r="P64" s="781"/>
      <c r="Q64" s="781"/>
      <c r="R64" s="781"/>
      <c r="S64" s="781"/>
      <c r="W64" s="737"/>
    </row>
    <row r="65" spans="1:23" ht="16.5" customHeight="1">
      <c r="A65" s="32"/>
      <c r="B65" s="550"/>
      <c r="C65" s="561"/>
      <c r="D65" s="1249"/>
      <c r="E65" s="144"/>
      <c r="F65" s="829"/>
      <c r="G65" s="1058"/>
      <c r="H65" s="1058"/>
      <c r="I65" s="1058"/>
      <c r="M65" s="145"/>
      <c r="N65" s="140"/>
      <c r="O65" s="140"/>
      <c r="P65" s="781"/>
      <c r="Q65" s="781"/>
      <c r="R65" s="781"/>
      <c r="S65" s="781"/>
      <c r="W65" s="737"/>
    </row>
    <row r="66" spans="1:23" ht="16.5" customHeight="1" thickBot="1">
      <c r="A66" s="32"/>
      <c r="B66" s="550"/>
      <c r="C66" s="551" t="s">
        <v>395</v>
      </c>
      <c r="D66" s="1250" t="s">
        <v>396</v>
      </c>
      <c r="E66" s="753"/>
      <c r="F66" s="753"/>
      <c r="G66" s="636"/>
      <c r="I66" s="743"/>
      <c r="J66" s="741"/>
      <c r="L66" s="742"/>
      <c r="M66" s="743"/>
      <c r="N66" s="744"/>
      <c r="O66" s="745"/>
      <c r="P66" s="745"/>
      <c r="Q66" s="745"/>
      <c r="R66" s="745"/>
      <c r="S66" s="745"/>
      <c r="W66" s="737"/>
    </row>
    <row r="67" spans="1:23" ht="16.5" customHeight="1" thickBot="1" thickTop="1">
      <c r="A67" s="32"/>
      <c r="B67" s="550"/>
      <c r="C67" s="553"/>
      <c r="D67" s="636"/>
      <c r="E67" s="784"/>
      <c r="F67" s="784"/>
      <c r="G67" s="747"/>
      <c r="H67" s="176"/>
      <c r="I67" s="564" t="s">
        <v>44</v>
      </c>
      <c r="J67" s="800">
        <f>+G62+O61+F64</f>
        <v>1232772.1600000001</v>
      </c>
      <c r="L67" s="749"/>
      <c r="M67" s="176"/>
      <c r="N67" s="750"/>
      <c r="O67" s="781"/>
      <c r="P67" s="781"/>
      <c r="Q67" s="781"/>
      <c r="R67" s="781"/>
      <c r="S67" s="781"/>
      <c r="W67" s="737"/>
    </row>
    <row r="68" spans="1:23" ht="16.5" customHeight="1" thickTop="1">
      <c r="A68" s="32"/>
      <c r="B68" s="550"/>
      <c r="C68" s="553"/>
      <c r="D68" s="541"/>
      <c r="E68" s="558"/>
      <c r="F68" s="636"/>
      <c r="G68" s="636"/>
      <c r="H68" s="637"/>
      <c r="J68" s="636"/>
      <c r="L68" s="755"/>
      <c r="M68" s="744"/>
      <c r="N68" s="744"/>
      <c r="O68" s="745"/>
      <c r="P68" s="745"/>
      <c r="Q68" s="745"/>
      <c r="R68" s="745"/>
      <c r="S68" s="745"/>
      <c r="W68" s="737"/>
    </row>
    <row r="69" spans="2:23" ht="16.5" customHeight="1">
      <c r="B69" s="550"/>
      <c r="C69" s="738" t="s">
        <v>111</v>
      </c>
      <c r="D69" s="756" t="s">
        <v>112</v>
      </c>
      <c r="E69" s="636"/>
      <c r="F69" s="757"/>
      <c r="G69" s="635"/>
      <c r="H69" s="541"/>
      <c r="I69" s="541"/>
      <c r="J69" s="541"/>
      <c r="K69" s="636"/>
      <c r="L69" s="636"/>
      <c r="M69" s="541"/>
      <c r="N69" s="636"/>
      <c r="O69" s="541"/>
      <c r="P69" s="541"/>
      <c r="Q69" s="541"/>
      <c r="R69" s="541"/>
      <c r="S69" s="541"/>
      <c r="T69" s="541"/>
      <c r="U69" s="541"/>
      <c r="W69" s="737"/>
    </row>
    <row r="70" spans="2:23" s="32" customFormat="1" ht="16.5" customHeight="1">
      <c r="B70" s="550"/>
      <c r="C70" s="553"/>
      <c r="D70" s="740" t="s">
        <v>113</v>
      </c>
      <c r="E70" s="758">
        <f>10*J52*J25/J67</f>
        <v>1723.1493047011704</v>
      </c>
      <c r="G70" s="635"/>
      <c r="L70" s="636"/>
      <c r="N70" s="636"/>
      <c r="O70" s="637"/>
      <c r="V70"/>
      <c r="W70" s="737"/>
    </row>
    <row r="71" spans="2:23" s="32" customFormat="1" ht="12.75" customHeight="1">
      <c r="B71" s="550"/>
      <c r="C71" s="553"/>
      <c r="E71" s="759"/>
      <c r="F71" s="563"/>
      <c r="G71" s="635"/>
      <c r="J71" s="635"/>
      <c r="K71" s="650"/>
      <c r="L71" s="636"/>
      <c r="M71" s="636"/>
      <c r="N71" s="636"/>
      <c r="O71" s="637"/>
      <c r="P71" s="636"/>
      <c r="Q71" s="636"/>
      <c r="R71" s="649"/>
      <c r="S71" s="649"/>
      <c r="T71" s="649"/>
      <c r="U71" s="760"/>
      <c r="V71"/>
      <c r="W71" s="737"/>
    </row>
    <row r="72" spans="2:23" ht="16.5" customHeight="1">
      <c r="B72" s="550"/>
      <c r="C72" s="553"/>
      <c r="D72" s="761" t="s">
        <v>144</v>
      </c>
      <c r="E72" s="762"/>
      <c r="F72" s="563"/>
      <c r="G72" s="635"/>
      <c r="H72" s="541"/>
      <c r="I72" s="541"/>
      <c r="N72" s="636"/>
      <c r="O72" s="637"/>
      <c r="P72" s="636"/>
      <c r="Q72" s="636"/>
      <c r="R72" s="743"/>
      <c r="S72" s="743"/>
      <c r="T72" s="743"/>
      <c r="U72" s="744"/>
      <c r="W72" s="737"/>
    </row>
    <row r="73" spans="2:23" ht="13.5" customHeight="1" thickBot="1">
      <c r="B73" s="550"/>
      <c r="C73" s="553"/>
      <c r="D73" s="761"/>
      <c r="E73" s="762"/>
      <c r="F73" s="563"/>
      <c r="G73" s="635"/>
      <c r="H73" s="541"/>
      <c r="I73" s="541"/>
      <c r="N73" s="636"/>
      <c r="O73" s="637"/>
      <c r="P73" s="636"/>
      <c r="Q73" s="636"/>
      <c r="R73" s="743"/>
      <c r="S73" s="743"/>
      <c r="T73" s="743"/>
      <c r="U73" s="744"/>
      <c r="W73" s="737"/>
    </row>
    <row r="74" spans="2:23" s="763" customFormat="1" ht="21" thickBot="1" thickTop="1">
      <c r="B74" s="764"/>
      <c r="C74" s="765"/>
      <c r="D74" s="766"/>
      <c r="E74" s="767"/>
      <c r="F74" s="768"/>
      <c r="G74" s="769"/>
      <c r="I74" s="770" t="s">
        <v>114</v>
      </c>
      <c r="J74" s="771">
        <f>IF(E70&gt;3*J25,J25*3,E70)</f>
        <v>1723.1493047011704</v>
      </c>
      <c r="M74" s="772"/>
      <c r="N74" s="772"/>
      <c r="O74" s="773"/>
      <c r="P74" s="772"/>
      <c r="Q74" s="772"/>
      <c r="R74" s="774"/>
      <c r="S74" s="774"/>
      <c r="T74" s="774"/>
      <c r="U74" s="775"/>
      <c r="V74"/>
      <c r="W74" s="776"/>
    </row>
    <row r="75" spans="2:23" ht="16.5" customHeight="1" thickBot="1" thickTop="1">
      <c r="B75" s="5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200"/>
      <c r="W75" s="777"/>
    </row>
    <row r="76" spans="2:23" ht="16.5" customHeight="1" thickTop="1">
      <c r="B76" s="1"/>
      <c r="C76" s="73"/>
      <c r="W76" s="1"/>
    </row>
  </sheetData>
  <sheetProtection password="CC12"/>
  <mergeCells count="26">
    <mergeCell ref="E48:F48"/>
    <mergeCell ref="E49:F49"/>
    <mergeCell ref="E44:F44"/>
    <mergeCell ref="E45:F45"/>
    <mergeCell ref="E46:F46"/>
    <mergeCell ref="E47:F47"/>
    <mergeCell ref="G61:I61"/>
    <mergeCell ref="G62:I62"/>
    <mergeCell ref="G57:I57"/>
    <mergeCell ref="G58:I58"/>
    <mergeCell ref="G59:I59"/>
    <mergeCell ref="G60:I60"/>
    <mergeCell ref="O60:U60"/>
    <mergeCell ref="O61:U61"/>
    <mergeCell ref="O58:U58"/>
    <mergeCell ref="O59:U59"/>
    <mergeCell ref="O57:U57"/>
    <mergeCell ref="E50:F50"/>
    <mergeCell ref="N37:O37"/>
    <mergeCell ref="E37:F37"/>
    <mergeCell ref="E38:F38"/>
    <mergeCell ref="E39:F39"/>
    <mergeCell ref="E40:F40"/>
    <mergeCell ref="E41:F41"/>
    <mergeCell ref="E42:F42"/>
    <mergeCell ref="E43:F43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8" r:id="rId2"/>
  <headerFooter alignWithMargins="0">
    <oddFooter>&amp;L&amp;"Times New Roman,Normal"&amp;8&amp;F-&amp;A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AG67"/>
  <sheetViews>
    <sheetView zoomScale="50" zoomScaleNormal="50" workbookViewId="0" topLeftCell="A1">
      <selection activeCell="B4" sqref="B4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2.4218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8515625" style="0" bestFit="1" customWidth="1"/>
    <col min="18" max="19" width="12.140625" style="0" hidden="1" customWidth="1"/>
    <col min="20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47" customFormat="1" ht="30.75">
      <c r="A3" s="544"/>
      <c r="B3" s="545" t="str">
        <f>+'TOT-0209'!B2</f>
        <v>ANEXO III al Memorandum  D.T.E.E. N°  770        /2010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AB3" s="546"/>
      <c r="AC3" s="546"/>
      <c r="AD3" s="546"/>
    </row>
    <row r="4" spans="1:2" s="25" customFormat="1" ht="11.25">
      <c r="A4" s="778" t="s">
        <v>2</v>
      </c>
      <c r="B4" s="779"/>
    </row>
    <row r="5" spans="1:2" s="25" customFormat="1" ht="12" thickBot="1">
      <c r="A5" s="778" t="s">
        <v>3</v>
      </c>
      <c r="B5" s="778"/>
    </row>
    <row r="6" spans="1:30" ht="16.5" customHeight="1" thickTop="1">
      <c r="A6" s="5"/>
      <c r="B6" s="69"/>
      <c r="C6" s="70"/>
      <c r="D6" s="70"/>
      <c r="E6" s="20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80"/>
      <c r="X6" s="180"/>
      <c r="Y6" s="180"/>
      <c r="Z6" s="180"/>
      <c r="AA6" s="180"/>
      <c r="AB6" s="180"/>
      <c r="AC6" s="180"/>
      <c r="AD6" s="94"/>
    </row>
    <row r="7" spans="1:30" ht="20.25">
      <c r="A7" s="5"/>
      <c r="B7" s="50"/>
      <c r="C7" s="4"/>
      <c r="D7" s="178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8" t="s">
        <v>98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203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8" t="s">
        <v>343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203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DATO!F14</f>
        <v>Desde el 01 al 28 de febrero de 2009</v>
      </c>
      <c r="C13" s="38"/>
      <c r="D13" s="40"/>
      <c r="E13" s="40"/>
      <c r="F13" s="40"/>
      <c r="G13" s="40"/>
      <c r="H13" s="40"/>
      <c r="I13" s="41"/>
      <c r="J13" s="17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/>
      <c r="X13" s="548"/>
      <c r="Y13" s="548"/>
      <c r="Z13" s="548"/>
      <c r="AA13" s="548"/>
      <c r="AB13" s="127"/>
      <c r="AC13" s="176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54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66" t="s">
        <v>99</v>
      </c>
      <c r="D17" s="54" t="s">
        <v>100</v>
      </c>
      <c r="E17" s="66"/>
      <c r="F17" s="66"/>
      <c r="G17" s="4"/>
      <c r="H17" s="4"/>
      <c r="I17" s="4"/>
      <c r="J17" s="54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550"/>
      <c r="C18" s="33"/>
      <c r="D18" s="551"/>
      <c r="E18" s="552"/>
      <c r="F18" s="553"/>
      <c r="G18" s="33"/>
      <c r="H18" s="33"/>
      <c r="I18" s="33"/>
      <c r="J18" s="554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555"/>
    </row>
    <row r="19" spans="2:30" s="32" customFormat="1" ht="16.5" customHeight="1">
      <c r="B19" s="550"/>
      <c r="C19" s="33"/>
      <c r="D19" s="556" t="s">
        <v>101</v>
      </c>
      <c r="F19" s="557">
        <v>117.179</v>
      </c>
      <c r="G19" s="556" t="s">
        <v>102</v>
      </c>
      <c r="H19" s="33"/>
      <c r="I19" s="33"/>
      <c r="J19" s="558"/>
      <c r="K19" s="559" t="s">
        <v>40</v>
      </c>
      <c r="L19" s="560">
        <v>0.04</v>
      </c>
      <c r="R19" s="33"/>
      <c r="S19" s="33"/>
      <c r="T19" s="33"/>
      <c r="U19" s="33"/>
      <c r="V19" s="33"/>
      <c r="W19"/>
      <c r="AD19" s="555"/>
    </row>
    <row r="20" spans="2:30" s="32" customFormat="1" ht="16.5" customHeight="1">
      <c r="B20" s="550"/>
      <c r="C20" s="33"/>
      <c r="D20" s="556" t="s">
        <v>116</v>
      </c>
      <c r="F20" s="557">
        <v>0.319</v>
      </c>
      <c r="G20" s="556" t="s">
        <v>117</v>
      </c>
      <c r="H20" s="33"/>
      <c r="I20" s="33"/>
      <c r="J20" s="33"/>
      <c r="K20" s="551" t="s">
        <v>38</v>
      </c>
      <c r="L20" s="33">
        <f>MID(B13,16,2)*24</f>
        <v>672</v>
      </c>
      <c r="M20" s="33" t="s">
        <v>39</v>
      </c>
      <c r="N20" s="33"/>
      <c r="O20" s="33"/>
      <c r="P20" s="780"/>
      <c r="Q20" s="33"/>
      <c r="R20" s="33"/>
      <c r="S20" s="33"/>
      <c r="T20" s="33"/>
      <c r="U20" s="33"/>
      <c r="V20" s="33"/>
      <c r="W20"/>
      <c r="AD20" s="555"/>
    </row>
    <row r="21" spans="2:30" s="32" customFormat="1" ht="16.5" customHeight="1">
      <c r="B21" s="550"/>
      <c r="C21" s="33"/>
      <c r="D21" s="556"/>
      <c r="F21" s="557"/>
      <c r="G21" s="556"/>
      <c r="H21" s="33"/>
      <c r="I21" s="33"/>
      <c r="J21" s="33"/>
      <c r="K21" s="214"/>
      <c r="L21" s="215"/>
      <c r="M21" s="33"/>
      <c r="N21" s="33"/>
      <c r="O21" s="33"/>
      <c r="P21" s="780"/>
      <c r="Q21" s="33"/>
      <c r="R21" s="33"/>
      <c r="S21" s="33"/>
      <c r="T21" s="33"/>
      <c r="U21" s="33"/>
      <c r="V21" s="33"/>
      <c r="W21"/>
      <c r="AD21" s="555"/>
    </row>
    <row r="22" spans="2:30" s="32" customFormat="1" ht="16.5" customHeight="1">
      <c r="B22" s="550"/>
      <c r="C22" s="33"/>
      <c r="D22" s="556"/>
      <c r="F22" s="557"/>
      <c r="G22" s="556"/>
      <c r="H22" s="33"/>
      <c r="I22" s="33"/>
      <c r="J22" s="33"/>
      <c r="K22" s="214"/>
      <c r="L22" s="215"/>
      <c r="M22" s="33"/>
      <c r="N22" s="33"/>
      <c r="O22" s="33"/>
      <c r="P22" s="780"/>
      <c r="Q22" s="33"/>
      <c r="R22" s="33"/>
      <c r="S22" s="33"/>
      <c r="T22" s="33"/>
      <c r="U22" s="33"/>
      <c r="V22" s="33"/>
      <c r="W22"/>
      <c r="AD22" s="555"/>
    </row>
    <row r="23" spans="2:30" s="32" customFormat="1" ht="8.25" customHeight="1">
      <c r="B23" s="550"/>
      <c r="C23" s="33"/>
      <c r="D23" s="33"/>
      <c r="E23" s="56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555"/>
    </row>
    <row r="24" spans="1:30" ht="16.5" customHeight="1">
      <c r="A24" s="5"/>
      <c r="B24" s="50"/>
      <c r="C24" s="166" t="s">
        <v>103</v>
      </c>
      <c r="D24" s="3" t="s">
        <v>145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550"/>
      <c r="C26" s="553"/>
      <c r="D26"/>
      <c r="E26"/>
      <c r="F26"/>
      <c r="G26"/>
      <c r="H26"/>
      <c r="I26"/>
      <c r="J26" s="564" t="s">
        <v>45</v>
      </c>
      <c r="K26" s="565">
        <f>L19*AC59</f>
        <v>15008.815180799998</v>
      </c>
      <c r="L26"/>
      <c r="S26"/>
      <c r="T26"/>
      <c r="U26"/>
      <c r="W26"/>
      <c r="AD26" s="555"/>
    </row>
    <row r="27" spans="2:30" s="32" customFormat="1" ht="11.25" customHeight="1" thickTop="1">
      <c r="B27" s="550"/>
      <c r="C27" s="553"/>
      <c r="D27" s="33"/>
      <c r="E27" s="56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555"/>
    </row>
    <row r="28" spans="1:30" ht="16.5" customHeight="1">
      <c r="A28" s="5"/>
      <c r="B28" s="50"/>
      <c r="C28" s="166" t="s">
        <v>104</v>
      </c>
      <c r="D28" s="3" t="s">
        <v>146</v>
      </c>
      <c r="E28" s="21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1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19" t="s">
        <v>0</v>
      </c>
      <c r="E30" s="182" t="s">
        <v>14</v>
      </c>
      <c r="F30" s="87" t="s">
        <v>15</v>
      </c>
      <c r="G30" s="220" t="s">
        <v>76</v>
      </c>
      <c r="H30" s="221" t="s">
        <v>37</v>
      </c>
      <c r="I30" s="136" t="s">
        <v>16</v>
      </c>
      <c r="J30" s="85" t="s">
        <v>17</v>
      </c>
      <c r="K30" s="183" t="s">
        <v>18</v>
      </c>
      <c r="L30" s="88" t="s">
        <v>36</v>
      </c>
      <c r="M30" s="86" t="s">
        <v>31</v>
      </c>
      <c r="N30" s="88" t="s">
        <v>105</v>
      </c>
      <c r="O30" s="88" t="s">
        <v>58</v>
      </c>
      <c r="P30" s="183" t="s">
        <v>59</v>
      </c>
      <c r="Q30" s="85" t="s">
        <v>32</v>
      </c>
      <c r="R30" s="138" t="s">
        <v>20</v>
      </c>
      <c r="S30" s="566" t="s">
        <v>21</v>
      </c>
      <c r="T30" s="567" t="s">
        <v>77</v>
      </c>
      <c r="U30" s="568"/>
      <c r="V30" s="569"/>
      <c r="W30" s="570" t="s">
        <v>106</v>
      </c>
      <c r="X30" s="571"/>
      <c r="Y30" s="572"/>
      <c r="Z30" s="573" t="s">
        <v>22</v>
      </c>
      <c r="AA30" s="574" t="s">
        <v>23</v>
      </c>
      <c r="AB30" s="89" t="s">
        <v>79</v>
      </c>
      <c r="AC30" s="122" t="s">
        <v>24</v>
      </c>
      <c r="AD30" s="227"/>
      <c r="AE30"/>
    </row>
    <row r="31" spans="1:30" ht="16.5" customHeight="1" thickTop="1">
      <c r="A31" s="5"/>
      <c r="B31" s="50"/>
      <c r="C31" s="7"/>
      <c r="D31" s="575"/>
      <c r="E31" s="576"/>
      <c r="F31" s="577"/>
      <c r="G31" s="578"/>
      <c r="H31" s="579"/>
      <c r="I31" s="580"/>
      <c r="J31" s="581"/>
      <c r="K31" s="582"/>
      <c r="L31" s="7"/>
      <c r="M31" s="7"/>
      <c r="N31" s="189"/>
      <c r="O31" s="189"/>
      <c r="P31" s="7"/>
      <c r="Q31" s="186"/>
      <c r="R31" s="583"/>
      <c r="S31" s="584"/>
      <c r="T31" s="585"/>
      <c r="U31" s="586"/>
      <c r="V31" s="587"/>
      <c r="W31" s="588"/>
      <c r="X31" s="589"/>
      <c r="Y31" s="590"/>
      <c r="Z31" s="591"/>
      <c r="AA31" s="592"/>
      <c r="AB31" s="593"/>
      <c r="AC31" s="594"/>
      <c r="AD31" s="17"/>
    </row>
    <row r="32" spans="1:30" ht="16.5" customHeight="1">
      <c r="A32" s="5"/>
      <c r="B32" s="50"/>
      <c r="C32" s="914" t="s">
        <v>223</v>
      </c>
      <c r="D32" s="860"/>
      <c r="E32" s="861"/>
      <c r="F32" s="912"/>
      <c r="G32" s="596"/>
      <c r="H32" s="597"/>
      <c r="I32" s="598"/>
      <c r="J32" s="599"/>
      <c r="K32" s="543"/>
      <c r="L32" s="600"/>
      <c r="M32" s="416"/>
      <c r="N32" s="601"/>
      <c r="O32" s="602"/>
      <c r="P32" s="236"/>
      <c r="Q32" s="236"/>
      <c r="R32" s="603"/>
      <c r="S32" s="604"/>
      <c r="T32" s="605"/>
      <c r="U32" s="606"/>
      <c r="V32" s="607"/>
      <c r="W32" s="608"/>
      <c r="X32" s="609"/>
      <c r="Y32" s="610"/>
      <c r="Z32" s="611"/>
      <c r="AA32" s="612"/>
      <c r="AB32" s="613"/>
      <c r="AC32" s="16">
        <f>IF(D32="","",SUM(R32:AA32)*IF(AB32="SI",1,2))</f>
      </c>
      <c r="AD32" s="17"/>
    </row>
    <row r="33" spans="1:30" ht="16.5" customHeight="1">
      <c r="A33" s="5"/>
      <c r="B33" s="50"/>
      <c r="C33" s="914" t="s">
        <v>224</v>
      </c>
      <c r="D33" s="7"/>
      <c r="E33" s="542"/>
      <c r="F33" s="595"/>
      <c r="G33" s="596"/>
      <c r="H33" s="597">
        <f>IF(G33="A",200,IF(G33="B",60,20))</f>
        <v>20</v>
      </c>
      <c r="I33" s="598">
        <f>IF(F33&gt;100,F33,100)*$F$19/100</f>
        <v>117.179</v>
      </c>
      <c r="J33" s="599"/>
      <c r="K33" s="543"/>
      <c r="L33" s="600">
        <f>IF(D33="","",(K33-J33)*24)</f>
      </c>
      <c r="M33" s="416">
        <f>IF(D33="","",ROUND((K33-J33)*24*60,0))</f>
      </c>
      <c r="N33" s="601"/>
      <c r="O33" s="602">
        <f>IF(D33="","","--")</f>
      </c>
      <c r="P33" s="236">
        <f>IF(D33="","","NO")</f>
      </c>
      <c r="Q33" s="236">
        <f>IF(D33="","",IF(OR(N33="P",N33="RP"),"--","NO"))</f>
      </c>
      <c r="R33" s="603" t="str">
        <f>IF(N33="P",+I33*H33*ROUND(M33/60,2)/100,"--")</f>
        <v>--</v>
      </c>
      <c r="S33" s="604" t="str">
        <f>IF(N33="RP",I33*H33*ROUND(M33/60,2)*0.01*O33/100,"--")</f>
        <v>--</v>
      </c>
      <c r="T33" s="605" t="str">
        <f>IF(AND(N33="F",Q33="NO"),IF(P33="SI",1.2,1)*I33*H33,"--")</f>
        <v>--</v>
      </c>
      <c r="U33" s="606" t="str">
        <f>IF(AND(M33&gt;10,N33="F"),IF(M33&lt;=300,ROUND(M33/60,2),5)*I33*H33*IF(P33="SI",1.2,1),"--")</f>
        <v>--</v>
      </c>
      <c r="V33" s="607" t="str">
        <f>IF(AND(N33="F",M33&gt;300),IF(P33="SI",1.2,1)*(ROUND(M33/60,2)-5)*I33*H33*0.1,"--")</f>
        <v>--</v>
      </c>
      <c r="W33" s="608" t="str">
        <f>IF(AND(N33="R",Q33="NO"),IF(P33="SI",1.2,1)*I33*H33*O33/100,"--")</f>
        <v>--</v>
      </c>
      <c r="X33" s="609" t="str">
        <f>IF(AND(M33&gt;10,N33="R"),IF(M33&lt;=300,ROUND(M33/60,2),5)*I33*H33*O33/100*IF(P33="SI",1.2,1),"--")</f>
        <v>--</v>
      </c>
      <c r="Y33" s="610" t="str">
        <f>IF(AND(N33="R",M33&gt;300),IF(P33="SI",1.2,1)*(ROUND(M33/60,2)-5)*I33*H33*O33/100*0.1,"--")</f>
        <v>--</v>
      </c>
      <c r="Z33" s="611" t="str">
        <f>IF(N33="RF",IF(P33="SI",1.2,1)*ROUND(M33/60,2)*I33*H33*0.1,"--")</f>
        <v>--</v>
      </c>
      <c r="AA33" s="612" t="str">
        <f>IF(N33="RR",IF(P33="SI",1.2,1)*ROUND(M33/60,2)*I33*H33*O33/100*0.1,"--")</f>
        <v>--</v>
      </c>
      <c r="AB33" s="613">
        <f>IF(D33="","","SI")</f>
      </c>
      <c r="AC33" s="16">
        <f>IF(D33="","",SUM(R33:AA33)*IF(AB33="SI",1,2))</f>
      </c>
      <c r="AD33" s="17"/>
    </row>
    <row r="34" spans="1:30" ht="16.5" customHeight="1">
      <c r="A34" s="5"/>
      <c r="B34" s="50"/>
      <c r="C34" s="914"/>
      <c r="D34" s="7"/>
      <c r="E34" s="542"/>
      <c r="F34" s="595"/>
      <c r="G34" s="596"/>
      <c r="H34" s="597">
        <f>IF(G34="A",200,IF(G34="B",60,20))</f>
        <v>20</v>
      </c>
      <c r="I34" s="598">
        <f>IF(F34&gt;100,F34,100)*$F$19/100</f>
        <v>117.179</v>
      </c>
      <c r="J34" s="599"/>
      <c r="K34" s="543"/>
      <c r="L34" s="600">
        <f>IF(D34="","",(K34-J34)*24)</f>
      </c>
      <c r="M34" s="416">
        <f>IF(D34="","",ROUND((K34-J34)*24*60,0))</f>
      </c>
      <c r="N34" s="601"/>
      <c r="O34" s="602">
        <f>IF(D34="","","--")</f>
      </c>
      <c r="P34" s="236">
        <f>IF(D34="","","NO")</f>
      </c>
      <c r="Q34" s="236">
        <f>IF(D34="","",IF(OR(N34="P",N34="RP"),"--","NO"))</f>
      </c>
      <c r="R34" s="603" t="str">
        <f>IF(N34="P",+I34*H34*ROUND(M34/60,2)/100,"--")</f>
        <v>--</v>
      </c>
      <c r="S34" s="604" t="str">
        <f>IF(N34="RP",I34*H34*ROUND(M34/60,2)*0.01*O34/100,"--")</f>
        <v>--</v>
      </c>
      <c r="T34" s="605" t="str">
        <f>IF(AND(N34="F",Q34="NO"),IF(P34="SI",1.2,1)*I34*H34,"--")</f>
        <v>--</v>
      </c>
      <c r="U34" s="606" t="str">
        <f>IF(AND(M34&gt;10,N34="F"),IF(M34&lt;=300,ROUND(M34/60,2),5)*I34*H34*IF(P34="SI",1.2,1),"--")</f>
        <v>--</v>
      </c>
      <c r="V34" s="607" t="str">
        <f>IF(AND(N34="F",M34&gt;300),IF(P34="SI",1.2,1)*(ROUND(M34/60,2)-5)*I34*H34*0.1,"--")</f>
        <v>--</v>
      </c>
      <c r="W34" s="608" t="str">
        <f>IF(AND(N34="R",Q34="NO"),IF(P34="SI",1.2,1)*I34*H34*O34/100,"--")</f>
        <v>--</v>
      </c>
      <c r="X34" s="609" t="str">
        <f>IF(AND(M34&gt;10,N34="R"),IF(M34&lt;=300,ROUND(M34/60,2),5)*I34*H34*O34/100*IF(P34="SI",1.2,1),"--")</f>
        <v>--</v>
      </c>
      <c r="Y34" s="610" t="str">
        <f>IF(AND(N34="R",M34&gt;300),IF(P34="SI",1.2,1)*(ROUND(M34/60,2)-5)*I34*H34*O34/100*0.1,"--")</f>
        <v>--</v>
      </c>
      <c r="Z34" s="611" t="str">
        <f>IF(N34="RF",IF(P34="SI",1.2,1)*ROUND(M34/60,2)*I34*H34*0.1,"--")</f>
        <v>--</v>
      </c>
      <c r="AA34" s="612" t="str">
        <f>IF(N34="RR",IF(P34="SI",1.2,1)*ROUND(M34/60,2)*I34*H34*O34/100*0.1,"--")</f>
        <v>--</v>
      </c>
      <c r="AB34" s="613">
        <f>IF(D34="","","SI")</f>
      </c>
      <c r="AC34" s="16">
        <f>IF(D34="","",SUM(R34:AA34)*IF(AB34="SI",1,2))</f>
      </c>
      <c r="AD34" s="17"/>
    </row>
    <row r="35" spans="1:30" ht="16.5" customHeight="1" thickBot="1">
      <c r="A35" s="32"/>
      <c r="B35" s="50"/>
      <c r="C35" s="691"/>
      <c r="D35" s="614"/>
      <c r="E35" s="615"/>
      <c r="F35" s="616"/>
      <c r="G35" s="617"/>
      <c r="H35" s="618"/>
      <c r="I35" s="619"/>
      <c r="J35" s="620"/>
      <c r="K35" s="620"/>
      <c r="L35" s="9"/>
      <c r="M35" s="9"/>
      <c r="N35" s="9"/>
      <c r="O35" s="621"/>
      <c r="P35" s="9"/>
      <c r="Q35" s="9"/>
      <c r="R35" s="622"/>
      <c r="S35" s="623"/>
      <c r="T35" s="624"/>
      <c r="U35" s="625"/>
      <c r="V35" s="626"/>
      <c r="W35" s="627"/>
      <c r="X35" s="628"/>
      <c r="Y35" s="629"/>
      <c r="Z35" s="630"/>
      <c r="AA35" s="631"/>
      <c r="AB35" s="632"/>
      <c r="AC35" s="633"/>
      <c r="AD35" s="242"/>
    </row>
    <row r="36" spans="1:30" ht="16.5" customHeight="1" thickBot="1" thickTop="1">
      <c r="A36" s="32"/>
      <c r="B36" s="50"/>
      <c r="C36" s="553"/>
      <c r="D36" s="553"/>
      <c r="E36" s="634"/>
      <c r="F36" s="563"/>
      <c r="G36" s="635"/>
      <c r="H36" s="635"/>
      <c r="I36" s="636"/>
      <c r="J36" s="636"/>
      <c r="K36" s="636"/>
      <c r="L36" s="636"/>
      <c r="M36" s="636"/>
      <c r="N36" s="636"/>
      <c r="O36" s="637"/>
      <c r="P36" s="636"/>
      <c r="Q36" s="636"/>
      <c r="R36" s="638">
        <f aca="true" t="shared" si="0" ref="R36:AA36">SUM(R31:R35)</f>
        <v>0</v>
      </c>
      <c r="S36" s="639">
        <f t="shared" si="0"/>
        <v>0</v>
      </c>
      <c r="T36" s="640">
        <f t="shared" si="0"/>
        <v>0</v>
      </c>
      <c r="U36" s="640">
        <f t="shared" si="0"/>
        <v>0</v>
      </c>
      <c r="V36" s="640">
        <f t="shared" si="0"/>
        <v>0</v>
      </c>
      <c r="W36" s="641">
        <f t="shared" si="0"/>
        <v>0</v>
      </c>
      <c r="X36" s="641">
        <f t="shared" si="0"/>
        <v>0</v>
      </c>
      <c r="Y36" s="641">
        <f t="shared" si="0"/>
        <v>0</v>
      </c>
      <c r="Z36" s="642">
        <f t="shared" si="0"/>
        <v>0</v>
      </c>
      <c r="AA36" s="643">
        <f t="shared" si="0"/>
        <v>0</v>
      </c>
      <c r="AB36" s="644"/>
      <c r="AC36" s="645">
        <f>SUM(AC31:AC35)</f>
        <v>0</v>
      </c>
      <c r="AD36" s="242"/>
    </row>
    <row r="37" spans="1:30" ht="13.5" customHeight="1" thickBot="1" thickTop="1">
      <c r="A37" s="32"/>
      <c r="B37" s="50"/>
      <c r="C37" s="553"/>
      <c r="D37" s="553"/>
      <c r="E37" s="634"/>
      <c r="F37" s="563"/>
      <c r="G37" s="635"/>
      <c r="H37" s="635"/>
      <c r="I37" s="636"/>
      <c r="J37" s="636"/>
      <c r="K37" s="636"/>
      <c r="L37" s="636"/>
      <c r="M37" s="636"/>
      <c r="N37" s="636"/>
      <c r="O37" s="637"/>
      <c r="P37" s="636"/>
      <c r="Q37" s="636"/>
      <c r="R37" s="646"/>
      <c r="S37" s="647"/>
      <c r="T37" s="648"/>
      <c r="U37" s="648"/>
      <c r="V37" s="648"/>
      <c r="W37" s="646"/>
      <c r="X37" s="646"/>
      <c r="Y37" s="646"/>
      <c r="Z37" s="646"/>
      <c r="AA37" s="646"/>
      <c r="AB37" s="649"/>
      <c r="AC37" s="650"/>
      <c r="AD37" s="242"/>
    </row>
    <row r="38" spans="1:33" s="5" customFormat="1" ht="33.75" customHeight="1" thickBot="1" thickTop="1">
      <c r="A38" s="90"/>
      <c r="B38" s="95"/>
      <c r="C38" s="124" t="s">
        <v>13</v>
      </c>
      <c r="D38" s="120" t="s">
        <v>27</v>
      </c>
      <c r="E38" s="119" t="s">
        <v>28</v>
      </c>
      <c r="F38" s="121" t="s">
        <v>29</v>
      </c>
      <c r="G38" s="122" t="s">
        <v>14</v>
      </c>
      <c r="H38" s="130" t="s">
        <v>16</v>
      </c>
      <c r="I38" s="651"/>
      <c r="J38" s="119" t="s">
        <v>17</v>
      </c>
      <c r="K38" s="119" t="s">
        <v>18</v>
      </c>
      <c r="L38" s="120" t="s">
        <v>30</v>
      </c>
      <c r="M38" s="120" t="s">
        <v>31</v>
      </c>
      <c r="N38" s="88" t="s">
        <v>107</v>
      </c>
      <c r="O38" s="119" t="s">
        <v>32</v>
      </c>
      <c r="P38" s="652" t="s">
        <v>33</v>
      </c>
      <c r="Q38" s="653"/>
      <c r="R38" s="130" t="s">
        <v>34</v>
      </c>
      <c r="S38" s="654" t="s">
        <v>20</v>
      </c>
      <c r="T38" s="655" t="s">
        <v>108</v>
      </c>
      <c r="U38" s="656"/>
      <c r="V38" s="657" t="s">
        <v>22</v>
      </c>
      <c r="W38" s="658"/>
      <c r="X38" s="659"/>
      <c r="Y38" s="659"/>
      <c r="Z38" s="659"/>
      <c r="AA38" s="660"/>
      <c r="AB38" s="133" t="s">
        <v>79</v>
      </c>
      <c r="AC38" s="122" t="s">
        <v>24</v>
      </c>
      <c r="AD38" s="17"/>
      <c r="AF38"/>
      <c r="AG38"/>
    </row>
    <row r="39" spans="1:30" ht="16.5" customHeight="1" thickTop="1">
      <c r="A39" s="5"/>
      <c r="B39" s="50"/>
      <c r="C39" s="7"/>
      <c r="D39" s="10"/>
      <c r="E39" s="10"/>
      <c r="F39" s="10"/>
      <c r="G39" s="661"/>
      <c r="H39" s="662"/>
      <c r="I39" s="663"/>
      <c r="J39" s="10"/>
      <c r="K39" s="10"/>
      <c r="L39" s="10"/>
      <c r="M39" s="10"/>
      <c r="N39" s="10"/>
      <c r="O39" s="664"/>
      <c r="P39" s="665"/>
      <c r="Q39" s="666"/>
      <c r="R39" s="134"/>
      <c r="S39" s="667"/>
      <c r="T39" s="668"/>
      <c r="U39" s="669"/>
      <c r="V39" s="670"/>
      <c r="W39" s="671"/>
      <c r="X39" s="672"/>
      <c r="Y39" s="672"/>
      <c r="Z39" s="672"/>
      <c r="AA39" s="673"/>
      <c r="AB39" s="664"/>
      <c r="AC39" s="674"/>
      <c r="AD39" s="17"/>
    </row>
    <row r="40" spans="1:30" ht="16.5" customHeight="1">
      <c r="A40" s="5"/>
      <c r="B40" s="50"/>
      <c r="C40" s="914" t="s">
        <v>223</v>
      </c>
      <c r="D40" s="289" t="s">
        <v>255</v>
      </c>
      <c r="E40" s="289" t="s">
        <v>256</v>
      </c>
      <c r="F40" s="289">
        <v>450</v>
      </c>
      <c r="G40" s="290" t="s">
        <v>257</v>
      </c>
      <c r="H40" s="679">
        <f>F40*$F$20</f>
        <v>143.55</v>
      </c>
      <c r="I40" s="680"/>
      <c r="J40" s="681">
        <v>39868.38611111111</v>
      </c>
      <c r="K40" s="681">
        <v>39868.63611111111</v>
      </c>
      <c r="L40" s="307">
        <f>IF(D40="","",(K40-J40)*24)</f>
        <v>6</v>
      </c>
      <c r="M40" s="14">
        <f>IF(D40="","",(K40-J40)*24*60)</f>
        <v>360</v>
      </c>
      <c r="N40" s="13" t="s">
        <v>241</v>
      </c>
      <c r="O40" s="8" t="str">
        <f>IF(D40="","",IF(OR(N40="P",N40="RP"),"--","NO"))</f>
        <v>--</v>
      </c>
      <c r="P40" s="682" t="str">
        <f>IF(D40="","","NO")</f>
        <v>NO</v>
      </c>
      <c r="Q40" s="683"/>
      <c r="R40" s="684">
        <f>200*IF(P40="SI",1,0.1)*IF(N40="P",0.1,1)</f>
        <v>2</v>
      </c>
      <c r="S40" s="685">
        <f>IF(N40="P",H40*R40*ROUND(M40/60,2),"--")</f>
        <v>1722.6000000000001</v>
      </c>
      <c r="T40" s="686" t="str">
        <f>IF(AND(N40="F",O40="NO"),H40*R40,"--")</f>
        <v>--</v>
      </c>
      <c r="U40" s="687" t="str">
        <f>IF(N40="F",H40*R40*ROUND(M40/60,2),"--")</f>
        <v>--</v>
      </c>
      <c r="V40" s="410" t="str">
        <f>IF(N40="RF",H40*R40*ROUND(M40/60,2),"--")</f>
        <v>--</v>
      </c>
      <c r="W40" s="688"/>
      <c r="X40" s="689"/>
      <c r="Y40" s="689"/>
      <c r="Z40" s="689"/>
      <c r="AA40" s="690"/>
      <c r="AB40" s="317" t="str">
        <f>IF(D40="","","SI")</f>
        <v>SI</v>
      </c>
      <c r="AC40" s="318">
        <f>IF(D40="","",SUM(S40:V40)*IF(AB40="SI",1,2))</f>
        <v>1722.6000000000001</v>
      </c>
      <c r="AD40" s="17"/>
    </row>
    <row r="41" spans="1:30" ht="16.5" customHeight="1">
      <c r="A41" s="5"/>
      <c r="B41" s="50"/>
      <c r="C41" s="914"/>
      <c r="D41" s="675"/>
      <c r="E41" s="676"/>
      <c r="F41" s="677"/>
      <c r="G41" s="678"/>
      <c r="H41" s="679">
        <f>F41*$F$20</f>
        <v>0</v>
      </c>
      <c r="I41" s="680"/>
      <c r="J41" s="681"/>
      <c r="K41" s="681"/>
      <c r="L41" s="307">
        <f>IF(D41="","",(K41-J41)*24)</f>
      </c>
      <c r="M41" s="14">
        <f>IF(D41="","",(K41-J41)*24*60)</f>
      </c>
      <c r="N41" s="13"/>
      <c r="O41" s="8">
        <f>IF(D41="","",IF(OR(N41="P",N41="RP"),"--","NO"))</f>
      </c>
      <c r="P41" s="682">
        <f>IF(D41="","","NO")</f>
      </c>
      <c r="Q41" s="683"/>
      <c r="R41" s="684">
        <f>200*IF(P41="SI",1,0.1)*IF(N41="P",0.1,1)</f>
        <v>20</v>
      </c>
      <c r="S41" s="685" t="str">
        <f>IF(N41="P",H41*R41*ROUND(M41/60,2),"--")</f>
        <v>--</v>
      </c>
      <c r="T41" s="686" t="str">
        <f>IF(AND(N41="F",O41="NO"),H41*R41,"--")</f>
        <v>--</v>
      </c>
      <c r="U41" s="687" t="str">
        <f>IF(N41="F",H41*R41*ROUND(M41/60,2),"--")</f>
        <v>--</v>
      </c>
      <c r="V41" s="410" t="str">
        <f>IF(N41="RF",H41*R41*ROUND(M41/60,2),"--")</f>
        <v>--</v>
      </c>
      <c r="W41" s="688"/>
      <c r="X41" s="689"/>
      <c r="Y41" s="689"/>
      <c r="Z41" s="689"/>
      <c r="AA41" s="690"/>
      <c r="AB41" s="317">
        <f>IF(D41="","","SI")</f>
      </c>
      <c r="AC41" s="318">
        <f>IF(D41="","",SUM(S41:V41)*IF(AB41="SI",1,2))</f>
      </c>
      <c r="AD41" s="17"/>
    </row>
    <row r="42" spans="1:30" ht="16.5" customHeight="1" thickBot="1">
      <c r="A42" s="32"/>
      <c r="B42" s="50"/>
      <c r="C42" s="691"/>
      <c r="D42" s="692"/>
      <c r="E42" s="693"/>
      <c r="F42" s="694"/>
      <c r="G42" s="695"/>
      <c r="H42" s="696"/>
      <c r="I42" s="697"/>
      <c r="J42" s="698"/>
      <c r="K42" s="699"/>
      <c r="L42" s="700"/>
      <c r="M42" s="701"/>
      <c r="N42" s="702"/>
      <c r="O42" s="9"/>
      <c r="P42" s="703"/>
      <c r="Q42" s="704"/>
      <c r="R42" s="705"/>
      <c r="S42" s="706"/>
      <c r="T42" s="707"/>
      <c r="U42" s="708"/>
      <c r="V42" s="709"/>
      <c r="W42" s="710"/>
      <c r="X42" s="711"/>
      <c r="Y42" s="711"/>
      <c r="Z42" s="711"/>
      <c r="AA42" s="712"/>
      <c r="AB42" s="713"/>
      <c r="AC42" s="714"/>
      <c r="AD42" s="242"/>
    </row>
    <row r="43" spans="1:30" ht="16.5" customHeight="1" thickBot="1" thickTop="1">
      <c r="A43" s="32"/>
      <c r="B43" s="50"/>
      <c r="C43" s="98"/>
      <c r="D43" s="217"/>
      <c r="E43" s="217"/>
      <c r="F43" s="447"/>
      <c r="G43" s="715"/>
      <c r="H43" s="716"/>
      <c r="I43" s="717"/>
      <c r="J43" s="718"/>
      <c r="K43" s="719"/>
      <c r="L43" s="720"/>
      <c r="M43" s="716"/>
      <c r="N43" s="721"/>
      <c r="O43" s="198"/>
      <c r="P43" s="722"/>
      <c r="Q43" s="723"/>
      <c r="R43" s="724"/>
      <c r="S43" s="724"/>
      <c r="T43" s="724"/>
      <c r="U43" s="199"/>
      <c r="V43" s="199"/>
      <c r="W43" s="199"/>
      <c r="X43" s="199"/>
      <c r="Y43" s="199"/>
      <c r="Z43" s="199"/>
      <c r="AA43" s="199"/>
      <c r="AB43" s="199"/>
      <c r="AC43" s="725">
        <f>SUM(AC39:AC42)</f>
        <v>1722.6000000000001</v>
      </c>
      <c r="AD43" s="242"/>
    </row>
    <row r="44" spans="1:30" ht="16.5" customHeight="1" thickBot="1" thickTop="1">
      <c r="A44" s="32"/>
      <c r="B44" s="50"/>
      <c r="C44" s="98"/>
      <c r="D44" s="217"/>
      <c r="E44" s="217"/>
      <c r="F44" s="447"/>
      <c r="G44" s="715"/>
      <c r="H44" s="716"/>
      <c r="I44" s="717"/>
      <c r="J44" s="564" t="s">
        <v>42</v>
      </c>
      <c r="K44" s="565">
        <f>+AC43+AC36</f>
        <v>1722.6000000000001</v>
      </c>
      <c r="L44" s="720"/>
      <c r="M44" s="716"/>
      <c r="N44" s="726"/>
      <c r="O44" s="727"/>
      <c r="P44" s="722"/>
      <c r="Q44" s="723"/>
      <c r="R44" s="724"/>
      <c r="S44" s="724"/>
      <c r="T44" s="724"/>
      <c r="U44" s="199"/>
      <c r="V44" s="199"/>
      <c r="W44" s="199"/>
      <c r="X44" s="199"/>
      <c r="Y44" s="199"/>
      <c r="Z44" s="199"/>
      <c r="AA44" s="199"/>
      <c r="AB44" s="199"/>
      <c r="AC44" s="728"/>
      <c r="AD44" s="242"/>
    </row>
    <row r="45" spans="1:30" ht="13.5" customHeight="1" thickTop="1">
      <c r="A45" s="32"/>
      <c r="B45" s="550"/>
      <c r="C45" s="553"/>
      <c r="D45" s="729"/>
      <c r="E45" s="730"/>
      <c r="F45" s="731"/>
      <c r="G45" s="732"/>
      <c r="H45" s="732"/>
      <c r="I45" s="730"/>
      <c r="J45" s="541"/>
      <c r="K45" s="541"/>
      <c r="L45" s="730"/>
      <c r="M45" s="730"/>
      <c r="N45" s="730"/>
      <c r="O45" s="733"/>
      <c r="P45" s="730"/>
      <c r="Q45" s="730"/>
      <c r="R45" s="734"/>
      <c r="S45" s="735"/>
      <c r="T45" s="735"/>
      <c r="U45" s="736"/>
      <c r="AC45" s="736"/>
      <c r="AD45" s="737"/>
    </row>
    <row r="46" spans="1:30" ht="16.5" customHeight="1">
      <c r="A46" s="32"/>
      <c r="B46" s="550"/>
      <c r="C46" s="738" t="s">
        <v>109</v>
      </c>
      <c r="D46" s="739" t="s">
        <v>147</v>
      </c>
      <c r="E46" s="730"/>
      <c r="F46" s="731"/>
      <c r="G46" s="732"/>
      <c r="H46" s="732"/>
      <c r="I46" s="730"/>
      <c r="J46" s="541"/>
      <c r="K46" s="541"/>
      <c r="L46" s="730"/>
      <c r="M46" s="730"/>
      <c r="N46" s="730"/>
      <c r="O46" s="733"/>
      <c r="P46" s="730"/>
      <c r="Q46" s="730"/>
      <c r="R46" s="734"/>
      <c r="S46" s="735"/>
      <c r="T46" s="735"/>
      <c r="U46" s="736"/>
      <c r="AC46" s="736"/>
      <c r="AD46" s="737"/>
    </row>
    <row r="47" spans="1:30" ht="16.5" customHeight="1">
      <c r="A47" s="32"/>
      <c r="B47" s="550"/>
      <c r="C47" s="738"/>
      <c r="D47" s="729"/>
      <c r="E47" s="730"/>
      <c r="F47" s="731"/>
      <c r="G47" s="732"/>
      <c r="H47" s="732"/>
      <c r="I47" s="730"/>
      <c r="J47" s="541"/>
      <c r="K47" s="541"/>
      <c r="L47" s="730"/>
      <c r="M47" s="730"/>
      <c r="N47" s="730"/>
      <c r="O47" s="733"/>
      <c r="P47" s="730"/>
      <c r="Q47" s="730"/>
      <c r="R47" s="730"/>
      <c r="S47" s="734"/>
      <c r="T47" s="735"/>
      <c r="AD47" s="737"/>
    </row>
    <row r="48" spans="2:30" s="32" customFormat="1" ht="16.5" customHeight="1">
      <c r="B48" s="550"/>
      <c r="C48" s="553"/>
      <c r="D48" s="740" t="s">
        <v>0</v>
      </c>
      <c r="E48" s="636" t="s">
        <v>110</v>
      </c>
      <c r="F48" s="636" t="s">
        <v>43</v>
      </c>
      <c r="G48" s="741" t="s">
        <v>148</v>
      </c>
      <c r="H48" s="637"/>
      <c r="I48" s="636"/>
      <c r="J48"/>
      <c r="K48"/>
      <c r="L48" s="742" t="s">
        <v>149</v>
      </c>
      <c r="M48"/>
      <c r="N48"/>
      <c r="O48"/>
      <c r="P48"/>
      <c r="Q48" s="745"/>
      <c r="R48" s="745"/>
      <c r="S48" s="33"/>
      <c r="T48"/>
      <c r="U48"/>
      <c r="V48"/>
      <c r="W48"/>
      <c r="X48" s="33"/>
      <c r="Y48" s="33"/>
      <c r="Z48" s="33"/>
      <c r="AA48" s="33"/>
      <c r="AB48" s="33"/>
      <c r="AC48" s="746" t="s">
        <v>151</v>
      </c>
      <c r="AD48" s="737"/>
    </row>
    <row r="49" spans="2:30" s="32" customFormat="1" ht="16.5" customHeight="1">
      <c r="B49" s="550"/>
      <c r="C49" s="553"/>
      <c r="D49" s="636" t="s">
        <v>258</v>
      </c>
      <c r="E49" s="747">
        <v>354</v>
      </c>
      <c r="F49" s="747">
        <v>500</v>
      </c>
      <c r="G49" s="748">
        <f>E49*$F$19*$L$20/100</f>
        <v>278754.77952</v>
      </c>
      <c r="H49" s="748"/>
      <c r="I49" s="748"/>
      <c r="J49" s="176"/>
      <c r="K49"/>
      <c r="L49" s="749">
        <v>0</v>
      </c>
      <c r="M49" s="176"/>
      <c r="N49" s="750" t="str">
        <f>"(DTE "&amp;DATO!$G$14&amp;DATO!$H$14&amp;")"</f>
        <v>(DTE 0209)</v>
      </c>
      <c r="O49"/>
      <c r="P49"/>
      <c r="Q49" s="745"/>
      <c r="R49" s="745"/>
      <c r="S49" s="33"/>
      <c r="T49"/>
      <c r="U49"/>
      <c r="V49"/>
      <c r="W49"/>
      <c r="X49" s="33"/>
      <c r="Y49" s="33"/>
      <c r="Z49" s="33"/>
      <c r="AA49" s="33"/>
      <c r="AB49" s="751"/>
      <c r="AC49" s="562">
        <f>L49+G49</f>
        <v>278754.77952</v>
      </c>
      <c r="AD49" s="737"/>
    </row>
    <row r="50" spans="2:30" s="32" customFormat="1" ht="16.5" customHeight="1">
      <c r="B50" s="550"/>
      <c r="C50" s="553"/>
      <c r="D50" s="752"/>
      <c r="E50" s="747"/>
      <c r="F50" s="747"/>
      <c r="G50" s="748"/>
      <c r="H50" s="752"/>
      <c r="I50" s="753"/>
      <c r="J50" s="176"/>
      <c r="K50"/>
      <c r="L50" s="748"/>
      <c r="M50" s="176"/>
      <c r="N50" s="750"/>
      <c r="O50" s="754"/>
      <c r="P50"/>
      <c r="Q50" s="745"/>
      <c r="R50" s="745"/>
      <c r="S50" s="33"/>
      <c r="T50"/>
      <c r="U50"/>
      <c r="V50"/>
      <c r="W50"/>
      <c r="X50" s="33"/>
      <c r="Y50" s="33"/>
      <c r="Z50" s="33"/>
      <c r="AA50" s="33"/>
      <c r="AB50" s="33"/>
      <c r="AC50" s="562">
        <f>L50+G50</f>
        <v>0</v>
      </c>
      <c r="AD50" s="737"/>
    </row>
    <row r="51" spans="2:30" s="32" customFormat="1" ht="16.5" customHeight="1">
      <c r="B51" s="550"/>
      <c r="C51" s="553"/>
      <c r="E51" s="558"/>
      <c r="F51" s="636"/>
      <c r="G51" s="637"/>
      <c r="H51"/>
      <c r="I51" s="636"/>
      <c r="J51" s="636"/>
      <c r="K51"/>
      <c r="L51" s="562"/>
      <c r="M51" s="744"/>
      <c r="N51" s="744"/>
      <c r="O51" s="745"/>
      <c r="P51" s="745"/>
      <c r="Q51" s="745"/>
      <c r="R51" s="745"/>
      <c r="S51" s="33"/>
      <c r="T51"/>
      <c r="U51"/>
      <c r="V51"/>
      <c r="W51"/>
      <c r="X51" s="33"/>
      <c r="Y51" s="33"/>
      <c r="Z51" s="33"/>
      <c r="AA51" s="33"/>
      <c r="AB51" s="33"/>
      <c r="AC51" s="562"/>
      <c r="AD51" s="737"/>
    </row>
    <row r="52" spans="1:30" ht="16.5" customHeight="1">
      <c r="A52" s="32"/>
      <c r="B52" s="550"/>
      <c r="C52" s="553"/>
      <c r="D52" s="740" t="s">
        <v>123</v>
      </c>
      <c r="E52" s="636" t="s">
        <v>124</v>
      </c>
      <c r="F52" s="636" t="s">
        <v>43</v>
      </c>
      <c r="G52" s="741" t="s">
        <v>152</v>
      </c>
      <c r="I52" s="743"/>
      <c r="J52" s="636"/>
      <c r="L52" s="742" t="s">
        <v>150</v>
      </c>
      <c r="M52" s="743"/>
      <c r="N52" s="744"/>
      <c r="O52" s="745"/>
      <c r="P52" s="745"/>
      <c r="Q52" s="745"/>
      <c r="R52" s="745"/>
      <c r="S52" s="745"/>
      <c r="AC52" s="562">
        <f>+L53</f>
        <v>0</v>
      </c>
      <c r="AD52" s="737"/>
    </row>
    <row r="53" spans="1:30" ht="16.5" customHeight="1">
      <c r="A53" s="32"/>
      <c r="B53" s="550"/>
      <c r="C53" s="553"/>
      <c r="D53" s="636" t="s">
        <v>259</v>
      </c>
      <c r="E53" s="747">
        <v>450</v>
      </c>
      <c r="F53" s="747" t="s">
        <v>257</v>
      </c>
      <c r="G53" s="748">
        <f>E53*F20*L20</f>
        <v>96465.6</v>
      </c>
      <c r="H53" s="176"/>
      <c r="I53" s="176"/>
      <c r="J53" s="749"/>
      <c r="L53" s="748">
        <v>0</v>
      </c>
      <c r="M53" s="176"/>
      <c r="N53" s="750" t="str">
        <f>"(DTE "&amp;DATO!$G$14&amp;DATO!$H$14&amp;")"</f>
        <v>(DTE 0209)</v>
      </c>
      <c r="O53" s="781"/>
      <c r="P53" s="781"/>
      <c r="Q53" s="781"/>
      <c r="R53" s="781"/>
      <c r="S53" s="781"/>
      <c r="AC53" s="782">
        <f>G53</f>
        <v>96465.6</v>
      </c>
      <c r="AD53" s="737"/>
    </row>
    <row r="54" spans="1:30" ht="16.5" customHeight="1">
      <c r="A54" s="32"/>
      <c r="B54" s="550"/>
      <c r="C54" s="553"/>
      <c r="D54" s="636"/>
      <c r="E54" s="747"/>
      <c r="F54" s="747"/>
      <c r="G54" s="748"/>
      <c r="H54" s="176"/>
      <c r="I54" s="176"/>
      <c r="J54" s="749"/>
      <c r="L54" s="749"/>
      <c r="M54" s="176"/>
      <c r="N54" s="750"/>
      <c r="O54" s="781"/>
      <c r="P54" s="781"/>
      <c r="Q54" s="781"/>
      <c r="R54" s="781"/>
      <c r="S54" s="781"/>
      <c r="AC54" s="782">
        <f>G54</f>
        <v>0</v>
      </c>
      <c r="AD54" s="737"/>
    </row>
    <row r="55" spans="1:30" ht="16.5" customHeight="1">
      <c r="A55" s="32"/>
      <c r="B55" s="550"/>
      <c r="C55" s="553"/>
      <c r="D55" s="636"/>
      <c r="E55" s="747"/>
      <c r="F55" s="747"/>
      <c r="G55" s="748"/>
      <c r="H55" s="176"/>
      <c r="I55" s="176"/>
      <c r="J55" s="749"/>
      <c r="L55" s="749"/>
      <c r="M55" s="176"/>
      <c r="N55" s="750"/>
      <c r="O55" s="781"/>
      <c r="P55" s="781"/>
      <c r="Q55" s="781"/>
      <c r="R55" s="781"/>
      <c r="S55" s="781"/>
      <c r="AC55" s="782"/>
      <c r="AD55" s="737"/>
    </row>
    <row r="56" spans="1:30" ht="16.5" customHeight="1">
      <c r="A56" s="32"/>
      <c r="B56" s="550"/>
      <c r="C56" s="553"/>
      <c r="D56" s="740"/>
      <c r="E56" s="753"/>
      <c r="F56" s="753"/>
      <c r="G56" s="636"/>
      <c r="I56" s="743"/>
      <c r="J56" s="741"/>
      <c r="L56" s="742"/>
      <c r="M56" s="743"/>
      <c r="N56" s="744"/>
      <c r="O56" s="745"/>
      <c r="P56" s="745"/>
      <c r="Q56" s="745"/>
      <c r="R56" s="745"/>
      <c r="S56" s="745"/>
      <c r="AC56" s="562"/>
      <c r="AD56" s="737"/>
    </row>
    <row r="57" spans="1:30" ht="16.5" customHeight="1">
      <c r="A57" s="32"/>
      <c r="B57" s="550"/>
      <c r="C57" s="553"/>
      <c r="D57" s="636"/>
      <c r="E57" s="783"/>
      <c r="F57" s="784"/>
      <c r="G57" s="747"/>
      <c r="H57" s="176"/>
      <c r="I57" s="176"/>
      <c r="J57" s="748"/>
      <c r="L57" s="749"/>
      <c r="M57" s="176"/>
      <c r="N57" s="750"/>
      <c r="O57" s="781"/>
      <c r="P57" s="781"/>
      <c r="Q57" s="781"/>
      <c r="R57" s="781"/>
      <c r="S57" s="781"/>
      <c r="AC57" s="782">
        <f>J57</f>
        <v>0</v>
      </c>
      <c r="AD57" s="737"/>
    </row>
    <row r="58" spans="1:30" ht="16.5" customHeight="1">
      <c r="A58" s="32"/>
      <c r="B58" s="550"/>
      <c r="C58" s="553"/>
      <c r="D58" s="636"/>
      <c r="E58" s="783"/>
      <c r="F58" s="784"/>
      <c r="G58" s="747"/>
      <c r="H58" s="176"/>
      <c r="I58" s="176"/>
      <c r="J58" s="748"/>
      <c r="L58" s="749"/>
      <c r="M58" s="176"/>
      <c r="N58" s="750"/>
      <c r="O58" s="781"/>
      <c r="P58" s="781"/>
      <c r="Q58" s="781"/>
      <c r="R58" s="781"/>
      <c r="S58" s="781"/>
      <c r="AC58" s="785">
        <f>J58</f>
        <v>0</v>
      </c>
      <c r="AD58" s="737"/>
    </row>
    <row r="59" spans="1:30" ht="16.5" customHeight="1">
      <c r="A59" s="32"/>
      <c r="B59" s="550"/>
      <c r="C59" s="553"/>
      <c r="D59" s="541"/>
      <c r="E59" s="558"/>
      <c r="F59" s="636"/>
      <c r="G59" s="636"/>
      <c r="H59" s="637"/>
      <c r="J59" s="636"/>
      <c r="L59" s="755"/>
      <c r="M59" s="744"/>
      <c r="N59" s="744"/>
      <c r="O59" s="745"/>
      <c r="P59" s="745"/>
      <c r="Q59" s="745"/>
      <c r="R59" s="745"/>
      <c r="S59" s="745"/>
      <c r="AC59" s="552">
        <f>SUM(AC49:AC57)</f>
        <v>375220.37951999996</v>
      </c>
      <c r="AD59" s="737"/>
    </row>
    <row r="60" spans="2:30" ht="16.5" customHeight="1">
      <c r="B60" s="550"/>
      <c r="C60" s="738" t="s">
        <v>111</v>
      </c>
      <c r="D60" s="756" t="s">
        <v>112</v>
      </c>
      <c r="E60" s="636"/>
      <c r="F60" s="757"/>
      <c r="G60" s="635"/>
      <c r="H60" s="541"/>
      <c r="I60" s="541"/>
      <c r="J60" s="541"/>
      <c r="K60" s="636"/>
      <c r="L60" s="636"/>
      <c r="M60" s="541"/>
      <c r="N60" s="636"/>
      <c r="O60" s="541"/>
      <c r="P60" s="541"/>
      <c r="Q60" s="541"/>
      <c r="R60" s="541"/>
      <c r="S60" s="541"/>
      <c r="T60" s="541"/>
      <c r="U60" s="541"/>
      <c r="AC60" s="541"/>
      <c r="AD60" s="737"/>
    </row>
    <row r="61" spans="2:30" s="32" customFormat="1" ht="16.5" customHeight="1">
      <c r="B61" s="550"/>
      <c r="C61" s="553"/>
      <c r="D61" s="740" t="s">
        <v>113</v>
      </c>
      <c r="E61" s="758">
        <f>10*K44*K26/AC59</f>
        <v>689.04</v>
      </c>
      <c r="G61" s="635"/>
      <c r="L61" s="636"/>
      <c r="N61" s="636"/>
      <c r="O61" s="637"/>
      <c r="V61"/>
      <c r="W61"/>
      <c r="AD61" s="737"/>
    </row>
    <row r="62" spans="2:30" s="32" customFormat="1" ht="16.5" customHeight="1">
      <c r="B62" s="550"/>
      <c r="C62" s="553"/>
      <c r="E62" s="759"/>
      <c r="F62" s="563"/>
      <c r="G62" s="635"/>
      <c r="J62" s="635"/>
      <c r="K62" s="650"/>
      <c r="L62" s="636"/>
      <c r="M62" s="636"/>
      <c r="N62" s="636"/>
      <c r="O62" s="637"/>
      <c r="P62" s="636"/>
      <c r="Q62" s="636"/>
      <c r="R62" s="649"/>
      <c r="S62" s="649"/>
      <c r="T62" s="649"/>
      <c r="U62" s="760"/>
      <c r="V62"/>
      <c r="W62"/>
      <c r="AC62" s="760"/>
      <c r="AD62" s="737"/>
    </row>
    <row r="63" spans="2:30" ht="16.5" customHeight="1">
      <c r="B63" s="550"/>
      <c r="C63" s="553"/>
      <c r="D63" s="761" t="s">
        <v>251</v>
      </c>
      <c r="E63" s="762"/>
      <c r="F63" s="563"/>
      <c r="G63" s="635"/>
      <c r="H63" s="541"/>
      <c r="I63" s="541"/>
      <c r="N63" s="636"/>
      <c r="O63" s="637"/>
      <c r="P63" s="636"/>
      <c r="Q63" s="636"/>
      <c r="R63" s="743"/>
      <c r="S63" s="743"/>
      <c r="T63" s="743"/>
      <c r="U63" s="744"/>
      <c r="AC63" s="744"/>
      <c r="AD63" s="737"/>
    </row>
    <row r="64" spans="2:30" ht="16.5" customHeight="1" thickBot="1">
      <c r="B64" s="550"/>
      <c r="C64" s="553"/>
      <c r="D64" s="761"/>
      <c r="E64" s="762"/>
      <c r="F64" s="563"/>
      <c r="G64" s="635"/>
      <c r="H64" s="541"/>
      <c r="I64" s="541"/>
      <c r="N64" s="636"/>
      <c r="O64" s="637"/>
      <c r="P64" s="636"/>
      <c r="Q64" s="636"/>
      <c r="R64" s="743"/>
      <c r="S64" s="743"/>
      <c r="T64" s="743"/>
      <c r="U64" s="744"/>
      <c r="AC64" s="744"/>
      <c r="AD64" s="737"/>
    </row>
    <row r="65" spans="2:30" s="763" customFormat="1" ht="24" thickBot="1" thickTop="1">
      <c r="B65" s="764"/>
      <c r="C65" s="765"/>
      <c r="D65" s="766"/>
      <c r="E65" s="767"/>
      <c r="F65" s="768"/>
      <c r="G65" s="769"/>
      <c r="I65"/>
      <c r="J65" s="770" t="s">
        <v>114</v>
      </c>
      <c r="K65" s="771">
        <f>IF(E61&gt;3*K26,K26*3,E61)</f>
        <v>689.04</v>
      </c>
      <c r="L65" s="927"/>
      <c r="M65" s="984"/>
      <c r="N65" s="984"/>
      <c r="O65" s="984"/>
      <c r="P65" s="772"/>
      <c r="Q65" s="772"/>
      <c r="R65" s="774"/>
      <c r="S65" s="774"/>
      <c r="T65" s="774"/>
      <c r="U65" s="775"/>
      <c r="V65"/>
      <c r="W65"/>
      <c r="AC65" s="775"/>
      <c r="AD65" s="776"/>
    </row>
    <row r="66" spans="2:30" ht="16.5" customHeight="1" thickBot="1" thickTop="1">
      <c r="B66" s="5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200"/>
      <c r="W66" s="200"/>
      <c r="X66" s="200"/>
      <c r="Y66" s="200"/>
      <c r="Z66" s="200"/>
      <c r="AA66" s="200"/>
      <c r="AB66" s="200"/>
      <c r="AC66" s="59"/>
      <c r="AD66" s="777"/>
    </row>
    <row r="67" spans="2:23" ht="16.5" customHeight="1" thickTop="1">
      <c r="B67" s="1"/>
      <c r="C67" s="73"/>
      <c r="W67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4"/>
  <headerFooter alignWithMargins="0">
    <oddFooter>&amp;L&amp;"Times New Roman,Normal"&amp;8&amp;F-&amp;A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L114"/>
  <sheetViews>
    <sheetView zoomScale="50" zoomScaleNormal="50" workbookViewId="0" topLeftCell="A55">
      <selection activeCell="L29" sqref="L29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93"/>
      <c r="V1" s="994"/>
    </row>
    <row r="2" spans="2:22" s="18" customFormat="1" ht="26.25">
      <c r="B2" s="435" t="str">
        <f>+'TOT-0209'!B2</f>
        <v>ANEXO III al Memorandum  D.T.E.E. N°  770        /2010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995"/>
    </row>
    <row r="3" spans="1:22" s="25" customFormat="1" ht="11.25">
      <c r="A3" s="23" t="s">
        <v>2</v>
      </c>
      <c r="B3" s="125"/>
      <c r="U3" s="996"/>
      <c r="V3" s="996"/>
    </row>
    <row r="4" spans="1:22" s="25" customFormat="1" ht="11.25">
      <c r="A4" s="23" t="s">
        <v>3</v>
      </c>
      <c r="B4" s="125"/>
      <c r="U4" s="125"/>
      <c r="V4" s="996"/>
    </row>
    <row r="5" spans="21:22" ht="9.75" customHeight="1">
      <c r="U5" s="22"/>
      <c r="V5" s="994"/>
    </row>
    <row r="6" spans="2:178" s="997" customFormat="1" ht="23.25">
      <c r="B6" s="998" t="s">
        <v>344</v>
      </c>
      <c r="C6" s="998"/>
      <c r="D6" s="999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1000"/>
      <c r="W6" s="998"/>
      <c r="X6" s="998"/>
      <c r="Y6" s="998"/>
      <c r="Z6" s="998"/>
      <c r="AA6" s="998"/>
      <c r="AB6" s="998"/>
      <c r="AC6" s="998"/>
      <c r="AD6" s="998"/>
      <c r="AE6" s="998"/>
      <c r="AF6" s="998"/>
      <c r="AG6" s="998"/>
      <c r="AH6" s="998"/>
      <c r="AI6" s="998"/>
      <c r="AJ6" s="998"/>
      <c r="AK6" s="998"/>
      <c r="AL6" s="998"/>
      <c r="AM6" s="998"/>
      <c r="AN6" s="998"/>
      <c r="AO6" s="998"/>
      <c r="AP6" s="998"/>
      <c r="AQ6" s="998"/>
      <c r="AR6" s="998"/>
      <c r="AS6" s="998"/>
      <c r="AT6" s="998"/>
      <c r="AU6" s="998"/>
      <c r="AV6" s="998"/>
      <c r="AW6" s="998"/>
      <c r="AX6" s="998"/>
      <c r="AY6" s="998"/>
      <c r="AZ6" s="998"/>
      <c r="BA6" s="998"/>
      <c r="BB6" s="998"/>
      <c r="BC6" s="998"/>
      <c r="BD6" s="998"/>
      <c r="BE6" s="998"/>
      <c r="BF6" s="998"/>
      <c r="BG6" s="998"/>
      <c r="BH6" s="998"/>
      <c r="BI6" s="998"/>
      <c r="BJ6" s="998"/>
      <c r="BK6" s="998"/>
      <c r="BL6" s="998"/>
      <c r="BM6" s="998"/>
      <c r="BN6" s="998"/>
      <c r="BO6" s="998"/>
      <c r="BP6" s="998"/>
      <c r="BQ6" s="998"/>
      <c r="BR6" s="998"/>
      <c r="BS6" s="998"/>
      <c r="BT6" s="998"/>
      <c r="BU6" s="998"/>
      <c r="BV6" s="998"/>
      <c r="BW6" s="998"/>
      <c r="BX6" s="998"/>
      <c r="BY6" s="998"/>
      <c r="BZ6" s="998"/>
      <c r="CA6" s="998"/>
      <c r="CB6" s="998"/>
      <c r="CC6" s="998"/>
      <c r="CD6" s="998"/>
      <c r="CE6" s="998"/>
      <c r="CF6" s="998"/>
      <c r="CG6" s="998"/>
      <c r="CH6" s="998"/>
      <c r="CI6" s="998"/>
      <c r="CJ6" s="998"/>
      <c r="CK6" s="998"/>
      <c r="CL6" s="998"/>
      <c r="CM6" s="998"/>
      <c r="CN6" s="998"/>
      <c r="CO6" s="998"/>
      <c r="CP6" s="998"/>
      <c r="CQ6" s="998"/>
      <c r="CR6" s="998"/>
      <c r="CS6" s="998"/>
      <c r="CT6" s="998"/>
      <c r="CU6" s="998"/>
      <c r="CV6" s="998"/>
      <c r="CW6" s="998"/>
      <c r="CX6" s="998"/>
      <c r="CY6" s="998"/>
      <c r="CZ6" s="998"/>
      <c r="DA6" s="998"/>
      <c r="DB6" s="998"/>
      <c r="DC6" s="998"/>
      <c r="DD6" s="998"/>
      <c r="DE6" s="998"/>
      <c r="DF6" s="998"/>
      <c r="DG6" s="998"/>
      <c r="DH6" s="998"/>
      <c r="DI6" s="998"/>
      <c r="DJ6" s="998"/>
      <c r="DK6" s="998"/>
      <c r="DL6" s="998"/>
      <c r="DM6" s="998"/>
      <c r="DN6" s="998"/>
      <c r="DO6" s="998"/>
      <c r="DP6" s="998"/>
      <c r="DQ6" s="998"/>
      <c r="DR6" s="998"/>
      <c r="DS6" s="998"/>
      <c r="DT6" s="998"/>
      <c r="DU6" s="998"/>
      <c r="DV6" s="998"/>
      <c r="DW6" s="998"/>
      <c r="DX6" s="998"/>
      <c r="DY6" s="998"/>
      <c r="DZ6" s="998"/>
      <c r="EA6" s="998"/>
      <c r="EB6" s="998"/>
      <c r="EC6" s="998"/>
      <c r="ED6" s="998"/>
      <c r="EE6" s="998"/>
      <c r="EF6" s="998"/>
      <c r="EG6" s="998"/>
      <c r="EH6" s="998"/>
      <c r="EI6" s="998"/>
      <c r="EJ6" s="998"/>
      <c r="EK6" s="998"/>
      <c r="EL6" s="998"/>
      <c r="EM6" s="998"/>
      <c r="EN6" s="998"/>
      <c r="EO6" s="998"/>
      <c r="EP6" s="998"/>
      <c r="EQ6" s="998"/>
      <c r="ER6" s="998"/>
      <c r="ES6" s="998"/>
      <c r="ET6" s="998"/>
      <c r="EU6" s="998"/>
      <c r="EV6" s="998"/>
      <c r="EW6" s="998"/>
      <c r="EX6" s="998"/>
      <c r="EY6" s="998"/>
      <c r="EZ6" s="998"/>
      <c r="FA6" s="998"/>
      <c r="FB6" s="998"/>
      <c r="FC6" s="998"/>
      <c r="FD6" s="998"/>
      <c r="FE6" s="998"/>
      <c r="FF6" s="998"/>
      <c r="FG6" s="998"/>
      <c r="FH6" s="998"/>
      <c r="FI6" s="998"/>
      <c r="FJ6" s="998"/>
      <c r="FK6" s="998"/>
      <c r="FL6" s="998"/>
      <c r="FM6" s="998"/>
      <c r="FN6" s="998"/>
      <c r="FO6" s="998"/>
      <c r="FP6" s="998"/>
      <c r="FQ6" s="998"/>
      <c r="FR6" s="998"/>
      <c r="FS6" s="998"/>
      <c r="FT6" s="998"/>
      <c r="FU6" s="998"/>
      <c r="FV6" s="998"/>
    </row>
    <row r="7" spans="2:178" s="32" customFormat="1" ht="9.75" customHeight="1"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975"/>
      <c r="V7" s="975"/>
      <c r="W7" s="752"/>
      <c r="X7" s="752"/>
      <c r="Y7" s="752"/>
      <c r="Z7" s="752"/>
      <c r="AA7" s="752"/>
      <c r="AB7" s="752"/>
      <c r="AC7" s="752"/>
      <c r="AD7" s="752"/>
      <c r="AE7" s="752"/>
      <c r="AF7" s="752"/>
      <c r="AG7" s="752"/>
      <c r="AH7" s="752"/>
      <c r="AI7" s="752"/>
      <c r="AJ7" s="752"/>
      <c r="AK7" s="752"/>
      <c r="AL7" s="752"/>
      <c r="AM7" s="752"/>
      <c r="AN7" s="752"/>
      <c r="AO7" s="752"/>
      <c r="AP7" s="752"/>
      <c r="AQ7" s="752"/>
      <c r="AR7" s="752"/>
      <c r="AS7" s="752"/>
      <c r="AT7" s="752"/>
      <c r="AU7" s="752"/>
      <c r="AV7" s="752"/>
      <c r="AW7" s="752"/>
      <c r="AX7" s="752"/>
      <c r="AY7" s="752"/>
      <c r="AZ7" s="752"/>
      <c r="BA7" s="752"/>
      <c r="BB7" s="752"/>
      <c r="BC7" s="752"/>
      <c r="BD7" s="752"/>
      <c r="BE7" s="752"/>
      <c r="BF7" s="752"/>
      <c r="BG7" s="752"/>
      <c r="BH7" s="752"/>
      <c r="BI7" s="752"/>
      <c r="BJ7" s="752"/>
      <c r="BK7" s="752"/>
      <c r="BL7" s="752"/>
      <c r="BM7" s="752"/>
      <c r="BN7" s="752"/>
      <c r="BO7" s="752"/>
      <c r="BP7" s="752"/>
      <c r="BQ7" s="752"/>
      <c r="BR7" s="752"/>
      <c r="BS7" s="752"/>
      <c r="BT7" s="752"/>
      <c r="BU7" s="752"/>
      <c r="BV7" s="752"/>
      <c r="BW7" s="752"/>
      <c r="BX7" s="752"/>
      <c r="BY7" s="752"/>
      <c r="BZ7" s="752"/>
      <c r="CA7" s="752"/>
      <c r="CB7" s="752"/>
      <c r="CC7" s="752"/>
      <c r="CD7" s="752"/>
      <c r="CE7" s="752"/>
      <c r="CF7" s="752"/>
      <c r="CG7" s="752"/>
      <c r="CH7" s="752"/>
      <c r="CI7" s="752"/>
      <c r="CJ7" s="752"/>
      <c r="CK7" s="752"/>
      <c r="CL7" s="752"/>
      <c r="CM7" s="752"/>
      <c r="CN7" s="752"/>
      <c r="CO7" s="752"/>
      <c r="CP7" s="752"/>
      <c r="CQ7" s="752"/>
      <c r="CR7" s="752"/>
      <c r="CS7" s="752"/>
      <c r="CT7" s="752"/>
      <c r="CU7" s="752"/>
      <c r="CV7" s="752"/>
      <c r="CW7" s="752"/>
      <c r="CX7" s="752"/>
      <c r="CY7" s="752"/>
      <c r="CZ7" s="752"/>
      <c r="DA7" s="752"/>
      <c r="DB7" s="752"/>
      <c r="DC7" s="752"/>
      <c r="DD7" s="752"/>
      <c r="DE7" s="752"/>
      <c r="DF7" s="752"/>
      <c r="DG7" s="752"/>
      <c r="DH7" s="752"/>
      <c r="DI7" s="752"/>
      <c r="DJ7" s="752"/>
      <c r="DK7" s="752"/>
      <c r="DL7" s="752"/>
      <c r="DM7" s="752"/>
      <c r="DN7" s="752"/>
      <c r="DO7" s="752"/>
      <c r="DP7" s="752"/>
      <c r="DQ7" s="752"/>
      <c r="DR7" s="752"/>
      <c r="DS7" s="752"/>
      <c r="DT7" s="752"/>
      <c r="DU7" s="752"/>
      <c r="DV7" s="752"/>
      <c r="DW7" s="752"/>
      <c r="DX7" s="752"/>
      <c r="DY7" s="752"/>
      <c r="DZ7" s="752"/>
      <c r="EA7" s="752"/>
      <c r="EB7" s="752"/>
      <c r="EC7" s="752"/>
      <c r="ED7" s="752"/>
      <c r="EE7" s="752"/>
      <c r="EF7" s="752"/>
      <c r="EG7" s="752"/>
      <c r="EH7" s="752"/>
      <c r="EI7" s="752"/>
      <c r="EJ7" s="752"/>
      <c r="EK7" s="752"/>
      <c r="EL7" s="752"/>
      <c r="EM7" s="752"/>
      <c r="EN7" s="752"/>
      <c r="EO7" s="752"/>
      <c r="EP7" s="752"/>
      <c r="EQ7" s="752"/>
      <c r="ER7" s="752"/>
      <c r="ES7" s="752"/>
      <c r="ET7" s="752"/>
      <c r="EU7" s="752"/>
      <c r="EV7" s="752"/>
      <c r="EW7" s="752"/>
      <c r="EX7" s="752"/>
      <c r="EY7" s="752"/>
      <c r="EZ7" s="752"/>
      <c r="FA7" s="752"/>
      <c r="FB7" s="752"/>
      <c r="FC7" s="752"/>
      <c r="FD7" s="752"/>
      <c r="FE7" s="752"/>
      <c r="FF7" s="752"/>
      <c r="FG7" s="752"/>
      <c r="FH7" s="752"/>
      <c r="FI7" s="752"/>
      <c r="FJ7" s="752"/>
      <c r="FK7" s="752"/>
      <c r="FL7" s="752"/>
      <c r="FM7" s="752"/>
      <c r="FN7" s="752"/>
      <c r="FO7" s="752"/>
      <c r="FP7" s="752"/>
      <c r="FQ7" s="752"/>
      <c r="FR7" s="752"/>
      <c r="FS7" s="752"/>
      <c r="FT7" s="752"/>
      <c r="FU7" s="752"/>
      <c r="FV7" s="752"/>
    </row>
    <row r="8" spans="2:178" s="1001" customFormat="1" ht="23.25">
      <c r="B8" s="998" t="s">
        <v>62</v>
      </c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1002"/>
      <c r="W8" s="999"/>
      <c r="X8" s="999"/>
      <c r="Y8" s="999"/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999"/>
      <c r="AT8" s="999"/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999"/>
      <c r="BP8" s="999"/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999"/>
      <c r="CL8" s="999"/>
      <c r="CM8" s="999"/>
      <c r="CN8" s="999"/>
      <c r="CO8" s="999"/>
      <c r="CP8" s="999"/>
      <c r="CQ8" s="999"/>
      <c r="CR8" s="999"/>
      <c r="CS8" s="999"/>
      <c r="CT8" s="999"/>
      <c r="CU8" s="999"/>
      <c r="CV8" s="999"/>
      <c r="CW8" s="999"/>
      <c r="CX8" s="999"/>
      <c r="CY8" s="999"/>
      <c r="CZ8" s="999"/>
      <c r="DA8" s="999"/>
      <c r="DB8" s="999"/>
      <c r="DC8" s="999"/>
      <c r="DD8" s="999"/>
      <c r="DE8" s="999"/>
      <c r="DF8" s="999"/>
      <c r="DG8" s="999"/>
      <c r="DH8" s="999"/>
      <c r="DI8" s="999"/>
      <c r="DJ8" s="999"/>
      <c r="DK8" s="999"/>
      <c r="DL8" s="999"/>
      <c r="DM8" s="999"/>
      <c r="DN8" s="999"/>
      <c r="DO8" s="999"/>
      <c r="DP8" s="999"/>
      <c r="DQ8" s="999"/>
      <c r="DR8" s="999"/>
      <c r="DS8" s="999"/>
      <c r="DT8" s="999"/>
      <c r="DU8" s="999"/>
      <c r="DV8" s="999"/>
      <c r="DW8" s="999"/>
      <c r="DX8" s="999"/>
      <c r="DY8" s="999"/>
      <c r="DZ8" s="999"/>
      <c r="EA8" s="999"/>
      <c r="EB8" s="999"/>
      <c r="EC8" s="999"/>
      <c r="ED8" s="999"/>
      <c r="EE8" s="999"/>
      <c r="EF8" s="999"/>
      <c r="EG8" s="999"/>
      <c r="EH8" s="999"/>
      <c r="EI8" s="999"/>
      <c r="EJ8" s="999"/>
      <c r="EK8" s="999"/>
      <c r="EL8" s="999"/>
      <c r="EM8" s="999"/>
      <c r="EN8" s="999"/>
      <c r="EO8" s="999"/>
      <c r="EP8" s="999"/>
      <c r="EQ8" s="999"/>
      <c r="ER8" s="999"/>
      <c r="ES8" s="999"/>
      <c r="ET8" s="999"/>
      <c r="EU8" s="999"/>
      <c r="EV8" s="999"/>
      <c r="EW8" s="999"/>
      <c r="EX8" s="999"/>
      <c r="EY8" s="999"/>
      <c r="EZ8" s="999"/>
      <c r="FA8" s="999"/>
      <c r="FB8" s="999"/>
      <c r="FC8" s="999"/>
      <c r="FD8" s="999"/>
      <c r="FE8" s="999"/>
      <c r="FF8" s="999"/>
      <c r="FG8" s="999"/>
      <c r="FH8" s="999"/>
      <c r="FI8" s="999"/>
      <c r="FJ8" s="999"/>
      <c r="FK8" s="999"/>
      <c r="FL8" s="999"/>
      <c r="FM8" s="999"/>
      <c r="FN8" s="999"/>
      <c r="FO8" s="999"/>
      <c r="FP8" s="999"/>
      <c r="FQ8" s="999"/>
      <c r="FR8" s="999"/>
      <c r="FS8" s="999"/>
      <c r="FT8" s="999"/>
      <c r="FU8" s="999"/>
      <c r="FV8" s="999"/>
    </row>
    <row r="9" spans="2:178" s="32" customFormat="1" ht="9.75" customHeight="1"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975"/>
      <c r="V9" s="975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752"/>
      <c r="AX9" s="752"/>
      <c r="AY9" s="752"/>
      <c r="AZ9" s="752"/>
      <c r="BA9" s="752"/>
      <c r="BB9" s="752"/>
      <c r="BC9" s="752"/>
      <c r="BD9" s="752"/>
      <c r="BE9" s="752"/>
      <c r="BF9" s="752"/>
      <c r="BG9" s="752"/>
      <c r="BH9" s="752"/>
      <c r="BI9" s="752"/>
      <c r="BJ9" s="752"/>
      <c r="BK9" s="752"/>
      <c r="BL9" s="752"/>
      <c r="BM9" s="752"/>
      <c r="BN9" s="752"/>
      <c r="BO9" s="752"/>
      <c r="BP9" s="752"/>
      <c r="BQ9" s="752"/>
      <c r="BR9" s="752"/>
      <c r="BS9" s="752"/>
      <c r="BT9" s="752"/>
      <c r="BU9" s="752"/>
      <c r="BV9" s="752"/>
      <c r="BW9" s="752"/>
      <c r="BX9" s="752"/>
      <c r="BY9" s="752"/>
      <c r="BZ9" s="752"/>
      <c r="CA9" s="752"/>
      <c r="CB9" s="752"/>
      <c r="CC9" s="752"/>
      <c r="CD9" s="752"/>
      <c r="CE9" s="752"/>
      <c r="CF9" s="752"/>
      <c r="CG9" s="752"/>
      <c r="CH9" s="752"/>
      <c r="CI9" s="752"/>
      <c r="CJ9" s="752"/>
      <c r="CK9" s="752"/>
      <c r="CL9" s="752"/>
      <c r="CM9" s="752"/>
      <c r="CN9" s="752"/>
      <c r="CO9" s="752"/>
      <c r="CP9" s="752"/>
      <c r="CQ9" s="752"/>
      <c r="CR9" s="752"/>
      <c r="CS9" s="752"/>
      <c r="CT9" s="752"/>
      <c r="CU9" s="752"/>
      <c r="CV9" s="752"/>
      <c r="CW9" s="752"/>
      <c r="CX9" s="752"/>
      <c r="CY9" s="752"/>
      <c r="CZ9" s="752"/>
      <c r="DA9" s="752"/>
      <c r="DB9" s="752"/>
      <c r="DC9" s="752"/>
      <c r="DD9" s="752"/>
      <c r="DE9" s="752"/>
      <c r="DF9" s="752"/>
      <c r="DG9" s="752"/>
      <c r="DH9" s="752"/>
      <c r="DI9" s="752"/>
      <c r="DJ9" s="752"/>
      <c r="DK9" s="752"/>
      <c r="DL9" s="752"/>
      <c r="DM9" s="752"/>
      <c r="DN9" s="752"/>
      <c r="DO9" s="752"/>
      <c r="DP9" s="752"/>
      <c r="DQ9" s="752"/>
      <c r="DR9" s="752"/>
      <c r="DS9" s="752"/>
      <c r="DT9" s="752"/>
      <c r="DU9" s="752"/>
      <c r="DV9" s="752"/>
      <c r="DW9" s="752"/>
      <c r="DX9" s="752"/>
      <c r="DY9" s="752"/>
      <c r="DZ9" s="752"/>
      <c r="EA9" s="752"/>
      <c r="EB9" s="752"/>
      <c r="EC9" s="752"/>
      <c r="ED9" s="752"/>
      <c r="EE9" s="752"/>
      <c r="EF9" s="752"/>
      <c r="EG9" s="752"/>
      <c r="EH9" s="752"/>
      <c r="EI9" s="752"/>
      <c r="EJ9" s="752"/>
      <c r="EK9" s="752"/>
      <c r="EL9" s="752"/>
      <c r="EM9" s="752"/>
      <c r="EN9" s="752"/>
      <c r="EO9" s="752"/>
      <c r="EP9" s="752"/>
      <c r="EQ9" s="752"/>
      <c r="ER9" s="752"/>
      <c r="ES9" s="752"/>
      <c r="ET9" s="752"/>
      <c r="EU9" s="752"/>
      <c r="EV9" s="752"/>
      <c r="EW9" s="752"/>
      <c r="EX9" s="752"/>
      <c r="EY9" s="752"/>
      <c r="EZ9" s="752"/>
      <c r="FA9" s="752"/>
      <c r="FB9" s="752"/>
      <c r="FC9" s="752"/>
      <c r="FD9" s="752"/>
      <c r="FE9" s="752"/>
      <c r="FF9" s="752"/>
      <c r="FG9" s="752"/>
      <c r="FH9" s="752"/>
      <c r="FI9" s="752"/>
      <c r="FJ9" s="752"/>
      <c r="FK9" s="752"/>
      <c r="FL9" s="752"/>
      <c r="FM9" s="752"/>
      <c r="FN9" s="752"/>
      <c r="FO9" s="752"/>
      <c r="FP9" s="752"/>
      <c r="FQ9" s="752"/>
      <c r="FR9" s="752"/>
      <c r="FS9" s="752"/>
      <c r="FT9" s="752"/>
      <c r="FU9" s="752"/>
      <c r="FV9" s="752"/>
    </row>
    <row r="10" spans="2:178" s="1001" customFormat="1" ht="23.25">
      <c r="B10" s="998" t="s">
        <v>345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1002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999"/>
      <c r="AH10" s="999"/>
      <c r="AI10" s="999"/>
      <c r="AJ10" s="999"/>
      <c r="AK10" s="999"/>
      <c r="AL10" s="999"/>
      <c r="AM10" s="999"/>
      <c r="AN10" s="999"/>
      <c r="AO10" s="999"/>
      <c r="AP10" s="999"/>
      <c r="AQ10" s="999"/>
      <c r="AR10" s="999"/>
      <c r="AS10" s="999"/>
      <c r="AT10" s="999"/>
      <c r="AU10" s="999"/>
      <c r="AV10" s="999"/>
      <c r="AW10" s="999"/>
      <c r="AX10" s="999"/>
      <c r="AY10" s="999"/>
      <c r="AZ10" s="999"/>
      <c r="BA10" s="999"/>
      <c r="BB10" s="999"/>
      <c r="BC10" s="999"/>
      <c r="BD10" s="999"/>
      <c r="BE10" s="999"/>
      <c r="BF10" s="999"/>
      <c r="BG10" s="999"/>
      <c r="BH10" s="999"/>
      <c r="BI10" s="999"/>
      <c r="BJ10" s="999"/>
      <c r="BK10" s="999"/>
      <c r="BL10" s="999"/>
      <c r="BM10" s="999"/>
      <c r="BN10" s="999"/>
      <c r="BO10" s="999"/>
      <c r="BP10" s="999"/>
      <c r="BQ10" s="999"/>
      <c r="BR10" s="999"/>
      <c r="BS10" s="999"/>
      <c r="BT10" s="999"/>
      <c r="BU10" s="999"/>
      <c r="BV10" s="999"/>
      <c r="BW10" s="999"/>
      <c r="BX10" s="999"/>
      <c r="BY10" s="999"/>
      <c r="BZ10" s="999"/>
      <c r="CA10" s="999"/>
      <c r="CB10" s="999"/>
      <c r="CC10" s="999"/>
      <c r="CD10" s="999"/>
      <c r="CE10" s="999"/>
      <c r="CF10" s="999"/>
      <c r="CG10" s="999"/>
      <c r="CH10" s="999"/>
      <c r="CI10" s="999"/>
      <c r="CJ10" s="999"/>
      <c r="CK10" s="999"/>
      <c r="CL10" s="999"/>
      <c r="CM10" s="999"/>
      <c r="CN10" s="999"/>
      <c r="CO10" s="999"/>
      <c r="CP10" s="999"/>
      <c r="CQ10" s="999"/>
      <c r="CR10" s="999"/>
      <c r="CS10" s="999"/>
      <c r="CT10" s="999"/>
      <c r="CU10" s="999"/>
      <c r="CV10" s="999"/>
      <c r="CW10" s="999"/>
      <c r="CX10" s="999"/>
      <c r="CY10" s="999"/>
      <c r="CZ10" s="999"/>
      <c r="DA10" s="999"/>
      <c r="DB10" s="999"/>
      <c r="DC10" s="999"/>
      <c r="DD10" s="999"/>
      <c r="DE10" s="999"/>
      <c r="DF10" s="999"/>
      <c r="DG10" s="999"/>
      <c r="DH10" s="999"/>
      <c r="DI10" s="999"/>
      <c r="DJ10" s="999"/>
      <c r="DK10" s="999"/>
      <c r="DL10" s="999"/>
      <c r="DM10" s="999"/>
      <c r="DN10" s="999"/>
      <c r="DO10" s="999"/>
      <c r="DP10" s="999"/>
      <c r="DQ10" s="999"/>
      <c r="DR10" s="999"/>
      <c r="DS10" s="999"/>
      <c r="DT10" s="999"/>
      <c r="DU10" s="999"/>
      <c r="DV10" s="999"/>
      <c r="DW10" s="999"/>
      <c r="DX10" s="999"/>
      <c r="DY10" s="999"/>
      <c r="DZ10" s="999"/>
      <c r="EA10" s="999"/>
      <c r="EB10" s="999"/>
      <c r="EC10" s="999"/>
      <c r="ED10" s="999"/>
      <c r="EE10" s="999"/>
      <c r="EF10" s="999"/>
      <c r="EG10" s="999"/>
      <c r="EH10" s="999"/>
      <c r="EI10" s="999"/>
      <c r="EJ10" s="999"/>
      <c r="EK10" s="999"/>
      <c r="EL10" s="999"/>
      <c r="EM10" s="999"/>
      <c r="EN10" s="999"/>
      <c r="EO10" s="999"/>
      <c r="EP10" s="999"/>
      <c r="EQ10" s="999"/>
      <c r="ER10" s="999"/>
      <c r="ES10" s="999"/>
      <c r="ET10" s="999"/>
      <c r="EU10" s="999"/>
      <c r="EV10" s="999"/>
      <c r="EW10" s="999"/>
      <c r="EX10" s="999"/>
      <c r="EY10" s="999"/>
      <c r="EZ10" s="999"/>
      <c r="FA10" s="999"/>
      <c r="FB10" s="999"/>
      <c r="FC10" s="999"/>
      <c r="FD10" s="999"/>
      <c r="FE10" s="999"/>
      <c r="FF10" s="999"/>
      <c r="FG10" s="999"/>
      <c r="FH10" s="999"/>
      <c r="FI10" s="999"/>
      <c r="FJ10" s="999"/>
      <c r="FK10" s="999"/>
      <c r="FL10" s="999"/>
      <c r="FM10" s="999"/>
      <c r="FN10" s="999"/>
      <c r="FO10" s="999"/>
      <c r="FP10" s="999"/>
      <c r="FQ10" s="999"/>
      <c r="FR10" s="999"/>
      <c r="FS10" s="999"/>
      <c r="FT10" s="999"/>
      <c r="FU10" s="999"/>
      <c r="FV10" s="999"/>
    </row>
    <row r="11" spans="2:178" s="32" customFormat="1" ht="9.75" customHeight="1" thickBot="1">
      <c r="B11" s="752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2"/>
      <c r="R11" s="752"/>
      <c r="S11" s="752"/>
      <c r="T11" s="752"/>
      <c r="U11" s="975"/>
      <c r="V11" s="975"/>
      <c r="W11" s="752"/>
      <c r="X11" s="752"/>
      <c r="Y11" s="752"/>
      <c r="Z11" s="752"/>
      <c r="AA11" s="752"/>
      <c r="AB11" s="752"/>
      <c r="AC11" s="752"/>
      <c r="AD11" s="752"/>
      <c r="AE11" s="752"/>
      <c r="AF11" s="752"/>
      <c r="AG11" s="752"/>
      <c r="AH11" s="752"/>
      <c r="AI11" s="752"/>
      <c r="AJ11" s="752"/>
      <c r="AK11" s="752"/>
      <c r="AL11" s="752"/>
      <c r="AM11" s="752"/>
      <c r="AN11" s="752"/>
      <c r="AO11" s="752"/>
      <c r="AP11" s="752"/>
      <c r="AQ11" s="752"/>
      <c r="AR11" s="752"/>
      <c r="AS11" s="752"/>
      <c r="AT11" s="752"/>
      <c r="AU11" s="752"/>
      <c r="AV11" s="752"/>
      <c r="AW11" s="752"/>
      <c r="AX11" s="752"/>
      <c r="AY11" s="752"/>
      <c r="AZ11" s="752"/>
      <c r="BA11" s="752"/>
      <c r="BB11" s="752"/>
      <c r="BC11" s="752"/>
      <c r="BD11" s="752"/>
      <c r="BE11" s="752"/>
      <c r="BF11" s="752"/>
      <c r="BG11" s="752"/>
      <c r="BH11" s="752"/>
      <c r="BI11" s="752"/>
      <c r="BJ11" s="752"/>
      <c r="BK11" s="752"/>
      <c r="BL11" s="752"/>
      <c r="BM11" s="752"/>
      <c r="BN11" s="752"/>
      <c r="BO11" s="752"/>
      <c r="BP11" s="752"/>
      <c r="BQ11" s="752"/>
      <c r="BR11" s="752"/>
      <c r="BS11" s="752"/>
      <c r="BT11" s="752"/>
      <c r="BU11" s="752"/>
      <c r="BV11" s="752"/>
      <c r="BW11" s="752"/>
      <c r="BX11" s="752"/>
      <c r="BY11" s="752"/>
      <c r="BZ11" s="752"/>
      <c r="CA11" s="752"/>
      <c r="CB11" s="752"/>
      <c r="CC11" s="752"/>
      <c r="CD11" s="752"/>
      <c r="CE11" s="752"/>
      <c r="CF11" s="752"/>
      <c r="CG11" s="752"/>
      <c r="CH11" s="752"/>
      <c r="CI11" s="752"/>
      <c r="CJ11" s="752"/>
      <c r="CK11" s="752"/>
      <c r="CL11" s="752"/>
      <c r="CM11" s="752"/>
      <c r="CN11" s="752"/>
      <c r="CO11" s="752"/>
      <c r="CP11" s="752"/>
      <c r="CQ11" s="752"/>
      <c r="CR11" s="752"/>
      <c r="CS11" s="752"/>
      <c r="CT11" s="752"/>
      <c r="CU11" s="752"/>
      <c r="CV11" s="752"/>
      <c r="CW11" s="752"/>
      <c r="CX11" s="752"/>
      <c r="CY11" s="752"/>
      <c r="CZ11" s="752"/>
      <c r="DA11" s="752"/>
      <c r="DB11" s="752"/>
      <c r="DC11" s="752"/>
      <c r="DD11" s="752"/>
      <c r="DE11" s="752"/>
      <c r="DF11" s="752"/>
      <c r="DG11" s="752"/>
      <c r="DH11" s="752"/>
      <c r="DI11" s="752"/>
      <c r="DJ11" s="752"/>
      <c r="DK11" s="752"/>
      <c r="DL11" s="752"/>
      <c r="DM11" s="752"/>
      <c r="DN11" s="752"/>
      <c r="DO11" s="752"/>
      <c r="DP11" s="752"/>
      <c r="DQ11" s="752"/>
      <c r="DR11" s="752"/>
      <c r="DS11" s="752"/>
      <c r="DT11" s="752"/>
      <c r="DU11" s="752"/>
      <c r="DV11" s="752"/>
      <c r="DW11" s="752"/>
      <c r="DX11" s="752"/>
      <c r="DY11" s="752"/>
      <c r="DZ11" s="752"/>
      <c r="EA11" s="752"/>
      <c r="EB11" s="752"/>
      <c r="EC11" s="752"/>
      <c r="ED11" s="752"/>
      <c r="EE11" s="752"/>
      <c r="EF11" s="752"/>
      <c r="EG11" s="752"/>
      <c r="EH11" s="752"/>
      <c r="EI11" s="752"/>
      <c r="EJ11" s="752"/>
      <c r="EK11" s="752"/>
      <c r="EL11" s="752"/>
      <c r="EM11" s="752"/>
      <c r="EN11" s="752"/>
      <c r="EO11" s="752"/>
      <c r="EP11" s="752"/>
      <c r="EQ11" s="752"/>
      <c r="ER11" s="752"/>
      <c r="ES11" s="752"/>
      <c r="ET11" s="752"/>
      <c r="EU11" s="752"/>
      <c r="EV11" s="752"/>
      <c r="EW11" s="752"/>
      <c r="EX11" s="752"/>
      <c r="EY11" s="752"/>
      <c r="EZ11" s="752"/>
      <c r="FA11" s="752"/>
      <c r="FB11" s="752"/>
      <c r="FC11" s="752"/>
      <c r="FD11" s="752"/>
      <c r="FE11" s="752"/>
      <c r="FF11" s="752"/>
      <c r="FG11" s="752"/>
      <c r="FH11" s="752"/>
      <c r="FI11" s="752"/>
      <c r="FJ11" s="752"/>
      <c r="FK11" s="752"/>
      <c r="FL11" s="752"/>
      <c r="FM11" s="752"/>
      <c r="FN11" s="752"/>
      <c r="FO11" s="752"/>
      <c r="FP11" s="752"/>
      <c r="FQ11" s="752"/>
      <c r="FR11" s="752"/>
      <c r="FS11" s="752"/>
      <c r="FT11" s="752"/>
      <c r="FU11" s="752"/>
      <c r="FV11" s="752"/>
    </row>
    <row r="12" spans="2:177" s="32" customFormat="1" ht="9.75" customHeight="1" thickTop="1">
      <c r="B12" s="1003"/>
      <c r="C12" s="1004"/>
      <c r="D12" s="1004"/>
      <c r="E12" s="1004"/>
      <c r="F12" s="1004"/>
      <c r="G12" s="1004"/>
      <c r="H12" s="1004"/>
      <c r="I12" s="1004"/>
      <c r="J12" s="1004"/>
      <c r="K12" s="1004"/>
      <c r="L12" s="1004"/>
      <c r="M12" s="1004"/>
      <c r="N12" s="1004"/>
      <c r="O12" s="1004"/>
      <c r="P12" s="1004"/>
      <c r="Q12" s="1004"/>
      <c r="R12" s="1004"/>
      <c r="S12" s="1004"/>
      <c r="T12" s="1004"/>
      <c r="U12" s="1005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752"/>
      <c r="AL12" s="752"/>
      <c r="AM12" s="752"/>
      <c r="AN12" s="752"/>
      <c r="AO12" s="752"/>
      <c r="AP12" s="752"/>
      <c r="AQ12" s="752"/>
      <c r="AR12" s="752"/>
      <c r="AS12" s="752"/>
      <c r="AT12" s="752"/>
      <c r="AU12" s="752"/>
      <c r="AV12" s="752"/>
      <c r="AW12" s="752"/>
      <c r="AX12" s="752"/>
      <c r="AY12" s="752"/>
      <c r="AZ12" s="752"/>
      <c r="BA12" s="752"/>
      <c r="BB12" s="752"/>
      <c r="BC12" s="752"/>
      <c r="BD12" s="752"/>
      <c r="BE12" s="752"/>
      <c r="BF12" s="752"/>
      <c r="BG12" s="752"/>
      <c r="BH12" s="752"/>
      <c r="BI12" s="752"/>
      <c r="BJ12" s="752"/>
      <c r="BK12" s="752"/>
      <c r="BL12" s="752"/>
      <c r="BM12" s="752"/>
      <c r="BN12" s="752"/>
      <c r="BO12" s="752"/>
      <c r="BP12" s="752"/>
      <c r="BQ12" s="752"/>
      <c r="BR12" s="752"/>
      <c r="BS12" s="752"/>
      <c r="BT12" s="752"/>
      <c r="BU12" s="752"/>
      <c r="BV12" s="752"/>
      <c r="BW12" s="752"/>
      <c r="BX12" s="752"/>
      <c r="BY12" s="752"/>
      <c r="BZ12" s="752"/>
      <c r="CA12" s="752"/>
      <c r="CB12" s="752"/>
      <c r="CC12" s="752"/>
      <c r="CD12" s="752"/>
      <c r="CE12" s="752"/>
      <c r="CF12" s="752"/>
      <c r="CG12" s="752"/>
      <c r="CH12" s="752"/>
      <c r="CI12" s="752"/>
      <c r="CJ12" s="752"/>
      <c r="CK12" s="752"/>
      <c r="CL12" s="752"/>
      <c r="CM12" s="752"/>
      <c r="CN12" s="752"/>
      <c r="CO12" s="752"/>
      <c r="CP12" s="752"/>
      <c r="CQ12" s="752"/>
      <c r="CR12" s="752"/>
      <c r="CS12" s="752"/>
      <c r="CT12" s="752"/>
      <c r="CU12" s="752"/>
      <c r="CV12" s="752"/>
      <c r="CW12" s="752"/>
      <c r="CX12" s="752"/>
      <c r="CY12" s="752"/>
      <c r="CZ12" s="752"/>
      <c r="DA12" s="752"/>
      <c r="DB12" s="752"/>
      <c r="DC12" s="752"/>
      <c r="DD12" s="752"/>
      <c r="DE12" s="752"/>
      <c r="DF12" s="752"/>
      <c r="DG12" s="752"/>
      <c r="DH12" s="752"/>
      <c r="DI12" s="752"/>
      <c r="DJ12" s="752"/>
      <c r="DK12" s="752"/>
      <c r="DL12" s="752"/>
      <c r="DM12" s="752"/>
      <c r="DN12" s="752"/>
      <c r="DO12" s="752"/>
      <c r="DP12" s="752"/>
      <c r="DQ12" s="752"/>
      <c r="DR12" s="752"/>
      <c r="DS12" s="752"/>
      <c r="DT12" s="752"/>
      <c r="DU12" s="752"/>
      <c r="DV12" s="752"/>
      <c r="DW12" s="752"/>
      <c r="DX12" s="752"/>
      <c r="DY12" s="752"/>
      <c r="DZ12" s="752"/>
      <c r="EA12" s="752"/>
      <c r="EB12" s="752"/>
      <c r="EC12" s="752"/>
      <c r="ED12" s="752"/>
      <c r="EE12" s="752"/>
      <c r="EF12" s="752"/>
      <c r="EG12" s="752"/>
      <c r="EH12" s="752"/>
      <c r="EI12" s="752"/>
      <c r="EJ12" s="752"/>
      <c r="EK12" s="752"/>
      <c r="EL12" s="752"/>
      <c r="EM12" s="752"/>
      <c r="EN12" s="752"/>
      <c r="EO12" s="752"/>
      <c r="EP12" s="752"/>
      <c r="EQ12" s="752"/>
      <c r="ER12" s="752"/>
      <c r="ES12" s="752"/>
      <c r="ET12" s="752"/>
      <c r="EU12" s="752"/>
      <c r="EV12" s="752"/>
      <c r="EW12" s="752"/>
      <c r="EX12" s="752"/>
      <c r="EY12" s="752"/>
      <c r="EZ12" s="752"/>
      <c r="FA12" s="752"/>
      <c r="FB12" s="752"/>
      <c r="FC12" s="752"/>
      <c r="FD12" s="752"/>
      <c r="FE12" s="752"/>
      <c r="FF12" s="752"/>
      <c r="FG12" s="752"/>
      <c r="FH12" s="752"/>
      <c r="FI12" s="752"/>
      <c r="FJ12" s="752"/>
      <c r="FK12" s="752"/>
      <c r="FL12" s="752"/>
      <c r="FM12" s="752"/>
      <c r="FN12" s="752"/>
      <c r="FO12" s="752"/>
      <c r="FP12" s="752"/>
      <c r="FQ12" s="752"/>
      <c r="FR12" s="752"/>
      <c r="FS12" s="752"/>
      <c r="FT12" s="752"/>
      <c r="FU12" s="752"/>
    </row>
    <row r="13" spans="2:177" s="32" customFormat="1" ht="19.5">
      <c r="B13" s="37" t="s">
        <v>346</v>
      </c>
      <c r="C13" s="1006"/>
      <c r="D13" s="1006"/>
      <c r="E13" s="1006"/>
      <c r="F13" s="1006"/>
      <c r="G13" s="1006"/>
      <c r="H13" s="1006"/>
      <c r="I13" s="1006"/>
      <c r="J13" s="1006"/>
      <c r="K13" s="1006"/>
      <c r="L13" s="1006"/>
      <c r="M13" s="1006"/>
      <c r="N13" s="1006"/>
      <c r="O13" s="1006"/>
      <c r="P13" s="1006"/>
      <c r="Q13" s="1006"/>
      <c r="R13" s="1006"/>
      <c r="S13" s="1006"/>
      <c r="T13" s="1006"/>
      <c r="U13" s="1007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2"/>
      <c r="AG13" s="752"/>
      <c r="AH13" s="752"/>
      <c r="AI13" s="752"/>
      <c r="AJ13" s="752"/>
      <c r="AK13" s="752"/>
      <c r="AL13" s="752"/>
      <c r="AM13" s="752"/>
      <c r="AN13" s="752"/>
      <c r="AO13" s="752"/>
      <c r="AP13" s="752"/>
      <c r="AQ13" s="752"/>
      <c r="AR13" s="752"/>
      <c r="AS13" s="752"/>
      <c r="AT13" s="752"/>
      <c r="AU13" s="752"/>
      <c r="AV13" s="752"/>
      <c r="AW13" s="752"/>
      <c r="AX13" s="752"/>
      <c r="AY13" s="752"/>
      <c r="AZ13" s="752"/>
      <c r="BA13" s="752"/>
      <c r="BB13" s="752"/>
      <c r="BC13" s="752"/>
      <c r="BD13" s="752"/>
      <c r="BE13" s="752"/>
      <c r="BF13" s="752"/>
      <c r="BG13" s="752"/>
      <c r="BH13" s="752"/>
      <c r="BI13" s="752"/>
      <c r="BJ13" s="752"/>
      <c r="BK13" s="752"/>
      <c r="BL13" s="752"/>
      <c r="BM13" s="752"/>
      <c r="BN13" s="752"/>
      <c r="BO13" s="752"/>
      <c r="BP13" s="752"/>
      <c r="BQ13" s="752"/>
      <c r="BR13" s="752"/>
      <c r="BS13" s="752"/>
      <c r="BT13" s="752"/>
      <c r="BU13" s="752"/>
      <c r="BV13" s="752"/>
      <c r="BW13" s="752"/>
      <c r="BX13" s="752"/>
      <c r="BY13" s="752"/>
      <c r="BZ13" s="752"/>
      <c r="CA13" s="752"/>
      <c r="CB13" s="752"/>
      <c r="CC13" s="752"/>
      <c r="CD13" s="752"/>
      <c r="CE13" s="752"/>
      <c r="CF13" s="752"/>
      <c r="CG13" s="752"/>
      <c r="CH13" s="752"/>
      <c r="CI13" s="752"/>
      <c r="CJ13" s="752"/>
      <c r="CK13" s="752"/>
      <c r="CL13" s="752"/>
      <c r="CM13" s="752"/>
      <c r="CN13" s="752"/>
      <c r="CO13" s="752"/>
      <c r="CP13" s="752"/>
      <c r="CQ13" s="752"/>
      <c r="CR13" s="752"/>
      <c r="CS13" s="752"/>
      <c r="CT13" s="752"/>
      <c r="CU13" s="752"/>
      <c r="CV13" s="752"/>
      <c r="CW13" s="752"/>
      <c r="CX13" s="752"/>
      <c r="CY13" s="752"/>
      <c r="CZ13" s="752"/>
      <c r="DA13" s="752"/>
      <c r="DB13" s="752"/>
      <c r="DC13" s="752"/>
      <c r="DD13" s="752"/>
      <c r="DE13" s="752"/>
      <c r="DF13" s="752"/>
      <c r="DG13" s="752"/>
      <c r="DH13" s="752"/>
      <c r="DI13" s="752"/>
      <c r="DJ13" s="752"/>
      <c r="DK13" s="752"/>
      <c r="DL13" s="752"/>
      <c r="DM13" s="752"/>
      <c r="DN13" s="752"/>
      <c r="DO13" s="752"/>
      <c r="DP13" s="752"/>
      <c r="DQ13" s="752"/>
      <c r="DR13" s="752"/>
      <c r="DS13" s="752"/>
      <c r="DT13" s="752"/>
      <c r="DU13" s="752"/>
      <c r="DV13" s="752"/>
      <c r="DW13" s="752"/>
      <c r="DX13" s="752"/>
      <c r="DY13" s="752"/>
      <c r="DZ13" s="752"/>
      <c r="EA13" s="752"/>
      <c r="EB13" s="752"/>
      <c r="EC13" s="752"/>
      <c r="ED13" s="752"/>
      <c r="EE13" s="752"/>
      <c r="EF13" s="752"/>
      <c r="EG13" s="752"/>
      <c r="EH13" s="752"/>
      <c r="EI13" s="752"/>
      <c r="EJ13" s="752"/>
      <c r="EK13" s="752"/>
      <c r="EL13" s="752"/>
      <c r="EM13" s="752"/>
      <c r="EN13" s="752"/>
      <c r="EO13" s="752"/>
      <c r="EP13" s="752"/>
      <c r="EQ13" s="752"/>
      <c r="ER13" s="752"/>
      <c r="ES13" s="752"/>
      <c r="ET13" s="752"/>
      <c r="EU13" s="752"/>
      <c r="EV13" s="752"/>
      <c r="EW13" s="752"/>
      <c r="EX13" s="752"/>
      <c r="EY13" s="752"/>
      <c r="EZ13" s="752"/>
      <c r="FA13" s="752"/>
      <c r="FB13" s="752"/>
      <c r="FC13" s="752"/>
      <c r="FD13" s="752"/>
      <c r="FE13" s="752"/>
      <c r="FF13" s="752"/>
      <c r="FG13" s="752"/>
      <c r="FH13" s="752"/>
      <c r="FI13" s="752"/>
      <c r="FJ13" s="752"/>
      <c r="FK13" s="752"/>
      <c r="FL13" s="752"/>
      <c r="FM13" s="752"/>
      <c r="FN13" s="752"/>
      <c r="FO13" s="752"/>
      <c r="FP13" s="752"/>
      <c r="FQ13" s="752"/>
      <c r="FR13" s="752"/>
      <c r="FS13" s="752"/>
      <c r="FT13" s="752"/>
      <c r="FU13" s="752"/>
    </row>
    <row r="14" spans="2:21" s="32" customFormat="1" ht="9.75" customHeight="1" thickBot="1">
      <c r="B14" s="55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008"/>
    </row>
    <row r="15" spans="2:21" s="1009" customFormat="1" ht="33.75" customHeight="1" thickBot="1" thickTop="1">
      <c r="B15" s="1010"/>
      <c r="C15" s="84"/>
      <c r="D15" s="84" t="s">
        <v>0</v>
      </c>
      <c r="E15" s="133" t="s">
        <v>14</v>
      </c>
      <c r="F15" s="133" t="s">
        <v>15</v>
      </c>
      <c r="G15" s="1011" t="s">
        <v>347</v>
      </c>
      <c r="H15" s="1011">
        <v>39479</v>
      </c>
      <c r="I15" s="1011">
        <v>39508</v>
      </c>
      <c r="J15" s="1011">
        <v>39539</v>
      </c>
      <c r="K15" s="1011">
        <v>39569</v>
      </c>
      <c r="L15" s="1011">
        <v>39600</v>
      </c>
      <c r="M15" s="1011">
        <v>39630</v>
      </c>
      <c r="N15" s="1011">
        <v>39661</v>
      </c>
      <c r="O15" s="1011">
        <v>39692</v>
      </c>
      <c r="P15" s="1011">
        <v>39722</v>
      </c>
      <c r="Q15" s="1011">
        <v>39753</v>
      </c>
      <c r="R15" s="1011">
        <v>39783</v>
      </c>
      <c r="S15" s="1011">
        <v>39814</v>
      </c>
      <c r="T15" s="1011">
        <v>39845</v>
      </c>
      <c r="U15" s="1012"/>
    </row>
    <row r="16" spans="2:21" s="1013" customFormat="1" ht="9.75" customHeight="1" thickTop="1">
      <c r="B16" s="1014"/>
      <c r="C16" s="1015"/>
      <c r="D16" s="1016"/>
      <c r="E16" s="1016"/>
      <c r="F16" s="1016"/>
      <c r="G16" s="1016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8"/>
      <c r="U16" s="1019"/>
    </row>
    <row r="17" spans="2:21" s="1013" customFormat="1" ht="19.5" customHeight="1">
      <c r="B17" s="1014"/>
      <c r="C17" s="1020">
        <f>IF('[1]BASE'!C17=0,"",'[1]BASE'!C17)</f>
        <v>1</v>
      </c>
      <c r="D17" s="1020" t="str">
        <f>IF('[1]BASE'!D17=0,"",'[1]BASE'!D17)</f>
        <v>ABASTO - OLAVARRIA 1</v>
      </c>
      <c r="E17" s="1020">
        <f>IF('[1]BASE'!E17=0,"",'[1]BASE'!E17)</f>
        <v>500</v>
      </c>
      <c r="F17" s="1020">
        <f>IF('[1]BASE'!F17=0,"",'[1]BASE'!F17)</f>
        <v>291</v>
      </c>
      <c r="G17" s="1021" t="str">
        <f>IF('[1]BASE'!G17=0,"",'[1]BASE'!G17)</f>
        <v>B</v>
      </c>
      <c r="H17" s="1022">
        <f>IF('[1]BASE'!FV17=0,"",'[1]BASE'!FV17)</f>
      </c>
      <c r="I17" s="1022">
        <f>IF('[1]BASE'!FW17=0,"",'[1]BASE'!FW17)</f>
      </c>
      <c r="J17" s="1022">
        <f>IF('[1]BASE'!FX17=0,"",'[1]BASE'!FX17)</f>
      </c>
      <c r="K17" s="1022">
        <f>IF('[1]BASE'!FY17=0,"",'[1]BASE'!FY17)</f>
      </c>
      <c r="L17" s="1022">
        <f>IF('[1]BASE'!FZ17=0,"",'[1]BASE'!FZ17)</f>
      </c>
      <c r="M17" s="1022">
        <f>IF('[1]BASE'!GA17=0,"",'[1]BASE'!GA17)</f>
      </c>
      <c r="N17" s="1022">
        <f>IF('[1]BASE'!GB17=0,"",'[1]BASE'!GB17)</f>
      </c>
      <c r="O17" s="1022">
        <f>IF('[1]BASE'!GC17=0,"",'[1]BASE'!GC17)</f>
      </c>
      <c r="P17" s="1022">
        <f>IF('[1]BASE'!GD17=0,"",'[1]BASE'!GD17)</f>
      </c>
      <c r="Q17" s="1022">
        <f>IF('[1]BASE'!GE17=0,"",'[1]BASE'!GE17)</f>
      </c>
      <c r="R17" s="1022">
        <f>IF('[1]BASE'!GF17=0,"",'[1]BASE'!GF17)</f>
      </c>
      <c r="S17" s="1022">
        <f>IF('[1]BASE'!GG17=0,"",'[1]BASE'!GG17)</f>
      </c>
      <c r="T17" s="1023"/>
      <c r="U17" s="1019"/>
    </row>
    <row r="18" spans="2:21" s="1013" customFormat="1" ht="19.5" customHeight="1">
      <c r="B18" s="1014"/>
      <c r="C18" s="1024">
        <f>IF('[1]BASE'!C18=0,"",'[1]BASE'!C18)</f>
        <v>2</v>
      </c>
      <c r="D18" s="1024" t="str">
        <f>IF('[1]BASE'!D18=0,"",'[1]BASE'!D18)</f>
        <v>ABASTO - OLAVARRIA 2</v>
      </c>
      <c r="E18" s="1024">
        <f>IF('[1]BASE'!E18=0,"",'[1]BASE'!E18)</f>
        <v>500</v>
      </c>
      <c r="F18" s="1024">
        <f>IF('[1]BASE'!F18=0,"",'[1]BASE'!F18)</f>
        <v>301.9</v>
      </c>
      <c r="G18" s="1025">
        <f>IF('[1]BASE'!G18=0,"",'[1]BASE'!G18)</f>
      </c>
      <c r="H18" s="1022">
        <f>IF('[1]BASE'!FV18=0,"",'[1]BASE'!FV18)</f>
      </c>
      <c r="I18" s="1022">
        <f>IF('[1]BASE'!FW18=0,"",'[1]BASE'!FW18)</f>
      </c>
      <c r="J18" s="1022">
        <f>IF('[1]BASE'!FX18=0,"",'[1]BASE'!FX18)</f>
      </c>
      <c r="K18" s="1022">
        <f>IF('[1]BASE'!FY18=0,"",'[1]BASE'!FY18)</f>
      </c>
      <c r="L18" s="1022">
        <f>IF('[1]BASE'!FZ18=0,"",'[1]BASE'!FZ18)</f>
      </c>
      <c r="M18" s="1022">
        <f>IF('[1]BASE'!GA18=0,"",'[1]BASE'!GA18)</f>
      </c>
      <c r="N18" s="1022">
        <f>IF('[1]BASE'!GB18=0,"",'[1]BASE'!GB18)</f>
      </c>
      <c r="O18" s="1022">
        <f>IF('[1]BASE'!GC18=0,"",'[1]BASE'!GC18)</f>
      </c>
      <c r="P18" s="1022">
        <f>IF('[1]BASE'!GD18=0,"",'[1]BASE'!GD18)</f>
      </c>
      <c r="Q18" s="1022">
        <f>IF('[1]BASE'!GE18=0,"",'[1]BASE'!GE18)</f>
      </c>
      <c r="R18" s="1022">
        <f>IF('[1]BASE'!GF18=0,"",'[1]BASE'!GF18)</f>
      </c>
      <c r="S18" s="1022">
        <f>IF('[1]BASE'!GG18=0,"",'[1]BASE'!GG18)</f>
      </c>
      <c r="T18" s="1023"/>
      <c r="U18" s="1019"/>
    </row>
    <row r="19" spans="2:21" s="1013" customFormat="1" ht="19.5" customHeight="1">
      <c r="B19" s="1014"/>
      <c r="C19" s="1026">
        <f>IF('[1]BASE'!C19=0,"",'[1]BASE'!C19)</f>
        <v>3</v>
      </c>
      <c r="D19" s="1026" t="str">
        <f>IF('[1]BASE'!D19=0,"",'[1]BASE'!D19)</f>
        <v>AGUA DEL CAJON - CHOCON OESTE</v>
      </c>
      <c r="E19" s="1026">
        <f>IF('[1]BASE'!E19=0,"",'[1]BASE'!E19)</f>
        <v>500</v>
      </c>
      <c r="F19" s="1026">
        <f>IF('[1]BASE'!F19=0,"",'[1]BASE'!F19)</f>
        <v>52</v>
      </c>
      <c r="G19" s="1027">
        <f>IF('[1]BASE'!G19=0,"",'[1]BASE'!G19)</f>
      </c>
      <c r="H19" s="1022">
        <f>IF('[1]BASE'!FV19=0,"",'[1]BASE'!FV19)</f>
      </c>
      <c r="I19" s="1022">
        <f>IF('[1]BASE'!FW19=0,"",'[1]BASE'!FW19)</f>
      </c>
      <c r="J19" s="1022">
        <f>IF('[1]BASE'!FX19=0,"",'[1]BASE'!FX19)</f>
      </c>
      <c r="K19" s="1022">
        <f>IF('[1]BASE'!FY19=0,"",'[1]BASE'!FY19)</f>
      </c>
      <c r="L19" s="1022">
        <f>IF('[1]BASE'!FZ19=0,"",'[1]BASE'!FZ19)</f>
      </c>
      <c r="M19" s="1022">
        <f>IF('[1]BASE'!GA19=0,"",'[1]BASE'!GA19)</f>
      </c>
      <c r="N19" s="1022">
        <f>IF('[1]BASE'!GB19=0,"",'[1]BASE'!GB19)</f>
      </c>
      <c r="O19" s="1022">
        <f>IF('[1]BASE'!GC19=0,"",'[1]BASE'!GC19)</f>
      </c>
      <c r="P19" s="1022">
        <f>IF('[1]BASE'!GD19=0,"",'[1]BASE'!GD19)</f>
      </c>
      <c r="Q19" s="1022">
        <f>IF('[1]BASE'!GE19=0,"",'[1]BASE'!GE19)</f>
      </c>
      <c r="R19" s="1022">
        <f>IF('[1]BASE'!GF19=0,"",'[1]BASE'!GF19)</f>
      </c>
      <c r="S19" s="1022">
        <f>IF('[1]BASE'!GG19=0,"",'[1]BASE'!GG19)</f>
      </c>
      <c r="T19" s="1023"/>
      <c r="U19" s="1019"/>
    </row>
    <row r="20" spans="2:21" s="1013" customFormat="1" ht="19.5" customHeight="1">
      <c r="B20" s="1014"/>
      <c r="C20" s="1024">
        <f>IF('[1]BASE'!C20=0,"",'[1]BASE'!C20)</f>
        <v>4</v>
      </c>
      <c r="D20" s="1024" t="str">
        <f>IF('[1]BASE'!D20=0,"",'[1]BASE'!D20)</f>
        <v>ALICURA - E.T. P.del A. 1 (5LG1)</v>
      </c>
      <c r="E20" s="1024">
        <f>IF('[1]BASE'!E20=0,"",'[1]BASE'!E20)</f>
        <v>500</v>
      </c>
      <c r="F20" s="1024">
        <f>IF('[1]BASE'!F20=0,"",'[1]BASE'!F20)</f>
        <v>76</v>
      </c>
      <c r="G20" s="1025" t="str">
        <f>IF('[1]BASE'!G20=0,"",'[1]BASE'!G20)</f>
        <v>C</v>
      </c>
      <c r="H20" s="1022">
        <f>IF('[1]BASE'!FV20=0,"",'[1]BASE'!FV20)</f>
      </c>
      <c r="I20" s="1022">
        <f>IF('[1]BASE'!FW20=0,"",'[1]BASE'!FW20)</f>
      </c>
      <c r="J20" s="1022">
        <f>IF('[1]BASE'!FX20=0,"",'[1]BASE'!FX20)</f>
      </c>
      <c r="K20" s="1022">
        <f>IF('[1]BASE'!FY20=0,"",'[1]BASE'!FY20)</f>
      </c>
      <c r="L20" s="1022">
        <f>IF('[1]BASE'!FZ20=0,"",'[1]BASE'!FZ20)</f>
      </c>
      <c r="M20" s="1022">
        <f>IF('[1]BASE'!GA20=0,"",'[1]BASE'!GA20)</f>
      </c>
      <c r="N20" s="1022">
        <f>IF('[1]BASE'!GB20=0,"",'[1]BASE'!GB20)</f>
      </c>
      <c r="O20" s="1022">
        <f>IF('[1]BASE'!GC20=0,"",'[1]BASE'!GC20)</f>
      </c>
      <c r="P20" s="1022">
        <f>IF('[1]BASE'!GD20=0,"",'[1]BASE'!GD20)</f>
      </c>
      <c r="Q20" s="1022">
        <f>IF('[1]BASE'!GE20=0,"",'[1]BASE'!GE20)</f>
      </c>
      <c r="R20" s="1022">
        <f>IF('[1]BASE'!GF20=0,"",'[1]BASE'!GF20)</f>
      </c>
      <c r="S20" s="1022">
        <f>IF('[1]BASE'!GG20=0,"",'[1]BASE'!GG20)</f>
      </c>
      <c r="T20" s="1023"/>
      <c r="U20" s="1019"/>
    </row>
    <row r="21" spans="2:21" s="1013" customFormat="1" ht="19.5" customHeight="1">
      <c r="B21" s="1014"/>
      <c r="C21" s="1026">
        <f>IF('[1]BASE'!C21=0,"",'[1]BASE'!C21)</f>
        <v>5</v>
      </c>
      <c r="D21" s="1026" t="str">
        <f>IF('[1]BASE'!D21=0,"",'[1]BASE'!D21)</f>
        <v>ALICURA - E.T. P.del A. 2 (5LG2)</v>
      </c>
      <c r="E21" s="1026">
        <f>IF('[1]BASE'!E21=0,"",'[1]BASE'!E21)</f>
        <v>500</v>
      </c>
      <c r="F21" s="1026">
        <f>IF('[1]BASE'!F21=0,"",'[1]BASE'!F21)</f>
        <v>76</v>
      </c>
      <c r="G21" s="1027" t="str">
        <f>IF('[1]BASE'!G21=0,"",'[1]BASE'!G21)</f>
        <v>C</v>
      </c>
      <c r="H21" s="1022">
        <f>IF('[1]BASE'!FV21=0,"",'[1]BASE'!FV21)</f>
      </c>
      <c r="I21" s="1022">
        <f>IF('[1]BASE'!FW21=0,"",'[1]BASE'!FW21)</f>
      </c>
      <c r="J21" s="1022">
        <f>IF('[1]BASE'!FX21=0,"",'[1]BASE'!FX21)</f>
      </c>
      <c r="K21" s="1022">
        <f>IF('[1]BASE'!FY21=0,"",'[1]BASE'!FY21)</f>
      </c>
      <c r="L21" s="1022">
        <f>IF('[1]BASE'!FZ21=0,"",'[1]BASE'!FZ21)</f>
      </c>
      <c r="M21" s="1022">
        <f>IF('[1]BASE'!GA21=0,"",'[1]BASE'!GA21)</f>
      </c>
      <c r="N21" s="1022">
        <f>IF('[1]BASE'!GB21=0,"",'[1]BASE'!GB21)</f>
      </c>
      <c r="O21" s="1022">
        <f>IF('[1]BASE'!GC21=0,"",'[1]BASE'!GC21)</f>
      </c>
      <c r="P21" s="1022">
        <f>IF('[1]BASE'!GD21=0,"",'[1]BASE'!GD21)</f>
      </c>
      <c r="Q21" s="1022">
        <f>IF('[1]BASE'!GE21=0,"",'[1]BASE'!GE21)</f>
      </c>
      <c r="R21" s="1022">
        <f>IF('[1]BASE'!GF21=0,"",'[1]BASE'!GF21)</f>
        <v>1</v>
      </c>
      <c r="S21" s="1022">
        <f>IF('[1]BASE'!GG21=0,"",'[1]BASE'!GG21)</f>
      </c>
      <c r="T21" s="1023"/>
      <c r="U21" s="1019"/>
    </row>
    <row r="22" spans="2:21" s="1013" customFormat="1" ht="19.5" customHeight="1">
      <c r="B22" s="1014"/>
      <c r="C22" s="1024">
        <f>IF('[1]BASE'!C22=0,"",'[1]BASE'!C22)</f>
        <v>6</v>
      </c>
      <c r="D22" s="1024" t="str">
        <f>IF('[1]BASE'!D22=0,"",'[1]BASE'!D22)</f>
        <v>ALMAFUERTE - EMBALSE </v>
      </c>
      <c r="E22" s="1024">
        <f>IF('[1]BASE'!E22=0,"",'[1]BASE'!E22)</f>
        <v>500</v>
      </c>
      <c r="F22" s="1024">
        <f>IF('[1]BASE'!F22=0,"",'[1]BASE'!F22)</f>
        <v>12</v>
      </c>
      <c r="G22" s="1025" t="str">
        <f>IF('[1]BASE'!G22=0,"",'[1]BASE'!G22)</f>
        <v>A</v>
      </c>
      <c r="H22" s="1022">
        <f>IF('[1]BASE'!FV22=0,"",'[1]BASE'!FV22)</f>
      </c>
      <c r="I22" s="1022">
        <f>IF('[1]BASE'!FW22=0,"",'[1]BASE'!FW22)</f>
      </c>
      <c r="J22" s="1022">
        <f>IF('[1]BASE'!FX22=0,"",'[1]BASE'!FX22)</f>
      </c>
      <c r="K22" s="1022">
        <f>IF('[1]BASE'!FY22=0,"",'[1]BASE'!FY22)</f>
      </c>
      <c r="L22" s="1022">
        <f>IF('[1]BASE'!FZ22=0,"",'[1]BASE'!FZ22)</f>
      </c>
      <c r="M22" s="1022">
        <f>IF('[1]BASE'!GA22=0,"",'[1]BASE'!GA22)</f>
      </c>
      <c r="N22" s="1022">
        <f>IF('[1]BASE'!GB22=0,"",'[1]BASE'!GB22)</f>
      </c>
      <c r="O22" s="1022">
        <f>IF('[1]BASE'!GC22=0,"",'[1]BASE'!GC22)</f>
      </c>
      <c r="P22" s="1022">
        <f>IF('[1]BASE'!GD22=0,"",'[1]BASE'!GD22)</f>
      </c>
      <c r="Q22" s="1022">
        <f>IF('[1]BASE'!GE22=0,"",'[1]BASE'!GE22)</f>
      </c>
      <c r="R22" s="1022">
        <f>IF('[1]BASE'!GF22=0,"",'[1]BASE'!GF22)</f>
      </c>
      <c r="S22" s="1022">
        <f>IF('[1]BASE'!GG22=0,"",'[1]BASE'!GG22)</f>
      </c>
      <c r="T22" s="1023"/>
      <c r="U22" s="1019"/>
    </row>
    <row r="23" spans="2:21" s="1013" customFormat="1" ht="19.5" customHeight="1">
      <c r="B23" s="1014"/>
      <c r="C23" s="1026">
        <f>IF('[1]BASE'!C23=0,"",'[1]BASE'!C23)</f>
        <v>7</v>
      </c>
      <c r="D23" s="1026" t="str">
        <f>IF('[1]BASE'!D23=0,"",'[1]BASE'!D23)</f>
        <v> ALMAFUERTE - ROSARIO OESTE</v>
      </c>
      <c r="E23" s="1026">
        <f>IF('[1]BASE'!E23=0,"",'[1]BASE'!E23)</f>
        <v>500</v>
      </c>
      <c r="F23" s="1026">
        <f>IF('[1]BASE'!F23=0,"",'[1]BASE'!F23)</f>
        <v>345</v>
      </c>
      <c r="G23" s="1027" t="str">
        <f>IF('[1]BASE'!G23=0,"",'[1]BASE'!G23)</f>
        <v>B</v>
      </c>
      <c r="H23" s="1022">
        <f>IF('[1]BASE'!FV23=0,"",'[1]BASE'!FV23)</f>
      </c>
      <c r="I23" s="1022">
        <f>IF('[1]BASE'!FW23=0,"",'[1]BASE'!FW23)</f>
      </c>
      <c r="J23" s="1022">
        <f>IF('[1]BASE'!FX23=0,"",'[1]BASE'!FX23)</f>
      </c>
      <c r="K23" s="1022">
        <f>IF('[1]BASE'!FY23=0,"",'[1]BASE'!FY23)</f>
      </c>
      <c r="L23" s="1022">
        <f>IF('[1]BASE'!FZ23=0,"",'[1]BASE'!FZ23)</f>
      </c>
      <c r="M23" s="1022">
        <f>IF('[1]BASE'!GA23=0,"",'[1]BASE'!GA23)</f>
        <v>1</v>
      </c>
      <c r="N23" s="1022">
        <f>IF('[1]BASE'!GB23=0,"",'[1]BASE'!GB23)</f>
      </c>
      <c r="O23" s="1022">
        <f>IF('[1]BASE'!GC23=0,"",'[1]BASE'!GC23)</f>
      </c>
      <c r="P23" s="1022">
        <f>IF('[1]BASE'!GD23=0,"",'[1]BASE'!GD23)</f>
      </c>
      <c r="Q23" s="1022">
        <f>IF('[1]BASE'!GE23=0,"",'[1]BASE'!GE23)</f>
      </c>
      <c r="R23" s="1022">
        <f>IF('[1]BASE'!GF23=0,"",'[1]BASE'!GF23)</f>
      </c>
      <c r="S23" s="1022">
        <f>IF('[1]BASE'!GG23=0,"",'[1]BASE'!GG23)</f>
      </c>
      <c r="T23" s="1023"/>
      <c r="U23" s="1019"/>
    </row>
    <row r="24" spans="2:21" s="1013" customFormat="1" ht="19.5" customHeight="1">
      <c r="B24" s="1014"/>
      <c r="C24" s="1024">
        <f>IF('[1]BASE'!C24=0,"",'[1]BASE'!C24)</f>
        <v>8</v>
      </c>
      <c r="D24" s="1024" t="str">
        <f>IF('[1]BASE'!D24=0,"",'[1]BASE'!D24)</f>
        <v>BAHIA BLANCA - CHOELE CHOEL 1</v>
      </c>
      <c r="E24" s="1024">
        <f>IF('[1]BASE'!E24=0,"",'[1]BASE'!E24)</f>
        <v>500</v>
      </c>
      <c r="F24" s="1024">
        <f>IF('[1]BASE'!F24=0,"",'[1]BASE'!F24)</f>
        <v>346</v>
      </c>
      <c r="G24" s="1025" t="str">
        <f>IF('[1]BASE'!G24=0,"",'[1]BASE'!G24)</f>
        <v>B</v>
      </c>
      <c r="H24" s="1022">
        <f>IF('[1]BASE'!FV24=0,"",'[1]BASE'!FV24)</f>
      </c>
      <c r="I24" s="1022">
        <f>IF('[1]BASE'!FW24=0,"",'[1]BASE'!FW24)</f>
      </c>
      <c r="J24" s="1022">
        <f>IF('[1]BASE'!FX24=0,"",'[1]BASE'!FX24)</f>
      </c>
      <c r="K24" s="1022">
        <f>IF('[1]BASE'!FY24=0,"",'[1]BASE'!FY24)</f>
      </c>
      <c r="L24" s="1022">
        <f>IF('[1]BASE'!FZ24=0,"",'[1]BASE'!FZ24)</f>
      </c>
      <c r="M24" s="1022">
        <f>IF('[1]BASE'!GA24=0,"",'[1]BASE'!GA24)</f>
      </c>
      <c r="N24" s="1022">
        <f>IF('[1]BASE'!GB24=0,"",'[1]BASE'!GB24)</f>
      </c>
      <c r="O24" s="1022">
        <f>IF('[1]BASE'!GC24=0,"",'[1]BASE'!GC24)</f>
        <v>1</v>
      </c>
      <c r="P24" s="1022">
        <f>IF('[1]BASE'!GD24=0,"",'[1]BASE'!GD24)</f>
      </c>
      <c r="Q24" s="1022">
        <f>IF('[1]BASE'!GE24=0,"",'[1]BASE'!GE24)</f>
      </c>
      <c r="R24" s="1022">
        <f>IF('[1]BASE'!GF24=0,"",'[1]BASE'!GF24)</f>
      </c>
      <c r="S24" s="1022">
        <f>IF('[1]BASE'!GG24=0,"",'[1]BASE'!GG24)</f>
      </c>
      <c r="T24" s="1023"/>
      <c r="U24" s="1019"/>
    </row>
    <row r="25" spans="2:21" s="1013" customFormat="1" ht="19.5" customHeight="1">
      <c r="B25" s="1014"/>
      <c r="C25" s="1026">
        <f>IF('[1]BASE'!C25=0,"",'[1]BASE'!C25)</f>
        <v>9</v>
      </c>
      <c r="D25" s="1026" t="str">
        <f>IF('[1]BASE'!D25=0,"",'[1]BASE'!D25)</f>
        <v>BAHIA BLANCA - CHOELE CHOEL 2</v>
      </c>
      <c r="E25" s="1026">
        <f>IF('[1]BASE'!E25=0,"",'[1]BASE'!E25)</f>
        <v>500</v>
      </c>
      <c r="F25" s="1026">
        <f>IF('[1]BASE'!F25=0,"",'[1]BASE'!F25)</f>
        <v>348.4</v>
      </c>
      <c r="G25" s="1027">
        <f>IF('[1]BASE'!G25=0,"",'[1]BASE'!G25)</f>
      </c>
      <c r="H25" s="1022">
        <f>IF('[1]BASE'!FV25=0,"",'[1]BASE'!FV25)</f>
      </c>
      <c r="I25" s="1022">
        <f>IF('[1]BASE'!FW25=0,"",'[1]BASE'!FW25)</f>
      </c>
      <c r="J25" s="1022">
        <f>IF('[1]BASE'!FX25=0,"",'[1]BASE'!FX25)</f>
      </c>
      <c r="K25" s="1022">
        <f>IF('[1]BASE'!FY25=0,"",'[1]BASE'!FY25)</f>
      </c>
      <c r="L25" s="1022">
        <f>IF('[1]BASE'!FZ25=0,"",'[1]BASE'!FZ25)</f>
      </c>
      <c r="M25" s="1022">
        <f>IF('[1]BASE'!GA25=0,"",'[1]BASE'!GA25)</f>
      </c>
      <c r="N25" s="1022">
        <f>IF('[1]BASE'!GB25=0,"",'[1]BASE'!GB25)</f>
      </c>
      <c r="O25" s="1022">
        <f>IF('[1]BASE'!GC25=0,"",'[1]BASE'!GC25)</f>
      </c>
      <c r="P25" s="1022">
        <f>IF('[1]BASE'!GD25=0,"",'[1]BASE'!GD25)</f>
      </c>
      <c r="Q25" s="1022">
        <f>IF('[1]BASE'!GE25=0,"",'[1]BASE'!GE25)</f>
      </c>
      <c r="R25" s="1022">
        <f>IF('[1]BASE'!GF25=0,"",'[1]BASE'!GF25)</f>
      </c>
      <c r="S25" s="1022">
        <f>IF('[1]BASE'!GG25=0,"",'[1]BASE'!GG25)</f>
      </c>
      <c r="T25" s="1023"/>
      <c r="U25" s="1019"/>
    </row>
    <row r="26" spans="2:21" s="1013" customFormat="1" ht="19.5" customHeight="1">
      <c r="B26" s="1014"/>
      <c r="C26" s="1024">
        <f>IF('[1]BASE'!C26=0,"",'[1]BASE'!C26)</f>
        <v>10</v>
      </c>
      <c r="D26" s="1024" t="str">
        <f>IF('[1]BASE'!D26=0,"",'[1]BASE'!D26)</f>
        <v>CERR. de la CTA - P.BAND. (A3)</v>
      </c>
      <c r="E26" s="1024">
        <f>IF('[1]BASE'!E26=0,"",'[1]BASE'!E26)</f>
        <v>500</v>
      </c>
      <c r="F26" s="1024">
        <f>IF('[1]BASE'!F26=0,"",'[1]BASE'!F26)</f>
        <v>27</v>
      </c>
      <c r="G26" s="1025" t="str">
        <f>IF('[1]BASE'!G26=0,"",'[1]BASE'!G26)</f>
        <v>C</v>
      </c>
      <c r="H26" s="1022">
        <f>IF('[1]BASE'!FV26=0,"",'[1]BASE'!FV26)</f>
      </c>
      <c r="I26" s="1022">
        <f>IF('[1]BASE'!FW26=0,"",'[1]BASE'!FW26)</f>
      </c>
      <c r="J26" s="1022">
        <f>IF('[1]BASE'!FX26=0,"",'[1]BASE'!FX26)</f>
        <v>2</v>
      </c>
      <c r="K26" s="1022">
        <f>IF('[1]BASE'!FY26=0,"",'[1]BASE'!FY26)</f>
      </c>
      <c r="L26" s="1022">
        <f>IF('[1]BASE'!FZ26=0,"",'[1]BASE'!FZ26)</f>
      </c>
      <c r="M26" s="1022">
        <f>IF('[1]BASE'!GA26=0,"",'[1]BASE'!GA26)</f>
        <v>1</v>
      </c>
      <c r="N26" s="1022">
        <f>IF('[1]BASE'!GB26=0,"",'[1]BASE'!GB26)</f>
      </c>
      <c r="O26" s="1022">
        <f>IF('[1]BASE'!GC26=0,"",'[1]BASE'!GC26)</f>
      </c>
      <c r="P26" s="1022">
        <f>IF('[1]BASE'!GD26=0,"",'[1]BASE'!GD26)</f>
      </c>
      <c r="Q26" s="1022">
        <f>IF('[1]BASE'!GE26=0,"",'[1]BASE'!GE26)</f>
      </c>
      <c r="R26" s="1022">
        <f>IF('[1]BASE'!GF26=0,"",'[1]BASE'!GF26)</f>
      </c>
      <c r="S26" s="1022">
        <f>IF('[1]BASE'!GG26=0,"",'[1]BASE'!GG26)</f>
      </c>
      <c r="T26" s="1023"/>
      <c r="U26" s="1019"/>
    </row>
    <row r="27" spans="2:21" s="1013" customFormat="1" ht="19.5" customHeight="1">
      <c r="B27" s="1014"/>
      <c r="C27" s="1026">
        <f>IF('[1]BASE'!C27=0,"",'[1]BASE'!C27)</f>
        <v>11</v>
      </c>
      <c r="D27" s="1026" t="str">
        <f>IF('[1]BASE'!D27=0,"",'[1]BASE'!D27)</f>
        <v>COLONIA ELIA - CAMPANA</v>
      </c>
      <c r="E27" s="1026">
        <f>IF('[1]BASE'!E27=0,"",'[1]BASE'!E27)</f>
        <v>500</v>
      </c>
      <c r="F27" s="1026">
        <f>IF('[1]BASE'!F27=0,"",'[1]BASE'!F27)</f>
        <v>194</v>
      </c>
      <c r="G27" s="1027" t="str">
        <f>IF('[1]BASE'!G27=0,"",'[1]BASE'!G27)</f>
        <v>C</v>
      </c>
      <c r="H27" s="1022">
        <f>IF('[1]BASE'!FV27=0,"",'[1]BASE'!FV27)</f>
      </c>
      <c r="I27" s="1022">
        <f>IF('[1]BASE'!FW27=0,"",'[1]BASE'!FW27)</f>
      </c>
      <c r="J27" s="1022">
        <f>IF('[1]BASE'!FX27=0,"",'[1]BASE'!FX27)</f>
      </c>
      <c r="K27" s="1022">
        <f>IF('[1]BASE'!FY27=0,"",'[1]BASE'!FY27)</f>
      </c>
      <c r="L27" s="1022">
        <f>IF('[1]BASE'!FZ27=0,"",'[1]BASE'!FZ27)</f>
      </c>
      <c r="M27" s="1022">
        <f>IF('[1]BASE'!GA27=0,"",'[1]BASE'!GA27)</f>
      </c>
      <c r="N27" s="1022">
        <f>IF('[1]BASE'!GB27=0,"",'[1]BASE'!GB27)</f>
      </c>
      <c r="O27" s="1022">
        <f>IF('[1]BASE'!GC27=0,"",'[1]BASE'!GC27)</f>
      </c>
      <c r="P27" s="1022">
        <f>IF('[1]BASE'!GD27=0,"",'[1]BASE'!GD27)</f>
      </c>
      <c r="Q27" s="1022">
        <f>IF('[1]BASE'!GE27=0,"",'[1]BASE'!GE27)</f>
        <v>1</v>
      </c>
      <c r="R27" s="1022">
        <f>IF('[1]BASE'!GF27=0,"",'[1]BASE'!GF27)</f>
      </c>
      <c r="S27" s="1022">
        <f>IF('[1]BASE'!GG27=0,"",'[1]BASE'!GG27)</f>
      </c>
      <c r="T27" s="1023"/>
      <c r="U27" s="1019"/>
    </row>
    <row r="28" spans="2:21" s="1013" customFormat="1" ht="19.5" customHeight="1">
      <c r="B28" s="1014"/>
      <c r="C28" s="1024">
        <f>IF('[1]BASE'!C28=0,"",'[1]BASE'!C28)</f>
        <v>12</v>
      </c>
      <c r="D28" s="1024" t="str">
        <f>IF('[1]BASE'!D28=0,"",'[1]BASE'!D28)</f>
        <v>CHO. W. - CHOELE CHOEL (5WH1)</v>
      </c>
      <c r="E28" s="1024">
        <f>IF('[1]BASE'!E28=0,"",'[1]BASE'!E28)</f>
        <v>500</v>
      </c>
      <c r="F28" s="1024">
        <f>IF('[1]BASE'!F28=0,"",'[1]BASE'!F28)</f>
        <v>269</v>
      </c>
      <c r="G28" s="1025" t="str">
        <f>IF('[1]BASE'!G28=0,"",'[1]BASE'!G28)</f>
        <v>B</v>
      </c>
      <c r="H28" s="1022">
        <f>IF('[1]BASE'!FV28=0,"",'[1]BASE'!FV28)</f>
      </c>
      <c r="I28" s="1022">
        <f>IF('[1]BASE'!FW28=0,"",'[1]BASE'!FW28)</f>
      </c>
      <c r="J28" s="1022">
        <f>IF('[1]BASE'!FX28=0,"",'[1]BASE'!FX28)</f>
      </c>
      <c r="K28" s="1022">
        <f>IF('[1]BASE'!FY28=0,"",'[1]BASE'!FY28)</f>
      </c>
      <c r="L28" s="1022">
        <f>IF('[1]BASE'!FZ28=0,"",'[1]BASE'!FZ28)</f>
      </c>
      <c r="M28" s="1022">
        <f>IF('[1]BASE'!GA28=0,"",'[1]BASE'!GA28)</f>
      </c>
      <c r="N28" s="1022">
        <f>IF('[1]BASE'!GB28=0,"",'[1]BASE'!GB28)</f>
      </c>
      <c r="O28" s="1022">
        <f>IF('[1]BASE'!GC28=0,"",'[1]BASE'!GC28)</f>
      </c>
      <c r="P28" s="1022">
        <f>IF('[1]BASE'!GD28=0,"",'[1]BASE'!GD28)</f>
      </c>
      <c r="Q28" s="1022">
        <f>IF('[1]BASE'!GE28=0,"",'[1]BASE'!GE28)</f>
      </c>
      <c r="R28" s="1022">
        <f>IF('[1]BASE'!GF28=0,"",'[1]BASE'!GF28)</f>
      </c>
      <c r="S28" s="1022">
        <f>IF('[1]BASE'!GG28=0,"",'[1]BASE'!GG28)</f>
      </c>
      <c r="T28" s="1023"/>
      <c r="U28" s="1019"/>
    </row>
    <row r="29" spans="2:21" s="1013" customFormat="1" ht="19.5" customHeight="1">
      <c r="B29" s="1014"/>
      <c r="C29" s="1026">
        <f>IF('[1]BASE'!C29=0,"",'[1]BASE'!C29)</f>
        <v>13</v>
      </c>
      <c r="D29" s="1026" t="str">
        <f>IF('[1]BASE'!D29=0,"",'[1]BASE'!D29)</f>
        <v>CHO.W. - CHO. 1 (5WC1)</v>
      </c>
      <c r="E29" s="1026">
        <f>IF('[1]BASE'!E29=0,"",'[1]BASE'!E29)</f>
        <v>500</v>
      </c>
      <c r="F29" s="1026">
        <f>IF('[1]BASE'!F29=0,"",'[1]BASE'!F29)</f>
        <v>4.5</v>
      </c>
      <c r="G29" s="1027" t="str">
        <f>IF('[1]BASE'!G29=0,"",'[1]BASE'!G29)</f>
        <v>C</v>
      </c>
      <c r="H29" s="1022">
        <f>IF('[1]BASE'!FV29=0,"",'[1]BASE'!FV29)</f>
      </c>
      <c r="I29" s="1022">
        <f>IF('[1]BASE'!FW29=0,"",'[1]BASE'!FW29)</f>
      </c>
      <c r="J29" s="1022">
        <f>IF('[1]BASE'!FX29=0,"",'[1]BASE'!FX29)</f>
      </c>
      <c r="K29" s="1022">
        <f>IF('[1]BASE'!FY29=0,"",'[1]BASE'!FY29)</f>
      </c>
      <c r="L29" s="1022">
        <f>IF('[1]BASE'!FZ29=0,"",'[1]BASE'!FZ29)</f>
      </c>
      <c r="M29" s="1022">
        <f>IF('[1]BASE'!GA29=0,"",'[1]BASE'!GA29)</f>
      </c>
      <c r="N29" s="1022">
        <f>IF('[1]BASE'!GB29=0,"",'[1]BASE'!GB29)</f>
      </c>
      <c r="O29" s="1022">
        <f>IF('[1]BASE'!GC29=0,"",'[1]BASE'!GC29)</f>
      </c>
      <c r="P29" s="1022">
        <f>IF('[1]BASE'!GD29=0,"",'[1]BASE'!GD29)</f>
      </c>
      <c r="Q29" s="1022">
        <f>IF('[1]BASE'!GE29=0,"",'[1]BASE'!GE29)</f>
      </c>
      <c r="R29" s="1022">
        <f>IF('[1]BASE'!GF29=0,"",'[1]BASE'!GF29)</f>
      </c>
      <c r="S29" s="1022">
        <f>IF('[1]BASE'!GG29=0,"",'[1]BASE'!GG29)</f>
      </c>
      <c r="T29" s="1023"/>
      <c r="U29" s="1019"/>
    </row>
    <row r="30" spans="2:21" s="1013" customFormat="1" ht="19.5" customHeight="1">
      <c r="B30" s="1014"/>
      <c r="C30" s="1024">
        <f>IF('[1]BASE'!C30=0,"",'[1]BASE'!C30)</f>
        <v>14</v>
      </c>
      <c r="D30" s="1024" t="str">
        <f>IF('[1]BASE'!D30=0,"",'[1]BASE'!D30)</f>
        <v>CHO.W. - CHO. 2 (5WC2)</v>
      </c>
      <c r="E30" s="1024">
        <f>IF('[1]BASE'!E30=0,"",'[1]BASE'!E30)</f>
        <v>500</v>
      </c>
      <c r="F30" s="1024">
        <f>IF('[1]BASE'!F30=0,"",'[1]BASE'!F30)</f>
        <v>4.5</v>
      </c>
      <c r="G30" s="1025" t="str">
        <f>IF('[1]BASE'!G30=0,"",'[1]BASE'!G30)</f>
        <v>C</v>
      </c>
      <c r="H30" s="1022">
        <f>IF('[1]BASE'!FV30=0,"",'[1]BASE'!FV30)</f>
      </c>
      <c r="I30" s="1022">
        <f>IF('[1]BASE'!FW30=0,"",'[1]BASE'!FW30)</f>
      </c>
      <c r="J30" s="1022">
        <f>IF('[1]BASE'!FX30=0,"",'[1]BASE'!FX30)</f>
      </c>
      <c r="K30" s="1022">
        <f>IF('[1]BASE'!FY30=0,"",'[1]BASE'!FY30)</f>
      </c>
      <c r="L30" s="1022">
        <f>IF('[1]BASE'!FZ30=0,"",'[1]BASE'!FZ30)</f>
      </c>
      <c r="M30" s="1022">
        <f>IF('[1]BASE'!GA30=0,"",'[1]BASE'!GA30)</f>
      </c>
      <c r="N30" s="1022">
        <f>IF('[1]BASE'!GB30=0,"",'[1]BASE'!GB30)</f>
      </c>
      <c r="O30" s="1022">
        <f>IF('[1]BASE'!GC30=0,"",'[1]BASE'!GC30)</f>
      </c>
      <c r="P30" s="1022">
        <f>IF('[1]BASE'!GD30=0,"",'[1]BASE'!GD30)</f>
      </c>
      <c r="Q30" s="1022">
        <f>IF('[1]BASE'!GE30=0,"",'[1]BASE'!GE30)</f>
      </c>
      <c r="R30" s="1022">
        <f>IF('[1]BASE'!GF30=0,"",'[1]BASE'!GF30)</f>
      </c>
      <c r="S30" s="1022">
        <f>IF('[1]BASE'!GG30=0,"",'[1]BASE'!GG30)</f>
      </c>
      <c r="T30" s="1023"/>
      <c r="U30" s="1019"/>
    </row>
    <row r="31" spans="2:21" s="1013" customFormat="1" ht="19.5" customHeight="1">
      <c r="B31" s="1014"/>
      <c r="C31" s="1026">
        <f>IF('[1]BASE'!C31=0,"",'[1]BASE'!C31)</f>
        <v>15</v>
      </c>
      <c r="D31" s="1026" t="str">
        <f>IF('[1]BASE'!D31=0,"",'[1]BASE'!D31)</f>
        <v>CHOCON - C.H. CHOCON 1</v>
      </c>
      <c r="E31" s="1026">
        <f>IF('[1]BASE'!E31=0,"",'[1]BASE'!E31)</f>
        <v>500</v>
      </c>
      <c r="F31" s="1026">
        <f>IF('[1]BASE'!F31=0,"",'[1]BASE'!F31)</f>
        <v>3</v>
      </c>
      <c r="G31" s="1027" t="str">
        <f>IF('[1]BASE'!G31=0,"",'[1]BASE'!G31)</f>
        <v>C</v>
      </c>
      <c r="H31" s="1022">
        <f>IF('[1]BASE'!FV31=0,"",'[1]BASE'!FV31)</f>
      </c>
      <c r="I31" s="1022">
        <f>IF('[1]BASE'!FW31=0,"",'[1]BASE'!FW31)</f>
      </c>
      <c r="J31" s="1022">
        <f>IF('[1]BASE'!FX31=0,"",'[1]BASE'!FX31)</f>
      </c>
      <c r="K31" s="1022">
        <f>IF('[1]BASE'!FY31=0,"",'[1]BASE'!FY31)</f>
      </c>
      <c r="L31" s="1022">
        <f>IF('[1]BASE'!FZ31=0,"",'[1]BASE'!FZ31)</f>
      </c>
      <c r="M31" s="1022">
        <f>IF('[1]BASE'!GA31=0,"",'[1]BASE'!GA31)</f>
      </c>
      <c r="N31" s="1022">
        <f>IF('[1]BASE'!GB31=0,"",'[1]BASE'!GB31)</f>
      </c>
      <c r="O31" s="1022">
        <f>IF('[1]BASE'!GC31=0,"",'[1]BASE'!GC31)</f>
      </c>
      <c r="P31" s="1022">
        <f>IF('[1]BASE'!GD31=0,"",'[1]BASE'!GD31)</f>
      </c>
      <c r="Q31" s="1022">
        <f>IF('[1]BASE'!GE31=0,"",'[1]BASE'!GE31)</f>
      </c>
      <c r="R31" s="1022">
        <f>IF('[1]BASE'!GF31=0,"",'[1]BASE'!GF31)</f>
      </c>
      <c r="S31" s="1022">
        <f>IF('[1]BASE'!GG31=0,"",'[1]BASE'!GG31)</f>
      </c>
      <c r="T31" s="1023"/>
      <c r="U31" s="1019"/>
    </row>
    <row r="32" spans="2:21" s="1013" customFormat="1" ht="19.5" customHeight="1">
      <c r="B32" s="1014"/>
      <c r="C32" s="1024">
        <f>IF('[1]BASE'!C32=0,"",'[1]BASE'!C32)</f>
        <v>16</v>
      </c>
      <c r="D32" s="1024" t="str">
        <f>IF('[1]BASE'!D32=0,"",'[1]BASE'!D32)</f>
        <v>CHOCON - C.H. CHOCON 2</v>
      </c>
      <c r="E32" s="1024">
        <f>IF('[1]BASE'!E32=0,"",'[1]BASE'!E32)</f>
        <v>500</v>
      </c>
      <c r="F32" s="1024">
        <f>IF('[1]BASE'!F32=0,"",'[1]BASE'!F32)</f>
        <v>3</v>
      </c>
      <c r="G32" s="1025" t="str">
        <f>IF('[1]BASE'!G32=0,"",'[1]BASE'!G32)</f>
        <v>C</v>
      </c>
      <c r="H32" s="1022">
        <f>IF('[1]BASE'!FV32=0,"",'[1]BASE'!FV32)</f>
      </c>
      <c r="I32" s="1022">
        <f>IF('[1]BASE'!FW32=0,"",'[1]BASE'!FW32)</f>
      </c>
      <c r="J32" s="1022">
        <f>IF('[1]BASE'!FX32=0,"",'[1]BASE'!FX32)</f>
      </c>
      <c r="K32" s="1022">
        <f>IF('[1]BASE'!FY32=0,"",'[1]BASE'!FY32)</f>
      </c>
      <c r="L32" s="1022">
        <f>IF('[1]BASE'!FZ32=0,"",'[1]BASE'!FZ32)</f>
      </c>
      <c r="M32" s="1022">
        <f>IF('[1]BASE'!GA32=0,"",'[1]BASE'!GA32)</f>
      </c>
      <c r="N32" s="1022">
        <f>IF('[1]BASE'!GB32=0,"",'[1]BASE'!GB32)</f>
      </c>
      <c r="O32" s="1022">
        <f>IF('[1]BASE'!GC32=0,"",'[1]BASE'!GC32)</f>
      </c>
      <c r="P32" s="1022">
        <f>IF('[1]BASE'!GD32=0,"",'[1]BASE'!GD32)</f>
      </c>
      <c r="Q32" s="1022">
        <f>IF('[1]BASE'!GE32=0,"",'[1]BASE'!GE32)</f>
      </c>
      <c r="R32" s="1022">
        <f>IF('[1]BASE'!GF32=0,"",'[1]BASE'!GF32)</f>
      </c>
      <c r="S32" s="1022">
        <f>IF('[1]BASE'!GG32=0,"",'[1]BASE'!GG32)</f>
      </c>
      <c r="T32" s="1023"/>
      <c r="U32" s="1019"/>
    </row>
    <row r="33" spans="2:21" s="1013" customFormat="1" ht="19.5" customHeight="1">
      <c r="B33" s="1014"/>
      <c r="C33" s="1026">
        <f>IF('[1]BASE'!C33=0,"",'[1]BASE'!C33)</f>
        <v>17</v>
      </c>
      <c r="D33" s="1026" t="str">
        <f>IF('[1]BASE'!D33=0,"",'[1]BASE'!D33)</f>
        <v>CHOCON - C.H. CHOCON 3</v>
      </c>
      <c r="E33" s="1026">
        <f>IF('[1]BASE'!E33=0,"",'[1]BASE'!E33)</f>
        <v>500</v>
      </c>
      <c r="F33" s="1026">
        <f>IF('[1]BASE'!F33=0,"",'[1]BASE'!F33)</f>
        <v>3</v>
      </c>
      <c r="G33" s="1027" t="str">
        <f>IF('[1]BASE'!G33=0,"",'[1]BASE'!G33)</f>
        <v>C</v>
      </c>
      <c r="H33" s="1022">
        <f>IF('[1]BASE'!FV33=0,"",'[1]BASE'!FV33)</f>
      </c>
      <c r="I33" s="1022">
        <f>IF('[1]BASE'!FW33=0,"",'[1]BASE'!FW33)</f>
      </c>
      <c r="J33" s="1022">
        <f>IF('[1]BASE'!FX33=0,"",'[1]BASE'!FX33)</f>
        <v>1</v>
      </c>
      <c r="K33" s="1022">
        <f>IF('[1]BASE'!FY33=0,"",'[1]BASE'!FY33)</f>
      </c>
      <c r="L33" s="1022">
        <f>IF('[1]BASE'!FZ33=0,"",'[1]BASE'!FZ33)</f>
      </c>
      <c r="M33" s="1022">
        <f>IF('[1]BASE'!GA33=0,"",'[1]BASE'!GA33)</f>
      </c>
      <c r="N33" s="1022">
        <f>IF('[1]BASE'!GB33=0,"",'[1]BASE'!GB33)</f>
      </c>
      <c r="O33" s="1022">
        <f>IF('[1]BASE'!GC33=0,"",'[1]BASE'!GC33)</f>
      </c>
      <c r="P33" s="1022">
        <f>IF('[1]BASE'!GD33=0,"",'[1]BASE'!GD33)</f>
      </c>
      <c r="Q33" s="1022">
        <f>IF('[1]BASE'!GE33=0,"",'[1]BASE'!GE33)</f>
      </c>
      <c r="R33" s="1022">
        <f>IF('[1]BASE'!GF33=0,"",'[1]BASE'!GF33)</f>
      </c>
      <c r="S33" s="1022">
        <f>IF('[1]BASE'!GG33=0,"",'[1]BASE'!GG33)</f>
      </c>
      <c r="T33" s="1023"/>
      <c r="U33" s="1019"/>
    </row>
    <row r="34" spans="2:21" s="1013" customFormat="1" ht="19.5" customHeight="1">
      <c r="B34" s="1014"/>
      <c r="C34" s="1024">
        <f>IF('[1]BASE'!C34=0,"",'[1]BASE'!C34)</f>
        <v>18</v>
      </c>
      <c r="D34" s="1024" t="str">
        <f>IF('[1]BASE'!D34=0,"",'[1]BASE'!D34)</f>
        <v>CHOCON - PUELCHES 1</v>
      </c>
      <c r="E34" s="1024">
        <f>IF('[1]BASE'!E34=0,"",'[1]BASE'!E34)</f>
        <v>500</v>
      </c>
      <c r="F34" s="1024">
        <f>IF('[1]BASE'!F34=0,"",'[1]BASE'!F34)</f>
        <v>304</v>
      </c>
      <c r="G34" s="1025" t="str">
        <f>IF('[1]BASE'!G34=0,"",'[1]BASE'!G34)</f>
        <v>A</v>
      </c>
      <c r="H34" s="1022">
        <f>IF('[1]BASE'!FV34=0,"",'[1]BASE'!FV34)</f>
      </c>
      <c r="I34" s="1022">
        <f>IF('[1]BASE'!FW34=0,"",'[1]BASE'!FW34)</f>
      </c>
      <c r="J34" s="1022">
        <f>IF('[1]BASE'!FX34=0,"",'[1]BASE'!FX34)</f>
      </c>
      <c r="K34" s="1022">
        <f>IF('[1]BASE'!FY34=0,"",'[1]BASE'!FY34)</f>
      </c>
      <c r="L34" s="1022">
        <f>IF('[1]BASE'!FZ34=0,"",'[1]BASE'!FZ34)</f>
      </c>
      <c r="M34" s="1022">
        <f>IF('[1]BASE'!GA34=0,"",'[1]BASE'!GA34)</f>
      </c>
      <c r="N34" s="1022">
        <f>IF('[1]BASE'!GB34=0,"",'[1]BASE'!GB34)</f>
      </c>
      <c r="O34" s="1022">
        <f>IF('[1]BASE'!GC34=0,"",'[1]BASE'!GC34)</f>
        <v>2</v>
      </c>
      <c r="P34" s="1022">
        <f>IF('[1]BASE'!GD34=0,"",'[1]BASE'!GD34)</f>
      </c>
      <c r="Q34" s="1022">
        <f>IF('[1]BASE'!GE34=0,"",'[1]BASE'!GE34)</f>
      </c>
      <c r="R34" s="1022">
        <f>IF('[1]BASE'!GF34=0,"",'[1]BASE'!GF34)</f>
      </c>
      <c r="S34" s="1022">
        <f>IF('[1]BASE'!GG34=0,"",'[1]BASE'!GG34)</f>
      </c>
      <c r="T34" s="1023"/>
      <c r="U34" s="1019"/>
    </row>
    <row r="35" spans="2:21" s="1013" customFormat="1" ht="19.5" customHeight="1">
      <c r="B35" s="1014"/>
      <c r="C35" s="1026">
        <f>IF('[1]BASE'!C35=0,"",'[1]BASE'!C35)</f>
        <v>19</v>
      </c>
      <c r="D35" s="1026" t="str">
        <f>IF('[1]BASE'!D35=0,"",'[1]BASE'!D35)</f>
        <v>CHOCON - PUELCHES 2</v>
      </c>
      <c r="E35" s="1026">
        <f>IF('[1]BASE'!E35=0,"",'[1]BASE'!E35)</f>
        <v>500</v>
      </c>
      <c r="F35" s="1026">
        <f>IF('[1]BASE'!F35=0,"",'[1]BASE'!F35)</f>
        <v>304</v>
      </c>
      <c r="G35" s="1027" t="str">
        <f>IF('[1]BASE'!G35=0,"",'[1]BASE'!G35)</f>
        <v>A</v>
      </c>
      <c r="H35" s="1022">
        <f>IF('[1]BASE'!FV35=0,"",'[1]BASE'!FV35)</f>
      </c>
      <c r="I35" s="1022">
        <f>IF('[1]BASE'!FW35=0,"",'[1]BASE'!FW35)</f>
        <v>1</v>
      </c>
      <c r="J35" s="1022">
        <f>IF('[1]BASE'!FX35=0,"",'[1]BASE'!FX35)</f>
      </c>
      <c r="K35" s="1022">
        <f>IF('[1]BASE'!FY35=0,"",'[1]BASE'!FY35)</f>
      </c>
      <c r="L35" s="1022">
        <f>IF('[1]BASE'!FZ35=0,"",'[1]BASE'!FZ35)</f>
      </c>
      <c r="M35" s="1022">
        <f>IF('[1]BASE'!GA35=0,"",'[1]BASE'!GA35)</f>
      </c>
      <c r="N35" s="1022">
        <f>IF('[1]BASE'!GB35=0,"",'[1]BASE'!GB35)</f>
      </c>
      <c r="O35" s="1022">
        <f>IF('[1]BASE'!GC35=0,"",'[1]BASE'!GC35)</f>
      </c>
      <c r="P35" s="1022">
        <f>IF('[1]BASE'!GD35=0,"",'[1]BASE'!GD35)</f>
      </c>
      <c r="Q35" s="1022">
        <f>IF('[1]BASE'!GE35=0,"",'[1]BASE'!GE35)</f>
      </c>
      <c r="R35" s="1022">
        <f>IF('[1]BASE'!GF35=0,"",'[1]BASE'!GF35)</f>
      </c>
      <c r="S35" s="1022">
        <f>IF('[1]BASE'!GG35=0,"",'[1]BASE'!GG35)</f>
      </c>
      <c r="T35" s="1023"/>
      <c r="U35" s="1019"/>
    </row>
    <row r="36" spans="2:21" s="1013" customFormat="1" ht="19.5" customHeight="1">
      <c r="B36" s="1014"/>
      <c r="C36" s="1024">
        <f>IF('[1]BASE'!C36=0,"",'[1]BASE'!C36)</f>
        <v>20</v>
      </c>
      <c r="D36" s="1024" t="str">
        <f>IF('[1]BASE'!D36=0,"",'[1]BASE'!D36)</f>
        <v>E.T.P.del AGUILA - CENTRAL P.del A. 1</v>
      </c>
      <c r="E36" s="1024">
        <f>IF('[1]BASE'!E36=0,"",'[1]BASE'!E36)</f>
        <v>500</v>
      </c>
      <c r="F36" s="1024">
        <f>IF('[1]BASE'!F36=0,"",'[1]BASE'!F36)</f>
        <v>5.6</v>
      </c>
      <c r="G36" s="1025" t="str">
        <f>IF('[1]BASE'!G36=0,"",'[1]BASE'!G36)</f>
        <v>C</v>
      </c>
      <c r="H36" s="1022">
        <f>IF('[1]BASE'!FV36=0,"",'[1]BASE'!FV36)</f>
      </c>
      <c r="I36" s="1022">
        <f>IF('[1]BASE'!FW36=0,"",'[1]BASE'!FW36)</f>
      </c>
      <c r="J36" s="1022">
        <f>IF('[1]BASE'!FX36=0,"",'[1]BASE'!FX36)</f>
      </c>
      <c r="K36" s="1022">
        <f>IF('[1]BASE'!FY36=0,"",'[1]BASE'!FY36)</f>
      </c>
      <c r="L36" s="1022">
        <f>IF('[1]BASE'!FZ36=0,"",'[1]BASE'!FZ36)</f>
      </c>
      <c r="M36" s="1022">
        <f>IF('[1]BASE'!GA36=0,"",'[1]BASE'!GA36)</f>
      </c>
      <c r="N36" s="1022">
        <f>IF('[1]BASE'!GB36=0,"",'[1]BASE'!GB36)</f>
      </c>
      <c r="O36" s="1022">
        <f>IF('[1]BASE'!GC36=0,"",'[1]BASE'!GC36)</f>
      </c>
      <c r="P36" s="1022">
        <f>IF('[1]BASE'!GD36=0,"",'[1]BASE'!GD36)</f>
      </c>
      <c r="Q36" s="1022">
        <f>IF('[1]BASE'!GE36=0,"",'[1]BASE'!GE36)</f>
      </c>
      <c r="R36" s="1022">
        <f>IF('[1]BASE'!GF36=0,"",'[1]BASE'!GF36)</f>
      </c>
      <c r="S36" s="1022">
        <f>IF('[1]BASE'!GG36=0,"",'[1]BASE'!GG36)</f>
      </c>
      <c r="T36" s="1023"/>
      <c r="U36" s="1019"/>
    </row>
    <row r="37" spans="2:21" s="1013" customFormat="1" ht="19.5" customHeight="1">
      <c r="B37" s="1014"/>
      <c r="C37" s="1026">
        <f>IF('[1]BASE'!C37=0,"",'[1]BASE'!C37)</f>
        <v>21</v>
      </c>
      <c r="D37" s="1026" t="str">
        <f>IF('[1]BASE'!D37=0,"",'[1]BASE'!D37)</f>
        <v>E.T.P.del AGUILA - CENTRAL P.del A. 2</v>
      </c>
      <c r="E37" s="1026">
        <f>IF('[1]BASE'!E37=0,"",'[1]BASE'!E37)</f>
        <v>500</v>
      </c>
      <c r="F37" s="1026">
        <f>IF('[1]BASE'!F37=0,"",'[1]BASE'!F37)</f>
        <v>5.6</v>
      </c>
      <c r="G37" s="1027" t="str">
        <f>IF('[1]BASE'!G37=0,"",'[1]BASE'!G37)</f>
        <v>C</v>
      </c>
      <c r="H37" s="1022">
        <f>IF('[1]BASE'!FV37=0,"",'[1]BASE'!FV37)</f>
      </c>
      <c r="I37" s="1022">
        <f>IF('[1]BASE'!FW37=0,"",'[1]BASE'!FW37)</f>
      </c>
      <c r="J37" s="1022">
        <f>IF('[1]BASE'!FX37=0,"",'[1]BASE'!FX37)</f>
      </c>
      <c r="K37" s="1022">
        <f>IF('[1]BASE'!FY37=0,"",'[1]BASE'!FY37)</f>
      </c>
      <c r="L37" s="1022">
        <f>IF('[1]BASE'!FZ37=0,"",'[1]BASE'!FZ37)</f>
      </c>
      <c r="M37" s="1022">
        <f>IF('[1]BASE'!GA37=0,"",'[1]BASE'!GA37)</f>
      </c>
      <c r="N37" s="1022">
        <f>IF('[1]BASE'!GB37=0,"",'[1]BASE'!GB37)</f>
      </c>
      <c r="O37" s="1022">
        <f>IF('[1]BASE'!GC37=0,"",'[1]BASE'!GC37)</f>
      </c>
      <c r="P37" s="1022">
        <f>IF('[1]BASE'!GD37=0,"",'[1]BASE'!GD37)</f>
      </c>
      <c r="Q37" s="1022">
        <f>IF('[1]BASE'!GE37=0,"",'[1]BASE'!GE37)</f>
      </c>
      <c r="R37" s="1022">
        <f>IF('[1]BASE'!GF37=0,"",'[1]BASE'!GF37)</f>
      </c>
      <c r="S37" s="1022">
        <f>IF('[1]BASE'!GG37=0,"",'[1]BASE'!GG37)</f>
      </c>
      <c r="T37" s="1023"/>
      <c r="U37" s="1019"/>
    </row>
    <row r="38" spans="2:21" s="1013" customFormat="1" ht="19.5" customHeight="1">
      <c r="B38" s="1014"/>
      <c r="C38" s="1024">
        <f>IF('[1]BASE'!C38=0,"",'[1]BASE'!C38)</f>
        <v>22</v>
      </c>
      <c r="D38" s="1024" t="str">
        <f>IF('[1]BASE'!D38=0,"",'[1]BASE'!D38)</f>
        <v>EL BRACHO - RECREO(5)</v>
      </c>
      <c r="E38" s="1024">
        <f>IF('[1]BASE'!E38=0,"",'[1]BASE'!E38)</f>
        <v>500</v>
      </c>
      <c r="F38" s="1024">
        <f>IF('[1]BASE'!F38=0,"",'[1]BASE'!F38)</f>
        <v>255</v>
      </c>
      <c r="G38" s="1025" t="str">
        <f>IF('[1]BASE'!G38=0,"",'[1]BASE'!G38)</f>
        <v>C</v>
      </c>
      <c r="H38" s="1022">
        <f>IF('[1]BASE'!FV38=0,"",'[1]BASE'!FV38)</f>
      </c>
      <c r="I38" s="1022">
        <f>IF('[1]BASE'!FW38=0,"",'[1]BASE'!FW38)</f>
      </c>
      <c r="J38" s="1022">
        <f>IF('[1]BASE'!FX38=0,"",'[1]BASE'!FX38)</f>
      </c>
      <c r="K38" s="1022">
        <f>IF('[1]BASE'!FY38=0,"",'[1]BASE'!FY38)</f>
      </c>
      <c r="L38" s="1022">
        <f>IF('[1]BASE'!FZ38=0,"",'[1]BASE'!FZ38)</f>
      </c>
      <c r="M38" s="1022">
        <f>IF('[1]BASE'!GA38=0,"",'[1]BASE'!GA38)</f>
      </c>
      <c r="N38" s="1022">
        <f>IF('[1]BASE'!GB38=0,"",'[1]BASE'!GB38)</f>
      </c>
      <c r="O38" s="1022">
        <f>IF('[1]BASE'!GC38=0,"",'[1]BASE'!GC38)</f>
      </c>
      <c r="P38" s="1022">
        <f>IF('[1]BASE'!GD38=0,"",'[1]BASE'!GD38)</f>
      </c>
      <c r="Q38" s="1022">
        <f>IF('[1]BASE'!GE38=0,"",'[1]BASE'!GE38)</f>
      </c>
      <c r="R38" s="1022">
        <f>IF('[1]BASE'!GF38=0,"",'[1]BASE'!GF38)</f>
        <v>1</v>
      </c>
      <c r="S38" s="1022">
        <f>IF('[1]BASE'!GG38=0,"",'[1]BASE'!GG38)</f>
      </c>
      <c r="T38" s="1023"/>
      <c r="U38" s="1019"/>
    </row>
    <row r="39" spans="2:21" s="1013" customFormat="1" ht="19.5" customHeight="1">
      <c r="B39" s="1014"/>
      <c r="C39" s="1026">
        <f>IF('[1]BASE'!C39=0,"",'[1]BASE'!C39)</f>
        <v>23</v>
      </c>
      <c r="D39" s="1026" t="str">
        <f>IF('[1]BASE'!D39=0,"",'[1]BASE'!D39)</f>
        <v>EZEIZA - ABASTO 1</v>
      </c>
      <c r="E39" s="1026">
        <f>IF('[1]BASE'!E39=0,"",'[1]BASE'!E39)</f>
        <v>500</v>
      </c>
      <c r="F39" s="1026">
        <f>IF('[1]BASE'!F39=0,"",'[1]BASE'!F39)</f>
        <v>58</v>
      </c>
      <c r="G39" s="1027" t="str">
        <f>IF('[1]BASE'!G39=0,"",'[1]BASE'!G39)</f>
        <v>C</v>
      </c>
      <c r="H39" s="1022">
        <f>IF('[1]BASE'!FV39=0,"",'[1]BASE'!FV39)</f>
      </c>
      <c r="I39" s="1022">
        <f>IF('[1]BASE'!FW39=0,"",'[1]BASE'!FW39)</f>
      </c>
      <c r="J39" s="1022">
        <f>IF('[1]BASE'!FX39=0,"",'[1]BASE'!FX39)</f>
      </c>
      <c r="K39" s="1022">
        <f>IF('[1]BASE'!FY39=0,"",'[1]BASE'!FY39)</f>
      </c>
      <c r="L39" s="1022">
        <f>IF('[1]BASE'!FZ39=0,"",'[1]BASE'!FZ39)</f>
      </c>
      <c r="M39" s="1022">
        <f>IF('[1]BASE'!GA39=0,"",'[1]BASE'!GA39)</f>
      </c>
      <c r="N39" s="1022">
        <f>IF('[1]BASE'!GB39=0,"",'[1]BASE'!GB39)</f>
      </c>
      <c r="O39" s="1022">
        <f>IF('[1]BASE'!GC39=0,"",'[1]BASE'!GC39)</f>
      </c>
      <c r="P39" s="1022">
        <f>IF('[1]BASE'!GD39=0,"",'[1]BASE'!GD39)</f>
      </c>
      <c r="Q39" s="1022">
        <f>IF('[1]BASE'!GE39=0,"",'[1]BASE'!GE39)</f>
      </c>
      <c r="R39" s="1022">
        <f>IF('[1]BASE'!GF39=0,"",'[1]BASE'!GF39)</f>
      </c>
      <c r="S39" s="1022">
        <f>IF('[1]BASE'!GG39=0,"",'[1]BASE'!GG39)</f>
      </c>
      <c r="T39" s="1023"/>
      <c r="U39" s="1019"/>
    </row>
    <row r="40" spans="2:21" s="1013" customFormat="1" ht="19.5" customHeight="1">
      <c r="B40" s="1014"/>
      <c r="C40" s="1024">
        <f>IF('[1]BASE'!C40=0,"",'[1]BASE'!C40)</f>
        <v>24</v>
      </c>
      <c r="D40" s="1024" t="str">
        <f>IF('[1]BASE'!D40=0,"",'[1]BASE'!D40)</f>
        <v>EZEIZA - ABASTO 2</v>
      </c>
      <c r="E40" s="1024">
        <f>IF('[1]BASE'!E40=0,"",'[1]BASE'!E40)</f>
        <v>500</v>
      </c>
      <c r="F40" s="1024">
        <f>IF('[1]BASE'!F40=0,"",'[1]BASE'!F40)</f>
        <v>58</v>
      </c>
      <c r="G40" s="1025" t="str">
        <f>IF('[1]BASE'!G40=0,"",'[1]BASE'!G40)</f>
        <v>C</v>
      </c>
      <c r="H40" s="1022">
        <f>IF('[1]BASE'!FV40=0,"",'[1]BASE'!FV40)</f>
      </c>
      <c r="I40" s="1022">
        <f>IF('[1]BASE'!FW40=0,"",'[1]BASE'!FW40)</f>
      </c>
      <c r="J40" s="1022">
        <f>IF('[1]BASE'!FX40=0,"",'[1]BASE'!FX40)</f>
      </c>
      <c r="K40" s="1022">
        <f>IF('[1]BASE'!FY40=0,"",'[1]BASE'!FY40)</f>
      </c>
      <c r="L40" s="1022">
        <f>IF('[1]BASE'!FZ40=0,"",'[1]BASE'!FZ40)</f>
      </c>
      <c r="M40" s="1022">
        <f>IF('[1]BASE'!GA40=0,"",'[1]BASE'!GA40)</f>
      </c>
      <c r="N40" s="1022">
        <f>IF('[1]BASE'!GB40=0,"",'[1]BASE'!GB40)</f>
      </c>
      <c r="O40" s="1022">
        <f>IF('[1]BASE'!GC40=0,"",'[1]BASE'!GC40)</f>
      </c>
      <c r="P40" s="1022">
        <f>IF('[1]BASE'!GD40=0,"",'[1]BASE'!GD40)</f>
      </c>
      <c r="Q40" s="1022">
        <f>IF('[1]BASE'!GE40=0,"",'[1]BASE'!GE40)</f>
      </c>
      <c r="R40" s="1022">
        <f>IF('[1]BASE'!GF40=0,"",'[1]BASE'!GF40)</f>
      </c>
      <c r="S40" s="1022">
        <f>IF('[1]BASE'!GG40=0,"",'[1]BASE'!GG40)</f>
      </c>
      <c r="T40" s="1023"/>
      <c r="U40" s="1019"/>
    </row>
    <row r="41" spans="2:21" s="1013" customFormat="1" ht="19.5" customHeight="1">
      <c r="B41" s="1014"/>
      <c r="C41" s="1026">
        <f>IF('[1]BASE'!C41=0,"",'[1]BASE'!C41)</f>
        <v>25</v>
      </c>
      <c r="D41" s="1026" t="str">
        <f>IF('[1]BASE'!D41=0,"",'[1]BASE'!D41)</f>
        <v>EZEIZA - RODRIGUEZ 1</v>
      </c>
      <c r="E41" s="1026">
        <f>IF('[1]BASE'!E41=0,"",'[1]BASE'!E41)</f>
        <v>500</v>
      </c>
      <c r="F41" s="1026">
        <f>IF('[1]BASE'!F41=0,"",'[1]BASE'!F41)</f>
        <v>53</v>
      </c>
      <c r="G41" s="1027" t="str">
        <f>IF('[1]BASE'!G41=0,"",'[1]BASE'!G41)</f>
        <v>C</v>
      </c>
      <c r="H41" s="1022">
        <f>IF('[1]BASE'!FV41=0,"",'[1]BASE'!FV41)</f>
      </c>
      <c r="I41" s="1022">
        <f>IF('[1]BASE'!FW41=0,"",'[1]BASE'!FW41)</f>
      </c>
      <c r="J41" s="1022">
        <f>IF('[1]BASE'!FX41=0,"",'[1]BASE'!FX41)</f>
      </c>
      <c r="K41" s="1022">
        <f>IF('[1]BASE'!FY41=0,"",'[1]BASE'!FY41)</f>
      </c>
      <c r="L41" s="1022">
        <f>IF('[1]BASE'!FZ41=0,"",'[1]BASE'!FZ41)</f>
      </c>
      <c r="M41" s="1022">
        <f>IF('[1]BASE'!GA41=0,"",'[1]BASE'!GA41)</f>
      </c>
      <c r="N41" s="1022">
        <f>IF('[1]BASE'!GB41=0,"",'[1]BASE'!GB41)</f>
      </c>
      <c r="O41" s="1022">
        <f>IF('[1]BASE'!GC41=0,"",'[1]BASE'!GC41)</f>
      </c>
      <c r="P41" s="1022">
        <f>IF('[1]BASE'!GD41=0,"",'[1]BASE'!GD41)</f>
      </c>
      <c r="Q41" s="1022">
        <f>IF('[1]BASE'!GE41=0,"",'[1]BASE'!GE41)</f>
      </c>
      <c r="R41" s="1022">
        <f>IF('[1]BASE'!GF41=0,"",'[1]BASE'!GF41)</f>
      </c>
      <c r="S41" s="1022">
        <f>IF('[1]BASE'!GG41=0,"",'[1]BASE'!GG41)</f>
      </c>
      <c r="T41" s="1023"/>
      <c r="U41" s="1019"/>
    </row>
    <row r="42" spans="2:21" s="1013" customFormat="1" ht="19.5" customHeight="1">
      <c r="B42" s="1014"/>
      <c r="C42" s="1024">
        <f>IF('[1]BASE'!C42=0,"",'[1]BASE'!C42)</f>
        <v>26</v>
      </c>
      <c r="D42" s="1024" t="str">
        <f>IF('[1]BASE'!D42=0,"",'[1]BASE'!D42)</f>
        <v>EZEIZA - RODRIGUEZ 2</v>
      </c>
      <c r="E42" s="1024">
        <f>IF('[1]BASE'!E42=0,"",'[1]BASE'!E42)</f>
        <v>500</v>
      </c>
      <c r="F42" s="1024">
        <f>IF('[1]BASE'!F42=0,"",'[1]BASE'!F42)</f>
        <v>53</v>
      </c>
      <c r="G42" s="1025" t="str">
        <f>IF('[1]BASE'!G42=0,"",'[1]BASE'!G42)</f>
        <v>C</v>
      </c>
      <c r="H42" s="1022">
        <f>IF('[1]BASE'!FV42=0,"",'[1]BASE'!FV42)</f>
      </c>
      <c r="I42" s="1022">
        <f>IF('[1]BASE'!FW42=0,"",'[1]BASE'!FW42)</f>
      </c>
      <c r="J42" s="1022">
        <f>IF('[1]BASE'!FX42=0,"",'[1]BASE'!FX42)</f>
      </c>
      <c r="K42" s="1022">
        <f>IF('[1]BASE'!FY42=0,"",'[1]BASE'!FY42)</f>
      </c>
      <c r="L42" s="1022">
        <f>IF('[1]BASE'!FZ42=0,"",'[1]BASE'!FZ42)</f>
      </c>
      <c r="M42" s="1022">
        <f>IF('[1]BASE'!GA42=0,"",'[1]BASE'!GA42)</f>
      </c>
      <c r="N42" s="1022">
        <f>IF('[1]BASE'!GB42=0,"",'[1]BASE'!GB42)</f>
      </c>
      <c r="O42" s="1022">
        <f>IF('[1]BASE'!GC42=0,"",'[1]BASE'!GC42)</f>
      </c>
      <c r="P42" s="1022">
        <f>IF('[1]BASE'!GD42=0,"",'[1]BASE'!GD42)</f>
      </c>
      <c r="Q42" s="1022">
        <f>IF('[1]BASE'!GE42=0,"",'[1]BASE'!GE42)</f>
      </c>
      <c r="R42" s="1022">
        <f>IF('[1]BASE'!GF42=0,"",'[1]BASE'!GF42)</f>
      </c>
      <c r="S42" s="1022">
        <f>IF('[1]BASE'!GG42=0,"",'[1]BASE'!GG42)</f>
      </c>
      <c r="T42" s="1023"/>
      <c r="U42" s="1019"/>
    </row>
    <row r="43" spans="2:21" s="1013" customFormat="1" ht="19.5" customHeight="1">
      <c r="B43" s="1014"/>
      <c r="C43" s="1026">
        <f>IF('[1]BASE'!C43=0,"",'[1]BASE'!C43)</f>
        <v>27</v>
      </c>
      <c r="D43" s="1026" t="str">
        <f>IF('[1]BASE'!D43=0,"",'[1]BASE'!D43)</f>
        <v>EZEIZA- HENDERSON 1</v>
      </c>
      <c r="E43" s="1026">
        <f>IF('[1]BASE'!E43=0,"",'[1]BASE'!E43)</f>
        <v>500</v>
      </c>
      <c r="F43" s="1026">
        <f>IF('[1]BASE'!F43=0,"",'[1]BASE'!F43)</f>
        <v>313</v>
      </c>
      <c r="G43" s="1027" t="str">
        <f>IF('[1]BASE'!G43=0,"",'[1]BASE'!G43)</f>
        <v>A</v>
      </c>
      <c r="H43" s="1022">
        <f>IF('[1]BASE'!FV43=0,"",'[1]BASE'!FV43)</f>
      </c>
      <c r="I43" s="1022">
        <f>IF('[1]BASE'!FW43=0,"",'[1]BASE'!FW43)</f>
      </c>
      <c r="J43" s="1022">
        <f>IF('[1]BASE'!FX43=0,"",'[1]BASE'!FX43)</f>
      </c>
      <c r="K43" s="1022">
        <f>IF('[1]BASE'!FY43=0,"",'[1]BASE'!FY43)</f>
      </c>
      <c r="L43" s="1022">
        <f>IF('[1]BASE'!FZ43=0,"",'[1]BASE'!FZ43)</f>
      </c>
      <c r="M43" s="1022">
        <f>IF('[1]BASE'!GA43=0,"",'[1]BASE'!GA43)</f>
      </c>
      <c r="N43" s="1022">
        <f>IF('[1]BASE'!GB43=0,"",'[1]BASE'!GB43)</f>
        <v>1</v>
      </c>
      <c r="O43" s="1022">
        <f>IF('[1]BASE'!GC43=0,"",'[1]BASE'!GC43)</f>
        <v>1</v>
      </c>
      <c r="P43" s="1022">
        <f>IF('[1]BASE'!GD43=0,"",'[1]BASE'!GD43)</f>
      </c>
      <c r="Q43" s="1022">
        <f>IF('[1]BASE'!GE43=0,"",'[1]BASE'!GE43)</f>
      </c>
      <c r="R43" s="1022">
        <f>IF('[1]BASE'!GF43=0,"",'[1]BASE'!GF43)</f>
      </c>
      <c r="S43" s="1022">
        <f>IF('[1]BASE'!GG43=0,"",'[1]BASE'!GG43)</f>
      </c>
      <c r="T43" s="1023"/>
      <c r="U43" s="1019"/>
    </row>
    <row r="44" spans="2:21" s="1013" customFormat="1" ht="19.5" customHeight="1">
      <c r="B44" s="1014"/>
      <c r="C44" s="1024">
        <f>IF('[1]BASE'!C44=0,"",'[1]BASE'!C44)</f>
        <v>28</v>
      </c>
      <c r="D44" s="1024" t="str">
        <f>IF('[1]BASE'!D44=0,"",'[1]BASE'!D44)</f>
        <v>EZEIZA - HENDERSON 2</v>
      </c>
      <c r="E44" s="1024">
        <f>IF('[1]BASE'!E44=0,"",'[1]BASE'!E44)</f>
        <v>500</v>
      </c>
      <c r="F44" s="1024">
        <f>IF('[1]BASE'!F44=0,"",'[1]BASE'!F44)</f>
        <v>313</v>
      </c>
      <c r="G44" s="1025" t="str">
        <f>IF('[1]BASE'!G44=0,"",'[1]BASE'!G44)</f>
        <v>A</v>
      </c>
      <c r="H44" s="1022">
        <f>IF('[1]BASE'!FV44=0,"",'[1]BASE'!FV44)</f>
      </c>
      <c r="I44" s="1022">
        <f>IF('[1]BASE'!FW44=0,"",'[1]BASE'!FW44)</f>
      </c>
      <c r="J44" s="1022">
        <f>IF('[1]BASE'!FX44=0,"",'[1]BASE'!FX44)</f>
      </c>
      <c r="K44" s="1022">
        <f>IF('[1]BASE'!FY44=0,"",'[1]BASE'!FY44)</f>
      </c>
      <c r="L44" s="1022">
        <f>IF('[1]BASE'!FZ44=0,"",'[1]BASE'!FZ44)</f>
      </c>
      <c r="M44" s="1022">
        <f>IF('[1]BASE'!GA44=0,"",'[1]BASE'!GA44)</f>
      </c>
      <c r="N44" s="1022">
        <f>IF('[1]BASE'!GB44=0,"",'[1]BASE'!GB44)</f>
        <v>2</v>
      </c>
      <c r="O44" s="1022">
        <f>IF('[1]BASE'!GC44=0,"",'[1]BASE'!GC44)</f>
      </c>
      <c r="P44" s="1022">
        <f>IF('[1]BASE'!GD44=0,"",'[1]BASE'!GD44)</f>
      </c>
      <c r="Q44" s="1022">
        <f>IF('[1]BASE'!GE44=0,"",'[1]BASE'!GE44)</f>
      </c>
      <c r="R44" s="1022">
        <f>IF('[1]BASE'!GF44=0,"",'[1]BASE'!GF44)</f>
      </c>
      <c r="S44" s="1022">
        <f>IF('[1]BASE'!GG44=0,"",'[1]BASE'!GG44)</f>
      </c>
      <c r="T44" s="1023"/>
      <c r="U44" s="1019"/>
    </row>
    <row r="45" spans="2:21" s="1013" customFormat="1" ht="19.5" customHeight="1">
      <c r="B45" s="1014"/>
      <c r="C45" s="1026">
        <f>IF('[1]BASE'!C45=0,"",'[1]BASE'!C45)</f>
        <v>29</v>
      </c>
      <c r="D45" s="1026" t="str">
        <f>IF('[1]BASE'!D45=0,"",'[1]BASE'!D45)</f>
        <v>GRAL. RODRIGUEZ - CAMPANA </v>
      </c>
      <c r="E45" s="1026">
        <f>IF('[1]BASE'!E45=0,"",'[1]BASE'!E45)</f>
        <v>500</v>
      </c>
      <c r="F45" s="1026">
        <f>IF('[1]BASE'!F45=0,"",'[1]BASE'!F45)</f>
        <v>42</v>
      </c>
      <c r="G45" s="1027" t="str">
        <f>IF('[1]BASE'!G45=0,"",'[1]BASE'!G45)</f>
        <v>B</v>
      </c>
      <c r="H45" s="1022">
        <f>IF('[1]BASE'!FV45=0,"",'[1]BASE'!FV45)</f>
      </c>
      <c r="I45" s="1022">
        <f>IF('[1]BASE'!FW45=0,"",'[1]BASE'!FW45)</f>
      </c>
      <c r="J45" s="1022">
        <f>IF('[1]BASE'!FX45=0,"",'[1]BASE'!FX45)</f>
      </c>
      <c r="K45" s="1022">
        <f>IF('[1]BASE'!FY45=0,"",'[1]BASE'!FY45)</f>
      </c>
      <c r="L45" s="1022">
        <f>IF('[1]BASE'!FZ45=0,"",'[1]BASE'!FZ45)</f>
      </c>
      <c r="M45" s="1022">
        <f>IF('[1]BASE'!GA45=0,"",'[1]BASE'!GA45)</f>
      </c>
      <c r="N45" s="1022">
        <f>IF('[1]BASE'!GB45=0,"",'[1]BASE'!GB45)</f>
        <v>1</v>
      </c>
      <c r="O45" s="1022">
        <f>IF('[1]BASE'!GC45=0,"",'[1]BASE'!GC45)</f>
      </c>
      <c r="P45" s="1022">
        <f>IF('[1]BASE'!GD45=0,"",'[1]BASE'!GD45)</f>
      </c>
      <c r="Q45" s="1022">
        <f>IF('[1]BASE'!GE45=0,"",'[1]BASE'!GE45)</f>
      </c>
      <c r="R45" s="1022">
        <f>IF('[1]BASE'!GF45=0,"",'[1]BASE'!GF45)</f>
      </c>
      <c r="S45" s="1022">
        <f>IF('[1]BASE'!GG45=0,"",'[1]BASE'!GG45)</f>
      </c>
      <c r="T45" s="1023"/>
      <c r="U45" s="1019"/>
    </row>
    <row r="46" spans="2:21" s="1013" customFormat="1" ht="19.5" customHeight="1">
      <c r="B46" s="1014"/>
      <c r="C46" s="1024">
        <f>IF('[1]BASE'!C46=0,"",'[1]BASE'!C46)</f>
        <v>30</v>
      </c>
      <c r="D46" s="1024" t="str">
        <f>IF('[1]BASE'!D46=0,"",'[1]BASE'!D46)</f>
        <v>GRAL. RODRIGUEZ- ROSARIO OESTE </v>
      </c>
      <c r="E46" s="1024">
        <f>IF('[1]BASE'!E46=0,"",'[1]BASE'!E46)</f>
        <v>500</v>
      </c>
      <c r="F46" s="1024">
        <f>IF('[1]BASE'!F46=0,"",'[1]BASE'!F46)</f>
        <v>258</v>
      </c>
      <c r="G46" s="1025" t="str">
        <f>IF('[1]BASE'!G46=0,"",'[1]BASE'!G46)</f>
        <v>C</v>
      </c>
      <c r="H46" s="1022" t="str">
        <f>IF('[1]BASE'!FV46=0,"",'[1]BASE'!FV46)</f>
        <v>XXXX</v>
      </c>
      <c r="I46" s="1022" t="str">
        <f>IF('[1]BASE'!FW46=0,"",'[1]BASE'!FW46)</f>
        <v>XXXX</v>
      </c>
      <c r="J46" s="1022" t="str">
        <f>IF('[1]BASE'!FX46=0,"",'[1]BASE'!FX46)</f>
        <v>XXXX</v>
      </c>
      <c r="K46" s="1022" t="str">
        <f>IF('[1]BASE'!FY46=0,"",'[1]BASE'!FY46)</f>
        <v>XXXX</v>
      </c>
      <c r="L46" s="1022" t="str">
        <f>IF('[1]BASE'!FZ46=0,"",'[1]BASE'!FZ46)</f>
        <v>XXXX</v>
      </c>
      <c r="M46" s="1022" t="str">
        <f>IF('[1]BASE'!GA46=0,"",'[1]BASE'!GA46)</f>
        <v>XXXX</v>
      </c>
      <c r="N46" s="1022" t="str">
        <f>IF('[1]BASE'!GB46=0,"",'[1]BASE'!GB46)</f>
        <v>XXXX</v>
      </c>
      <c r="O46" s="1022" t="str">
        <f>IF('[1]BASE'!GC46=0,"",'[1]BASE'!GC46)</f>
        <v>XXXX</v>
      </c>
      <c r="P46" s="1022" t="str">
        <f>IF('[1]BASE'!GD46=0,"",'[1]BASE'!GD46)</f>
        <v>XXXX</v>
      </c>
      <c r="Q46" s="1022" t="str">
        <f>IF('[1]BASE'!GE46=0,"",'[1]BASE'!GE46)</f>
        <v>XXXX</v>
      </c>
      <c r="R46" s="1022" t="str">
        <f>IF('[1]BASE'!GF46=0,"",'[1]BASE'!GF46)</f>
        <v>XXXX</v>
      </c>
      <c r="S46" s="1022" t="str">
        <f>IF('[1]BASE'!GG46=0,"",'[1]BASE'!GG46)</f>
        <v>XXXX</v>
      </c>
      <c r="T46" s="1023"/>
      <c r="U46" s="1019"/>
    </row>
    <row r="47" spans="2:21" s="1013" customFormat="1" ht="19.5" customHeight="1">
      <c r="B47" s="1014"/>
      <c r="C47" s="1026">
        <f>IF('[1]BASE'!C47=0,"",'[1]BASE'!C47)</f>
        <v>31</v>
      </c>
      <c r="D47" s="1026" t="str">
        <f>IF('[1]BASE'!D47=0,"",'[1]BASE'!D47)</f>
        <v>MALVINAS ARG. - ALMAFUERTE </v>
      </c>
      <c r="E47" s="1026">
        <f>IF('[1]BASE'!E47=0,"",'[1]BASE'!E47)</f>
        <v>500</v>
      </c>
      <c r="F47" s="1026">
        <f>IF('[1]BASE'!F47=0,"",'[1]BASE'!F47)</f>
        <v>105</v>
      </c>
      <c r="G47" s="1027" t="str">
        <f>IF('[1]BASE'!G47=0,"",'[1]BASE'!G47)</f>
        <v>B</v>
      </c>
      <c r="H47" s="1022">
        <f>IF('[1]BASE'!FV47=0,"",'[1]BASE'!FV47)</f>
      </c>
      <c r="I47" s="1022">
        <f>IF('[1]BASE'!FW47=0,"",'[1]BASE'!FW47)</f>
      </c>
      <c r="J47" s="1022">
        <f>IF('[1]BASE'!FX47=0,"",'[1]BASE'!FX47)</f>
      </c>
      <c r="K47" s="1022">
        <f>IF('[1]BASE'!FY47=0,"",'[1]BASE'!FY47)</f>
      </c>
      <c r="L47" s="1022">
        <f>IF('[1]BASE'!FZ47=0,"",'[1]BASE'!FZ47)</f>
      </c>
      <c r="M47" s="1022">
        <f>IF('[1]BASE'!GA47=0,"",'[1]BASE'!GA47)</f>
      </c>
      <c r="N47" s="1022">
        <f>IF('[1]BASE'!GB47=0,"",'[1]BASE'!GB47)</f>
      </c>
      <c r="O47" s="1022">
        <f>IF('[1]BASE'!GC47=0,"",'[1]BASE'!GC47)</f>
      </c>
      <c r="P47" s="1022">
        <f>IF('[1]BASE'!GD47=0,"",'[1]BASE'!GD47)</f>
      </c>
      <c r="Q47" s="1022">
        <f>IF('[1]BASE'!GE47=0,"",'[1]BASE'!GE47)</f>
      </c>
      <c r="R47" s="1022">
        <f>IF('[1]BASE'!GF47=0,"",'[1]BASE'!GF47)</f>
      </c>
      <c r="S47" s="1022">
        <f>IF('[1]BASE'!GG47=0,"",'[1]BASE'!GG47)</f>
      </c>
      <c r="T47" s="1023"/>
      <c r="U47" s="1019"/>
    </row>
    <row r="48" spans="2:21" s="1013" customFormat="1" ht="19.5" customHeight="1">
      <c r="B48" s="1014"/>
      <c r="C48" s="1024">
        <f>IF('[1]BASE'!C48=0,"",'[1]BASE'!C48)</f>
        <v>32</v>
      </c>
      <c r="D48" s="1024" t="str">
        <f>IF('[1]BASE'!D48=0,"",'[1]BASE'!D48)</f>
        <v>OLAVARRIA - BAHIA BLANCA 1</v>
      </c>
      <c r="E48" s="1024">
        <f>IF('[1]BASE'!E48=0,"",'[1]BASE'!E48)</f>
        <v>500</v>
      </c>
      <c r="F48" s="1024">
        <f>IF('[1]BASE'!F48=0,"",'[1]BASE'!F48)</f>
        <v>255</v>
      </c>
      <c r="G48" s="1025" t="str">
        <f>IF('[1]BASE'!G48=0,"",'[1]BASE'!G48)</f>
        <v>B</v>
      </c>
      <c r="H48" s="1022">
        <f>IF('[1]BASE'!FV48=0,"",'[1]BASE'!FV48)</f>
      </c>
      <c r="I48" s="1022">
        <f>IF('[1]BASE'!FW48=0,"",'[1]BASE'!FW48)</f>
      </c>
      <c r="J48" s="1022">
        <f>IF('[1]BASE'!FX48=0,"",'[1]BASE'!FX48)</f>
      </c>
      <c r="K48" s="1022">
        <f>IF('[1]BASE'!FY48=0,"",'[1]BASE'!FY48)</f>
        <v>1</v>
      </c>
      <c r="L48" s="1022">
        <f>IF('[1]BASE'!FZ48=0,"",'[1]BASE'!FZ48)</f>
      </c>
      <c r="M48" s="1022">
        <f>IF('[1]BASE'!GA48=0,"",'[1]BASE'!GA48)</f>
      </c>
      <c r="N48" s="1022">
        <f>IF('[1]BASE'!GB48=0,"",'[1]BASE'!GB48)</f>
      </c>
      <c r="O48" s="1022">
        <f>IF('[1]BASE'!GC48=0,"",'[1]BASE'!GC48)</f>
      </c>
      <c r="P48" s="1022">
        <f>IF('[1]BASE'!GD48=0,"",'[1]BASE'!GD48)</f>
      </c>
      <c r="Q48" s="1022">
        <f>IF('[1]BASE'!GE48=0,"",'[1]BASE'!GE48)</f>
      </c>
      <c r="R48" s="1022">
        <f>IF('[1]BASE'!GF48=0,"",'[1]BASE'!GF48)</f>
      </c>
      <c r="S48" s="1022">
        <f>IF('[1]BASE'!GG48=0,"",'[1]BASE'!GG48)</f>
      </c>
      <c r="T48" s="1023"/>
      <c r="U48" s="1019"/>
    </row>
    <row r="49" spans="2:21" s="1013" customFormat="1" ht="19.5" customHeight="1">
      <c r="B49" s="1014"/>
      <c r="C49" s="1026">
        <f>IF('[1]BASE'!C49=0,"",'[1]BASE'!C49)</f>
        <v>33</v>
      </c>
      <c r="D49" s="1026" t="str">
        <f>IF('[1]BASE'!D49=0,"",'[1]BASE'!D49)</f>
        <v>OLAVARRIA - BAHIA BLANCA 2</v>
      </c>
      <c r="E49" s="1026">
        <f>IF('[1]BASE'!E49=0,"",'[1]BASE'!E49)</f>
        <v>500</v>
      </c>
      <c r="F49" s="1026">
        <f>IF('[1]BASE'!F49=0,"",'[1]BASE'!F49)</f>
        <v>254.8</v>
      </c>
      <c r="G49" s="1027">
        <f>IF('[1]BASE'!G49=0,"",'[1]BASE'!G49)</f>
      </c>
      <c r="H49" s="1022">
        <f>IF('[1]BASE'!FV49=0,"",'[1]BASE'!FV49)</f>
      </c>
      <c r="I49" s="1022">
        <f>IF('[1]BASE'!FW49=0,"",'[1]BASE'!FW49)</f>
      </c>
      <c r="J49" s="1022">
        <f>IF('[1]BASE'!FX49=0,"",'[1]BASE'!FX49)</f>
      </c>
      <c r="K49" s="1022">
        <f>IF('[1]BASE'!FY49=0,"",'[1]BASE'!FY49)</f>
      </c>
      <c r="L49" s="1022">
        <f>IF('[1]BASE'!FZ49=0,"",'[1]BASE'!FZ49)</f>
      </c>
      <c r="M49" s="1022">
        <f>IF('[1]BASE'!GA49=0,"",'[1]BASE'!GA49)</f>
      </c>
      <c r="N49" s="1022">
        <f>IF('[1]BASE'!GB49=0,"",'[1]BASE'!GB49)</f>
      </c>
      <c r="O49" s="1022">
        <f>IF('[1]BASE'!GC49=0,"",'[1]BASE'!GC49)</f>
      </c>
      <c r="P49" s="1022">
        <f>IF('[1]BASE'!GD49=0,"",'[1]BASE'!GD49)</f>
      </c>
      <c r="Q49" s="1022">
        <f>IF('[1]BASE'!GE49=0,"",'[1]BASE'!GE49)</f>
      </c>
      <c r="R49" s="1022">
        <f>IF('[1]BASE'!GF49=0,"",'[1]BASE'!GF49)</f>
      </c>
      <c r="S49" s="1022">
        <f>IF('[1]BASE'!GG49=0,"",'[1]BASE'!GG49)</f>
      </c>
      <c r="T49" s="1023"/>
      <c r="U49" s="1019"/>
    </row>
    <row r="50" spans="2:21" s="1013" customFormat="1" ht="19.5" customHeight="1">
      <c r="B50" s="1014"/>
      <c r="C50" s="1024">
        <f>IF('[1]BASE'!C50=0,"",'[1]BASE'!C50)</f>
        <v>34</v>
      </c>
      <c r="D50" s="1024" t="str">
        <f>IF('[1]BASE'!D50=0,"",'[1]BASE'!D50)</f>
        <v>P.del AGUILA  - CHOELE CHOEL</v>
      </c>
      <c r="E50" s="1024">
        <f>IF('[1]BASE'!E50=0,"",'[1]BASE'!E50)</f>
        <v>500</v>
      </c>
      <c r="F50" s="1024">
        <f>IF('[1]BASE'!F50=0,"",'[1]BASE'!F50)</f>
        <v>386.7</v>
      </c>
      <c r="G50" s="1025">
        <f>IF('[1]BASE'!G50=0,"",'[1]BASE'!G50)</f>
      </c>
      <c r="H50" s="1022">
        <f>IF('[1]BASE'!FV50=0,"",'[1]BASE'!FV50)</f>
      </c>
      <c r="I50" s="1022">
        <f>IF('[1]BASE'!FW50=0,"",'[1]BASE'!FW50)</f>
      </c>
      <c r="J50" s="1022">
        <f>IF('[1]BASE'!FX50=0,"",'[1]BASE'!FX50)</f>
      </c>
      <c r="K50" s="1022">
        <f>IF('[1]BASE'!FY50=0,"",'[1]BASE'!FY50)</f>
      </c>
      <c r="L50" s="1022">
        <f>IF('[1]BASE'!FZ50=0,"",'[1]BASE'!FZ50)</f>
      </c>
      <c r="M50" s="1022">
        <f>IF('[1]BASE'!GA50=0,"",'[1]BASE'!GA50)</f>
      </c>
      <c r="N50" s="1022">
        <f>IF('[1]BASE'!GB50=0,"",'[1]BASE'!GB50)</f>
      </c>
      <c r="O50" s="1022">
        <f>IF('[1]BASE'!GC50=0,"",'[1]BASE'!GC50)</f>
      </c>
      <c r="P50" s="1022">
        <f>IF('[1]BASE'!GD50=0,"",'[1]BASE'!GD50)</f>
      </c>
      <c r="Q50" s="1022">
        <f>IF('[1]BASE'!GE50=0,"",'[1]BASE'!GE50)</f>
      </c>
      <c r="R50" s="1022">
        <f>IF('[1]BASE'!GF50=0,"",'[1]BASE'!GF50)</f>
      </c>
      <c r="S50" s="1022">
        <f>IF('[1]BASE'!GG50=0,"",'[1]BASE'!GG50)</f>
      </c>
      <c r="T50" s="1023"/>
      <c r="U50" s="1019"/>
    </row>
    <row r="51" spans="2:21" s="1013" customFormat="1" ht="19.5" customHeight="1">
      <c r="B51" s="1014"/>
      <c r="C51" s="1026">
        <f>IF('[1]BASE'!C51=0,"",'[1]BASE'!C51)</f>
        <v>35</v>
      </c>
      <c r="D51" s="1026" t="str">
        <f>IF('[1]BASE'!D51=0,"",'[1]BASE'!D51)</f>
        <v>P.del AGUILA  - CHO. W. 1 (5GW1)</v>
      </c>
      <c r="E51" s="1026">
        <f>IF('[1]BASE'!E51=0,"",'[1]BASE'!E51)</f>
        <v>500</v>
      </c>
      <c r="F51" s="1026">
        <f>IF('[1]BASE'!F51=0,"",'[1]BASE'!F51)</f>
        <v>165</v>
      </c>
      <c r="G51" s="1027" t="str">
        <f>IF('[1]BASE'!G51=0,"",'[1]BASE'!G51)</f>
        <v>A</v>
      </c>
      <c r="H51" s="1022">
        <f>IF('[1]BASE'!FV51=0,"",'[1]BASE'!FV51)</f>
      </c>
      <c r="I51" s="1022">
        <f>IF('[1]BASE'!FW51=0,"",'[1]BASE'!FW51)</f>
      </c>
      <c r="J51" s="1022">
        <f>IF('[1]BASE'!FX51=0,"",'[1]BASE'!FX51)</f>
      </c>
      <c r="K51" s="1022">
        <f>IF('[1]BASE'!FY51=0,"",'[1]BASE'!FY51)</f>
      </c>
      <c r="L51" s="1022">
        <f>IF('[1]BASE'!FZ51=0,"",'[1]BASE'!FZ51)</f>
      </c>
      <c r="M51" s="1022">
        <f>IF('[1]BASE'!GA51=0,"",'[1]BASE'!GA51)</f>
      </c>
      <c r="N51" s="1022">
        <f>IF('[1]BASE'!GB51=0,"",'[1]BASE'!GB51)</f>
      </c>
      <c r="O51" s="1022">
        <f>IF('[1]BASE'!GC51=0,"",'[1]BASE'!GC51)</f>
      </c>
      <c r="P51" s="1022">
        <f>IF('[1]BASE'!GD51=0,"",'[1]BASE'!GD51)</f>
      </c>
      <c r="Q51" s="1022">
        <f>IF('[1]BASE'!GE51=0,"",'[1]BASE'!GE51)</f>
        <v>2</v>
      </c>
      <c r="R51" s="1022">
        <f>IF('[1]BASE'!GF51=0,"",'[1]BASE'!GF51)</f>
      </c>
      <c r="S51" s="1022">
        <f>IF('[1]BASE'!GG51=0,"",'[1]BASE'!GG51)</f>
      </c>
      <c r="T51" s="1023"/>
      <c r="U51" s="1019"/>
    </row>
    <row r="52" spans="2:21" s="1013" customFormat="1" ht="19.5" customHeight="1">
      <c r="B52" s="1014"/>
      <c r="C52" s="1024">
        <f>IF('[1]BASE'!C52=0,"",'[1]BASE'!C52)</f>
        <v>36</v>
      </c>
      <c r="D52" s="1024" t="str">
        <f>IF('[1]BASE'!D52=0,"",'[1]BASE'!D52)</f>
        <v>P.del AGUILA  - CHO. W. 2 (5GW2)</v>
      </c>
      <c r="E52" s="1024">
        <f>IF('[1]BASE'!E52=0,"",'[1]BASE'!E52)</f>
        <v>500</v>
      </c>
      <c r="F52" s="1024">
        <f>IF('[1]BASE'!F52=0,"",'[1]BASE'!F52)</f>
        <v>170</v>
      </c>
      <c r="G52" s="1025" t="str">
        <f>IF('[1]BASE'!G52=0,"",'[1]BASE'!G52)</f>
        <v>A</v>
      </c>
      <c r="H52" s="1022">
        <f>IF('[1]BASE'!FV52=0,"",'[1]BASE'!FV52)</f>
      </c>
      <c r="I52" s="1022">
        <f>IF('[1]BASE'!FW52=0,"",'[1]BASE'!FW52)</f>
      </c>
      <c r="J52" s="1022">
        <f>IF('[1]BASE'!FX52=0,"",'[1]BASE'!FX52)</f>
      </c>
      <c r="K52" s="1022">
        <f>IF('[1]BASE'!FY52=0,"",'[1]BASE'!FY52)</f>
      </c>
      <c r="L52" s="1022">
        <f>IF('[1]BASE'!FZ52=0,"",'[1]BASE'!FZ52)</f>
      </c>
      <c r="M52" s="1022">
        <f>IF('[1]BASE'!GA52=0,"",'[1]BASE'!GA52)</f>
      </c>
      <c r="N52" s="1022">
        <f>IF('[1]BASE'!GB52=0,"",'[1]BASE'!GB52)</f>
      </c>
      <c r="O52" s="1022">
        <f>IF('[1]BASE'!GC52=0,"",'[1]BASE'!GC52)</f>
      </c>
      <c r="P52" s="1022">
        <f>IF('[1]BASE'!GD52=0,"",'[1]BASE'!GD52)</f>
      </c>
      <c r="Q52" s="1022">
        <f>IF('[1]BASE'!GE52=0,"",'[1]BASE'!GE52)</f>
      </c>
      <c r="R52" s="1022">
        <f>IF('[1]BASE'!GF52=0,"",'[1]BASE'!GF52)</f>
      </c>
      <c r="S52" s="1022">
        <f>IF('[1]BASE'!GG52=0,"",'[1]BASE'!GG52)</f>
      </c>
      <c r="T52" s="1023"/>
      <c r="U52" s="1019"/>
    </row>
    <row r="53" spans="2:21" s="1013" customFormat="1" ht="19.5" customHeight="1">
      <c r="B53" s="1014"/>
      <c r="C53" s="1026">
        <f>IF('[1]BASE'!C53=0,"",'[1]BASE'!C53)</f>
        <v>37</v>
      </c>
      <c r="D53" s="1026" t="str">
        <f>IF('[1]BASE'!D53=0,"",'[1]BASE'!D53)</f>
        <v>PUELCHES - HENDERSON 1 (B1)</v>
      </c>
      <c r="E53" s="1026">
        <f>IF('[1]BASE'!E53=0,"",'[1]BASE'!E53)</f>
        <v>500</v>
      </c>
      <c r="F53" s="1026">
        <f>IF('[1]BASE'!F53=0,"",'[1]BASE'!F53)</f>
        <v>421</v>
      </c>
      <c r="G53" s="1027" t="str">
        <f>IF('[1]BASE'!G53=0,"",'[1]BASE'!G53)</f>
        <v>A</v>
      </c>
      <c r="H53" s="1022">
        <f>IF('[1]BASE'!FV53=0,"",'[1]BASE'!FV53)</f>
      </c>
      <c r="I53" s="1022">
        <f>IF('[1]BASE'!FW53=0,"",'[1]BASE'!FW53)</f>
      </c>
      <c r="J53" s="1022">
        <f>IF('[1]BASE'!FX53=0,"",'[1]BASE'!FX53)</f>
      </c>
      <c r="K53" s="1022">
        <f>IF('[1]BASE'!FY53=0,"",'[1]BASE'!FY53)</f>
        <v>1</v>
      </c>
      <c r="L53" s="1022">
        <f>IF('[1]BASE'!FZ53=0,"",'[1]BASE'!FZ53)</f>
      </c>
      <c r="M53" s="1022">
        <f>IF('[1]BASE'!GA53=0,"",'[1]BASE'!GA53)</f>
      </c>
      <c r="N53" s="1022">
        <f>IF('[1]BASE'!GB53=0,"",'[1]BASE'!GB53)</f>
      </c>
      <c r="O53" s="1022">
        <f>IF('[1]BASE'!GC53=0,"",'[1]BASE'!GC53)</f>
      </c>
      <c r="P53" s="1022">
        <f>IF('[1]BASE'!GD53=0,"",'[1]BASE'!GD53)</f>
      </c>
      <c r="Q53" s="1022">
        <f>IF('[1]BASE'!GE53=0,"",'[1]BASE'!GE53)</f>
      </c>
      <c r="R53" s="1022">
        <f>IF('[1]BASE'!GF53=0,"",'[1]BASE'!GF53)</f>
      </c>
      <c r="S53" s="1022">
        <f>IF('[1]BASE'!GG53=0,"",'[1]BASE'!GG53)</f>
      </c>
      <c r="T53" s="1023"/>
      <c r="U53" s="1019"/>
    </row>
    <row r="54" spans="2:21" s="1013" customFormat="1" ht="19.5" customHeight="1">
      <c r="B54" s="1014"/>
      <c r="C54" s="1024">
        <f>IF('[1]BASE'!C54=0,"",'[1]BASE'!C54)</f>
        <v>38</v>
      </c>
      <c r="D54" s="1024" t="str">
        <f>IF('[1]BASE'!D54=0,"",'[1]BASE'!D54)</f>
        <v>PUELCHES - HENDERSON 2 (B2)</v>
      </c>
      <c r="E54" s="1024">
        <f>IF('[1]BASE'!E54=0,"",'[1]BASE'!E54)</f>
        <v>500</v>
      </c>
      <c r="F54" s="1024">
        <f>IF('[1]BASE'!F54=0,"",'[1]BASE'!F54)</f>
        <v>421</v>
      </c>
      <c r="G54" s="1025" t="str">
        <f>IF('[1]BASE'!G54=0,"",'[1]BASE'!G54)</f>
        <v>A</v>
      </c>
      <c r="H54" s="1022" t="str">
        <f>IF('[1]BASE'!FV54=0,"",'[1]BASE'!FV54)</f>
        <v>XXXX</v>
      </c>
      <c r="I54" s="1022" t="str">
        <f>IF('[1]BASE'!FW54=0,"",'[1]BASE'!FW54)</f>
        <v>XXXX</v>
      </c>
      <c r="J54" s="1022" t="str">
        <f>IF('[1]BASE'!FX54=0,"",'[1]BASE'!FX54)</f>
        <v>XXXX</v>
      </c>
      <c r="K54" s="1022" t="str">
        <f>IF('[1]BASE'!FY54=0,"",'[1]BASE'!FY54)</f>
        <v>XXXX</v>
      </c>
      <c r="L54" s="1022" t="str">
        <f>IF('[1]BASE'!FZ54=0,"",'[1]BASE'!FZ54)</f>
        <v>XXXX</v>
      </c>
      <c r="M54" s="1022" t="str">
        <f>IF('[1]BASE'!GA54=0,"",'[1]BASE'!GA54)</f>
        <v>XXXX</v>
      </c>
      <c r="N54" s="1022" t="str">
        <f>IF('[1]BASE'!GB54=0,"",'[1]BASE'!GB54)</f>
        <v>XXXX</v>
      </c>
      <c r="O54" s="1022" t="str">
        <f>IF('[1]BASE'!GC54=0,"",'[1]BASE'!GC54)</f>
        <v>XXXX</v>
      </c>
      <c r="P54" s="1022" t="str">
        <f>IF('[1]BASE'!GD54=0,"",'[1]BASE'!GD54)</f>
        <v>XXXX</v>
      </c>
      <c r="Q54" s="1022" t="str">
        <f>IF('[1]BASE'!GE54=0,"",'[1]BASE'!GE54)</f>
        <v>XXXX</v>
      </c>
      <c r="R54" s="1022" t="str">
        <f>IF('[1]BASE'!GF54=0,"",'[1]BASE'!GF54)</f>
        <v>XXXX</v>
      </c>
      <c r="S54" s="1022" t="str">
        <f>IF('[1]BASE'!GG54=0,"",'[1]BASE'!GG54)</f>
        <v>XXXX</v>
      </c>
      <c r="T54" s="1023"/>
      <c r="U54" s="1019"/>
    </row>
    <row r="55" spans="2:21" s="1013" customFormat="1" ht="19.5" customHeight="1">
      <c r="B55" s="1014"/>
      <c r="C55" s="1026">
        <f>IF('[1]BASE'!C55=0,"",'[1]BASE'!C55)</f>
        <v>39</v>
      </c>
      <c r="D55" s="1026" t="str">
        <f>IF('[1]BASE'!D55=0,"",'[1]BASE'!D55)</f>
        <v>RECREO - MALVINAS ARG. </v>
      </c>
      <c r="E55" s="1026">
        <f>IF('[1]BASE'!E55=0,"",'[1]BASE'!E55)</f>
        <v>500</v>
      </c>
      <c r="F55" s="1026">
        <f>IF('[1]BASE'!F55=0,"",'[1]BASE'!F55)</f>
        <v>259</v>
      </c>
      <c r="G55" s="1027" t="str">
        <f>IF('[1]BASE'!G55=0,"",'[1]BASE'!G55)</f>
        <v>C</v>
      </c>
      <c r="H55" s="1022">
        <f>IF('[1]BASE'!FV55=0,"",'[1]BASE'!FV55)</f>
      </c>
      <c r="I55" s="1022">
        <f>IF('[1]BASE'!FW55=0,"",'[1]BASE'!FW55)</f>
      </c>
      <c r="J55" s="1022">
        <f>IF('[1]BASE'!FX55=0,"",'[1]BASE'!FX55)</f>
      </c>
      <c r="K55" s="1022">
        <f>IF('[1]BASE'!FY55=0,"",'[1]BASE'!FY55)</f>
      </c>
      <c r="L55" s="1022">
        <f>IF('[1]BASE'!FZ55=0,"",'[1]BASE'!FZ55)</f>
      </c>
      <c r="M55" s="1022">
        <f>IF('[1]BASE'!GA55=0,"",'[1]BASE'!GA55)</f>
      </c>
      <c r="N55" s="1022">
        <f>IF('[1]BASE'!GB55=0,"",'[1]BASE'!GB55)</f>
      </c>
      <c r="O55" s="1022">
        <f>IF('[1]BASE'!GC55=0,"",'[1]BASE'!GC55)</f>
      </c>
      <c r="P55" s="1022">
        <f>IF('[1]BASE'!GD55=0,"",'[1]BASE'!GD55)</f>
      </c>
      <c r="Q55" s="1022">
        <f>IF('[1]BASE'!GE55=0,"",'[1]BASE'!GE55)</f>
      </c>
      <c r="R55" s="1022">
        <f>IF('[1]BASE'!GF55=0,"",'[1]BASE'!GF55)</f>
      </c>
      <c r="S55" s="1022">
        <f>IF('[1]BASE'!GG55=0,"",'[1]BASE'!GG55)</f>
      </c>
      <c r="T55" s="1023"/>
      <c r="U55" s="1019"/>
    </row>
    <row r="56" spans="2:21" s="1013" customFormat="1" ht="19.5" customHeight="1">
      <c r="B56" s="1014"/>
      <c r="C56" s="1024">
        <f>IF('[1]BASE'!C56=0,"",'[1]BASE'!C56)</f>
        <v>40</v>
      </c>
      <c r="D56" s="1024" t="str">
        <f>IF('[1]BASE'!D56=0,"",'[1]BASE'!D56)</f>
        <v>RIO GRANDE - EMBALSE</v>
      </c>
      <c r="E56" s="1024">
        <f>IF('[1]BASE'!E56=0,"",'[1]BASE'!E56)</f>
        <v>500</v>
      </c>
      <c r="F56" s="1024">
        <f>IF('[1]BASE'!F56=0,"",'[1]BASE'!F56)</f>
        <v>30</v>
      </c>
      <c r="G56" s="1025" t="str">
        <f>IF('[1]BASE'!G56=0,"",'[1]BASE'!G56)</f>
        <v>B</v>
      </c>
      <c r="H56" s="1022">
        <f>IF('[1]BASE'!FV56=0,"",'[1]BASE'!FV56)</f>
      </c>
      <c r="I56" s="1022">
        <f>IF('[1]BASE'!FW56=0,"",'[1]BASE'!FW56)</f>
      </c>
      <c r="J56" s="1022">
        <f>IF('[1]BASE'!FX56=0,"",'[1]BASE'!FX56)</f>
      </c>
      <c r="K56" s="1022">
        <f>IF('[1]BASE'!FY56=0,"",'[1]BASE'!FY56)</f>
      </c>
      <c r="L56" s="1022">
        <f>IF('[1]BASE'!FZ56=0,"",'[1]BASE'!FZ56)</f>
      </c>
      <c r="M56" s="1022">
        <f>IF('[1]BASE'!GA56=0,"",'[1]BASE'!GA56)</f>
      </c>
      <c r="N56" s="1022">
        <f>IF('[1]BASE'!GB56=0,"",'[1]BASE'!GB56)</f>
      </c>
      <c r="O56" s="1022">
        <f>IF('[1]BASE'!GC56=0,"",'[1]BASE'!GC56)</f>
      </c>
      <c r="P56" s="1022">
        <f>IF('[1]BASE'!GD56=0,"",'[1]BASE'!GD56)</f>
        <v>1</v>
      </c>
      <c r="Q56" s="1022">
        <f>IF('[1]BASE'!GE56=0,"",'[1]BASE'!GE56)</f>
      </c>
      <c r="R56" s="1022">
        <f>IF('[1]BASE'!GF56=0,"",'[1]BASE'!GF56)</f>
      </c>
      <c r="S56" s="1022">
        <f>IF('[1]BASE'!GG56=0,"",'[1]BASE'!GG56)</f>
      </c>
      <c r="T56" s="1023"/>
      <c r="U56" s="1019"/>
    </row>
    <row r="57" spans="2:21" s="1013" customFormat="1" ht="19.5" customHeight="1">
      <c r="B57" s="1014"/>
      <c r="C57" s="1026">
        <f>IF('[1]BASE'!C57=0,"",'[1]BASE'!C57)</f>
        <v>41</v>
      </c>
      <c r="D57" s="1026" t="str">
        <f>IF('[1]BASE'!D57=0,"",'[1]BASE'!D57)</f>
        <v>RIO GRANDE - GRAN MENDOZA</v>
      </c>
      <c r="E57" s="1026">
        <f>IF('[1]BASE'!E57=0,"",'[1]BASE'!E57)</f>
        <v>500</v>
      </c>
      <c r="F57" s="1026">
        <f>IF('[1]BASE'!F57=0,"",'[1]BASE'!F57)</f>
        <v>407</v>
      </c>
      <c r="G57" s="1027" t="str">
        <f>IF('[1]BASE'!G57=0,"",'[1]BASE'!G57)</f>
        <v>B</v>
      </c>
      <c r="H57" s="1022" t="str">
        <f>IF('[1]BASE'!FV57=0,"",'[1]BASE'!FV57)</f>
        <v>XXXX</v>
      </c>
      <c r="I57" s="1022" t="str">
        <f>IF('[1]BASE'!FW57=0,"",'[1]BASE'!FW57)</f>
        <v>XXXX</v>
      </c>
      <c r="J57" s="1022" t="str">
        <f>IF('[1]BASE'!FX57=0,"",'[1]BASE'!FX57)</f>
        <v>XXXX</v>
      </c>
      <c r="K57" s="1022" t="str">
        <f>IF('[1]BASE'!FY57=0,"",'[1]BASE'!FY57)</f>
        <v>XXXX</v>
      </c>
      <c r="L57" s="1022" t="str">
        <f>IF('[1]BASE'!FZ57=0,"",'[1]BASE'!FZ57)</f>
        <v>XXXX</v>
      </c>
      <c r="M57" s="1022" t="str">
        <f>IF('[1]BASE'!GA57=0,"",'[1]BASE'!GA57)</f>
        <v>XXXX</v>
      </c>
      <c r="N57" s="1022" t="str">
        <f>IF('[1]BASE'!GB57=0,"",'[1]BASE'!GB57)</f>
        <v>XXXX</v>
      </c>
      <c r="O57" s="1022" t="str">
        <f>IF('[1]BASE'!GC57=0,"",'[1]BASE'!GC57)</f>
        <v>XXXX</v>
      </c>
      <c r="P57" s="1022" t="str">
        <f>IF('[1]BASE'!GD57=0,"",'[1]BASE'!GD57)</f>
        <v>XXXX</v>
      </c>
      <c r="Q57" s="1022" t="str">
        <f>IF('[1]BASE'!GE57=0,"",'[1]BASE'!GE57)</f>
        <v>XXXX</v>
      </c>
      <c r="R57" s="1022" t="str">
        <f>IF('[1]BASE'!GF57=0,"",'[1]BASE'!GF57)</f>
        <v>XXXX</v>
      </c>
      <c r="S57" s="1022" t="str">
        <f>IF('[1]BASE'!GG57=0,"",'[1]BASE'!GG57)</f>
        <v>XXXX</v>
      </c>
      <c r="T57" s="1023"/>
      <c r="U57" s="1019"/>
    </row>
    <row r="58" spans="2:21" s="1013" customFormat="1" ht="19.5" customHeight="1">
      <c r="B58" s="1014"/>
      <c r="C58" s="1024">
        <f>IF('[1]BASE'!C58=0,"",'[1]BASE'!C58)</f>
        <v>42</v>
      </c>
      <c r="D58" s="1024" t="str">
        <f>IF('[1]BASE'!D58=0,"",'[1]BASE'!D58)</f>
        <v>RIO GRANDE - LUJAN</v>
      </c>
      <c r="E58" s="1024">
        <f>IF('[1]BASE'!E58=0,"",'[1]BASE'!E58)</f>
        <v>500</v>
      </c>
      <c r="F58" s="1024">
        <f>IF('[1]BASE'!F58=0,"",'[1]BASE'!F58)</f>
        <v>150</v>
      </c>
      <c r="G58" s="1025" t="str">
        <f>IF('[1]BASE'!G58=0,"",'[1]BASE'!G58)</f>
        <v>A</v>
      </c>
      <c r="H58" s="1022">
        <f>IF('[1]BASE'!FV58=0,"",'[1]BASE'!FV58)</f>
      </c>
      <c r="I58" s="1022">
        <f>IF('[1]BASE'!FW58=0,"",'[1]BASE'!FW58)</f>
      </c>
      <c r="J58" s="1022">
        <f>IF('[1]BASE'!FX58=0,"",'[1]BASE'!FX58)</f>
      </c>
      <c r="K58" s="1022">
        <f>IF('[1]BASE'!FY58=0,"",'[1]BASE'!FY58)</f>
      </c>
      <c r="L58" s="1022">
        <f>IF('[1]BASE'!FZ58=0,"",'[1]BASE'!FZ58)</f>
      </c>
      <c r="M58" s="1022">
        <f>IF('[1]BASE'!GA58=0,"",'[1]BASE'!GA58)</f>
      </c>
      <c r="N58" s="1022">
        <f>IF('[1]BASE'!GB58=0,"",'[1]BASE'!GB58)</f>
      </c>
      <c r="O58" s="1022">
        <f>IF('[1]BASE'!GC58=0,"",'[1]BASE'!GC58)</f>
      </c>
      <c r="P58" s="1022">
        <f>IF('[1]BASE'!GD58=0,"",'[1]BASE'!GD58)</f>
      </c>
      <c r="Q58" s="1022">
        <f>IF('[1]BASE'!GE58=0,"",'[1]BASE'!GE58)</f>
        <v>3</v>
      </c>
      <c r="R58" s="1022">
        <f>IF('[1]BASE'!GF58=0,"",'[1]BASE'!GF58)</f>
      </c>
      <c r="S58" s="1022">
        <f>IF('[1]BASE'!GG58=0,"",'[1]BASE'!GG58)</f>
      </c>
      <c r="T58" s="1023"/>
      <c r="U58" s="1019"/>
    </row>
    <row r="59" spans="2:21" s="1013" customFormat="1" ht="19.5" customHeight="1">
      <c r="B59" s="1014"/>
      <c r="C59" s="1026">
        <f>IF('[1]BASE'!C59=0,"",'[1]BASE'!C59)</f>
        <v>43</v>
      </c>
      <c r="D59" s="1026" t="str">
        <f>IF('[1]BASE'!D59=0,"",'[1]BASE'!D59)</f>
        <v>LUJAN - GRAN MENDOZA</v>
      </c>
      <c r="E59" s="1026">
        <f>IF('[1]BASE'!E59=0,"",'[1]BASE'!E59)</f>
        <v>500</v>
      </c>
      <c r="F59" s="1026">
        <f>IF('[1]BASE'!F59=0,"",'[1]BASE'!F59)</f>
        <v>257</v>
      </c>
      <c r="G59" s="1027" t="str">
        <f>IF('[1]BASE'!G59=0,"",'[1]BASE'!G59)</f>
        <v>B</v>
      </c>
      <c r="H59" s="1022">
        <f>IF('[1]BASE'!FV59=0,"",'[1]BASE'!FV59)</f>
      </c>
      <c r="I59" s="1022">
        <f>IF('[1]BASE'!FW59=0,"",'[1]BASE'!FW59)</f>
      </c>
      <c r="J59" s="1022">
        <f>IF('[1]BASE'!FX59=0,"",'[1]BASE'!FX59)</f>
      </c>
      <c r="K59" s="1022">
        <f>IF('[1]BASE'!FY59=0,"",'[1]BASE'!FY59)</f>
      </c>
      <c r="L59" s="1022">
        <f>IF('[1]BASE'!FZ59=0,"",'[1]BASE'!FZ59)</f>
      </c>
      <c r="M59" s="1022">
        <f>IF('[1]BASE'!GA59=0,"",'[1]BASE'!GA59)</f>
      </c>
      <c r="N59" s="1022">
        <f>IF('[1]BASE'!GB59=0,"",'[1]BASE'!GB59)</f>
      </c>
      <c r="O59" s="1022">
        <f>IF('[1]BASE'!GC59=0,"",'[1]BASE'!GC59)</f>
      </c>
      <c r="P59" s="1022">
        <f>IF('[1]BASE'!GD59=0,"",'[1]BASE'!GD59)</f>
      </c>
      <c r="Q59" s="1022">
        <f>IF('[1]BASE'!GE59=0,"",'[1]BASE'!GE59)</f>
        <v>1</v>
      </c>
      <c r="R59" s="1022">
        <f>IF('[1]BASE'!GF59=0,"",'[1]BASE'!GF59)</f>
      </c>
      <c r="S59" s="1022">
        <f>IF('[1]BASE'!GG59=0,"",'[1]BASE'!GG59)</f>
      </c>
      <c r="T59" s="1023"/>
      <c r="U59" s="1019"/>
    </row>
    <row r="60" spans="2:21" s="1013" customFormat="1" ht="19.5" customHeight="1">
      <c r="B60" s="1014"/>
      <c r="C60" s="1024">
        <f>IF('[1]BASE'!C60=0,"",'[1]BASE'!C60)</f>
        <v>44</v>
      </c>
      <c r="D60" s="1024" t="str">
        <f>IF('[1]BASE'!D60=0,"",'[1]BASE'!D60)</f>
        <v>ROMANG - RESISTENCIA</v>
      </c>
      <c r="E60" s="1024">
        <f>IF('[1]BASE'!E60=0,"",'[1]BASE'!E60)</f>
        <v>500</v>
      </c>
      <c r="F60" s="1024">
        <f>IF('[1]BASE'!F60=0,"",'[1]BASE'!F60)</f>
        <v>256</v>
      </c>
      <c r="G60" s="1025" t="str">
        <f>IF('[1]BASE'!G60=0,"",'[1]BASE'!G60)</f>
        <v>A</v>
      </c>
      <c r="H60" s="1022">
        <f>IF('[1]BASE'!FV60=0,"",'[1]BASE'!FV60)</f>
      </c>
      <c r="I60" s="1022">
        <f>IF('[1]BASE'!FW60=0,"",'[1]BASE'!FW60)</f>
      </c>
      <c r="J60" s="1022">
        <f>IF('[1]BASE'!FX60=0,"",'[1]BASE'!FX60)</f>
      </c>
      <c r="K60" s="1022">
        <f>IF('[1]BASE'!FY60=0,"",'[1]BASE'!FY60)</f>
      </c>
      <c r="L60" s="1022">
        <f>IF('[1]BASE'!FZ60=0,"",'[1]BASE'!FZ60)</f>
      </c>
      <c r="M60" s="1022">
        <f>IF('[1]BASE'!GA60=0,"",'[1]BASE'!GA60)</f>
        <v>1</v>
      </c>
      <c r="N60" s="1022">
        <f>IF('[1]BASE'!GB60=0,"",'[1]BASE'!GB60)</f>
        <v>1</v>
      </c>
      <c r="O60" s="1022">
        <f>IF('[1]BASE'!GC60=0,"",'[1]BASE'!GC60)</f>
      </c>
      <c r="P60" s="1022">
        <f>IF('[1]BASE'!GD60=0,"",'[1]BASE'!GD60)</f>
        <v>1</v>
      </c>
      <c r="Q60" s="1022">
        <f>IF('[1]BASE'!GE60=0,"",'[1]BASE'!GE60)</f>
      </c>
      <c r="R60" s="1022">
        <f>IF('[1]BASE'!GF60=0,"",'[1]BASE'!GF60)</f>
      </c>
      <c r="S60" s="1022">
        <f>IF('[1]BASE'!GG60=0,"",'[1]BASE'!GG60)</f>
      </c>
      <c r="T60" s="1023"/>
      <c r="U60" s="1019"/>
    </row>
    <row r="61" spans="2:21" s="1013" customFormat="1" ht="19.5" customHeight="1">
      <c r="B61" s="1014"/>
      <c r="C61" s="1026">
        <f>IF('[1]BASE'!C61=0,"",'[1]BASE'!C61)</f>
        <v>45</v>
      </c>
      <c r="D61" s="1026" t="str">
        <f>IF('[1]BASE'!D61=0,"",'[1]BASE'!D61)</f>
        <v>ROSARIO OESTE -SANTO TOME</v>
      </c>
      <c r="E61" s="1026">
        <f>IF('[1]BASE'!E61=0,"",'[1]BASE'!E61)</f>
        <v>500</v>
      </c>
      <c r="F61" s="1026">
        <f>IF('[1]BASE'!F61=0,"",'[1]BASE'!F61)</f>
        <v>159</v>
      </c>
      <c r="G61" s="1027" t="str">
        <f>IF('[1]BASE'!G61=0,"",'[1]BASE'!G61)</f>
        <v>C</v>
      </c>
      <c r="H61" s="1022">
        <f>IF('[1]BASE'!FV61=0,"",'[1]BASE'!FV61)</f>
        <v>1</v>
      </c>
      <c r="I61" s="1022">
        <f>IF('[1]BASE'!FW61=0,"",'[1]BASE'!FW61)</f>
      </c>
      <c r="J61" s="1022">
        <f>IF('[1]BASE'!FX61=0,"",'[1]BASE'!FX61)</f>
      </c>
      <c r="K61" s="1022">
        <f>IF('[1]BASE'!FY61=0,"",'[1]BASE'!FY61)</f>
      </c>
      <c r="L61" s="1022">
        <f>IF('[1]BASE'!FZ61=0,"",'[1]BASE'!FZ61)</f>
      </c>
      <c r="M61" s="1022">
        <f>IF('[1]BASE'!GA61=0,"",'[1]BASE'!GA61)</f>
      </c>
      <c r="N61" s="1022">
        <f>IF('[1]BASE'!GB61=0,"",'[1]BASE'!GB61)</f>
        <v>1</v>
      </c>
      <c r="O61" s="1022">
        <f>IF('[1]BASE'!GC61=0,"",'[1]BASE'!GC61)</f>
      </c>
      <c r="P61" s="1022">
        <f>IF('[1]BASE'!GD61=0,"",'[1]BASE'!GD61)</f>
      </c>
      <c r="Q61" s="1022">
        <f>IF('[1]BASE'!GE61=0,"",'[1]BASE'!GE61)</f>
      </c>
      <c r="R61" s="1022">
        <f>IF('[1]BASE'!GF61=0,"",'[1]BASE'!GF61)</f>
      </c>
      <c r="S61" s="1022">
        <f>IF('[1]BASE'!GG61=0,"",'[1]BASE'!GG61)</f>
      </c>
      <c r="T61" s="1023"/>
      <c r="U61" s="1019"/>
    </row>
    <row r="62" spans="2:21" s="1013" customFormat="1" ht="19.5" customHeight="1">
      <c r="B62" s="1014"/>
      <c r="C62" s="1024">
        <f>IF('[1]BASE'!C62=0,"",'[1]BASE'!C62)</f>
        <v>46</v>
      </c>
      <c r="D62" s="1024" t="str">
        <f>IF('[1]BASE'!D62=0,"",'[1]BASE'!D62)</f>
        <v>SALTO GRANDE - SANTO TOME </v>
      </c>
      <c r="E62" s="1024">
        <f>IF('[1]BASE'!E62=0,"",'[1]BASE'!E62)</f>
        <v>500</v>
      </c>
      <c r="F62" s="1024">
        <f>IF('[1]BASE'!F62=0,"",'[1]BASE'!F62)</f>
        <v>289</v>
      </c>
      <c r="G62" s="1025" t="str">
        <f>IF('[1]BASE'!G62=0,"",'[1]BASE'!G62)</f>
        <v>C</v>
      </c>
      <c r="H62" s="1022">
        <f>IF('[1]BASE'!FV62=0,"",'[1]BASE'!FV62)</f>
      </c>
      <c r="I62" s="1022">
        <f>IF('[1]BASE'!FW62=0,"",'[1]BASE'!FW62)</f>
      </c>
      <c r="J62" s="1022">
        <f>IF('[1]BASE'!FX62=0,"",'[1]BASE'!FX62)</f>
      </c>
      <c r="K62" s="1022">
        <f>IF('[1]BASE'!FY62=0,"",'[1]BASE'!FY62)</f>
      </c>
      <c r="L62" s="1022">
        <f>IF('[1]BASE'!FZ62=0,"",'[1]BASE'!FZ62)</f>
      </c>
      <c r="M62" s="1022">
        <f>IF('[1]BASE'!GA62=0,"",'[1]BASE'!GA62)</f>
        <v>1</v>
      </c>
      <c r="N62" s="1022">
        <f>IF('[1]BASE'!GB62=0,"",'[1]BASE'!GB62)</f>
      </c>
      <c r="O62" s="1022">
        <f>IF('[1]BASE'!GC62=0,"",'[1]BASE'!GC62)</f>
      </c>
      <c r="P62" s="1022">
        <f>IF('[1]BASE'!GD62=0,"",'[1]BASE'!GD62)</f>
      </c>
      <c r="Q62" s="1022">
        <f>IF('[1]BASE'!GE62=0,"",'[1]BASE'!GE62)</f>
      </c>
      <c r="R62" s="1022">
        <f>IF('[1]BASE'!GF62=0,"",'[1]BASE'!GF62)</f>
      </c>
      <c r="S62" s="1022">
        <f>IF('[1]BASE'!GG62=0,"",'[1]BASE'!GG62)</f>
      </c>
      <c r="T62" s="1023"/>
      <c r="U62" s="1019"/>
    </row>
    <row r="63" spans="2:21" s="1013" customFormat="1" ht="19.5" customHeight="1">
      <c r="B63" s="1014"/>
      <c r="C63" s="1026">
        <f>IF('[1]BASE'!C63=0,"",'[1]BASE'!C63)</f>
        <v>47</v>
      </c>
      <c r="D63" s="1026" t="str">
        <f>IF('[1]BASE'!D63=0,"",'[1]BASE'!D63)</f>
        <v>SANTO TOME - ROMANG </v>
      </c>
      <c r="E63" s="1026">
        <f>IF('[1]BASE'!E63=0,"",'[1]BASE'!E63)</f>
        <v>500</v>
      </c>
      <c r="F63" s="1026">
        <f>IF('[1]BASE'!F63=0,"",'[1]BASE'!F63)</f>
        <v>270</v>
      </c>
      <c r="G63" s="1027" t="str">
        <f>IF('[1]BASE'!G63=0,"",'[1]BASE'!G63)</f>
        <v>A</v>
      </c>
      <c r="H63" s="1022">
        <f>IF('[1]BASE'!FV63=0,"",'[1]BASE'!FV63)</f>
      </c>
      <c r="I63" s="1022">
        <f>IF('[1]BASE'!FW63=0,"",'[1]BASE'!FW63)</f>
      </c>
      <c r="J63" s="1022">
        <f>IF('[1]BASE'!FX63=0,"",'[1]BASE'!FX63)</f>
      </c>
      <c r="K63" s="1022">
        <f>IF('[1]BASE'!FY63=0,"",'[1]BASE'!FY63)</f>
      </c>
      <c r="L63" s="1022">
        <f>IF('[1]BASE'!FZ63=0,"",'[1]BASE'!FZ63)</f>
      </c>
      <c r="M63" s="1022">
        <f>IF('[1]BASE'!GA63=0,"",'[1]BASE'!GA63)</f>
      </c>
      <c r="N63" s="1022">
        <f>IF('[1]BASE'!GB63=0,"",'[1]BASE'!GB63)</f>
      </c>
      <c r="O63" s="1022">
        <f>IF('[1]BASE'!GC63=0,"",'[1]BASE'!GC63)</f>
      </c>
      <c r="P63" s="1022">
        <f>IF('[1]BASE'!GD63=0,"",'[1]BASE'!GD63)</f>
      </c>
      <c r="Q63" s="1022">
        <f>IF('[1]BASE'!GE63=0,"",'[1]BASE'!GE63)</f>
      </c>
      <c r="R63" s="1022">
        <f>IF('[1]BASE'!GF63=0,"",'[1]BASE'!GF63)</f>
      </c>
      <c r="S63" s="1022">
        <f>IF('[1]BASE'!GG63=0,"",'[1]BASE'!GG63)</f>
      </c>
      <c r="T63" s="1023"/>
      <c r="U63" s="1019"/>
    </row>
    <row r="64" spans="2:21" s="1013" customFormat="1" ht="9.75" customHeight="1">
      <c r="B64" s="1014"/>
      <c r="C64" s="1024">
        <f>IF('[1]BASE'!C64=0,"",'[1]BASE'!C64)</f>
      </c>
      <c r="D64" s="1024">
        <f>IF('[1]BASE'!D64=0,"",'[1]BASE'!D64)</f>
      </c>
      <c r="E64" s="1024">
        <f>IF('[1]BASE'!E64=0,"",'[1]BASE'!E64)</f>
      </c>
      <c r="F64" s="1024">
        <f>IF('[1]BASE'!F64=0,"",'[1]BASE'!F64)</f>
      </c>
      <c r="G64" s="1025">
        <f>IF('[1]BASE'!G64=0,"",'[1]BASE'!G64)</f>
      </c>
      <c r="H64" s="1022">
        <f>IF('[1]BASE'!FV64=0,"",'[1]BASE'!FV64)</f>
      </c>
      <c r="I64" s="1022">
        <f>IF('[1]BASE'!FW64=0,"",'[1]BASE'!FW64)</f>
      </c>
      <c r="J64" s="1022">
        <f>IF('[1]BASE'!FX64=0,"",'[1]BASE'!FX64)</f>
      </c>
      <c r="K64" s="1022">
        <f>IF('[1]BASE'!FY64=0,"",'[1]BASE'!FY64)</f>
      </c>
      <c r="L64" s="1022">
        <f>IF('[1]BASE'!FZ64=0,"",'[1]BASE'!FZ64)</f>
      </c>
      <c r="M64" s="1022">
        <f>IF('[1]BASE'!GA64=0,"",'[1]BASE'!GA64)</f>
      </c>
      <c r="N64" s="1022">
        <f>IF('[1]BASE'!GB64=0,"",'[1]BASE'!GB64)</f>
      </c>
      <c r="O64" s="1022">
        <f>IF('[1]BASE'!GC64=0,"",'[1]BASE'!GC64)</f>
      </c>
      <c r="P64" s="1022">
        <f>IF('[1]BASE'!GD64=0,"",'[1]BASE'!GD64)</f>
      </c>
      <c r="Q64" s="1022">
        <f>IF('[1]BASE'!GE64=0,"",'[1]BASE'!GE64)</f>
      </c>
      <c r="R64" s="1022">
        <f>IF('[1]BASE'!GF64=0,"",'[1]BASE'!GF64)</f>
      </c>
      <c r="S64" s="1022">
        <f>IF('[1]BASE'!GG64=0,"",'[1]BASE'!GG64)</f>
      </c>
      <c r="T64" s="1023"/>
      <c r="U64" s="1019"/>
    </row>
    <row r="65" spans="2:21" s="1013" customFormat="1" ht="19.5" customHeight="1">
      <c r="B65" s="1014"/>
      <c r="C65" s="1026">
        <f>IF('[1]BASE'!C65=0,"",'[1]BASE'!C65)</f>
        <v>48</v>
      </c>
      <c r="D65" s="1026" t="str">
        <f>IF('[1]BASE'!D65=0,"",'[1]BASE'!D65)</f>
        <v>GRAL. RODRIGUEZ - VILLA  LIA 1</v>
      </c>
      <c r="E65" s="1026">
        <f>IF('[1]BASE'!E65=0,"",'[1]BASE'!E65)</f>
        <v>220</v>
      </c>
      <c r="F65" s="1026">
        <f>IF('[1]BASE'!F65=0,"",'[1]BASE'!F65)</f>
        <v>61</v>
      </c>
      <c r="G65" s="1027" t="str">
        <f>IF('[1]BASE'!G65=0,"",'[1]BASE'!G65)</f>
        <v>C</v>
      </c>
      <c r="H65" s="1022">
        <f>IF('[1]BASE'!FV65=0,"",'[1]BASE'!FV65)</f>
        <v>1</v>
      </c>
      <c r="I65" s="1022">
        <f>IF('[1]BASE'!FW65=0,"",'[1]BASE'!FW65)</f>
      </c>
      <c r="J65" s="1022">
        <f>IF('[1]BASE'!FX65=0,"",'[1]BASE'!FX65)</f>
        <v>1</v>
      </c>
      <c r="K65" s="1022">
        <f>IF('[1]BASE'!FY65=0,"",'[1]BASE'!FY65)</f>
      </c>
      <c r="L65" s="1022">
        <f>IF('[1]BASE'!FZ65=0,"",'[1]BASE'!FZ65)</f>
      </c>
      <c r="M65" s="1022">
        <f>IF('[1]BASE'!GA65=0,"",'[1]BASE'!GA65)</f>
      </c>
      <c r="N65" s="1022">
        <f>IF('[1]BASE'!GB65=0,"",'[1]BASE'!GB65)</f>
      </c>
      <c r="O65" s="1022">
        <f>IF('[1]BASE'!GC65=0,"",'[1]BASE'!GC65)</f>
      </c>
      <c r="P65" s="1022">
        <f>IF('[1]BASE'!GD65=0,"",'[1]BASE'!GD65)</f>
        <v>1</v>
      </c>
      <c r="Q65" s="1022">
        <f>IF('[1]BASE'!GE65=0,"",'[1]BASE'!GE65)</f>
      </c>
      <c r="R65" s="1022">
        <f>IF('[1]BASE'!GF65=0,"",'[1]BASE'!GF65)</f>
      </c>
      <c r="S65" s="1022">
        <f>IF('[1]BASE'!GG65=0,"",'[1]BASE'!GG65)</f>
      </c>
      <c r="T65" s="1023"/>
      <c r="U65" s="1019"/>
    </row>
    <row r="66" spans="2:21" s="1013" customFormat="1" ht="19.5" customHeight="1">
      <c r="B66" s="1014"/>
      <c r="C66" s="1024">
        <f>IF('[1]BASE'!C66=0,"",'[1]BASE'!C66)</f>
        <v>49</v>
      </c>
      <c r="D66" s="1024" t="str">
        <f>IF('[1]BASE'!D66=0,"",'[1]BASE'!D66)</f>
        <v>GRAL. RODRIGUEZ - VILLA  LIA 2</v>
      </c>
      <c r="E66" s="1024">
        <f>IF('[1]BASE'!E66=0,"",'[1]BASE'!E66)</f>
        <v>220</v>
      </c>
      <c r="F66" s="1024">
        <f>IF('[1]BASE'!F66=0,"",'[1]BASE'!F66)</f>
        <v>61</v>
      </c>
      <c r="G66" s="1025" t="str">
        <f>IF('[1]BASE'!G66=0,"",'[1]BASE'!G66)</f>
        <v>C</v>
      </c>
      <c r="H66" s="1022">
        <f>IF('[1]BASE'!FV66=0,"",'[1]BASE'!FV66)</f>
      </c>
      <c r="I66" s="1022">
        <f>IF('[1]BASE'!FW66=0,"",'[1]BASE'!FW66)</f>
      </c>
      <c r="J66" s="1022">
        <f>IF('[1]BASE'!FX66=0,"",'[1]BASE'!FX66)</f>
      </c>
      <c r="K66" s="1022">
        <f>IF('[1]BASE'!FY66=0,"",'[1]BASE'!FY66)</f>
      </c>
      <c r="L66" s="1022">
        <f>IF('[1]BASE'!FZ66=0,"",'[1]BASE'!FZ66)</f>
      </c>
      <c r="M66" s="1022">
        <f>IF('[1]BASE'!GA66=0,"",'[1]BASE'!GA66)</f>
      </c>
      <c r="N66" s="1022">
        <f>IF('[1]BASE'!GB66=0,"",'[1]BASE'!GB66)</f>
      </c>
      <c r="O66" s="1022">
        <f>IF('[1]BASE'!GC66=0,"",'[1]BASE'!GC66)</f>
      </c>
      <c r="P66" s="1022">
        <f>IF('[1]BASE'!GD66=0,"",'[1]BASE'!GD66)</f>
      </c>
      <c r="Q66" s="1022">
        <f>IF('[1]BASE'!GE66=0,"",'[1]BASE'!GE66)</f>
      </c>
      <c r="R66" s="1022">
        <f>IF('[1]BASE'!GF66=0,"",'[1]BASE'!GF66)</f>
      </c>
      <c r="S66" s="1022">
        <f>IF('[1]BASE'!GG66=0,"",'[1]BASE'!GG66)</f>
      </c>
      <c r="T66" s="1023"/>
      <c r="U66" s="1019"/>
    </row>
    <row r="67" spans="2:21" s="1013" customFormat="1" ht="19.5" customHeight="1">
      <c r="B67" s="1014"/>
      <c r="C67" s="1026">
        <f>IF('[1]BASE'!C67=0,"",'[1]BASE'!C67)</f>
        <v>50</v>
      </c>
      <c r="D67" s="1026" t="str">
        <f>IF('[1]BASE'!D67=0,"",'[1]BASE'!D67)</f>
        <v>RAMALLO - SAN NICOLAS (2)</v>
      </c>
      <c r="E67" s="1026">
        <f>IF('[1]BASE'!E67=0,"",'[1]BASE'!E67)</f>
        <v>220</v>
      </c>
      <c r="F67" s="1026">
        <f>IF('[1]BASE'!F67=0,"",'[1]BASE'!F67)</f>
        <v>6</v>
      </c>
      <c r="G67" s="1027" t="str">
        <f>IF('[1]BASE'!G67=0,"",'[1]BASE'!G67)</f>
        <v>C</v>
      </c>
      <c r="H67" s="1022">
        <f>IF('[1]BASE'!FV67=0,"",'[1]BASE'!FV67)</f>
      </c>
      <c r="I67" s="1022">
        <f>IF('[1]BASE'!FW67=0,"",'[1]BASE'!FW67)</f>
      </c>
      <c r="J67" s="1022">
        <f>IF('[1]BASE'!FX67=0,"",'[1]BASE'!FX67)</f>
      </c>
      <c r="K67" s="1022">
        <f>IF('[1]BASE'!FY67=0,"",'[1]BASE'!FY67)</f>
      </c>
      <c r="L67" s="1022">
        <f>IF('[1]BASE'!FZ67=0,"",'[1]BASE'!FZ67)</f>
      </c>
      <c r="M67" s="1022">
        <f>IF('[1]BASE'!GA67=0,"",'[1]BASE'!GA67)</f>
      </c>
      <c r="N67" s="1022">
        <f>IF('[1]BASE'!GB67=0,"",'[1]BASE'!GB67)</f>
      </c>
      <c r="O67" s="1022">
        <f>IF('[1]BASE'!GC67=0,"",'[1]BASE'!GC67)</f>
      </c>
      <c r="P67" s="1022">
        <f>IF('[1]BASE'!GD67=0,"",'[1]BASE'!GD67)</f>
      </c>
      <c r="Q67" s="1022">
        <f>IF('[1]BASE'!GE67=0,"",'[1]BASE'!GE67)</f>
      </c>
      <c r="R67" s="1022">
        <f>IF('[1]BASE'!GF67=0,"",'[1]BASE'!GF67)</f>
      </c>
      <c r="S67" s="1022">
        <f>IF('[1]BASE'!GG67=0,"",'[1]BASE'!GG67)</f>
      </c>
      <c r="T67" s="1023"/>
      <c r="U67" s="1019"/>
    </row>
    <row r="68" spans="2:21" s="1013" customFormat="1" ht="19.5" customHeight="1">
      <c r="B68" s="1014"/>
      <c r="C68" s="1024">
        <f>IF('[1]BASE'!C68=0,"",'[1]BASE'!C68)</f>
        <v>51</v>
      </c>
      <c r="D68" s="1024" t="str">
        <f>IF('[1]BASE'!D68=0,"",'[1]BASE'!D68)</f>
        <v>RAMALLO - SAN NICOLAS (1)</v>
      </c>
      <c r="E68" s="1024">
        <f>IF('[1]BASE'!E68=0,"",'[1]BASE'!E68)</f>
        <v>220</v>
      </c>
      <c r="F68" s="1024">
        <f>IF('[1]BASE'!F68=0,"",'[1]BASE'!F68)</f>
        <v>6</v>
      </c>
      <c r="G68" s="1025" t="str">
        <f>IF('[1]BASE'!G68=0,"",'[1]BASE'!G68)</f>
        <v>C</v>
      </c>
      <c r="H68" s="1022">
        <f>IF('[1]BASE'!FV68=0,"",'[1]BASE'!FV68)</f>
      </c>
      <c r="I68" s="1022">
        <f>IF('[1]BASE'!FW68=0,"",'[1]BASE'!FW68)</f>
      </c>
      <c r="J68" s="1022">
        <f>IF('[1]BASE'!FX68=0,"",'[1]BASE'!FX68)</f>
      </c>
      <c r="K68" s="1022">
        <f>IF('[1]BASE'!FY68=0,"",'[1]BASE'!FY68)</f>
      </c>
      <c r="L68" s="1022">
        <f>IF('[1]BASE'!FZ68=0,"",'[1]BASE'!FZ68)</f>
      </c>
      <c r="M68" s="1022">
        <f>IF('[1]BASE'!GA68=0,"",'[1]BASE'!GA68)</f>
      </c>
      <c r="N68" s="1022">
        <f>IF('[1]BASE'!GB68=0,"",'[1]BASE'!GB68)</f>
      </c>
      <c r="O68" s="1022">
        <f>IF('[1]BASE'!GC68=0,"",'[1]BASE'!GC68)</f>
      </c>
      <c r="P68" s="1022">
        <f>IF('[1]BASE'!GD68=0,"",'[1]BASE'!GD68)</f>
      </c>
      <c r="Q68" s="1022">
        <f>IF('[1]BASE'!GE68=0,"",'[1]BASE'!GE68)</f>
      </c>
      <c r="R68" s="1022">
        <f>IF('[1]BASE'!GF68=0,"",'[1]BASE'!GF68)</f>
      </c>
      <c r="S68" s="1022">
        <f>IF('[1]BASE'!GG68=0,"",'[1]BASE'!GG68)</f>
      </c>
      <c r="T68" s="1023"/>
      <c r="U68" s="1019"/>
    </row>
    <row r="69" spans="2:21" s="1013" customFormat="1" ht="19.5" customHeight="1">
      <c r="B69" s="1014"/>
      <c r="C69" s="1026">
        <f>IF('[1]BASE'!C69=0,"",'[1]BASE'!C69)</f>
        <v>52</v>
      </c>
      <c r="D69" s="1026" t="str">
        <f>IF('[1]BASE'!D69=0,"",'[1]BASE'!D69)</f>
        <v>RAMALLO - VILLA LIA  1</v>
      </c>
      <c r="E69" s="1026">
        <f>IF('[1]BASE'!E69=0,"",'[1]BASE'!E69)</f>
        <v>220</v>
      </c>
      <c r="F69" s="1027">
        <f>IF('[1]BASE'!F69=0,"",'[1]BASE'!F69)</f>
        <v>114</v>
      </c>
      <c r="G69" s="1027" t="str">
        <f>IF('[1]BASE'!G69=0,"",'[1]BASE'!G69)</f>
        <v>C</v>
      </c>
      <c r="H69" s="1022">
        <f>IF('[1]BASE'!FV69=0,"",'[1]BASE'!FV69)</f>
      </c>
      <c r="I69" s="1022">
        <f>IF('[1]BASE'!FW69=0,"",'[1]BASE'!FW69)</f>
      </c>
      <c r="J69" s="1022">
        <f>IF('[1]BASE'!FX69=0,"",'[1]BASE'!FX69)</f>
      </c>
      <c r="K69" s="1022">
        <f>IF('[1]BASE'!FY69=0,"",'[1]BASE'!FY69)</f>
      </c>
      <c r="L69" s="1022">
        <f>IF('[1]BASE'!FZ69=0,"",'[1]BASE'!FZ69)</f>
      </c>
      <c r="M69" s="1022">
        <f>IF('[1]BASE'!GA69=0,"",'[1]BASE'!GA69)</f>
        <v>1</v>
      </c>
      <c r="N69" s="1022">
        <f>IF('[1]BASE'!GB69=0,"",'[1]BASE'!GB69)</f>
      </c>
      <c r="O69" s="1022">
        <f>IF('[1]BASE'!GC69=0,"",'[1]BASE'!GC69)</f>
      </c>
      <c r="P69" s="1022">
        <f>IF('[1]BASE'!GD69=0,"",'[1]BASE'!GD69)</f>
        <v>2</v>
      </c>
      <c r="Q69" s="1022">
        <f>IF('[1]BASE'!GE69=0,"",'[1]BASE'!GE69)</f>
      </c>
      <c r="R69" s="1022">
        <f>IF('[1]BASE'!GF69=0,"",'[1]BASE'!GF69)</f>
      </c>
      <c r="S69" s="1022">
        <f>IF('[1]BASE'!GG69=0,"",'[1]BASE'!GG69)</f>
      </c>
      <c r="T69" s="1023"/>
      <c r="U69" s="1019"/>
    </row>
    <row r="70" spans="2:21" s="1013" customFormat="1" ht="19.5" customHeight="1">
      <c r="B70" s="1014"/>
      <c r="C70" s="1024">
        <f>IF('[1]BASE'!C70=0,"",'[1]BASE'!C70)</f>
        <v>53</v>
      </c>
      <c r="D70" s="1024" t="str">
        <f>IF('[1]BASE'!D70=0,"",'[1]BASE'!D70)</f>
        <v>RAMALLO - VILLA LIA  2</v>
      </c>
      <c r="E70" s="1024">
        <f>IF('[1]BASE'!E70=0,"",'[1]BASE'!E70)</f>
        <v>220</v>
      </c>
      <c r="F70" s="1025">
        <f>IF('[1]BASE'!F70=0,"",'[1]BASE'!F70)</f>
        <v>114</v>
      </c>
      <c r="G70" s="1025" t="str">
        <f>IF('[1]BASE'!G70=0,"",'[1]BASE'!G70)</f>
        <v>C</v>
      </c>
      <c r="H70" s="1022">
        <f>IF('[1]BASE'!FV70=0,"",'[1]BASE'!FV70)</f>
      </c>
      <c r="I70" s="1022">
        <f>IF('[1]BASE'!FW70=0,"",'[1]BASE'!FW70)</f>
      </c>
      <c r="J70" s="1022">
        <f>IF('[1]BASE'!FX70=0,"",'[1]BASE'!FX70)</f>
        <v>1</v>
      </c>
      <c r="K70" s="1022">
        <f>IF('[1]BASE'!FY70=0,"",'[1]BASE'!FY70)</f>
      </c>
      <c r="L70" s="1022">
        <f>IF('[1]BASE'!FZ70=0,"",'[1]BASE'!FZ70)</f>
      </c>
      <c r="M70" s="1022">
        <f>IF('[1]BASE'!GA70=0,"",'[1]BASE'!GA70)</f>
      </c>
      <c r="N70" s="1022">
        <f>IF('[1]BASE'!GB70=0,"",'[1]BASE'!GB70)</f>
      </c>
      <c r="O70" s="1022">
        <f>IF('[1]BASE'!GC70=0,"",'[1]BASE'!GC70)</f>
      </c>
      <c r="P70" s="1022">
        <f>IF('[1]BASE'!GD70=0,"",'[1]BASE'!GD70)</f>
      </c>
      <c r="Q70" s="1022">
        <f>IF('[1]BASE'!GE70=0,"",'[1]BASE'!GE70)</f>
      </c>
      <c r="R70" s="1022">
        <f>IF('[1]BASE'!GF70=0,"",'[1]BASE'!GF70)</f>
      </c>
      <c r="S70" s="1022">
        <f>IF('[1]BASE'!GG70=0,"",'[1]BASE'!GG70)</f>
      </c>
      <c r="T70" s="1023"/>
      <c r="U70" s="1019"/>
    </row>
    <row r="71" spans="2:21" s="1013" customFormat="1" ht="19.5" customHeight="1">
      <c r="B71" s="1014"/>
      <c r="C71" s="1026">
        <f>IF('[1]BASE'!C71=0,"",'[1]BASE'!C71)</f>
        <v>54</v>
      </c>
      <c r="D71" s="1026" t="str">
        <f>IF('[1]BASE'!D71=0,"",'[1]BASE'!D71)</f>
        <v>ROSARIO OESTE - RAMALLO  1</v>
      </c>
      <c r="E71" s="1026">
        <f>IF('[1]BASE'!E71=0,"",'[1]BASE'!E71)</f>
        <v>220</v>
      </c>
      <c r="F71" s="1027">
        <f>IF('[1]BASE'!F71=0,"",'[1]BASE'!F71)</f>
        <v>77</v>
      </c>
      <c r="G71" s="1027" t="str">
        <f>IF('[1]BASE'!G71=0,"",'[1]BASE'!G71)</f>
        <v>C</v>
      </c>
      <c r="H71" s="1022">
        <f>IF('[1]BASE'!FV71=0,"",'[1]BASE'!FV71)</f>
      </c>
      <c r="I71" s="1022">
        <f>IF('[1]BASE'!FW71=0,"",'[1]BASE'!FW71)</f>
      </c>
      <c r="J71" s="1022">
        <f>IF('[1]BASE'!FX71=0,"",'[1]BASE'!FX71)</f>
      </c>
      <c r="K71" s="1022">
        <f>IF('[1]BASE'!FY71=0,"",'[1]BASE'!FY71)</f>
      </c>
      <c r="L71" s="1022">
        <f>IF('[1]BASE'!FZ71=0,"",'[1]BASE'!FZ71)</f>
      </c>
      <c r="M71" s="1022">
        <f>IF('[1]BASE'!GA71=0,"",'[1]BASE'!GA71)</f>
      </c>
      <c r="N71" s="1022">
        <f>IF('[1]BASE'!GB71=0,"",'[1]BASE'!GB71)</f>
      </c>
      <c r="O71" s="1022">
        <f>IF('[1]BASE'!GC71=0,"",'[1]BASE'!GC71)</f>
      </c>
      <c r="P71" s="1022">
        <f>IF('[1]BASE'!GD71=0,"",'[1]BASE'!GD71)</f>
      </c>
      <c r="Q71" s="1022">
        <f>IF('[1]BASE'!GE71=0,"",'[1]BASE'!GE71)</f>
      </c>
      <c r="R71" s="1022">
        <f>IF('[1]BASE'!GF71=0,"",'[1]BASE'!GF71)</f>
      </c>
      <c r="S71" s="1022">
        <f>IF('[1]BASE'!GG71=0,"",'[1]BASE'!GG71)</f>
      </c>
      <c r="T71" s="1023"/>
      <c r="U71" s="1019"/>
    </row>
    <row r="72" spans="2:21" s="1013" customFormat="1" ht="19.5" customHeight="1">
      <c r="B72" s="1014"/>
      <c r="C72" s="1024">
        <f>IF('[1]BASE'!C72=0,"",'[1]BASE'!C72)</f>
        <v>55</v>
      </c>
      <c r="D72" s="1024" t="str">
        <f>IF('[1]BASE'!D72=0,"",'[1]BASE'!D72)</f>
        <v>ROSARIO OESTE - RAMALLO  2</v>
      </c>
      <c r="E72" s="1024">
        <f>IF('[1]BASE'!E72=0,"",'[1]BASE'!E72)</f>
        <v>220</v>
      </c>
      <c r="F72" s="1025">
        <f>IF('[1]BASE'!F72=0,"",'[1]BASE'!F72)</f>
        <v>77</v>
      </c>
      <c r="G72" s="1025" t="str">
        <f>IF('[1]BASE'!G72=0,"",'[1]BASE'!G72)</f>
        <v>C</v>
      </c>
      <c r="H72" s="1022">
        <f>IF('[1]BASE'!FV72=0,"",'[1]BASE'!FV72)</f>
      </c>
      <c r="I72" s="1022">
        <f>IF('[1]BASE'!FW72=0,"",'[1]BASE'!FW72)</f>
      </c>
      <c r="J72" s="1022">
        <f>IF('[1]BASE'!FX72=0,"",'[1]BASE'!FX72)</f>
      </c>
      <c r="K72" s="1022">
        <f>IF('[1]BASE'!FY72=0,"",'[1]BASE'!FY72)</f>
      </c>
      <c r="L72" s="1022">
        <f>IF('[1]BASE'!FZ72=0,"",'[1]BASE'!FZ72)</f>
      </c>
      <c r="M72" s="1022">
        <f>IF('[1]BASE'!GA72=0,"",'[1]BASE'!GA72)</f>
      </c>
      <c r="N72" s="1022">
        <f>IF('[1]BASE'!GB72=0,"",'[1]BASE'!GB72)</f>
      </c>
      <c r="O72" s="1022">
        <f>IF('[1]BASE'!GC72=0,"",'[1]BASE'!GC72)</f>
      </c>
      <c r="P72" s="1022">
        <f>IF('[1]BASE'!GD72=0,"",'[1]BASE'!GD72)</f>
      </c>
      <c r="Q72" s="1022">
        <f>IF('[1]BASE'!GE72=0,"",'[1]BASE'!GE72)</f>
      </c>
      <c r="R72" s="1022">
        <f>IF('[1]BASE'!GF72=0,"",'[1]BASE'!GF72)</f>
      </c>
      <c r="S72" s="1022">
        <f>IF('[1]BASE'!GG72=0,"",'[1]BASE'!GG72)</f>
        <v>1</v>
      </c>
      <c r="T72" s="1023"/>
      <c r="U72" s="1019"/>
    </row>
    <row r="73" spans="2:21" s="1013" customFormat="1" ht="19.5" customHeight="1">
      <c r="B73" s="1014"/>
      <c r="C73" s="1026">
        <f>IF('[1]BASE'!C73=0,"",'[1]BASE'!C73)</f>
        <v>56</v>
      </c>
      <c r="D73" s="1026" t="str">
        <f>IF('[1]BASE'!D73=0,"",'[1]BASE'!D73)</f>
        <v>VILLA LIA - ATUCHA 1</v>
      </c>
      <c r="E73" s="1026">
        <f>IF('[1]BASE'!E73=0,"",'[1]BASE'!E73)</f>
        <v>220</v>
      </c>
      <c r="F73" s="1026">
        <f>IF('[1]BASE'!F73=0,"",'[1]BASE'!F73)</f>
        <v>26</v>
      </c>
      <c r="G73" s="1027" t="str">
        <f>IF('[1]BASE'!G73=0,"",'[1]BASE'!G73)</f>
        <v>C</v>
      </c>
      <c r="H73" s="1022">
        <f>IF('[1]BASE'!FV73=0,"",'[1]BASE'!FV73)</f>
      </c>
      <c r="I73" s="1022">
        <f>IF('[1]BASE'!FW73=0,"",'[1]BASE'!FW73)</f>
      </c>
      <c r="J73" s="1022">
        <f>IF('[1]BASE'!FX73=0,"",'[1]BASE'!FX73)</f>
        <v>2</v>
      </c>
      <c r="K73" s="1022">
        <f>IF('[1]BASE'!FY73=0,"",'[1]BASE'!FY73)</f>
      </c>
      <c r="L73" s="1022">
        <f>IF('[1]BASE'!FZ73=0,"",'[1]BASE'!FZ73)</f>
      </c>
      <c r="M73" s="1022">
        <f>IF('[1]BASE'!GA73=0,"",'[1]BASE'!GA73)</f>
      </c>
      <c r="N73" s="1022">
        <f>IF('[1]BASE'!GB73=0,"",'[1]BASE'!GB73)</f>
      </c>
      <c r="O73" s="1022">
        <f>IF('[1]BASE'!GC73=0,"",'[1]BASE'!GC73)</f>
      </c>
      <c r="P73" s="1022">
        <f>IF('[1]BASE'!GD73=0,"",'[1]BASE'!GD73)</f>
        <v>1</v>
      </c>
      <c r="Q73" s="1022">
        <f>IF('[1]BASE'!GE73=0,"",'[1]BASE'!GE73)</f>
      </c>
      <c r="R73" s="1022">
        <f>IF('[1]BASE'!GF73=0,"",'[1]BASE'!GF73)</f>
      </c>
      <c r="S73" s="1022">
        <f>IF('[1]BASE'!GG73=0,"",'[1]BASE'!GG73)</f>
      </c>
      <c r="T73" s="1023"/>
      <c r="U73" s="1019"/>
    </row>
    <row r="74" spans="2:21" s="1013" customFormat="1" ht="19.5" customHeight="1">
      <c r="B74" s="1014"/>
      <c r="C74" s="1024">
        <f>IF('[1]BASE'!C74=0,"",'[1]BASE'!C74)</f>
        <v>57</v>
      </c>
      <c r="D74" s="1024" t="str">
        <f>IF('[1]BASE'!D74=0,"",'[1]BASE'!D74)</f>
        <v>VILLA LIA - ATUCHA 2</v>
      </c>
      <c r="E74" s="1024">
        <f>IF('[1]BASE'!E74=0,"",'[1]BASE'!E74)</f>
        <v>220</v>
      </c>
      <c r="F74" s="1024">
        <f>IF('[1]BASE'!F74=0,"",'[1]BASE'!F74)</f>
        <v>26</v>
      </c>
      <c r="G74" s="1025" t="str">
        <f>IF('[1]BASE'!G74=0,"",'[1]BASE'!G74)</f>
        <v>C</v>
      </c>
      <c r="H74" s="1022">
        <f>IF('[1]BASE'!FV74=0,"",'[1]BASE'!FV74)</f>
      </c>
      <c r="I74" s="1022">
        <f>IF('[1]BASE'!FW74=0,"",'[1]BASE'!FW74)</f>
      </c>
      <c r="J74" s="1022">
        <f>IF('[1]BASE'!FX74=0,"",'[1]BASE'!FX74)</f>
        <v>1</v>
      </c>
      <c r="K74" s="1022">
        <f>IF('[1]BASE'!FY74=0,"",'[1]BASE'!FY74)</f>
      </c>
      <c r="L74" s="1022">
        <f>IF('[1]BASE'!FZ74=0,"",'[1]BASE'!FZ74)</f>
      </c>
      <c r="M74" s="1022">
        <f>IF('[1]BASE'!GA74=0,"",'[1]BASE'!GA74)</f>
      </c>
      <c r="N74" s="1022">
        <f>IF('[1]BASE'!GB74=0,"",'[1]BASE'!GB74)</f>
      </c>
      <c r="O74" s="1022">
        <f>IF('[1]BASE'!GC74=0,"",'[1]BASE'!GC74)</f>
      </c>
      <c r="P74" s="1022">
        <f>IF('[1]BASE'!GD74=0,"",'[1]BASE'!GD74)</f>
      </c>
      <c r="Q74" s="1022">
        <f>IF('[1]BASE'!GE74=0,"",'[1]BASE'!GE74)</f>
      </c>
      <c r="R74" s="1022">
        <f>IF('[1]BASE'!GF74=0,"",'[1]BASE'!GF74)</f>
      </c>
      <c r="S74" s="1022">
        <f>IF('[1]BASE'!GG74=0,"",'[1]BASE'!GG74)</f>
      </c>
      <c r="T74" s="1023"/>
      <c r="U74" s="1019"/>
    </row>
    <row r="75" spans="2:21" s="1013" customFormat="1" ht="9.75" customHeight="1">
      <c r="B75" s="1014"/>
      <c r="C75" s="1026">
        <f>IF('[1]BASE'!C75=0,"",'[1]BASE'!C75)</f>
      </c>
      <c r="D75" s="1026">
        <f>IF('[1]BASE'!D75=0,"",'[1]BASE'!D75)</f>
      </c>
      <c r="E75" s="1026">
        <f>IF('[1]BASE'!E75=0,"",'[1]BASE'!E75)</f>
      </c>
      <c r="F75" s="1026">
        <f>IF('[1]BASE'!F75=0,"",'[1]BASE'!F75)</f>
      </c>
      <c r="G75" s="1027">
        <f>IF('[1]BASE'!G75=0,"",'[1]BASE'!G75)</f>
      </c>
      <c r="H75" s="1022">
        <f>IF('[1]BASE'!FV75=0,"",'[1]BASE'!FV75)</f>
      </c>
      <c r="I75" s="1022">
        <f>IF('[1]BASE'!FW75=0,"",'[1]BASE'!FW75)</f>
      </c>
      <c r="J75" s="1022">
        <f>IF('[1]BASE'!FX75=0,"",'[1]BASE'!FX75)</f>
      </c>
      <c r="K75" s="1022">
        <f>IF('[1]BASE'!FY75=0,"",'[1]BASE'!FY75)</f>
      </c>
      <c r="L75" s="1022">
        <f>IF('[1]BASE'!FZ75=0,"",'[1]BASE'!FZ75)</f>
      </c>
      <c r="M75" s="1022">
        <f>IF('[1]BASE'!GA75=0,"",'[1]BASE'!GA75)</f>
      </c>
      <c r="N75" s="1022">
        <f>IF('[1]BASE'!GB75=0,"",'[1]BASE'!GB75)</f>
      </c>
      <c r="O75" s="1022">
        <f>IF('[1]BASE'!GC75=0,"",'[1]BASE'!GC75)</f>
      </c>
      <c r="P75" s="1022">
        <f>IF('[1]BASE'!GD75=0,"",'[1]BASE'!GD75)</f>
      </c>
      <c r="Q75" s="1022">
        <f>IF('[1]BASE'!GE75=0,"",'[1]BASE'!GE75)</f>
      </c>
      <c r="R75" s="1022">
        <f>IF('[1]BASE'!GF75=0,"",'[1]BASE'!GF75)</f>
      </c>
      <c r="S75" s="1022">
        <f>IF('[1]BASE'!GG75=0,"",'[1]BASE'!GG75)</f>
      </c>
      <c r="T75" s="1023"/>
      <c r="U75" s="1019"/>
    </row>
    <row r="76" spans="2:21" s="1013" customFormat="1" ht="19.5" customHeight="1">
      <c r="B76" s="1014"/>
      <c r="C76" s="1024">
        <f>IF('[1]BASE'!C76=0,"",'[1]BASE'!C76)</f>
        <v>58</v>
      </c>
      <c r="D76" s="1024" t="str">
        <f>IF('[1]BASE'!D76=0,"",'[1]BASE'!D76)</f>
        <v>GRAL RODRIGUEZ - RAMALLO</v>
      </c>
      <c r="E76" s="1024">
        <f>IF('[1]BASE'!E76=0,"",'[1]BASE'!E76)</f>
        <v>500</v>
      </c>
      <c r="F76" s="1025">
        <f>IF('[1]BASE'!F76=0,"",'[1]BASE'!F76)</f>
        <v>183.9</v>
      </c>
      <c r="G76" s="1025" t="str">
        <f>IF('[1]BASE'!G76=0,"",'[1]BASE'!G76)</f>
        <v>C</v>
      </c>
      <c r="H76" s="1022">
        <f>IF('[1]BASE'!FV76=0,"",'[1]BASE'!FV76)</f>
      </c>
      <c r="I76" s="1022">
        <f>IF('[1]BASE'!FW76=0,"",'[1]BASE'!FW76)</f>
      </c>
      <c r="J76" s="1022">
        <f>IF('[1]BASE'!FX76=0,"",'[1]BASE'!FX76)</f>
      </c>
      <c r="K76" s="1022">
        <f>IF('[1]BASE'!FY76=0,"",'[1]BASE'!FY76)</f>
      </c>
      <c r="L76" s="1022">
        <f>IF('[1]BASE'!FZ76=0,"",'[1]BASE'!FZ76)</f>
      </c>
      <c r="M76" s="1022">
        <f>IF('[1]BASE'!GA76=0,"",'[1]BASE'!GA76)</f>
      </c>
      <c r="N76" s="1022">
        <f>IF('[1]BASE'!GB76=0,"",'[1]BASE'!GB76)</f>
      </c>
      <c r="O76" s="1022">
        <f>IF('[1]BASE'!GC76=0,"",'[1]BASE'!GC76)</f>
        <v>1</v>
      </c>
      <c r="P76" s="1022">
        <f>IF('[1]BASE'!GD76=0,"",'[1]BASE'!GD76)</f>
      </c>
      <c r="Q76" s="1022">
        <f>IF('[1]BASE'!GE76=0,"",'[1]BASE'!GE76)</f>
        <v>2</v>
      </c>
      <c r="R76" s="1022">
        <f>IF('[1]BASE'!GF76=0,"",'[1]BASE'!GF76)</f>
      </c>
      <c r="S76" s="1022">
        <f>IF('[1]BASE'!GG76=0,"",'[1]BASE'!GG76)</f>
      </c>
      <c r="T76" s="1023"/>
      <c r="U76" s="1019"/>
    </row>
    <row r="77" spans="2:21" s="1013" customFormat="1" ht="19.5" customHeight="1">
      <c r="B77" s="1014"/>
      <c r="C77" s="1026">
        <f>IF('[1]BASE'!C77=0,"",'[1]BASE'!C77)</f>
        <v>59</v>
      </c>
      <c r="D77" s="1026" t="str">
        <f>IF('[1]BASE'!D77=0,"",'[1]BASE'!D77)</f>
        <v>RAMALLO - ROSARIO OESTE</v>
      </c>
      <c r="E77" s="1026">
        <f>IF('[1]BASE'!E77=0,"",'[1]BASE'!E77)</f>
        <v>500</v>
      </c>
      <c r="F77" s="1027">
        <f>IF('[1]BASE'!F77=0,"",'[1]BASE'!F77)</f>
        <v>77</v>
      </c>
      <c r="G77" s="1027" t="str">
        <f>IF('[1]BASE'!G77=0,"",'[1]BASE'!G77)</f>
        <v>C</v>
      </c>
      <c r="H77" s="1022">
        <f>IF('[1]BASE'!FV77=0,"",'[1]BASE'!FV77)</f>
      </c>
      <c r="I77" s="1022">
        <f>IF('[1]BASE'!FW77=0,"",'[1]BASE'!FW77)</f>
      </c>
      <c r="J77" s="1022">
        <f>IF('[1]BASE'!FX77=0,"",'[1]BASE'!FX77)</f>
      </c>
      <c r="K77" s="1022">
        <f>IF('[1]BASE'!FY77=0,"",'[1]BASE'!FY77)</f>
      </c>
      <c r="L77" s="1022">
        <f>IF('[1]BASE'!FZ77=0,"",'[1]BASE'!FZ77)</f>
      </c>
      <c r="M77" s="1022">
        <f>IF('[1]BASE'!GA77=0,"",'[1]BASE'!GA77)</f>
      </c>
      <c r="N77" s="1022">
        <f>IF('[1]BASE'!GB77=0,"",'[1]BASE'!GB77)</f>
      </c>
      <c r="O77" s="1022">
        <f>IF('[1]BASE'!GC77=0,"",'[1]BASE'!GC77)</f>
      </c>
      <c r="P77" s="1022">
        <f>IF('[1]BASE'!GD77=0,"",'[1]BASE'!GD77)</f>
      </c>
      <c r="Q77" s="1022">
        <f>IF('[1]BASE'!GE77=0,"",'[1]BASE'!GE77)</f>
      </c>
      <c r="R77" s="1022">
        <f>IF('[1]BASE'!GF77=0,"",'[1]BASE'!GF77)</f>
      </c>
      <c r="S77" s="1022">
        <f>IF('[1]BASE'!GG77=0,"",'[1]BASE'!GG77)</f>
      </c>
      <c r="T77" s="1023"/>
      <c r="U77" s="1019"/>
    </row>
    <row r="78" spans="2:21" s="1013" customFormat="1" ht="19.5" customHeight="1">
      <c r="B78" s="1014"/>
      <c r="C78" s="1024">
        <f>IF('[1]BASE'!C78=0,"",'[1]BASE'!C78)</f>
        <v>60</v>
      </c>
      <c r="D78" s="1024" t="str">
        <f>IF('[1]BASE'!D78=0,"",'[1]BASE'!D78)</f>
        <v>MACACHIN - HENDERSON</v>
      </c>
      <c r="E78" s="1024">
        <f>IF('[1]BASE'!E78=0,"",'[1]BASE'!E78)</f>
        <v>500</v>
      </c>
      <c r="F78" s="1025">
        <f>IF('[1]BASE'!F78=0,"",'[1]BASE'!F78)</f>
        <v>194</v>
      </c>
      <c r="G78" s="1025" t="str">
        <f>IF('[1]BASE'!G78=0,"",'[1]BASE'!G78)</f>
        <v>A</v>
      </c>
      <c r="H78" s="1022">
        <f>IF('[1]BASE'!FV78=0,"",'[1]BASE'!FV78)</f>
      </c>
      <c r="I78" s="1022">
        <f>IF('[1]BASE'!FW78=0,"",'[1]BASE'!FW78)</f>
      </c>
      <c r="J78" s="1022">
        <f>IF('[1]BASE'!FX78=0,"",'[1]BASE'!FX78)</f>
      </c>
      <c r="K78" s="1022">
        <f>IF('[1]BASE'!FY78=0,"",'[1]BASE'!FY78)</f>
      </c>
      <c r="L78" s="1022">
        <f>IF('[1]BASE'!FZ78=0,"",'[1]BASE'!FZ78)</f>
      </c>
      <c r="M78" s="1022">
        <f>IF('[1]BASE'!GA78=0,"",'[1]BASE'!GA78)</f>
      </c>
      <c r="N78" s="1022">
        <f>IF('[1]BASE'!GB78=0,"",'[1]BASE'!GB78)</f>
      </c>
      <c r="O78" s="1022">
        <f>IF('[1]BASE'!GC78=0,"",'[1]BASE'!GC78)</f>
      </c>
      <c r="P78" s="1022">
        <f>IF('[1]BASE'!GD78=0,"",'[1]BASE'!GD78)</f>
      </c>
      <c r="Q78" s="1022">
        <f>IF('[1]BASE'!GE78=0,"",'[1]BASE'!GE78)</f>
      </c>
      <c r="R78" s="1022">
        <f>IF('[1]BASE'!GF78=0,"",'[1]BASE'!GF78)</f>
      </c>
      <c r="S78" s="1022">
        <f>IF('[1]BASE'!GG78=0,"",'[1]BASE'!GG78)</f>
      </c>
      <c r="T78" s="1023"/>
      <c r="U78" s="1019"/>
    </row>
    <row r="79" spans="2:21" s="1013" customFormat="1" ht="19.5" customHeight="1">
      <c r="B79" s="1014"/>
      <c r="C79" s="1026">
        <f>IF('[1]BASE'!C79=0,"",'[1]BASE'!C79)</f>
        <v>61</v>
      </c>
      <c r="D79" s="1026" t="str">
        <f>IF('[1]BASE'!D79=0,"",'[1]BASE'!D79)</f>
        <v>PUELCHES - MACACHIN</v>
      </c>
      <c r="E79" s="1026">
        <f>IF('[1]BASE'!E79=0,"",'[1]BASE'!E79)</f>
        <v>500</v>
      </c>
      <c r="F79" s="1026">
        <f>IF('[1]BASE'!F79=0,"",'[1]BASE'!F79)</f>
        <v>227</v>
      </c>
      <c r="G79" s="1027" t="str">
        <f>IF('[1]BASE'!G79=0,"",'[1]BASE'!G79)</f>
        <v>A</v>
      </c>
      <c r="H79" s="1022">
        <f>IF('[1]BASE'!FV79=0,"",'[1]BASE'!FV79)</f>
      </c>
      <c r="I79" s="1022">
        <f>IF('[1]BASE'!FW79=0,"",'[1]BASE'!FW79)</f>
      </c>
      <c r="J79" s="1022">
        <f>IF('[1]BASE'!FX79=0,"",'[1]BASE'!FX79)</f>
      </c>
      <c r="K79" s="1022">
        <f>IF('[1]BASE'!FY79=0,"",'[1]BASE'!FY79)</f>
      </c>
      <c r="L79" s="1022">
        <f>IF('[1]BASE'!FZ79=0,"",'[1]BASE'!FZ79)</f>
      </c>
      <c r="M79" s="1022">
        <f>IF('[1]BASE'!GA79=0,"",'[1]BASE'!GA79)</f>
      </c>
      <c r="N79" s="1022">
        <f>IF('[1]BASE'!GB79=0,"",'[1]BASE'!GB79)</f>
      </c>
      <c r="O79" s="1022">
        <f>IF('[1]BASE'!GC79=0,"",'[1]BASE'!GC79)</f>
        <v>1</v>
      </c>
      <c r="P79" s="1022">
        <f>IF('[1]BASE'!GD79=0,"",'[1]BASE'!GD79)</f>
      </c>
      <c r="Q79" s="1022">
        <f>IF('[1]BASE'!GE79=0,"",'[1]BASE'!GE79)</f>
      </c>
      <c r="R79" s="1022">
        <f>IF('[1]BASE'!GF79=0,"",'[1]BASE'!GF79)</f>
      </c>
      <c r="S79" s="1022">
        <f>IF('[1]BASE'!GG79=0,"",'[1]BASE'!GG79)</f>
      </c>
      <c r="T79" s="1023"/>
      <c r="U79" s="1019"/>
    </row>
    <row r="80" spans="2:21" s="1013" customFormat="1" ht="9.75" customHeight="1">
      <c r="B80" s="1014"/>
      <c r="C80" s="1024">
        <f>IF('[1]BASE'!C80=0,"",'[1]BASE'!C80)</f>
      </c>
      <c r="D80" s="1024">
        <f>IF('[1]BASE'!D80=0,"",'[1]BASE'!D80)</f>
      </c>
      <c r="E80" s="1024">
        <f>IF('[1]BASE'!E80=0,"",'[1]BASE'!E80)</f>
      </c>
      <c r="F80" s="1025">
        <f>IF('[1]BASE'!F80=0,"",'[1]BASE'!F80)</f>
      </c>
      <c r="G80" s="1025">
        <f>IF('[1]BASE'!G80=0,"",'[1]BASE'!G80)</f>
      </c>
      <c r="H80" s="1022">
        <f>IF('[1]BASE'!FV80=0,"",'[1]BASE'!FV80)</f>
      </c>
      <c r="I80" s="1022">
        <f>IF('[1]BASE'!FW80=0,"",'[1]BASE'!FW80)</f>
      </c>
      <c r="J80" s="1022">
        <f>IF('[1]BASE'!FX80=0,"",'[1]BASE'!FX80)</f>
      </c>
      <c r="K80" s="1022">
        <f>IF('[1]BASE'!FY80=0,"",'[1]BASE'!FY80)</f>
      </c>
      <c r="L80" s="1022">
        <f>IF('[1]BASE'!FZ80=0,"",'[1]BASE'!FZ80)</f>
      </c>
      <c r="M80" s="1022">
        <f>IF('[1]BASE'!GA80=0,"",'[1]BASE'!GA80)</f>
      </c>
      <c r="N80" s="1022">
        <f>IF('[1]BASE'!GB80=0,"",'[1]BASE'!GB80)</f>
      </c>
      <c r="O80" s="1022">
        <f>IF('[1]BASE'!GC80=0,"",'[1]BASE'!GC80)</f>
      </c>
      <c r="P80" s="1022">
        <f>IF('[1]BASE'!GD80=0,"",'[1]BASE'!GD80)</f>
      </c>
      <c r="Q80" s="1022">
        <f>IF('[1]BASE'!GE80=0,"",'[1]BASE'!GE80)</f>
      </c>
      <c r="R80" s="1022">
        <f>IF('[1]BASE'!GF80=0,"",'[1]BASE'!GF80)</f>
      </c>
      <c r="S80" s="1022">
        <f>IF('[1]BASE'!GG80=0,"",'[1]BASE'!GG80)</f>
      </c>
      <c r="T80" s="1023"/>
      <c r="U80" s="1019"/>
    </row>
    <row r="81" spans="2:21" s="1013" customFormat="1" ht="9.75" customHeight="1">
      <c r="B81" s="1014"/>
      <c r="C81" s="1026">
        <f>IF('[1]BASE'!C81=0,"",'[1]BASE'!C81)</f>
      </c>
      <c r="D81" s="1026">
        <f>IF('[1]BASE'!D81=0,"",'[1]BASE'!D81)</f>
      </c>
      <c r="E81" s="1026">
        <f>IF('[1]BASE'!E81=0,"",'[1]BASE'!E81)</f>
      </c>
      <c r="F81" s="1027">
        <f>IF('[1]BASE'!F81=0,"",'[1]BASE'!F81)</f>
      </c>
      <c r="G81" s="1027">
        <f>IF('[1]BASE'!G81=0,"",'[1]BASE'!G81)</f>
      </c>
      <c r="H81" s="1022">
        <f>IF('[1]BASE'!FV81=0,"",'[1]BASE'!FV81)</f>
      </c>
      <c r="I81" s="1022">
        <f>IF('[1]BASE'!FW81=0,"",'[1]BASE'!FW81)</f>
      </c>
      <c r="J81" s="1022">
        <f>IF('[1]BASE'!FX81=0,"",'[1]BASE'!FX81)</f>
      </c>
      <c r="K81" s="1022">
        <f>IF('[1]BASE'!FY81=0,"",'[1]BASE'!FY81)</f>
      </c>
      <c r="L81" s="1022">
        <f>IF('[1]BASE'!FZ81=0,"",'[1]BASE'!FZ81)</f>
      </c>
      <c r="M81" s="1022">
        <f>IF('[1]BASE'!GA81=0,"",'[1]BASE'!GA81)</f>
      </c>
      <c r="N81" s="1022">
        <f>IF('[1]BASE'!GB81=0,"",'[1]BASE'!GB81)</f>
      </c>
      <c r="O81" s="1022">
        <f>IF('[1]BASE'!GC81=0,"",'[1]BASE'!GC81)</f>
      </c>
      <c r="P81" s="1022">
        <f>IF('[1]BASE'!GD81=0,"",'[1]BASE'!GD81)</f>
      </c>
      <c r="Q81" s="1022">
        <f>IF('[1]BASE'!GE81=0,"",'[1]BASE'!GE81)</f>
      </c>
      <c r="R81" s="1022">
        <f>IF('[1]BASE'!GF81=0,"",'[1]BASE'!GF81)</f>
      </c>
      <c r="S81" s="1022">
        <f>IF('[1]BASE'!GG81=0,"",'[1]BASE'!GG81)</f>
      </c>
      <c r="T81" s="1023"/>
      <c r="U81" s="1019"/>
    </row>
    <row r="82" spans="2:21" s="1013" customFormat="1" ht="19.5" customHeight="1">
      <c r="B82" s="1014"/>
      <c r="C82" s="1024">
        <f>IF('[1]BASE'!C82=0,"",'[1]BASE'!C82)</f>
        <v>62</v>
      </c>
      <c r="D82" s="1024" t="str">
        <f>IF('[1]BASE'!D82=0,"",'[1]BASE'!D82)</f>
        <v>YACYRETÁ - RINCON I</v>
      </c>
      <c r="E82" s="1024">
        <f>IF('[1]BASE'!E82=0,"",'[1]BASE'!E82)</f>
        <v>500</v>
      </c>
      <c r="F82" s="1025">
        <f>IF('[1]BASE'!F82=0,"",'[1]BASE'!F82)</f>
        <v>3.6</v>
      </c>
      <c r="G82" s="1025" t="str">
        <f>IF('[1]BASE'!G82=0,"",'[1]BASE'!G82)</f>
        <v>B</v>
      </c>
      <c r="H82" s="1022">
        <f>IF('[1]BASE'!FV82=0,"",'[1]BASE'!FV82)</f>
      </c>
      <c r="I82" s="1022">
        <f>IF('[1]BASE'!FW82=0,"",'[1]BASE'!FW82)</f>
      </c>
      <c r="J82" s="1022">
        <f>IF('[1]BASE'!FX82=0,"",'[1]BASE'!FX82)</f>
      </c>
      <c r="K82" s="1022">
        <f>IF('[1]BASE'!FY82=0,"",'[1]BASE'!FY82)</f>
      </c>
      <c r="L82" s="1022">
        <f>IF('[1]BASE'!FZ82=0,"",'[1]BASE'!FZ82)</f>
      </c>
      <c r="M82" s="1022">
        <f>IF('[1]BASE'!GA82=0,"",'[1]BASE'!GA82)</f>
      </c>
      <c r="N82" s="1022">
        <f>IF('[1]BASE'!GB82=0,"",'[1]BASE'!GB82)</f>
      </c>
      <c r="O82" s="1022">
        <f>IF('[1]BASE'!GC82=0,"",'[1]BASE'!GC82)</f>
      </c>
      <c r="P82" s="1022">
        <f>IF('[1]BASE'!GD82=0,"",'[1]BASE'!GD82)</f>
      </c>
      <c r="Q82" s="1022">
        <f>IF('[1]BASE'!GE82=0,"",'[1]BASE'!GE82)</f>
      </c>
      <c r="R82" s="1022">
        <f>IF('[1]BASE'!GF82=0,"",'[1]BASE'!GF82)</f>
      </c>
      <c r="S82" s="1022">
        <f>IF('[1]BASE'!GG82=0,"",'[1]BASE'!GG82)</f>
      </c>
      <c r="T82" s="1023"/>
      <c r="U82" s="1019"/>
    </row>
    <row r="83" spans="2:21" s="1013" customFormat="1" ht="19.5" customHeight="1">
      <c r="B83" s="1014"/>
      <c r="C83" s="1026">
        <f>IF('[1]BASE'!C83=0,"",'[1]BASE'!C83)</f>
        <v>63</v>
      </c>
      <c r="D83" s="1026" t="str">
        <f>IF('[1]BASE'!D83=0,"",'[1]BASE'!D83)</f>
        <v>YACYRETÁ - RINCON II</v>
      </c>
      <c r="E83" s="1026">
        <f>IF('[1]BASE'!E83=0,"",'[1]BASE'!E83)</f>
        <v>500</v>
      </c>
      <c r="F83" s="1026">
        <f>IF('[1]BASE'!F83=0,"",'[1]BASE'!F83)</f>
        <v>3.6</v>
      </c>
      <c r="G83" s="1027" t="str">
        <f>IF('[1]BASE'!G83=0,"",'[1]BASE'!G83)</f>
        <v>B</v>
      </c>
      <c r="H83" s="1022">
        <f>IF('[1]BASE'!FV83=0,"",'[1]BASE'!FV83)</f>
      </c>
      <c r="I83" s="1022">
        <f>IF('[1]BASE'!FW83=0,"",'[1]BASE'!FW83)</f>
      </c>
      <c r="J83" s="1022">
        <f>IF('[1]BASE'!FX83=0,"",'[1]BASE'!FX83)</f>
      </c>
      <c r="K83" s="1022">
        <f>IF('[1]BASE'!FY83=0,"",'[1]BASE'!FY83)</f>
      </c>
      <c r="L83" s="1022">
        <f>IF('[1]BASE'!FZ83=0,"",'[1]BASE'!FZ83)</f>
      </c>
      <c r="M83" s="1022">
        <f>IF('[1]BASE'!GA83=0,"",'[1]BASE'!GA83)</f>
      </c>
      <c r="N83" s="1022">
        <f>IF('[1]BASE'!GB83=0,"",'[1]BASE'!GB83)</f>
      </c>
      <c r="O83" s="1022">
        <f>IF('[1]BASE'!GC83=0,"",'[1]BASE'!GC83)</f>
      </c>
      <c r="P83" s="1022">
        <f>IF('[1]BASE'!GD83=0,"",'[1]BASE'!GD83)</f>
      </c>
      <c r="Q83" s="1022">
        <f>IF('[1]BASE'!GE83=0,"",'[1]BASE'!GE83)</f>
      </c>
      <c r="R83" s="1022">
        <f>IF('[1]BASE'!GF83=0,"",'[1]BASE'!GF83)</f>
      </c>
      <c r="S83" s="1022">
        <f>IF('[1]BASE'!GG83=0,"",'[1]BASE'!GG83)</f>
      </c>
      <c r="T83" s="1023"/>
      <c r="U83" s="1019"/>
    </row>
    <row r="84" spans="2:21" s="1013" customFormat="1" ht="19.5" customHeight="1">
      <c r="B84" s="1014"/>
      <c r="C84" s="1024">
        <f>IF('[1]BASE'!C84=0,"",'[1]BASE'!C84)</f>
        <v>64</v>
      </c>
      <c r="D84" s="1024" t="str">
        <f>IF('[1]BASE'!D84=0,"",'[1]BASE'!D84)</f>
        <v>YACYRETÁ - RINCON III</v>
      </c>
      <c r="E84" s="1024">
        <f>IF('[1]BASE'!E84=0,"",'[1]BASE'!E84)</f>
        <v>500</v>
      </c>
      <c r="F84" s="1025">
        <f>IF('[1]BASE'!F84=0,"",'[1]BASE'!F84)</f>
        <v>3.6</v>
      </c>
      <c r="G84" s="1025" t="str">
        <f>IF('[1]BASE'!G84=0,"",'[1]BASE'!G84)</f>
        <v>B</v>
      </c>
      <c r="H84" s="1022">
        <f>IF('[1]BASE'!FV84=0,"",'[1]BASE'!FV84)</f>
      </c>
      <c r="I84" s="1022">
        <f>IF('[1]BASE'!FW84=0,"",'[1]BASE'!FW84)</f>
      </c>
      <c r="J84" s="1022">
        <f>IF('[1]BASE'!FX84=0,"",'[1]BASE'!FX84)</f>
      </c>
      <c r="K84" s="1022">
        <f>IF('[1]BASE'!FY84=0,"",'[1]BASE'!FY84)</f>
      </c>
      <c r="L84" s="1022">
        <f>IF('[1]BASE'!FZ84=0,"",'[1]BASE'!FZ84)</f>
      </c>
      <c r="M84" s="1022">
        <f>IF('[1]BASE'!GA84=0,"",'[1]BASE'!GA84)</f>
      </c>
      <c r="N84" s="1022">
        <f>IF('[1]BASE'!GB84=0,"",'[1]BASE'!GB84)</f>
      </c>
      <c r="O84" s="1022">
        <f>IF('[1]BASE'!GC84=0,"",'[1]BASE'!GC84)</f>
      </c>
      <c r="P84" s="1022">
        <f>IF('[1]BASE'!GD84=0,"",'[1]BASE'!GD84)</f>
      </c>
      <c r="Q84" s="1022">
        <f>IF('[1]BASE'!GE84=0,"",'[1]BASE'!GE84)</f>
      </c>
      <c r="R84" s="1022">
        <f>IF('[1]BASE'!GF84=0,"",'[1]BASE'!GF84)</f>
      </c>
      <c r="S84" s="1022">
        <f>IF('[1]BASE'!GG84=0,"",'[1]BASE'!GG84)</f>
      </c>
      <c r="T84" s="1023"/>
      <c r="U84" s="1019"/>
    </row>
    <row r="85" spans="2:21" s="1013" customFormat="1" ht="19.5" customHeight="1">
      <c r="B85" s="1014"/>
      <c r="C85" s="1026">
        <f>IF('[1]BASE'!C85=0,"",'[1]BASE'!C85)</f>
        <v>65</v>
      </c>
      <c r="D85" s="1026" t="str">
        <f>IF('[1]BASE'!D85=0,"",'[1]BASE'!D85)</f>
        <v>RINCON - PASO DE LA PATRIA</v>
      </c>
      <c r="E85" s="1026">
        <f>IF('[1]BASE'!E85=0,"",'[1]BASE'!E85)</f>
        <v>500</v>
      </c>
      <c r="F85" s="1027">
        <f>IF('[1]BASE'!F85=0,"",'[1]BASE'!F85)</f>
        <v>227</v>
      </c>
      <c r="G85" s="1027" t="str">
        <f>IF('[1]BASE'!G85=0,"",'[1]BASE'!G85)</f>
        <v>A</v>
      </c>
      <c r="H85" s="1022">
        <f>IF('[1]BASE'!FV85=0,"",'[1]BASE'!FV85)</f>
      </c>
      <c r="I85" s="1022">
        <f>IF('[1]BASE'!FW85=0,"",'[1]BASE'!FW85)</f>
      </c>
      <c r="J85" s="1022">
        <f>IF('[1]BASE'!FX85=0,"",'[1]BASE'!FX85)</f>
      </c>
      <c r="K85" s="1022">
        <f>IF('[1]BASE'!FY85=0,"",'[1]BASE'!FY85)</f>
      </c>
      <c r="L85" s="1022">
        <f>IF('[1]BASE'!FZ85=0,"",'[1]BASE'!FZ85)</f>
      </c>
      <c r="M85" s="1022">
        <f>IF('[1]BASE'!GA85=0,"",'[1]BASE'!GA85)</f>
      </c>
      <c r="N85" s="1022">
        <f>IF('[1]BASE'!GB85=0,"",'[1]BASE'!GB85)</f>
      </c>
      <c r="O85" s="1022">
        <f>IF('[1]BASE'!GC85=0,"",'[1]BASE'!GC85)</f>
      </c>
      <c r="P85" s="1022">
        <f>IF('[1]BASE'!GD85=0,"",'[1]BASE'!GD85)</f>
      </c>
      <c r="Q85" s="1022">
        <f>IF('[1]BASE'!GE85=0,"",'[1]BASE'!GE85)</f>
      </c>
      <c r="R85" s="1022">
        <f>IF('[1]BASE'!GF85=0,"",'[1]BASE'!GF85)</f>
      </c>
      <c r="S85" s="1022">
        <f>IF('[1]BASE'!GG85=0,"",'[1]BASE'!GG85)</f>
      </c>
      <c r="T85" s="1023"/>
      <c r="U85" s="1019"/>
    </row>
    <row r="86" spans="2:21" s="1013" customFormat="1" ht="19.5" customHeight="1">
      <c r="B86" s="1014"/>
      <c r="C86" s="1024">
        <f>IF('[1]BASE'!C86=0,"",'[1]BASE'!C86)</f>
        <v>66</v>
      </c>
      <c r="D86" s="1024" t="str">
        <f>IF('[1]BASE'!D86=0,"",'[1]BASE'!D86)</f>
        <v>PASO DE LA PATRIA - RESISTENCIA</v>
      </c>
      <c r="E86" s="1024">
        <f>IF('[1]BASE'!E86=0,"",'[1]BASE'!E86)</f>
        <v>500</v>
      </c>
      <c r="F86" s="1025">
        <f>IF('[1]BASE'!F86=0,"",'[1]BASE'!F86)</f>
        <v>40</v>
      </c>
      <c r="G86" s="1025" t="str">
        <f>IF('[1]BASE'!G86=0,"",'[1]BASE'!G86)</f>
        <v>C</v>
      </c>
      <c r="H86" s="1022">
        <f>IF('[1]BASE'!FV86=0,"",'[1]BASE'!FV86)</f>
      </c>
      <c r="I86" s="1022">
        <f>IF('[1]BASE'!FW86=0,"",'[1]BASE'!FW86)</f>
      </c>
      <c r="J86" s="1022">
        <f>IF('[1]BASE'!FX86=0,"",'[1]BASE'!FX86)</f>
      </c>
      <c r="K86" s="1022">
        <f>IF('[1]BASE'!FY86=0,"",'[1]BASE'!FY86)</f>
      </c>
      <c r="L86" s="1022">
        <f>IF('[1]BASE'!FZ86=0,"",'[1]BASE'!FZ86)</f>
      </c>
      <c r="M86" s="1022">
        <f>IF('[1]BASE'!GA86=0,"",'[1]BASE'!GA86)</f>
      </c>
      <c r="N86" s="1022">
        <f>IF('[1]BASE'!GB86=0,"",'[1]BASE'!GB86)</f>
      </c>
      <c r="O86" s="1022">
        <f>IF('[1]BASE'!GC86=0,"",'[1]BASE'!GC86)</f>
      </c>
      <c r="P86" s="1022">
        <f>IF('[1]BASE'!GD86=0,"",'[1]BASE'!GD86)</f>
      </c>
      <c r="Q86" s="1022">
        <f>IF('[1]BASE'!GE86=0,"",'[1]BASE'!GE86)</f>
      </c>
      <c r="R86" s="1022">
        <f>IF('[1]BASE'!GF86=0,"",'[1]BASE'!GF86)</f>
      </c>
      <c r="S86" s="1022">
        <f>IF('[1]BASE'!GG86=0,"",'[1]BASE'!GG86)</f>
      </c>
      <c r="T86" s="1023"/>
      <c r="U86" s="1019"/>
    </row>
    <row r="87" spans="2:21" s="1013" customFormat="1" ht="19.5" customHeight="1">
      <c r="B87" s="1014"/>
      <c r="C87" s="1026">
        <f>IF('[1]BASE'!C87=0,"",'[1]BASE'!C87)</f>
        <v>67</v>
      </c>
      <c r="D87" s="1026" t="str">
        <f>IF('[1]BASE'!D87=0,"",'[1]BASE'!D87)</f>
        <v>RINCON - RESISTENCIA</v>
      </c>
      <c r="E87" s="1026">
        <f>IF('[1]BASE'!E87=0,"",'[1]BASE'!E87)</f>
        <v>500</v>
      </c>
      <c r="F87" s="1026">
        <f>IF('[1]BASE'!F87=0,"",'[1]BASE'!F87)</f>
        <v>267</v>
      </c>
      <c r="G87" s="1027" t="str">
        <f>IF('[1]BASE'!G87=0,"",'[1]BASE'!G87)</f>
        <v>B</v>
      </c>
      <c r="H87" s="1022" t="str">
        <f>IF('[1]BASE'!FV87=0,"",'[1]BASE'!FV87)</f>
        <v>XXXX</v>
      </c>
      <c r="I87" s="1022" t="str">
        <f>IF('[1]BASE'!FW87=0,"",'[1]BASE'!FW87)</f>
        <v>XXXX</v>
      </c>
      <c r="J87" s="1022" t="str">
        <f>IF('[1]BASE'!FX87=0,"",'[1]BASE'!FX87)</f>
        <v>XXXX</v>
      </c>
      <c r="K87" s="1022" t="str">
        <f>IF('[1]BASE'!FY87=0,"",'[1]BASE'!FY87)</f>
        <v>XXXX</v>
      </c>
      <c r="L87" s="1022" t="str">
        <f>IF('[1]BASE'!FZ87=0,"",'[1]BASE'!FZ87)</f>
        <v>XXXX</v>
      </c>
      <c r="M87" s="1022" t="str">
        <f>IF('[1]BASE'!GA87=0,"",'[1]BASE'!GA87)</f>
        <v>XXXX</v>
      </c>
      <c r="N87" s="1022" t="str">
        <f>IF('[1]BASE'!GB87=0,"",'[1]BASE'!GB87)</f>
        <v>XXXX</v>
      </c>
      <c r="O87" s="1022" t="str">
        <f>IF('[1]BASE'!GC87=0,"",'[1]BASE'!GC87)</f>
        <v>XXXX</v>
      </c>
      <c r="P87" s="1022" t="str">
        <f>IF('[1]BASE'!GD87=0,"",'[1]BASE'!GD87)</f>
        <v>XXXX</v>
      </c>
      <c r="Q87" s="1022" t="str">
        <f>IF('[1]BASE'!GE87=0,"",'[1]BASE'!GE87)</f>
        <v>XXXX</v>
      </c>
      <c r="R87" s="1022" t="str">
        <f>IF('[1]BASE'!GF87=0,"",'[1]BASE'!GF87)</f>
        <v>XXXX</v>
      </c>
      <c r="S87" s="1022" t="str">
        <f>IF('[1]BASE'!GG87=0,"",'[1]BASE'!GG87)</f>
        <v>XXXX</v>
      </c>
      <c r="T87" s="1023"/>
      <c r="U87" s="1019"/>
    </row>
    <row r="88" spans="2:21" s="1013" customFormat="1" ht="9.75" customHeight="1">
      <c r="B88" s="1014"/>
      <c r="C88" s="1024">
        <f>IF('[1]BASE'!C88=0,"",'[1]BASE'!C88)</f>
      </c>
      <c r="D88" s="1024">
        <f>IF('[1]BASE'!D88=0,"",'[1]BASE'!D88)</f>
      </c>
      <c r="E88" s="1024">
        <f>IF('[1]BASE'!E88=0,"",'[1]BASE'!E88)</f>
      </c>
      <c r="F88" s="1025">
        <f>IF('[1]BASE'!F88=0,"",'[1]BASE'!F88)</f>
      </c>
      <c r="G88" s="1025">
        <f>IF('[1]BASE'!G88=0,"",'[1]BASE'!G88)</f>
      </c>
      <c r="H88" s="1022">
        <f>IF('[1]BASE'!FV88=0,"",'[1]BASE'!FV88)</f>
      </c>
      <c r="I88" s="1022">
        <f>IF('[1]BASE'!FW88=0,"",'[1]BASE'!FW88)</f>
      </c>
      <c r="J88" s="1022">
        <f>IF('[1]BASE'!FX88=0,"",'[1]BASE'!FX88)</f>
      </c>
      <c r="K88" s="1022">
        <f>IF('[1]BASE'!FY88=0,"",'[1]BASE'!FY88)</f>
      </c>
      <c r="L88" s="1022">
        <f>IF('[1]BASE'!FZ88=0,"",'[1]BASE'!FZ88)</f>
      </c>
      <c r="M88" s="1022">
        <f>IF('[1]BASE'!GA88=0,"",'[1]BASE'!GA88)</f>
      </c>
      <c r="N88" s="1022">
        <f>IF('[1]BASE'!GB88=0,"",'[1]BASE'!GB88)</f>
      </c>
      <c r="O88" s="1022">
        <f>IF('[1]BASE'!GC88=0,"",'[1]BASE'!GC88)</f>
      </c>
      <c r="P88" s="1022">
        <f>IF('[1]BASE'!GD88=0,"",'[1]BASE'!GD88)</f>
      </c>
      <c r="Q88" s="1022">
        <f>IF('[1]BASE'!GE88=0,"",'[1]BASE'!GE88)</f>
      </c>
      <c r="R88" s="1022">
        <f>IF('[1]BASE'!GF88=0,"",'[1]BASE'!GF88)</f>
      </c>
      <c r="S88" s="1022">
        <f>IF('[1]BASE'!GG88=0,"",'[1]BASE'!GG88)</f>
      </c>
      <c r="T88" s="1023"/>
      <c r="U88" s="1019"/>
    </row>
    <row r="89" spans="2:21" s="1013" customFormat="1" ht="19.5" customHeight="1">
      <c r="B89" s="1014"/>
      <c r="C89" s="1026">
        <f>IF('[1]BASE'!C89=0,"",'[1]BASE'!C89)</f>
        <v>68</v>
      </c>
      <c r="D89" s="1026" t="str">
        <f>IF('[1]BASE'!D89=0,"",'[1]BASE'!D89)</f>
        <v>RINCON - SALTO GRANDE</v>
      </c>
      <c r="E89" s="1026">
        <f>IF('[1]BASE'!E89=0,"",'[1]BASE'!E89)</f>
        <v>500</v>
      </c>
      <c r="F89" s="1027">
        <f>IF('[1]BASE'!F89=0,"",'[1]BASE'!F89)</f>
        <v>506</v>
      </c>
      <c r="G89" s="1027" t="str">
        <f>IF('[1]BASE'!G89=0,"",'[1]BASE'!G89)</f>
        <v>A</v>
      </c>
      <c r="H89" s="1022">
        <f>IF('[1]BASE'!FV89=0,"",'[1]BASE'!FV89)</f>
      </c>
      <c r="I89" s="1022">
        <f>IF('[1]BASE'!FW89=0,"",'[1]BASE'!FW89)</f>
      </c>
      <c r="J89" s="1022">
        <f>IF('[1]BASE'!FX89=0,"",'[1]BASE'!FX89)</f>
      </c>
      <c r="K89" s="1022">
        <f>IF('[1]BASE'!FY89=0,"",'[1]BASE'!FY89)</f>
      </c>
      <c r="L89" s="1022">
        <f>IF('[1]BASE'!FZ89=0,"",'[1]BASE'!FZ89)</f>
      </c>
      <c r="M89" s="1022">
        <f>IF('[1]BASE'!GA89=0,"",'[1]BASE'!GA89)</f>
      </c>
      <c r="N89" s="1022">
        <f>IF('[1]BASE'!GB89=0,"",'[1]BASE'!GB89)</f>
      </c>
      <c r="O89" s="1022">
        <f>IF('[1]BASE'!GC89=0,"",'[1]BASE'!GC89)</f>
      </c>
      <c r="P89" s="1022">
        <f>IF('[1]BASE'!GD89=0,"",'[1]BASE'!GD89)</f>
      </c>
      <c r="Q89" s="1022">
        <f>IF('[1]BASE'!GE89=0,"",'[1]BASE'!GE89)</f>
      </c>
      <c r="R89" s="1022">
        <f>IF('[1]BASE'!GF89=0,"",'[1]BASE'!GF89)</f>
      </c>
      <c r="S89" s="1022">
        <f>IF('[1]BASE'!GG89=0,"",'[1]BASE'!GG89)</f>
      </c>
      <c r="T89" s="1023"/>
      <c r="U89" s="1019"/>
    </row>
    <row r="90" spans="2:21" s="1013" customFormat="1" ht="19.5" customHeight="1">
      <c r="B90" s="1014"/>
      <c r="C90" s="1024">
        <f>IF('[1]BASE'!C90=0,"",'[1]BASE'!C90)</f>
        <v>69</v>
      </c>
      <c r="D90" s="1024" t="str">
        <f>IF('[1]BASE'!D90=0,"",'[1]BASE'!D90)</f>
        <v>RINCON - SAN ISIDRO</v>
      </c>
      <c r="E90" s="1024">
        <f>IF('[1]BASE'!E90=0,"",'[1]BASE'!E90)</f>
        <v>500</v>
      </c>
      <c r="F90" s="1025">
        <f>IF('[1]BASE'!F90=0,"",'[1]BASE'!F90)</f>
        <v>85</v>
      </c>
      <c r="G90" s="1025" t="str">
        <f>IF('[1]BASE'!G90=0,"",'[1]BASE'!G90)</f>
        <v>C</v>
      </c>
      <c r="H90" s="1022">
        <f>IF('[1]BASE'!FV90=0,"",'[1]BASE'!FV90)</f>
      </c>
      <c r="I90" s="1022">
        <f>IF('[1]BASE'!FW90=0,"",'[1]BASE'!FW90)</f>
      </c>
      <c r="J90" s="1022">
        <f>IF('[1]BASE'!FX90=0,"",'[1]BASE'!FX90)</f>
      </c>
      <c r="K90" s="1022">
        <f>IF('[1]BASE'!FY90=0,"",'[1]BASE'!FY90)</f>
      </c>
      <c r="L90" s="1022">
        <f>IF('[1]BASE'!FZ90=0,"",'[1]BASE'!FZ90)</f>
      </c>
      <c r="M90" s="1022">
        <f>IF('[1]BASE'!GA90=0,"",'[1]BASE'!GA90)</f>
      </c>
      <c r="N90" s="1022">
        <f>IF('[1]BASE'!GB90=0,"",'[1]BASE'!GB90)</f>
      </c>
      <c r="O90" s="1022">
        <f>IF('[1]BASE'!GC90=0,"",'[1]BASE'!GC90)</f>
      </c>
      <c r="P90" s="1022">
        <f>IF('[1]BASE'!GD90=0,"",'[1]BASE'!GD90)</f>
      </c>
      <c r="Q90" s="1022">
        <f>IF('[1]BASE'!GE90=0,"",'[1]BASE'!GE90)</f>
      </c>
      <c r="R90" s="1022">
        <f>IF('[1]BASE'!GF90=0,"",'[1]BASE'!GF90)</f>
      </c>
      <c r="S90" s="1022">
        <f>IF('[1]BASE'!GG90=0,"",'[1]BASE'!GG90)</f>
      </c>
      <c r="T90" s="1023"/>
      <c r="U90" s="1019"/>
    </row>
    <row r="91" spans="2:21" s="1013" customFormat="1" ht="9.75" customHeight="1">
      <c r="B91" s="1014"/>
      <c r="C91" s="1026">
        <f>IF('[1]BASE'!C91=0,"",'[1]BASE'!C91)</f>
      </c>
      <c r="D91" s="1026">
        <f>IF('[1]BASE'!D91=0,"",'[1]BASE'!D91)</f>
      </c>
      <c r="E91" s="1026">
        <f>IF('[1]BASE'!E91=0,"",'[1]BASE'!E91)</f>
      </c>
      <c r="F91" s="1026">
        <f>IF('[1]BASE'!F91=0,"",'[1]BASE'!F91)</f>
      </c>
      <c r="G91" s="1027">
        <f>IF('[1]BASE'!G91=0,"",'[1]BASE'!G91)</f>
      </c>
      <c r="H91" s="1022">
        <f>IF('[1]BASE'!FV91=0,"",'[1]BASE'!FV91)</f>
      </c>
      <c r="I91" s="1022">
        <f>IF('[1]BASE'!FW91=0,"",'[1]BASE'!FW91)</f>
      </c>
      <c r="J91" s="1022">
        <f>IF('[1]BASE'!FX91=0,"",'[1]BASE'!FX91)</f>
      </c>
      <c r="K91" s="1022">
        <f>IF('[1]BASE'!FY91=0,"",'[1]BASE'!FY91)</f>
      </c>
      <c r="L91" s="1022">
        <f>IF('[1]BASE'!FZ91=0,"",'[1]BASE'!FZ91)</f>
      </c>
      <c r="M91" s="1022">
        <f>IF('[1]BASE'!GA91=0,"",'[1]BASE'!GA91)</f>
      </c>
      <c r="N91" s="1022">
        <f>IF('[1]BASE'!GB91=0,"",'[1]BASE'!GB91)</f>
      </c>
      <c r="O91" s="1022">
        <f>IF('[1]BASE'!GC91=0,"",'[1]BASE'!GC91)</f>
      </c>
      <c r="P91" s="1022">
        <f>IF('[1]BASE'!GD91=0,"",'[1]BASE'!GD91)</f>
      </c>
      <c r="Q91" s="1022">
        <f>IF('[1]BASE'!GE91=0,"",'[1]BASE'!GE91)</f>
      </c>
      <c r="R91" s="1022">
        <f>IF('[1]BASE'!GF91=0,"",'[1]BASE'!GF91)</f>
      </c>
      <c r="S91" s="1022">
        <f>IF('[1]BASE'!GG91=0,"",'[1]BASE'!GG91)</f>
      </c>
      <c r="T91" s="1023"/>
      <c r="U91" s="1019"/>
    </row>
    <row r="92" spans="2:21" s="1013" customFormat="1" ht="9.75" customHeight="1" thickBot="1">
      <c r="B92" s="1014"/>
      <c r="C92" s="1028"/>
      <c r="D92" s="1028"/>
      <c r="E92" s="1028"/>
      <c r="F92" s="1028"/>
      <c r="G92" s="1029"/>
      <c r="H92" s="1030"/>
      <c r="I92" s="1030"/>
      <c r="J92" s="1030"/>
      <c r="K92" s="1030"/>
      <c r="L92" s="1030"/>
      <c r="M92" s="1030"/>
      <c r="N92" s="1030"/>
      <c r="O92" s="1030"/>
      <c r="P92" s="1030"/>
      <c r="Q92" s="1030"/>
      <c r="R92" s="1030"/>
      <c r="S92" s="1030"/>
      <c r="T92" s="1023"/>
      <c r="U92" s="1019"/>
    </row>
    <row r="93" spans="2:21" s="1013" customFormat="1" ht="19.5" customHeight="1" thickBot="1" thickTop="1">
      <c r="B93" s="1014"/>
      <c r="C93" s="1031"/>
      <c r="D93" s="1032"/>
      <c r="E93" s="1033" t="s">
        <v>348</v>
      </c>
      <c r="F93" s="1034">
        <f>SUM(F16:F92)-F46-F57-F78-F79-F87</f>
        <v>9666.7</v>
      </c>
      <c r="G93" s="1035"/>
      <c r="H93" s="1036"/>
      <c r="I93" s="1036"/>
      <c r="J93" s="1036"/>
      <c r="K93" s="1036"/>
      <c r="L93" s="1036"/>
      <c r="M93" s="1036"/>
      <c r="N93" s="1036"/>
      <c r="O93" s="1036"/>
      <c r="P93" s="1036"/>
      <c r="Q93" s="1036"/>
      <c r="R93" s="1036"/>
      <c r="S93" s="1036"/>
      <c r="T93" s="1023"/>
      <c r="U93" s="1019"/>
    </row>
    <row r="94" spans="2:21" s="1013" customFormat="1" ht="19.5" customHeight="1" thickBot="1" thickTop="1">
      <c r="B94" s="1014"/>
      <c r="C94" s="1037"/>
      <c r="D94" s="1038"/>
      <c r="E94" s="1039"/>
      <c r="F94" s="1040" t="s">
        <v>349</v>
      </c>
      <c r="H94" s="1041">
        <f aca="true" t="shared" si="0" ref="H94:S94">SUM(H17:H92)</f>
        <v>2</v>
      </c>
      <c r="I94" s="1041">
        <f t="shared" si="0"/>
        <v>1</v>
      </c>
      <c r="J94" s="1041">
        <f t="shared" si="0"/>
        <v>8</v>
      </c>
      <c r="K94" s="1041">
        <f t="shared" si="0"/>
        <v>2</v>
      </c>
      <c r="L94" s="1041">
        <f t="shared" si="0"/>
        <v>0</v>
      </c>
      <c r="M94" s="1041">
        <f t="shared" si="0"/>
        <v>5</v>
      </c>
      <c r="N94" s="1041">
        <f t="shared" si="0"/>
        <v>6</v>
      </c>
      <c r="O94" s="1041">
        <f t="shared" si="0"/>
        <v>6</v>
      </c>
      <c r="P94" s="1041">
        <f t="shared" si="0"/>
        <v>6</v>
      </c>
      <c r="Q94" s="1041">
        <f t="shared" si="0"/>
        <v>9</v>
      </c>
      <c r="R94" s="1041">
        <f t="shared" si="0"/>
        <v>2</v>
      </c>
      <c r="S94" s="1041">
        <f t="shared" si="0"/>
        <v>1</v>
      </c>
      <c r="T94" s="1023"/>
      <c r="U94" s="1019"/>
    </row>
    <row r="95" spans="2:21" s="1013" customFormat="1" ht="19.5" customHeight="1" thickBot="1" thickTop="1">
      <c r="B95" s="1014"/>
      <c r="E95" s="1039"/>
      <c r="F95" s="1040" t="s">
        <v>350</v>
      </c>
      <c r="H95" s="1042">
        <f>'[1]BASE'!FV100</f>
        <v>0.34</v>
      </c>
      <c r="I95" s="1042">
        <f>'[1]BASE'!FW100</f>
        <v>0.36</v>
      </c>
      <c r="J95" s="1042">
        <f>'[1]BASE'!FX100</f>
        <v>0.33</v>
      </c>
      <c r="K95" s="1042">
        <f>'[1]BASE'!FY100</f>
        <v>0.38</v>
      </c>
      <c r="L95" s="1042">
        <f>'[1]BASE'!FZ100</f>
        <v>0.36</v>
      </c>
      <c r="M95" s="1042">
        <f>'[1]BASE'!GA100</f>
        <v>0.35</v>
      </c>
      <c r="N95" s="1042">
        <f>'[1]BASE'!GB100</f>
        <v>0.35</v>
      </c>
      <c r="O95" s="1042">
        <f>'[1]BASE'!GC100</f>
        <v>0.37</v>
      </c>
      <c r="P95" s="1042">
        <f>'[1]BASE'!GD100</f>
        <v>0.43</v>
      </c>
      <c r="Q95" s="1042">
        <f>'[1]BASE'!GE100</f>
        <v>0.46</v>
      </c>
      <c r="R95" s="1042">
        <f>'[1]BASE'!GF100</f>
        <v>0.51</v>
      </c>
      <c r="S95" s="1042">
        <f>'[1]BASE'!GG100</f>
        <v>0.5</v>
      </c>
      <c r="T95" s="1042">
        <f>'[1]BASE'!GH100</f>
        <v>0.5</v>
      </c>
      <c r="U95" s="1019"/>
    </row>
    <row r="96" spans="2:21" s="949" customFormat="1" ht="9.75" customHeight="1" thickBot="1" thickTop="1">
      <c r="B96" s="1043"/>
      <c r="C96"/>
      <c r="D96" s="1044"/>
      <c r="E96" s="1045"/>
      <c r="F96" s="1046"/>
      <c r="G96"/>
      <c r="H96" s="1047"/>
      <c r="I96" s="1047"/>
      <c r="J96" s="1047"/>
      <c r="K96" s="1047"/>
      <c r="L96" s="1047"/>
      <c r="M96" s="1047"/>
      <c r="N96" s="1047"/>
      <c r="O96" s="1047"/>
      <c r="P96" s="1047"/>
      <c r="Q96" s="1047"/>
      <c r="R96" s="1047"/>
      <c r="S96" s="1047"/>
      <c r="T96" s="1047"/>
      <c r="U96" s="1048"/>
    </row>
    <row r="97" spans="2:21" ht="15.75" customHeight="1" thickBot="1">
      <c r="B97" s="50"/>
      <c r="C97" s="1049"/>
      <c r="D97" s="15" t="s">
        <v>351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209" t="s">
        <v>352</v>
      </c>
      <c r="I98" s="1050"/>
      <c r="J98" s="1051">
        <f>T95</f>
        <v>0.5</v>
      </c>
      <c r="K98" s="1052" t="s">
        <v>353</v>
      </c>
      <c r="L98" s="210"/>
      <c r="M98" s="1053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54"/>
      <c r="D99" s="59"/>
      <c r="E99" s="59"/>
      <c r="F99" s="1054"/>
      <c r="G99" s="1054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55"/>
      <c r="F100" s="1055"/>
      <c r="G100" s="1055"/>
    </row>
    <row r="101" spans="3:194" ht="12.75">
      <c r="C101" s="1055"/>
      <c r="D101" s="66"/>
      <c r="E101" s="66"/>
      <c r="F101" s="66"/>
      <c r="G101" s="66"/>
      <c r="H101" s="1056"/>
      <c r="I101" s="1056"/>
      <c r="J101" s="1056"/>
      <c r="K101" s="1056"/>
      <c r="L101" s="1056"/>
      <c r="M101" s="1056"/>
      <c r="N101" s="1056"/>
      <c r="O101" s="1056"/>
      <c r="P101" s="1056"/>
      <c r="Q101" s="1056"/>
      <c r="R101" s="1056"/>
      <c r="S101" s="1056"/>
      <c r="T101" s="1056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55"/>
      <c r="D102" s="66"/>
      <c r="E102" s="66"/>
      <c r="F102" s="66"/>
      <c r="G102" s="66"/>
      <c r="H102" s="1056"/>
      <c r="I102" s="1056"/>
      <c r="J102" s="1056"/>
      <c r="K102" s="1056"/>
      <c r="L102" s="1056"/>
      <c r="M102" s="1056"/>
      <c r="N102" s="1056"/>
      <c r="O102" s="1056"/>
      <c r="P102" s="1056"/>
      <c r="Q102" s="1056"/>
      <c r="R102" s="1056"/>
      <c r="S102" s="1056"/>
      <c r="T102" s="1056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55"/>
      <c r="D103" s="66"/>
      <c r="E103" s="66"/>
      <c r="F103" s="66"/>
      <c r="G103" s="66"/>
      <c r="H103" s="1057"/>
      <c r="I103" s="1057"/>
      <c r="J103" s="1057"/>
      <c r="K103" s="1057"/>
      <c r="L103" s="1057"/>
      <c r="M103" s="1057"/>
      <c r="N103" s="1057"/>
      <c r="O103" s="1057"/>
      <c r="P103" s="1057"/>
      <c r="Q103" s="1057"/>
      <c r="R103" s="1057"/>
      <c r="S103" s="1057"/>
      <c r="T103" s="1057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55"/>
      <c r="D104" s="66"/>
      <c r="E104" s="66"/>
      <c r="F104" s="66"/>
      <c r="G104" s="66"/>
      <c r="H104" s="1056"/>
      <c r="I104" s="1056"/>
      <c r="J104" s="1056"/>
      <c r="K104" s="1056"/>
      <c r="L104" s="1056"/>
      <c r="M104" s="1056"/>
      <c r="N104" s="1056"/>
      <c r="O104" s="1056"/>
      <c r="P104" s="1056"/>
      <c r="Q104" s="1056"/>
      <c r="R104" s="1056"/>
      <c r="S104" s="1056"/>
      <c r="T104" s="1056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55"/>
      <c r="D105" s="66"/>
      <c r="E105" s="66"/>
      <c r="F105" s="66"/>
      <c r="G105" s="66"/>
      <c r="H105" s="1056"/>
      <c r="I105" s="1056"/>
      <c r="J105" s="1056"/>
      <c r="K105" s="1056"/>
      <c r="L105" s="1056"/>
      <c r="M105" s="1056"/>
      <c r="N105" s="1056"/>
      <c r="O105" s="1056"/>
      <c r="P105" s="1056"/>
      <c r="Q105" s="1056"/>
      <c r="R105" s="1056"/>
      <c r="S105" s="1056"/>
      <c r="T105" s="1056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55"/>
      <c r="D106" s="66"/>
      <c r="E106" s="66"/>
      <c r="F106" s="66"/>
      <c r="G106" s="66"/>
      <c r="H106" s="1056"/>
      <c r="I106" s="1056"/>
      <c r="J106" s="1056"/>
      <c r="K106" s="1056"/>
      <c r="L106" s="1056"/>
      <c r="M106" s="1056"/>
      <c r="N106" s="1056"/>
      <c r="O106" s="1056"/>
      <c r="P106" s="1056"/>
      <c r="Q106" s="1056"/>
      <c r="R106" s="1056"/>
      <c r="S106" s="1056"/>
      <c r="T106" s="1056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55"/>
      <c r="D107" s="66"/>
      <c r="E107" s="66"/>
      <c r="F107" s="66"/>
      <c r="G107" s="66"/>
      <c r="H107" s="1056"/>
      <c r="I107" s="1056"/>
      <c r="J107" s="1056"/>
      <c r="K107" s="1056"/>
      <c r="L107" s="1056"/>
      <c r="M107" s="1056"/>
      <c r="N107" s="1056"/>
      <c r="O107" s="1056"/>
      <c r="P107" s="1056"/>
      <c r="Q107" s="1056"/>
      <c r="R107" s="1056"/>
      <c r="S107" s="1056"/>
      <c r="T107" s="1056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55"/>
      <c r="D108" s="66"/>
      <c r="E108" s="66"/>
      <c r="F108" s="66"/>
      <c r="G108" s="6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5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55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55"/>
      <c r="F111" s="1055"/>
      <c r="G111" s="1055"/>
    </row>
    <row r="112" spans="3:7" ht="12.75">
      <c r="C112" s="1055"/>
      <c r="F112" s="1055"/>
      <c r="G112" s="1055"/>
    </row>
    <row r="113" spans="3:7" ht="12.75">
      <c r="C113" s="1055"/>
      <c r="F113" s="1055"/>
      <c r="G113" s="1055"/>
    </row>
    <row r="114" spans="6:7" ht="12.75">
      <c r="F114" s="1055"/>
      <c r="G114" s="1055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9" r:id="rId2"/>
  <headerFooter alignWithMargins="0">
    <oddFooter>&amp;L&amp;"Times New Roman,Normal"&amp;8&amp;F-&amp;A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39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D6" sqref="D6"/>
    </sheetView>
  </sheetViews>
  <sheetFormatPr defaultColWidth="11.421875" defaultRowHeight="12.75"/>
  <cols>
    <col min="1" max="1" width="23.00390625" style="880" bestFit="1" customWidth="1"/>
    <col min="2" max="2" width="9.28125" style="880" customWidth="1"/>
    <col min="3" max="3" width="11.8515625" style="880" bestFit="1" customWidth="1"/>
    <col min="4" max="4" width="9.57421875" style="880" bestFit="1" customWidth="1"/>
    <col min="5" max="5" width="17.140625" style="880" bestFit="1" customWidth="1"/>
    <col min="6" max="6" width="71.8515625" style="880" bestFit="1" customWidth="1"/>
    <col min="7" max="9" width="5.8515625" style="880" customWidth="1"/>
    <col min="10" max="22" width="5.8515625" style="880" bestFit="1" customWidth="1"/>
    <col min="23" max="24" width="11.00390625" style="880" customWidth="1"/>
    <col min="25" max="16384" width="11.421875" style="880" customWidth="1"/>
  </cols>
  <sheetData>
    <row r="1" spans="1:4" ht="12.75">
      <c r="A1" s="885" t="s">
        <v>169</v>
      </c>
      <c r="B1" s="885" t="s">
        <v>169</v>
      </c>
      <c r="C1" s="885" t="s">
        <v>170</v>
      </c>
      <c r="D1" s="885" t="s">
        <v>171</v>
      </c>
    </row>
    <row r="2" spans="1:4" ht="12.75">
      <c r="A2" s="884" t="s">
        <v>46</v>
      </c>
      <c r="B2" s="900" t="s">
        <v>175</v>
      </c>
      <c r="C2" s="884">
        <v>31</v>
      </c>
      <c r="D2" s="884">
        <v>2006</v>
      </c>
    </row>
    <row r="3" spans="1:4" ht="12.75">
      <c r="A3" s="884" t="s">
        <v>47</v>
      </c>
      <c r="B3" s="900" t="s">
        <v>176</v>
      </c>
      <c r="C3" s="884">
        <f>IF(MOD(E14,4)=0,29,28)</f>
        <v>28</v>
      </c>
      <c r="D3" s="884">
        <f>+D2+1</f>
        <v>2007</v>
      </c>
    </row>
    <row r="4" spans="1:4" ht="12.75">
      <c r="A4" s="884" t="s">
        <v>48</v>
      </c>
      <c r="B4" s="900" t="s">
        <v>177</v>
      </c>
      <c r="C4" s="884">
        <v>31</v>
      </c>
      <c r="D4" s="884">
        <v>2008</v>
      </c>
    </row>
    <row r="5" spans="1:4" ht="12.75">
      <c r="A5" s="884" t="s">
        <v>49</v>
      </c>
      <c r="B5" s="900" t="s">
        <v>178</v>
      </c>
      <c r="C5" s="884">
        <v>30</v>
      </c>
      <c r="D5" s="884">
        <v>2009</v>
      </c>
    </row>
    <row r="6" spans="1:4" ht="12.75">
      <c r="A6" s="884" t="s">
        <v>50</v>
      </c>
      <c r="B6" s="900" t="s">
        <v>179</v>
      </c>
      <c r="C6" s="884">
        <v>31</v>
      </c>
      <c r="D6" s="884">
        <v>2010</v>
      </c>
    </row>
    <row r="7" spans="1:4" ht="12.75">
      <c r="A7" s="884" t="s">
        <v>51</v>
      </c>
      <c r="B7" s="900" t="s">
        <v>180</v>
      </c>
      <c r="C7" s="884">
        <v>30</v>
      </c>
      <c r="D7" s="884"/>
    </row>
    <row r="8" spans="1:4" ht="12.75">
      <c r="A8" s="884" t="s">
        <v>52</v>
      </c>
      <c r="B8" s="900" t="s">
        <v>181</v>
      </c>
      <c r="C8" s="884">
        <v>31</v>
      </c>
      <c r="D8" s="884"/>
    </row>
    <row r="9" spans="1:4" ht="12.75">
      <c r="A9" s="884" t="s">
        <v>53</v>
      </c>
      <c r="B9" s="900" t="s">
        <v>182</v>
      </c>
      <c r="C9" s="884">
        <v>31</v>
      </c>
      <c r="D9" s="884"/>
    </row>
    <row r="10" spans="1:4" ht="12.75">
      <c r="A10" s="884" t="s">
        <v>54</v>
      </c>
      <c r="B10" s="900" t="s">
        <v>183</v>
      </c>
      <c r="C10" s="884">
        <v>30</v>
      </c>
      <c r="D10" s="884"/>
    </row>
    <row r="11" spans="1:4" ht="12.75">
      <c r="A11" s="884" t="s">
        <v>55</v>
      </c>
      <c r="B11" s="900" t="s">
        <v>184</v>
      </c>
      <c r="C11" s="884">
        <v>31</v>
      </c>
      <c r="D11" s="884"/>
    </row>
    <row r="12" spans="1:4" ht="12.75">
      <c r="A12" s="884" t="s">
        <v>56</v>
      </c>
      <c r="B12" s="900" t="s">
        <v>185</v>
      </c>
      <c r="C12" s="884">
        <v>30</v>
      </c>
      <c r="D12" s="884"/>
    </row>
    <row r="13" spans="1:9" ht="12.75">
      <c r="A13" s="884" t="s">
        <v>57</v>
      </c>
      <c r="B13" s="900" t="s">
        <v>186</v>
      </c>
      <c r="C13" s="884">
        <v>31</v>
      </c>
      <c r="D13" s="884"/>
      <c r="E13" s="981"/>
      <c r="I13" s="915" t="s">
        <v>242</v>
      </c>
    </row>
    <row r="14" spans="1:9" ht="12.75">
      <c r="A14" s="881">
        <v>4</v>
      </c>
      <c r="B14" s="882">
        <v>2</v>
      </c>
      <c r="C14" s="881" t="str">
        <f ca="1">CELL("CONTENIDO",OFFSET(A1,B14,0))</f>
        <v>febrero</v>
      </c>
      <c r="D14" s="881">
        <f ca="1">CELL("CONTENIDO",OFFSET(C1,B14,0))</f>
        <v>28</v>
      </c>
      <c r="E14" s="881">
        <f ca="1">CELL("CONTENIDO",OFFSET(D1,A14,0))</f>
        <v>2009</v>
      </c>
      <c r="F14" s="881" t="str">
        <f>"Desde el 01 al "&amp;D14&amp;" de "&amp;C14&amp;" de "&amp;E14</f>
        <v>Desde el 01 al 28 de febrero de 2009</v>
      </c>
      <c r="G14" s="881" t="str">
        <f ca="1">CELL("CONTENIDO",OFFSET(B1,B14,0))</f>
        <v>02</v>
      </c>
      <c r="H14" s="881" t="str">
        <f>RIGHT(E14,2)</f>
        <v>09</v>
      </c>
      <c r="I14" s="916" t="s">
        <v>237</v>
      </c>
    </row>
    <row r="15" spans="1:8" ht="12.75">
      <c r="A15" s="881"/>
      <c r="B15" s="883" t="str">
        <f>"\\fileserver\files\Transporte\transporte\AA PROCESO AUT\TRANSENER\"&amp;E14</f>
        <v>\\fileserver\files\Transporte\transporte\AA PROCESO AUT\TRANSENER\2009</v>
      </c>
      <c r="C15" s="881"/>
      <c r="D15" s="881"/>
      <c r="E15" s="881"/>
      <c r="F15" s="881"/>
      <c r="G15" s="881" t="str">
        <f>"J"&amp;G14&amp;H14&amp;"NER"</f>
        <v>J0209NER</v>
      </c>
      <c r="H15" s="881"/>
    </row>
    <row r="16" spans="1:8" ht="12.75">
      <c r="A16" s="881"/>
      <c r="B16" s="883" t="str">
        <f>"\\fileserver\files\Transporte\transporte\AA PROCESO AUT\NERNOANEA\"&amp;H14&amp;G14</f>
        <v>\\fileserver\files\Transporte\transporte\AA PROCESO AUT\NERNOANEA\0902</v>
      </c>
      <c r="C16" s="881"/>
      <c r="D16" s="881"/>
      <c r="E16" s="881"/>
      <c r="F16" s="881"/>
      <c r="G16" s="881"/>
      <c r="H16" s="881"/>
    </row>
    <row r="17" spans="1:29" ht="12.75">
      <c r="A17" s="885" t="s">
        <v>157</v>
      </c>
      <c r="B17" s="885" t="s">
        <v>208</v>
      </c>
      <c r="C17" s="885" t="s">
        <v>190</v>
      </c>
      <c r="D17" s="885" t="s">
        <v>189</v>
      </c>
      <c r="E17" s="885" t="s">
        <v>174</v>
      </c>
      <c r="F17" s="885" t="s">
        <v>187</v>
      </c>
      <c r="G17" s="885" t="s">
        <v>205</v>
      </c>
      <c r="H17" s="885" t="s">
        <v>191</v>
      </c>
      <c r="I17" s="885" t="s">
        <v>192</v>
      </c>
      <c r="J17" s="885" t="s">
        <v>193</v>
      </c>
      <c r="K17" s="885" t="s">
        <v>194</v>
      </c>
      <c r="L17" s="885" t="s">
        <v>195</v>
      </c>
      <c r="M17" s="885" t="s">
        <v>196</v>
      </c>
      <c r="N17" s="885" t="s">
        <v>197</v>
      </c>
      <c r="O17" s="885" t="s">
        <v>198</v>
      </c>
      <c r="P17" s="885" t="s">
        <v>268</v>
      </c>
      <c r="Q17" s="885" t="s">
        <v>199</v>
      </c>
      <c r="R17" s="885" t="s">
        <v>200</v>
      </c>
      <c r="S17" s="885" t="s">
        <v>201</v>
      </c>
      <c r="T17" s="885" t="s">
        <v>202</v>
      </c>
      <c r="U17" s="885" t="s">
        <v>203</v>
      </c>
      <c r="V17" s="885" t="s">
        <v>204</v>
      </c>
      <c r="W17" s="885" t="s">
        <v>243</v>
      </c>
      <c r="X17" s="885" t="s">
        <v>244</v>
      </c>
      <c r="Y17" s="885" t="s">
        <v>246</v>
      </c>
      <c r="Z17" s="885" t="s">
        <v>245</v>
      </c>
      <c r="AA17" s="885" t="s">
        <v>248</v>
      </c>
      <c r="AB17" s="885" t="s">
        <v>247</v>
      </c>
      <c r="AC17" s="885" t="s">
        <v>269</v>
      </c>
    </row>
    <row r="18" spans="1:29" ht="12.75">
      <c r="A18" s="922" t="s">
        <v>158</v>
      </c>
      <c r="B18" s="904">
        <v>22</v>
      </c>
      <c r="C18" s="904">
        <v>20</v>
      </c>
      <c r="D18" s="904">
        <v>11</v>
      </c>
      <c r="E18" s="922" t="str">
        <f>"LI-"&amp;$G$14</f>
        <v>LI-02</v>
      </c>
      <c r="F18" s="922" t="s">
        <v>188</v>
      </c>
      <c r="G18" s="904">
        <v>3</v>
      </c>
      <c r="H18" s="905">
        <v>0</v>
      </c>
      <c r="I18" s="905">
        <v>0</v>
      </c>
      <c r="J18" s="904">
        <v>4</v>
      </c>
      <c r="K18" s="904">
        <v>5</v>
      </c>
      <c r="L18" s="904">
        <v>6</v>
      </c>
      <c r="M18" s="904">
        <v>7</v>
      </c>
      <c r="N18" s="904">
        <v>10</v>
      </c>
      <c r="O18" s="904">
        <v>11</v>
      </c>
      <c r="P18" s="904">
        <v>14</v>
      </c>
      <c r="Q18" s="904">
        <v>17</v>
      </c>
      <c r="R18" s="904">
        <v>28</v>
      </c>
      <c r="S18" s="904">
        <v>0</v>
      </c>
      <c r="T18" s="904">
        <v>0</v>
      </c>
      <c r="U18" s="904">
        <v>0</v>
      </c>
      <c r="V18" s="904">
        <v>0</v>
      </c>
      <c r="W18" s="922">
        <v>17</v>
      </c>
      <c r="X18" s="922">
        <v>9</v>
      </c>
      <c r="Y18" s="922">
        <v>43</v>
      </c>
      <c r="Z18" s="926">
        <v>29</v>
      </c>
      <c r="AA18" s="922">
        <v>20</v>
      </c>
      <c r="AB18" s="926">
        <v>29</v>
      </c>
      <c r="AC18" s="922">
        <v>14</v>
      </c>
    </row>
    <row r="19" spans="1:29" ht="12.75">
      <c r="A19" s="922" t="s">
        <v>220</v>
      </c>
      <c r="B19" s="904">
        <v>22</v>
      </c>
      <c r="C19" s="904">
        <v>20</v>
      </c>
      <c r="D19" s="904">
        <v>11</v>
      </c>
      <c r="E19" s="922" t="str">
        <f>"LI-IV-"&amp;$G$14</f>
        <v>LI-IV-02</v>
      </c>
      <c r="F19" s="922" t="s">
        <v>221</v>
      </c>
      <c r="G19" s="904">
        <v>3</v>
      </c>
      <c r="H19" s="905">
        <v>0</v>
      </c>
      <c r="I19" s="905">
        <v>0</v>
      </c>
      <c r="J19" s="904">
        <v>4</v>
      </c>
      <c r="K19" s="904">
        <v>5</v>
      </c>
      <c r="L19" s="904">
        <v>6</v>
      </c>
      <c r="M19" s="904">
        <v>7</v>
      </c>
      <c r="N19" s="904">
        <v>10</v>
      </c>
      <c r="O19" s="904">
        <v>11</v>
      </c>
      <c r="P19" s="904">
        <v>14</v>
      </c>
      <c r="Q19" s="904">
        <v>17</v>
      </c>
      <c r="R19" s="904">
        <v>28</v>
      </c>
      <c r="S19" s="904">
        <v>0</v>
      </c>
      <c r="T19" s="904">
        <v>0</v>
      </c>
      <c r="U19" s="904">
        <v>0</v>
      </c>
      <c r="V19" s="904">
        <v>0</v>
      </c>
      <c r="W19" s="922">
        <v>20</v>
      </c>
      <c r="X19" s="922">
        <v>9</v>
      </c>
      <c r="Y19" s="922">
        <v>43</v>
      </c>
      <c r="Z19" s="926">
        <v>29</v>
      </c>
      <c r="AA19" s="922">
        <v>20</v>
      </c>
      <c r="AB19" s="926">
        <v>29</v>
      </c>
      <c r="AC19" s="922">
        <v>14</v>
      </c>
    </row>
    <row r="20" spans="1:29" ht="12.75">
      <c r="A20" s="923" t="s">
        <v>159</v>
      </c>
      <c r="B20" s="906">
        <v>22</v>
      </c>
      <c r="C20" s="906">
        <v>20</v>
      </c>
      <c r="D20" s="906">
        <v>12</v>
      </c>
      <c r="E20" s="923" t="str">
        <f>"TR-"&amp;$G$14</f>
        <v>TR-02</v>
      </c>
      <c r="F20" s="923" t="s">
        <v>209</v>
      </c>
      <c r="G20" s="904">
        <v>3</v>
      </c>
      <c r="H20" s="905">
        <v>0</v>
      </c>
      <c r="I20" s="905">
        <v>0</v>
      </c>
      <c r="J20" s="906">
        <v>4</v>
      </c>
      <c r="K20" s="906">
        <v>5</v>
      </c>
      <c r="L20" s="906">
        <v>6</v>
      </c>
      <c r="M20" s="906">
        <v>7</v>
      </c>
      <c r="N20" s="906">
        <v>9</v>
      </c>
      <c r="O20" s="906">
        <v>10</v>
      </c>
      <c r="P20" s="906">
        <v>13</v>
      </c>
      <c r="Q20" s="906">
        <v>15</v>
      </c>
      <c r="R20" s="906">
        <v>16</v>
      </c>
      <c r="S20" s="906">
        <v>26</v>
      </c>
      <c r="T20" s="906">
        <v>0</v>
      </c>
      <c r="U20" s="906">
        <v>0</v>
      </c>
      <c r="V20" s="906">
        <v>0</v>
      </c>
      <c r="W20" s="923">
        <v>26</v>
      </c>
      <c r="X20" s="923">
        <v>9</v>
      </c>
      <c r="Y20" s="923">
        <v>43</v>
      </c>
      <c r="Z20" s="923">
        <v>27</v>
      </c>
      <c r="AA20" s="923">
        <v>20</v>
      </c>
      <c r="AB20" s="923">
        <v>27</v>
      </c>
      <c r="AC20" s="923">
        <v>13</v>
      </c>
    </row>
    <row r="21" spans="1:29" ht="12.75">
      <c r="A21" s="922" t="s">
        <v>160</v>
      </c>
      <c r="B21" s="904">
        <v>24</v>
      </c>
      <c r="C21" s="904">
        <v>20</v>
      </c>
      <c r="D21" s="904">
        <v>9</v>
      </c>
      <c r="E21" s="922" t="str">
        <f>"SA-"&amp;$G$14</f>
        <v>SA-02</v>
      </c>
      <c r="F21" s="922" t="s">
        <v>213</v>
      </c>
      <c r="G21" s="904">
        <v>3</v>
      </c>
      <c r="H21" s="905">
        <v>0</v>
      </c>
      <c r="I21" s="905">
        <v>0</v>
      </c>
      <c r="J21" s="904">
        <v>4</v>
      </c>
      <c r="K21" s="904">
        <v>5</v>
      </c>
      <c r="L21" s="904">
        <v>6</v>
      </c>
      <c r="M21" s="904">
        <v>8</v>
      </c>
      <c r="N21" s="904">
        <v>9</v>
      </c>
      <c r="O21" s="904">
        <v>12</v>
      </c>
      <c r="P21" s="904">
        <v>13</v>
      </c>
      <c r="Q21" s="904">
        <v>18</v>
      </c>
      <c r="R21" s="904">
        <v>0</v>
      </c>
      <c r="S21" s="904">
        <v>0</v>
      </c>
      <c r="T21" s="904">
        <v>0</v>
      </c>
      <c r="U21" s="904">
        <v>0</v>
      </c>
      <c r="V21" s="904">
        <v>0</v>
      </c>
      <c r="W21" s="922">
        <v>31</v>
      </c>
      <c r="X21" s="922">
        <v>9</v>
      </c>
      <c r="Y21" s="922">
        <v>45</v>
      </c>
      <c r="Z21" s="922">
        <v>20</v>
      </c>
      <c r="AA21" s="922">
        <v>22</v>
      </c>
      <c r="AB21" s="922">
        <v>20</v>
      </c>
      <c r="AC21" s="922">
        <v>12</v>
      </c>
    </row>
    <row r="22" spans="1:29" ht="12.75">
      <c r="A22" s="922" t="s">
        <v>168</v>
      </c>
      <c r="B22" s="904">
        <v>22</v>
      </c>
      <c r="C22" s="904">
        <v>20</v>
      </c>
      <c r="D22" s="904">
        <v>10</v>
      </c>
      <c r="E22" s="922" t="str">
        <f>"RE-"&amp;$G$14</f>
        <v>RE-02</v>
      </c>
      <c r="F22" s="922" t="s">
        <v>216</v>
      </c>
      <c r="G22" s="904">
        <v>3</v>
      </c>
      <c r="H22" s="905">
        <v>0</v>
      </c>
      <c r="I22" s="905">
        <v>0</v>
      </c>
      <c r="J22" s="904">
        <v>4</v>
      </c>
      <c r="K22" s="904">
        <v>5</v>
      </c>
      <c r="L22" s="904">
        <v>6</v>
      </c>
      <c r="M22" s="904">
        <v>8</v>
      </c>
      <c r="N22" s="904">
        <v>9</v>
      </c>
      <c r="O22" s="904">
        <v>12</v>
      </c>
      <c r="P22" s="904">
        <v>14</v>
      </c>
      <c r="Q22" s="904">
        <v>20</v>
      </c>
      <c r="R22" s="904">
        <v>0</v>
      </c>
      <c r="S22" s="904">
        <v>0</v>
      </c>
      <c r="T22" s="904">
        <v>0</v>
      </c>
      <c r="U22" s="904">
        <v>0</v>
      </c>
      <c r="V22" s="904">
        <v>0</v>
      </c>
      <c r="W22" s="922">
        <v>39</v>
      </c>
      <c r="X22" s="922">
        <v>9</v>
      </c>
      <c r="Y22" s="922">
        <v>43</v>
      </c>
      <c r="Z22" s="922">
        <v>21</v>
      </c>
      <c r="AA22" s="922">
        <v>20</v>
      </c>
      <c r="AB22" s="922">
        <v>21</v>
      </c>
      <c r="AC22" s="922">
        <v>12</v>
      </c>
    </row>
    <row r="23" spans="1:29" ht="12.75">
      <c r="A23" s="922" t="s">
        <v>239</v>
      </c>
      <c r="B23" s="904">
        <v>22</v>
      </c>
      <c r="C23" s="904">
        <v>20</v>
      </c>
      <c r="D23" s="904">
        <v>10</v>
      </c>
      <c r="E23" s="922" t="str">
        <f>"RE-IV-"&amp;$G$14</f>
        <v>RE-IV-02</v>
      </c>
      <c r="F23" s="922" t="s">
        <v>240</v>
      </c>
      <c r="G23" s="904">
        <v>3</v>
      </c>
      <c r="H23" s="905">
        <v>0</v>
      </c>
      <c r="I23" s="905">
        <v>0</v>
      </c>
      <c r="J23" s="904">
        <v>4</v>
      </c>
      <c r="K23" s="904">
        <v>5</v>
      </c>
      <c r="L23" s="904">
        <v>6</v>
      </c>
      <c r="M23" s="904">
        <v>8</v>
      </c>
      <c r="N23" s="904">
        <v>9</v>
      </c>
      <c r="O23" s="904">
        <v>12</v>
      </c>
      <c r="P23" s="904">
        <v>14</v>
      </c>
      <c r="Q23" s="904">
        <v>20</v>
      </c>
      <c r="R23" s="904">
        <v>0</v>
      </c>
      <c r="S23" s="904">
        <v>0</v>
      </c>
      <c r="T23" s="904">
        <v>0</v>
      </c>
      <c r="U23" s="904">
        <v>0</v>
      </c>
      <c r="V23" s="904">
        <v>0</v>
      </c>
      <c r="W23" s="922">
        <v>43</v>
      </c>
      <c r="X23" s="922">
        <v>9</v>
      </c>
      <c r="Y23" s="922">
        <v>43</v>
      </c>
      <c r="Z23" s="922">
        <v>21</v>
      </c>
      <c r="AA23" s="922">
        <v>20</v>
      </c>
      <c r="AB23" s="922">
        <v>21</v>
      </c>
      <c r="AC23" s="922">
        <v>12</v>
      </c>
    </row>
    <row r="24" spans="1:29" ht="12.75">
      <c r="A24" s="922" t="s">
        <v>161</v>
      </c>
      <c r="B24" s="904">
        <v>19</v>
      </c>
      <c r="C24" s="904">
        <v>20</v>
      </c>
      <c r="D24" s="904">
        <v>11</v>
      </c>
      <c r="E24" s="922" t="str">
        <f>"LI-YACY-"&amp;$G$14</f>
        <v>LI-YACY-02</v>
      </c>
      <c r="F24" s="922" t="s">
        <v>206</v>
      </c>
      <c r="G24" s="904">
        <v>3</v>
      </c>
      <c r="H24" s="905">
        <v>0</v>
      </c>
      <c r="I24" s="905">
        <v>0</v>
      </c>
      <c r="J24" s="904">
        <v>4</v>
      </c>
      <c r="K24" s="904">
        <v>5</v>
      </c>
      <c r="L24" s="904">
        <v>6</v>
      </c>
      <c r="M24" s="904">
        <v>0</v>
      </c>
      <c r="N24" s="904">
        <v>7</v>
      </c>
      <c r="O24" s="904">
        <v>8</v>
      </c>
      <c r="P24" s="904">
        <v>11</v>
      </c>
      <c r="Q24" s="904">
        <v>0</v>
      </c>
      <c r="R24" s="904">
        <v>0</v>
      </c>
      <c r="S24" s="904">
        <v>0</v>
      </c>
      <c r="T24" s="904">
        <v>0</v>
      </c>
      <c r="U24" s="904">
        <v>0</v>
      </c>
      <c r="V24" s="904">
        <v>0</v>
      </c>
      <c r="W24" s="922">
        <v>18</v>
      </c>
      <c r="X24" s="922">
        <v>9</v>
      </c>
      <c r="Y24" s="922">
        <v>40</v>
      </c>
      <c r="Z24" s="926">
        <v>22</v>
      </c>
      <c r="AA24" s="922">
        <v>17</v>
      </c>
      <c r="AB24" s="926">
        <v>22</v>
      </c>
      <c r="AC24" s="922">
        <v>11</v>
      </c>
    </row>
    <row r="25" spans="1:29" ht="12.75">
      <c r="A25" s="922" t="s">
        <v>172</v>
      </c>
      <c r="B25" s="904">
        <v>21</v>
      </c>
      <c r="C25" s="904">
        <v>20</v>
      </c>
      <c r="D25" s="904">
        <v>8</v>
      </c>
      <c r="E25" s="922" t="str">
        <f>"RE-YACY-"&amp;$G$14</f>
        <v>RE-YACY-02</v>
      </c>
      <c r="F25" s="922" t="s">
        <v>217</v>
      </c>
      <c r="G25" s="904">
        <v>3</v>
      </c>
      <c r="H25" s="905">
        <v>0</v>
      </c>
      <c r="I25" s="905">
        <v>0</v>
      </c>
      <c r="J25" s="904">
        <v>4</v>
      </c>
      <c r="K25" s="904">
        <v>5</v>
      </c>
      <c r="L25" s="904">
        <v>6</v>
      </c>
      <c r="M25" s="904">
        <v>7</v>
      </c>
      <c r="N25" s="904">
        <v>8</v>
      </c>
      <c r="O25" s="904">
        <v>11</v>
      </c>
      <c r="P25" s="904">
        <v>0</v>
      </c>
      <c r="Q25" s="904">
        <v>0</v>
      </c>
      <c r="R25" s="904">
        <v>0</v>
      </c>
      <c r="S25" s="904">
        <v>0</v>
      </c>
      <c r="T25" s="904">
        <v>0</v>
      </c>
      <c r="U25" s="904">
        <v>0</v>
      </c>
      <c r="V25" s="904">
        <v>0</v>
      </c>
      <c r="W25" s="922">
        <v>41</v>
      </c>
      <c r="X25" s="922">
        <v>9</v>
      </c>
      <c r="Y25" s="922">
        <v>42</v>
      </c>
      <c r="Z25" s="922">
        <v>22</v>
      </c>
      <c r="AA25" s="922">
        <v>19</v>
      </c>
      <c r="AB25" s="922">
        <v>22</v>
      </c>
      <c r="AC25" s="922">
        <v>11</v>
      </c>
    </row>
    <row r="26" spans="1:29" ht="12.75">
      <c r="A26" s="922" t="s">
        <v>162</v>
      </c>
      <c r="B26" s="904">
        <v>22</v>
      </c>
      <c r="C26" s="904">
        <v>20</v>
      </c>
      <c r="D26" s="904">
        <v>11</v>
      </c>
      <c r="E26" s="922" t="str">
        <f>"LI-LITSA-"&amp;$G$14</f>
        <v>LI-LITSA-02</v>
      </c>
      <c r="F26" s="922" t="s">
        <v>207</v>
      </c>
      <c r="G26" s="904">
        <v>3</v>
      </c>
      <c r="H26" s="905">
        <v>0</v>
      </c>
      <c r="I26" s="905">
        <v>0</v>
      </c>
      <c r="J26" s="904">
        <v>4</v>
      </c>
      <c r="K26" s="904">
        <v>5</v>
      </c>
      <c r="L26" s="904">
        <v>6</v>
      </c>
      <c r="M26" s="904">
        <v>7</v>
      </c>
      <c r="N26" s="904">
        <v>10</v>
      </c>
      <c r="O26" s="904">
        <v>11</v>
      </c>
      <c r="P26" s="904">
        <v>14</v>
      </c>
      <c r="Q26" s="904">
        <v>17</v>
      </c>
      <c r="R26" s="904">
        <v>28</v>
      </c>
      <c r="S26" s="904">
        <v>0</v>
      </c>
      <c r="T26" s="904">
        <v>0</v>
      </c>
      <c r="U26" s="904">
        <v>0</v>
      </c>
      <c r="V26" s="904">
        <v>0</v>
      </c>
      <c r="W26" s="922">
        <v>19</v>
      </c>
      <c r="X26" s="922">
        <v>9</v>
      </c>
      <c r="Y26" s="922">
        <v>43</v>
      </c>
      <c r="Z26" s="926">
        <v>30</v>
      </c>
      <c r="AA26" s="922">
        <v>20</v>
      </c>
      <c r="AB26" s="926">
        <v>30</v>
      </c>
      <c r="AC26" s="922">
        <v>14</v>
      </c>
    </row>
    <row r="27" spans="1:29" ht="12.75">
      <c r="A27" s="922" t="s">
        <v>163</v>
      </c>
      <c r="B27" s="904">
        <v>22</v>
      </c>
      <c r="C27" s="904">
        <v>20</v>
      </c>
      <c r="D27" s="906">
        <v>12</v>
      </c>
      <c r="E27" s="922" t="str">
        <f>"TR-LITSA-"&amp;$G$14</f>
        <v>TR-LITSA-02</v>
      </c>
      <c r="F27" s="922" t="s">
        <v>210</v>
      </c>
      <c r="G27" s="904">
        <v>3</v>
      </c>
      <c r="H27" s="905">
        <v>0</v>
      </c>
      <c r="I27" s="905">
        <v>0</v>
      </c>
      <c r="J27" s="906">
        <v>4</v>
      </c>
      <c r="K27" s="906">
        <v>5</v>
      </c>
      <c r="L27" s="906">
        <v>6</v>
      </c>
      <c r="M27" s="906">
        <v>7</v>
      </c>
      <c r="N27" s="906">
        <v>9</v>
      </c>
      <c r="O27" s="906">
        <v>10</v>
      </c>
      <c r="P27" s="906">
        <v>13</v>
      </c>
      <c r="Q27" s="906">
        <v>15</v>
      </c>
      <c r="R27" s="906">
        <v>16</v>
      </c>
      <c r="S27" s="906">
        <v>26</v>
      </c>
      <c r="T27" s="906">
        <v>0</v>
      </c>
      <c r="U27" s="906">
        <v>0</v>
      </c>
      <c r="V27" s="906">
        <v>0</v>
      </c>
      <c r="W27" s="923">
        <v>27</v>
      </c>
      <c r="X27" s="923">
        <v>9</v>
      </c>
      <c r="Y27" s="923">
        <v>43</v>
      </c>
      <c r="Z27" s="923">
        <v>27</v>
      </c>
      <c r="AA27" s="923">
        <v>20</v>
      </c>
      <c r="AB27" s="923">
        <v>27</v>
      </c>
      <c r="AC27" s="923">
        <v>13</v>
      </c>
    </row>
    <row r="28" spans="1:29" ht="12.75">
      <c r="A28" s="922" t="s">
        <v>173</v>
      </c>
      <c r="B28" s="904">
        <v>24</v>
      </c>
      <c r="C28" s="904">
        <v>20</v>
      </c>
      <c r="D28" s="904">
        <v>10</v>
      </c>
      <c r="E28" s="922" t="str">
        <f>"RE-LITSA-"&amp;$G$14</f>
        <v>RE-LITSA-02</v>
      </c>
      <c r="F28" s="922" t="s">
        <v>218</v>
      </c>
      <c r="G28" s="904">
        <v>3</v>
      </c>
      <c r="H28" s="905">
        <v>0</v>
      </c>
      <c r="I28" s="905">
        <v>0</v>
      </c>
      <c r="J28" s="904">
        <v>4</v>
      </c>
      <c r="K28" s="904">
        <v>5</v>
      </c>
      <c r="L28" s="904">
        <v>6</v>
      </c>
      <c r="M28" s="904">
        <v>8</v>
      </c>
      <c r="N28" s="904">
        <v>9</v>
      </c>
      <c r="O28" s="904">
        <v>12</v>
      </c>
      <c r="P28" s="904">
        <v>14</v>
      </c>
      <c r="Q28" s="904">
        <v>20</v>
      </c>
      <c r="R28" s="904">
        <v>0</v>
      </c>
      <c r="S28" s="904">
        <v>0</v>
      </c>
      <c r="T28" s="904">
        <v>0</v>
      </c>
      <c r="U28" s="904">
        <v>0</v>
      </c>
      <c r="V28" s="904">
        <v>0</v>
      </c>
      <c r="W28" s="922">
        <v>42</v>
      </c>
      <c r="X28" s="922">
        <v>9</v>
      </c>
      <c r="Y28" s="922">
        <v>45</v>
      </c>
      <c r="Z28" s="922">
        <v>22</v>
      </c>
      <c r="AA28" s="922">
        <v>22</v>
      </c>
      <c r="AB28" s="922">
        <v>22</v>
      </c>
      <c r="AC28" s="922">
        <v>13</v>
      </c>
    </row>
    <row r="29" spans="1:29" ht="12.75">
      <c r="A29" s="922" t="s">
        <v>164</v>
      </c>
      <c r="B29" s="904">
        <v>20</v>
      </c>
      <c r="C29" s="904">
        <v>20</v>
      </c>
      <c r="D29" s="906">
        <v>12</v>
      </c>
      <c r="E29" s="922" t="str">
        <f>"TR-TIBA-"&amp;$G$14</f>
        <v>TR-TIBA-02</v>
      </c>
      <c r="F29" s="922" t="s">
        <v>212</v>
      </c>
      <c r="G29" s="904">
        <v>3</v>
      </c>
      <c r="H29" s="905">
        <v>0</v>
      </c>
      <c r="I29" s="905">
        <v>0</v>
      </c>
      <c r="J29" s="906">
        <v>4</v>
      </c>
      <c r="K29" s="906">
        <v>5</v>
      </c>
      <c r="L29" s="906">
        <v>6</v>
      </c>
      <c r="M29" s="906">
        <v>7</v>
      </c>
      <c r="N29" s="906">
        <v>9</v>
      </c>
      <c r="O29" s="906">
        <v>10</v>
      </c>
      <c r="P29" s="906">
        <v>13</v>
      </c>
      <c r="Q29" s="906">
        <v>15</v>
      </c>
      <c r="R29" s="906">
        <v>16</v>
      </c>
      <c r="S29" s="906">
        <v>26</v>
      </c>
      <c r="T29" s="906">
        <v>0</v>
      </c>
      <c r="U29" s="906">
        <v>0</v>
      </c>
      <c r="V29" s="906">
        <v>0</v>
      </c>
      <c r="W29" s="923">
        <v>28</v>
      </c>
      <c r="X29" s="923">
        <v>9</v>
      </c>
      <c r="Y29" s="923">
        <v>41</v>
      </c>
      <c r="Z29" s="923">
        <v>27</v>
      </c>
      <c r="AA29" s="923">
        <v>18</v>
      </c>
      <c r="AB29" s="923">
        <v>27</v>
      </c>
      <c r="AC29" s="923">
        <v>13</v>
      </c>
    </row>
    <row r="30" spans="1:29" ht="12.75">
      <c r="A30" s="922" t="s">
        <v>166</v>
      </c>
      <c r="B30" s="904">
        <v>22</v>
      </c>
      <c r="C30" s="904">
        <v>20</v>
      </c>
      <c r="D30" s="904">
        <v>9</v>
      </c>
      <c r="E30" s="922" t="str">
        <f>"SA-TIBA-"&amp;$G$14</f>
        <v>SA-TIBA-02</v>
      </c>
      <c r="F30" s="922" t="s">
        <v>214</v>
      </c>
      <c r="G30" s="904">
        <v>3</v>
      </c>
      <c r="H30" s="905">
        <v>0</v>
      </c>
      <c r="I30" s="905">
        <v>0</v>
      </c>
      <c r="J30" s="904">
        <v>4</v>
      </c>
      <c r="K30" s="904">
        <v>5</v>
      </c>
      <c r="L30" s="904">
        <v>6</v>
      </c>
      <c r="M30" s="904">
        <v>8</v>
      </c>
      <c r="N30" s="904">
        <v>9</v>
      </c>
      <c r="O30" s="904">
        <v>12</v>
      </c>
      <c r="P30" s="904">
        <v>13</v>
      </c>
      <c r="Q30" s="904">
        <v>18</v>
      </c>
      <c r="R30" s="904">
        <v>0</v>
      </c>
      <c r="S30" s="904">
        <v>0</v>
      </c>
      <c r="T30" s="904">
        <v>0</v>
      </c>
      <c r="U30" s="904">
        <v>0</v>
      </c>
      <c r="V30" s="904">
        <v>0</v>
      </c>
      <c r="W30" s="922">
        <v>32</v>
      </c>
      <c r="X30" s="922">
        <v>9</v>
      </c>
      <c r="Y30" s="922">
        <v>43</v>
      </c>
      <c r="Z30" s="922">
        <v>20</v>
      </c>
      <c r="AA30" s="922">
        <v>20</v>
      </c>
      <c r="AB30" s="922">
        <v>20</v>
      </c>
      <c r="AC30" s="922">
        <v>12</v>
      </c>
    </row>
    <row r="31" spans="1:29" ht="12.75">
      <c r="A31" s="922" t="s">
        <v>165</v>
      </c>
      <c r="B31" s="904">
        <v>20</v>
      </c>
      <c r="C31" s="904">
        <v>20</v>
      </c>
      <c r="D31" s="906">
        <v>12</v>
      </c>
      <c r="E31" s="922" t="str">
        <f>"TR-ENECOR-"&amp;$G$14</f>
        <v>TR-ENECOR-02</v>
      </c>
      <c r="F31" s="922" t="s">
        <v>211</v>
      </c>
      <c r="G31" s="904">
        <v>3</v>
      </c>
      <c r="H31" s="905">
        <v>0</v>
      </c>
      <c r="I31" s="905">
        <v>0</v>
      </c>
      <c r="J31" s="906">
        <v>4</v>
      </c>
      <c r="K31" s="906">
        <v>5</v>
      </c>
      <c r="L31" s="906">
        <v>6</v>
      </c>
      <c r="M31" s="906">
        <v>7</v>
      </c>
      <c r="N31" s="906">
        <v>9</v>
      </c>
      <c r="O31" s="906">
        <v>10</v>
      </c>
      <c r="P31" s="906">
        <v>13</v>
      </c>
      <c r="Q31" s="906">
        <v>15</v>
      </c>
      <c r="R31" s="906">
        <v>16</v>
      </c>
      <c r="S31" s="906">
        <v>26</v>
      </c>
      <c r="T31" s="906">
        <v>0</v>
      </c>
      <c r="U31" s="906">
        <v>0</v>
      </c>
      <c r="V31" s="906">
        <v>0</v>
      </c>
      <c r="W31" s="923">
        <v>29</v>
      </c>
      <c r="X31" s="923">
        <v>9</v>
      </c>
      <c r="Y31" s="923">
        <v>41</v>
      </c>
      <c r="Z31" s="923">
        <v>27</v>
      </c>
      <c r="AA31" s="923">
        <v>20</v>
      </c>
      <c r="AB31" s="923">
        <v>27</v>
      </c>
      <c r="AC31" s="923">
        <v>13</v>
      </c>
    </row>
    <row r="32" spans="1:29" ht="12.75">
      <c r="A32" s="922" t="s">
        <v>167</v>
      </c>
      <c r="B32" s="904">
        <v>22</v>
      </c>
      <c r="C32" s="904">
        <v>20</v>
      </c>
      <c r="D32" s="904">
        <v>9</v>
      </c>
      <c r="E32" s="922" t="str">
        <f>"SA-ENECOR-"&amp;$G$14</f>
        <v>SA-ENECOR-02</v>
      </c>
      <c r="F32" s="922" t="s">
        <v>215</v>
      </c>
      <c r="G32" s="904">
        <v>3</v>
      </c>
      <c r="H32" s="905">
        <v>0</v>
      </c>
      <c r="I32" s="905">
        <v>0</v>
      </c>
      <c r="J32" s="904">
        <v>4</v>
      </c>
      <c r="K32" s="904">
        <v>5</v>
      </c>
      <c r="L32" s="904">
        <v>6</v>
      </c>
      <c r="M32" s="904">
        <v>8</v>
      </c>
      <c r="N32" s="904">
        <v>9</v>
      </c>
      <c r="O32" s="904">
        <v>12</v>
      </c>
      <c r="P32" s="904">
        <v>13</v>
      </c>
      <c r="Q32" s="904">
        <v>18</v>
      </c>
      <c r="R32" s="904">
        <v>0</v>
      </c>
      <c r="S32" s="904">
        <v>0</v>
      </c>
      <c r="T32" s="904">
        <v>0</v>
      </c>
      <c r="U32" s="904">
        <v>0</v>
      </c>
      <c r="V32" s="904">
        <v>0</v>
      </c>
      <c r="W32" s="922">
        <v>33</v>
      </c>
      <c r="X32" s="922">
        <v>9</v>
      </c>
      <c r="Y32" s="922">
        <v>43</v>
      </c>
      <c r="Z32" s="922">
        <v>20</v>
      </c>
      <c r="AA32" s="922">
        <v>20</v>
      </c>
      <c r="AB32" s="922">
        <v>20</v>
      </c>
      <c r="AC32" s="922">
        <v>12</v>
      </c>
    </row>
    <row r="33" spans="1:29" ht="12.75">
      <c r="A33" s="925" t="s">
        <v>222</v>
      </c>
      <c r="B33" s="920">
        <v>32</v>
      </c>
      <c r="C33" s="920">
        <v>25</v>
      </c>
      <c r="D33" s="920">
        <v>11</v>
      </c>
      <c r="E33" s="925" t="s">
        <v>222</v>
      </c>
      <c r="F33" s="924" t="s">
        <v>206</v>
      </c>
      <c r="G33" s="920">
        <v>0</v>
      </c>
      <c r="H33" s="920">
        <v>0</v>
      </c>
      <c r="I33" s="920">
        <v>0</v>
      </c>
      <c r="J33" s="920">
        <v>4</v>
      </c>
      <c r="K33" s="920">
        <v>5</v>
      </c>
      <c r="L33" s="920">
        <v>6</v>
      </c>
      <c r="M33" s="920">
        <v>7</v>
      </c>
      <c r="N33" s="920">
        <v>10</v>
      </c>
      <c r="O33" s="920">
        <v>11</v>
      </c>
      <c r="P33" s="920">
        <v>14</v>
      </c>
      <c r="Q33" s="920">
        <v>17</v>
      </c>
      <c r="R33" s="920">
        <v>28</v>
      </c>
      <c r="S33" s="920">
        <v>0</v>
      </c>
      <c r="T33" s="920">
        <v>0</v>
      </c>
      <c r="U33" s="920">
        <v>0</v>
      </c>
      <c r="V33" s="920">
        <v>0</v>
      </c>
      <c r="W33" s="924">
        <v>0</v>
      </c>
      <c r="X33" s="924">
        <v>0</v>
      </c>
      <c r="Y33" s="924">
        <v>0</v>
      </c>
      <c r="Z33" s="924">
        <v>0</v>
      </c>
      <c r="AA33" s="924">
        <v>0</v>
      </c>
      <c r="AB33" s="924">
        <v>0</v>
      </c>
      <c r="AC33" s="924">
        <v>0</v>
      </c>
    </row>
    <row r="34" spans="1:29" ht="12.75">
      <c r="A34" s="925" t="s">
        <v>234</v>
      </c>
      <c r="B34" s="920">
        <v>61</v>
      </c>
      <c r="C34" s="920">
        <v>25</v>
      </c>
      <c r="D34" s="921">
        <v>12</v>
      </c>
      <c r="E34" s="925" t="s">
        <v>234</v>
      </c>
      <c r="F34" s="924" t="s">
        <v>210</v>
      </c>
      <c r="G34" s="920">
        <v>0</v>
      </c>
      <c r="H34" s="920">
        <v>0</v>
      </c>
      <c r="I34" s="920">
        <v>0</v>
      </c>
      <c r="J34" s="920">
        <v>4</v>
      </c>
      <c r="K34" s="920">
        <v>5</v>
      </c>
      <c r="L34" s="920">
        <v>6</v>
      </c>
      <c r="M34" s="920">
        <v>8</v>
      </c>
      <c r="N34" s="920">
        <v>9</v>
      </c>
      <c r="O34" s="920">
        <v>10</v>
      </c>
      <c r="P34" s="920">
        <v>13</v>
      </c>
      <c r="Q34" s="920">
        <v>15</v>
      </c>
      <c r="R34" s="920">
        <v>16</v>
      </c>
      <c r="S34" s="920">
        <v>0</v>
      </c>
      <c r="T34" s="920">
        <v>0</v>
      </c>
      <c r="U34" s="920">
        <v>0</v>
      </c>
      <c r="V34" s="920">
        <v>0</v>
      </c>
      <c r="W34" s="924">
        <v>0</v>
      </c>
      <c r="X34" s="924">
        <v>0</v>
      </c>
      <c r="Y34" s="924">
        <v>0</v>
      </c>
      <c r="Z34" s="924">
        <v>0</v>
      </c>
      <c r="AA34" s="924">
        <v>0</v>
      </c>
      <c r="AB34" s="924">
        <v>0</v>
      </c>
      <c r="AC34" s="924">
        <v>0</v>
      </c>
    </row>
    <row r="35" spans="1:29" ht="12.75">
      <c r="A35" s="925" t="s">
        <v>234</v>
      </c>
      <c r="B35" s="920">
        <v>32</v>
      </c>
      <c r="C35" s="920">
        <v>25</v>
      </c>
      <c r="D35" s="920">
        <v>11</v>
      </c>
      <c r="E35" s="925" t="s">
        <v>234</v>
      </c>
      <c r="F35" s="924" t="s">
        <v>207</v>
      </c>
      <c r="G35" s="920">
        <v>0</v>
      </c>
      <c r="H35" s="920">
        <v>0</v>
      </c>
      <c r="I35" s="920">
        <v>0</v>
      </c>
      <c r="J35" s="920">
        <v>4</v>
      </c>
      <c r="K35" s="920">
        <v>5</v>
      </c>
      <c r="L35" s="920">
        <v>6</v>
      </c>
      <c r="M35" s="920">
        <v>7</v>
      </c>
      <c r="N35" s="920">
        <v>10</v>
      </c>
      <c r="O35" s="920">
        <v>11</v>
      </c>
      <c r="P35" s="920">
        <v>14</v>
      </c>
      <c r="Q35" s="920">
        <v>17</v>
      </c>
      <c r="R35" s="920">
        <v>28</v>
      </c>
      <c r="S35" s="920">
        <v>0</v>
      </c>
      <c r="T35" s="920">
        <v>0</v>
      </c>
      <c r="U35" s="920">
        <v>0</v>
      </c>
      <c r="V35" s="920">
        <v>0</v>
      </c>
      <c r="W35" s="924">
        <v>0</v>
      </c>
      <c r="X35" s="924">
        <v>0</v>
      </c>
      <c r="Y35" s="924">
        <v>0</v>
      </c>
      <c r="Z35" s="924">
        <v>0</v>
      </c>
      <c r="AA35" s="924">
        <v>0</v>
      </c>
      <c r="AB35" s="924">
        <v>0</v>
      </c>
      <c r="AC35" s="924">
        <v>0</v>
      </c>
    </row>
    <row r="36" spans="1:29" ht="12.75">
      <c r="A36" s="925" t="s">
        <v>235</v>
      </c>
      <c r="B36" s="920">
        <v>60</v>
      </c>
      <c r="C36" s="920">
        <v>36</v>
      </c>
      <c r="D36" s="920">
        <v>9</v>
      </c>
      <c r="E36" s="925" t="s">
        <v>235</v>
      </c>
      <c r="F36" s="924" t="s">
        <v>214</v>
      </c>
      <c r="G36" s="920">
        <v>0</v>
      </c>
      <c r="H36" s="920">
        <v>0</v>
      </c>
      <c r="I36" s="920">
        <v>0</v>
      </c>
      <c r="J36" s="920">
        <v>4</v>
      </c>
      <c r="K36" s="920">
        <v>5</v>
      </c>
      <c r="L36" s="920">
        <v>7</v>
      </c>
      <c r="M36" s="920">
        <v>9</v>
      </c>
      <c r="N36" s="920">
        <v>10</v>
      </c>
      <c r="O36" s="920">
        <v>13</v>
      </c>
      <c r="P36" s="920">
        <v>14</v>
      </c>
      <c r="Q36" s="920">
        <v>21</v>
      </c>
      <c r="R36" s="920">
        <v>0</v>
      </c>
      <c r="S36" s="920">
        <v>0</v>
      </c>
      <c r="T36" s="920">
        <v>0</v>
      </c>
      <c r="U36" s="920">
        <v>0</v>
      </c>
      <c r="V36" s="920">
        <v>0</v>
      </c>
      <c r="W36" s="924">
        <v>0</v>
      </c>
      <c r="X36" s="924">
        <v>0</v>
      </c>
      <c r="Y36" s="924">
        <v>0</v>
      </c>
      <c r="Z36" s="924">
        <v>0</v>
      </c>
      <c r="AA36" s="924">
        <v>0</v>
      </c>
      <c r="AB36" s="924">
        <v>0</v>
      </c>
      <c r="AC36" s="924">
        <v>0</v>
      </c>
    </row>
    <row r="37" spans="1:29" ht="12.75">
      <c r="A37" s="925" t="s">
        <v>235</v>
      </c>
      <c r="B37" s="920">
        <v>31</v>
      </c>
      <c r="C37" s="920">
        <v>25</v>
      </c>
      <c r="D37" s="921">
        <v>12</v>
      </c>
      <c r="E37" s="925" t="s">
        <v>235</v>
      </c>
      <c r="F37" s="924" t="s">
        <v>212</v>
      </c>
      <c r="G37" s="920">
        <v>0</v>
      </c>
      <c r="H37" s="920">
        <v>0</v>
      </c>
      <c r="I37" s="920">
        <v>0</v>
      </c>
      <c r="J37" s="920">
        <v>4</v>
      </c>
      <c r="K37" s="920">
        <v>5</v>
      </c>
      <c r="L37" s="920">
        <v>6</v>
      </c>
      <c r="M37" s="920">
        <v>7</v>
      </c>
      <c r="N37" s="920">
        <v>9</v>
      </c>
      <c r="O37" s="920">
        <v>10</v>
      </c>
      <c r="P37" s="920">
        <v>13</v>
      </c>
      <c r="Q37" s="920">
        <v>15</v>
      </c>
      <c r="R37" s="920">
        <v>16</v>
      </c>
      <c r="S37" s="920">
        <v>0</v>
      </c>
      <c r="T37" s="920">
        <v>0</v>
      </c>
      <c r="U37" s="920">
        <v>0</v>
      </c>
      <c r="V37" s="920">
        <v>0</v>
      </c>
      <c r="W37" s="924">
        <v>0</v>
      </c>
      <c r="X37" s="924">
        <v>0</v>
      </c>
      <c r="Y37" s="924">
        <v>0</v>
      </c>
      <c r="Z37" s="924">
        <v>0</v>
      </c>
      <c r="AA37" s="924">
        <v>0</v>
      </c>
      <c r="AB37" s="924">
        <v>0</v>
      </c>
      <c r="AC37" s="924">
        <v>0</v>
      </c>
    </row>
    <row r="38" spans="1:29" ht="12.75">
      <c r="A38" s="925" t="s">
        <v>236</v>
      </c>
      <c r="B38" s="920">
        <v>60</v>
      </c>
      <c r="C38" s="920">
        <v>25</v>
      </c>
      <c r="D38" s="920">
        <v>9</v>
      </c>
      <c r="E38" s="925" t="s">
        <v>236</v>
      </c>
      <c r="F38" s="924" t="s">
        <v>215</v>
      </c>
      <c r="G38" s="920">
        <v>0</v>
      </c>
      <c r="H38" s="920">
        <v>0</v>
      </c>
      <c r="I38" s="920">
        <v>0</v>
      </c>
      <c r="J38" s="920">
        <v>4</v>
      </c>
      <c r="K38" s="920">
        <v>5</v>
      </c>
      <c r="L38" s="920">
        <v>7</v>
      </c>
      <c r="M38" s="920">
        <v>9</v>
      </c>
      <c r="N38" s="920">
        <v>10</v>
      </c>
      <c r="O38" s="920">
        <v>13</v>
      </c>
      <c r="P38" s="920">
        <v>14</v>
      </c>
      <c r="Q38" s="920">
        <v>21</v>
      </c>
      <c r="R38" s="920">
        <v>0</v>
      </c>
      <c r="S38" s="920">
        <v>0</v>
      </c>
      <c r="T38" s="920">
        <v>0</v>
      </c>
      <c r="U38" s="920">
        <v>0</v>
      </c>
      <c r="V38" s="920">
        <v>0</v>
      </c>
      <c r="W38" s="924">
        <v>0</v>
      </c>
      <c r="X38" s="924">
        <v>0</v>
      </c>
      <c r="Y38" s="924">
        <v>0</v>
      </c>
      <c r="Z38" s="924">
        <v>0</v>
      </c>
      <c r="AA38" s="924">
        <v>0</v>
      </c>
      <c r="AB38" s="924">
        <v>0</v>
      </c>
      <c r="AC38" s="924">
        <v>0</v>
      </c>
    </row>
    <row r="39" spans="1:29" ht="12.75">
      <c r="A39" s="925" t="s">
        <v>236</v>
      </c>
      <c r="B39" s="920">
        <v>31</v>
      </c>
      <c r="C39" s="920">
        <v>25</v>
      </c>
      <c r="D39" s="921">
        <v>12</v>
      </c>
      <c r="E39" s="925" t="s">
        <v>236</v>
      </c>
      <c r="F39" s="924" t="s">
        <v>211</v>
      </c>
      <c r="G39" s="920">
        <v>0</v>
      </c>
      <c r="H39" s="920">
        <v>0</v>
      </c>
      <c r="I39" s="920">
        <v>0</v>
      </c>
      <c r="J39" s="920">
        <v>4</v>
      </c>
      <c r="K39" s="920">
        <v>5</v>
      </c>
      <c r="L39" s="920">
        <v>6</v>
      </c>
      <c r="M39" s="920">
        <v>7</v>
      </c>
      <c r="N39" s="920">
        <v>9</v>
      </c>
      <c r="O39" s="920">
        <v>10</v>
      </c>
      <c r="P39" s="920">
        <v>13</v>
      </c>
      <c r="Q39" s="920">
        <v>15</v>
      </c>
      <c r="R39" s="920">
        <v>16</v>
      </c>
      <c r="S39" s="920">
        <v>0</v>
      </c>
      <c r="T39" s="920">
        <v>0</v>
      </c>
      <c r="U39" s="920">
        <v>0</v>
      </c>
      <c r="V39" s="920">
        <v>0</v>
      </c>
      <c r="W39" s="924">
        <v>0</v>
      </c>
      <c r="X39" s="924">
        <v>0</v>
      </c>
      <c r="Y39" s="924">
        <v>0</v>
      </c>
      <c r="Z39" s="924">
        <v>0</v>
      </c>
      <c r="AA39" s="924">
        <v>0</v>
      </c>
      <c r="AB39" s="924">
        <v>0</v>
      </c>
      <c r="AC39" s="924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42"/>
  <sheetViews>
    <sheetView zoomScale="75" zoomScaleNormal="75" workbookViewId="0" topLeftCell="C16">
      <selection activeCell="L29" sqref="L2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0" width="11.421875" style="0" hidden="1" customWidth="1"/>
    <col min="21" max="21" width="11.00390625" style="0" hidden="1" customWidth="1"/>
    <col min="22" max="22" width="9.140625" style="0" hidden="1" customWidth="1"/>
    <col min="23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+'TOT-0209'!B2</f>
        <v>ANEXO III al Memorandum 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78" t="s">
        <v>69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155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'TOT-0209'!B14</f>
        <v>Desde el 01 al 28 de febrero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4"/>
      <c r="O14" s="20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05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95</v>
      </c>
      <c r="E16" s="908">
        <v>117.179</v>
      </c>
      <c r="F16" s="20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96</v>
      </c>
      <c r="E17" s="908">
        <v>97.649</v>
      </c>
      <c r="F17" s="208"/>
      <c r="G17" s="4"/>
      <c r="H17" s="4"/>
      <c r="I17" s="4"/>
      <c r="J17" s="214"/>
      <c r="K17" s="215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17"/>
      <c r="F18" s="4"/>
      <c r="G18" s="4"/>
      <c r="H18" s="4"/>
      <c r="I18" s="4"/>
      <c r="J18" s="4"/>
      <c r="K18" s="4"/>
      <c r="L18" s="4"/>
      <c r="M18" s="4"/>
      <c r="N18" s="2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31" t="s">
        <v>14</v>
      </c>
      <c r="F19" s="86" t="s">
        <v>15</v>
      </c>
      <c r="G19" s="220" t="s">
        <v>76</v>
      </c>
      <c r="H19" s="832" t="s">
        <v>37</v>
      </c>
      <c r="I19" s="833" t="s">
        <v>16</v>
      </c>
      <c r="J19" s="85" t="s">
        <v>17</v>
      </c>
      <c r="K19" s="183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3" t="s">
        <v>59</v>
      </c>
      <c r="Q19" s="85" t="s">
        <v>32</v>
      </c>
      <c r="R19" s="137" t="s">
        <v>20</v>
      </c>
      <c r="S19" s="834" t="s">
        <v>21</v>
      </c>
      <c r="T19" s="222" t="s">
        <v>60</v>
      </c>
      <c r="U19" s="223"/>
      <c r="V19" s="224"/>
      <c r="W19" s="835" t="s">
        <v>156</v>
      </c>
      <c r="X19" s="836"/>
      <c r="Y19" s="837"/>
      <c r="Z19" s="225" t="s">
        <v>22</v>
      </c>
      <c r="AA19" s="226" t="s">
        <v>78</v>
      </c>
      <c r="AB19" s="133" t="s">
        <v>79</v>
      </c>
      <c r="AC19" s="133" t="s">
        <v>24</v>
      </c>
      <c r="AD19" s="227"/>
    </row>
    <row r="20" spans="2:30" s="5" customFormat="1" ht="16.5" customHeight="1" thickTop="1">
      <c r="B20" s="50"/>
      <c r="C20" s="185"/>
      <c r="D20" s="887"/>
      <c r="E20" s="887"/>
      <c r="F20" s="909"/>
      <c r="G20" s="886"/>
      <c r="H20" s="888"/>
      <c r="I20" s="889"/>
      <c r="J20" s="901"/>
      <c r="K20" s="901"/>
      <c r="L20" s="886"/>
      <c r="M20" s="886"/>
      <c r="N20" s="886"/>
      <c r="O20" s="886"/>
      <c r="P20" s="886"/>
      <c r="Q20" s="886"/>
      <c r="R20" s="890"/>
      <c r="S20" s="891"/>
      <c r="T20" s="892"/>
      <c r="U20" s="893"/>
      <c r="V20" s="894"/>
      <c r="W20" s="895"/>
      <c r="X20" s="896"/>
      <c r="Y20" s="897"/>
      <c r="Z20" s="898"/>
      <c r="AA20" s="899"/>
      <c r="AB20" s="886"/>
      <c r="AC20" s="838"/>
      <c r="AD20" s="17"/>
    </row>
    <row r="21" spans="2:30" s="5" customFormat="1" ht="16.5" customHeight="1">
      <c r="B21" s="50"/>
      <c r="C21" s="289"/>
      <c r="D21" s="187"/>
      <c r="E21" s="7"/>
      <c r="F21" s="910"/>
      <c r="G21" s="187"/>
      <c r="H21" s="839"/>
      <c r="I21" s="840"/>
      <c r="J21" s="228"/>
      <c r="K21" s="116"/>
      <c r="L21" s="187"/>
      <c r="M21" s="187"/>
      <c r="N21" s="188"/>
      <c r="O21" s="187"/>
      <c r="P21" s="187"/>
      <c r="Q21" s="187"/>
      <c r="R21" s="841"/>
      <c r="S21" s="842"/>
      <c r="T21" s="843"/>
      <c r="U21" s="844"/>
      <c r="V21" s="845"/>
      <c r="W21" s="846"/>
      <c r="X21" s="847"/>
      <c r="Y21" s="848"/>
      <c r="Z21" s="229"/>
      <c r="AA21" s="230"/>
      <c r="AB21" s="187"/>
      <c r="AC21" s="231"/>
      <c r="AD21" s="17"/>
    </row>
    <row r="22" spans="2:30" s="5" customFormat="1" ht="16.5" customHeight="1">
      <c r="B22" s="50"/>
      <c r="C22" s="289">
        <v>2</v>
      </c>
      <c r="D22" s="157" t="s">
        <v>274</v>
      </c>
      <c r="E22" s="190">
        <v>220</v>
      </c>
      <c r="F22" s="911">
        <v>77</v>
      </c>
      <c r="G22" s="190" t="s">
        <v>249</v>
      </c>
      <c r="H22" s="849">
        <f aca="true" t="shared" si="0" ref="H22:H38">IF(G22="A",200,IF(G22="B",60,20))</f>
        <v>20</v>
      </c>
      <c r="I22" s="850">
        <f aca="true" t="shared" si="1" ref="I22:I38">IF(E22=500,IF(F22&lt;100,100*$E$16/100,F22*$E$16/100),IF(F22&lt;100,100*$E$17/100,F22*$E$17/100))</f>
        <v>97.649</v>
      </c>
      <c r="J22" s="851">
        <v>39846.876388888886</v>
      </c>
      <c r="K22" s="852">
        <v>39847.376388888886</v>
      </c>
      <c r="L22" s="193">
        <f aca="true" t="shared" si="2" ref="L22:L38">IF(D22="","",(K22-J22)*24)</f>
        <v>12</v>
      </c>
      <c r="M22" s="194">
        <f aca="true" t="shared" si="3" ref="M22:M38">IF(D22="","",ROUND((K22-J22)*24*60,0))</f>
        <v>720</v>
      </c>
      <c r="N22" s="234" t="s">
        <v>273</v>
      </c>
      <c r="O22" s="195" t="str">
        <f aca="true" t="shared" si="4" ref="O22:O38">IF(D22="","","--")</f>
        <v>--</v>
      </c>
      <c r="P22" s="155" t="str">
        <f aca="true" t="shared" si="5" ref="P22:P38">IF(D22="","","NO")</f>
        <v>NO</v>
      </c>
      <c r="Q22" s="155" t="str">
        <f aca="true" t="shared" si="6" ref="Q22:Q38">IF(D22="","",IF(OR(N22="P",N22="RP"),"--","NO"))</f>
        <v>NO</v>
      </c>
      <c r="R22" s="853" t="str">
        <f aca="true" t="shared" si="7" ref="R22:R38">IF(N22="P",I22*H22*ROUND(M22/60,2)*0.01,"--")</f>
        <v>--</v>
      </c>
      <c r="S22" s="854" t="str">
        <f aca="true" t="shared" si="8" ref="S22:S38">IF(N22="RP",I22*H22*ROUND(M22/60,2)*0.01*O22/100,"--")</f>
        <v>--</v>
      </c>
      <c r="T22" s="237">
        <f aca="true" t="shared" si="9" ref="T22:T38">IF(AND(N22="F",Q22="NO"),I22*H22*IF(P22="SI",1.2,1),"--")</f>
        <v>1952.98</v>
      </c>
      <c r="U22" s="238">
        <f aca="true" t="shared" si="10" ref="U22:U38">IF(AND(N22="F",M22&gt;=10),I22*H22*IF(P22="SI",1.2,1)*IF(M22&lt;=300,ROUND(M22/60,2),5),"--")</f>
        <v>9764.9</v>
      </c>
      <c r="V22" s="239">
        <f aca="true" t="shared" si="11" ref="V22:V38">IF(AND(N22="F",M22&gt;300),(ROUND(M22/60,2)-5)*I22*H22*0.1*IF(P22="SI",1.2,1),"--")</f>
        <v>1367.0860000000002</v>
      </c>
      <c r="W22" s="855" t="str">
        <f aca="true" t="shared" si="12" ref="W22:W38">IF(AND(N22="R",Q22="NO"),I22*H22*O22/100*IF(P22="SI",1.2,1),"--")</f>
        <v>--</v>
      </c>
      <c r="X22" s="856" t="str">
        <f aca="true" t="shared" si="13" ref="X22:X38">IF(AND(N22="R",M22&gt;=10),I22*H22*O22/100*IF(P22="SI",1.2,1)*IF(M22&lt;=300,ROUND(M22/60,2),5),"--")</f>
        <v>--</v>
      </c>
      <c r="Y22" s="857" t="str">
        <f aca="true" t="shared" si="14" ref="Y22:Y38">IF(AND(N22="R",M22&gt;300),(ROUND(M22/60,2)-5)*I22*H22*0.1*O22/100*IF(P22="SI",1.2,1),"--")</f>
        <v>--</v>
      </c>
      <c r="Z22" s="240" t="str">
        <f aca="true" t="shared" si="15" ref="Z22:Z38">IF(N22="RF",ROUND(M22/60,2)*I22*H22*0.1*IF(P22="SI",1.2,1),"--")</f>
        <v>--</v>
      </c>
      <c r="AA22" s="241" t="str">
        <f aca="true" t="shared" si="16" ref="AA22:AA38">IF(N22="RR",ROUND(M22/60,2)*I22*H22*0.1*O22/100*IF(P22="SI",1.2,1),"--")</f>
        <v>--</v>
      </c>
      <c r="AB22" s="858" t="s">
        <v>238</v>
      </c>
      <c r="AC22" s="16">
        <f aca="true" t="shared" si="17" ref="AC22:AC38">IF(D22="","",SUM(R22:AA22)*IF(AB22="SI",1,2))</f>
        <v>13084.966</v>
      </c>
      <c r="AD22" s="859"/>
    </row>
    <row r="23" spans="2:30" s="5" customFormat="1" ht="16.5" customHeight="1">
      <c r="B23" s="50"/>
      <c r="C23" s="157">
        <v>3</v>
      </c>
      <c r="D23" s="860" t="s">
        <v>275</v>
      </c>
      <c r="E23" s="861">
        <v>220</v>
      </c>
      <c r="F23" s="912">
        <v>114</v>
      </c>
      <c r="G23" s="861" t="s">
        <v>249</v>
      </c>
      <c r="H23" s="849">
        <f t="shared" si="0"/>
        <v>20</v>
      </c>
      <c r="I23" s="850">
        <f t="shared" si="1"/>
        <v>111.31986</v>
      </c>
      <c r="J23" s="862">
        <v>39846.876388888886</v>
      </c>
      <c r="K23" s="863">
        <v>39846.895833333336</v>
      </c>
      <c r="L23" s="193">
        <f t="shared" si="2"/>
        <v>0.466666666790843</v>
      </c>
      <c r="M23" s="194">
        <f t="shared" si="3"/>
        <v>28</v>
      </c>
      <c r="N23" s="234" t="s">
        <v>273</v>
      </c>
      <c r="O23" s="195" t="str">
        <f t="shared" si="4"/>
        <v>--</v>
      </c>
      <c r="P23" s="155" t="str">
        <f t="shared" si="5"/>
        <v>NO</v>
      </c>
      <c r="Q23" s="155" t="str">
        <f t="shared" si="6"/>
        <v>NO</v>
      </c>
      <c r="R23" s="853" t="str">
        <f t="shared" si="7"/>
        <v>--</v>
      </c>
      <c r="S23" s="854" t="str">
        <f t="shared" si="8"/>
        <v>--</v>
      </c>
      <c r="T23" s="237">
        <f t="shared" si="9"/>
        <v>2226.3972000000003</v>
      </c>
      <c r="U23" s="238">
        <f t="shared" si="10"/>
        <v>1046.406684</v>
      </c>
      <c r="V23" s="239" t="str">
        <f t="shared" si="11"/>
        <v>--</v>
      </c>
      <c r="W23" s="855" t="str">
        <f t="shared" si="12"/>
        <v>--</v>
      </c>
      <c r="X23" s="856" t="str">
        <f t="shared" si="13"/>
        <v>--</v>
      </c>
      <c r="Y23" s="857" t="str">
        <f t="shared" si="14"/>
        <v>--</v>
      </c>
      <c r="Z23" s="240" t="str">
        <f t="shared" si="15"/>
        <v>--</v>
      </c>
      <c r="AA23" s="241" t="str">
        <f t="shared" si="16"/>
        <v>--</v>
      </c>
      <c r="AB23" s="858" t="s">
        <v>238</v>
      </c>
      <c r="AC23" s="16">
        <f t="shared" si="17"/>
        <v>3272.8038840000004</v>
      </c>
      <c r="AD23" s="859"/>
    </row>
    <row r="24" spans="2:30" s="5" customFormat="1" ht="16.5" customHeight="1">
      <c r="B24" s="50"/>
      <c r="C24" s="289">
        <v>4</v>
      </c>
      <c r="D24" s="860" t="s">
        <v>276</v>
      </c>
      <c r="E24" s="861">
        <v>220</v>
      </c>
      <c r="F24" s="912">
        <v>77</v>
      </c>
      <c r="G24" s="861" t="s">
        <v>249</v>
      </c>
      <c r="H24" s="849">
        <f t="shared" si="0"/>
        <v>20</v>
      </c>
      <c r="I24" s="850">
        <f t="shared" si="1"/>
        <v>97.649</v>
      </c>
      <c r="J24" s="862">
        <v>39846.88055555556</v>
      </c>
      <c r="K24" s="863">
        <v>39847.37708333333</v>
      </c>
      <c r="L24" s="193">
        <f t="shared" si="2"/>
        <v>11.916666666569654</v>
      </c>
      <c r="M24" s="194">
        <f t="shared" si="3"/>
        <v>715</v>
      </c>
      <c r="N24" s="234" t="s">
        <v>273</v>
      </c>
      <c r="O24" s="195" t="str">
        <f t="shared" si="4"/>
        <v>--</v>
      </c>
      <c r="P24" s="155" t="str">
        <f t="shared" si="5"/>
        <v>NO</v>
      </c>
      <c r="Q24" s="155" t="str">
        <f t="shared" si="6"/>
        <v>NO</v>
      </c>
      <c r="R24" s="853" t="str">
        <f t="shared" si="7"/>
        <v>--</v>
      </c>
      <c r="S24" s="854" t="str">
        <f t="shared" si="8"/>
        <v>--</v>
      </c>
      <c r="T24" s="237">
        <f t="shared" si="9"/>
        <v>1952.98</v>
      </c>
      <c r="U24" s="238">
        <f t="shared" si="10"/>
        <v>9764.9</v>
      </c>
      <c r="V24" s="239">
        <f t="shared" si="11"/>
        <v>1351.46216</v>
      </c>
      <c r="W24" s="855" t="str">
        <f t="shared" si="12"/>
        <v>--</v>
      </c>
      <c r="X24" s="856" t="str">
        <f t="shared" si="13"/>
        <v>--</v>
      </c>
      <c r="Y24" s="857" t="str">
        <f t="shared" si="14"/>
        <v>--</v>
      </c>
      <c r="Z24" s="240" t="str">
        <f t="shared" si="15"/>
        <v>--</v>
      </c>
      <c r="AA24" s="241" t="str">
        <f t="shared" si="16"/>
        <v>--</v>
      </c>
      <c r="AB24" s="858" t="s">
        <v>238</v>
      </c>
      <c r="AC24" s="16">
        <f t="shared" si="17"/>
        <v>13069.34216</v>
      </c>
      <c r="AD24" s="859"/>
    </row>
    <row r="25" spans="2:30" s="5" customFormat="1" ht="16.5" customHeight="1">
      <c r="B25" s="50"/>
      <c r="C25" s="289">
        <v>6</v>
      </c>
      <c r="D25" s="157" t="s">
        <v>279</v>
      </c>
      <c r="E25" s="190">
        <v>500</v>
      </c>
      <c r="F25" s="911">
        <v>255</v>
      </c>
      <c r="G25" s="190" t="s">
        <v>278</v>
      </c>
      <c r="H25" s="849">
        <f t="shared" si="0"/>
        <v>60</v>
      </c>
      <c r="I25" s="850">
        <f t="shared" si="1"/>
        <v>298.80645</v>
      </c>
      <c r="J25" s="851">
        <v>39847.00555555556</v>
      </c>
      <c r="K25" s="852">
        <v>39847.51458333333</v>
      </c>
      <c r="L25" s="193">
        <f t="shared" si="2"/>
        <v>12.216666666499805</v>
      </c>
      <c r="M25" s="194">
        <f t="shared" si="3"/>
        <v>733</v>
      </c>
      <c r="N25" s="234" t="s">
        <v>273</v>
      </c>
      <c r="O25" s="195" t="str">
        <f t="shared" si="4"/>
        <v>--</v>
      </c>
      <c r="P25" s="155" t="str">
        <f t="shared" si="5"/>
        <v>NO</v>
      </c>
      <c r="Q25" s="155" t="str">
        <f t="shared" si="6"/>
        <v>NO</v>
      </c>
      <c r="R25" s="853" t="str">
        <f t="shared" si="7"/>
        <v>--</v>
      </c>
      <c r="S25" s="854" t="str">
        <f t="shared" si="8"/>
        <v>--</v>
      </c>
      <c r="T25" s="237">
        <f t="shared" si="9"/>
        <v>17928.387</v>
      </c>
      <c r="U25" s="238">
        <f t="shared" si="10"/>
        <v>89641.935</v>
      </c>
      <c r="V25" s="239">
        <f t="shared" si="11"/>
        <v>12944.295414</v>
      </c>
      <c r="W25" s="855" t="str">
        <f t="shared" si="12"/>
        <v>--</v>
      </c>
      <c r="X25" s="856" t="str">
        <f t="shared" si="13"/>
        <v>--</v>
      </c>
      <c r="Y25" s="857" t="str">
        <f t="shared" si="14"/>
        <v>--</v>
      </c>
      <c r="Z25" s="240" t="str">
        <f t="shared" si="15"/>
        <v>--</v>
      </c>
      <c r="AA25" s="241" t="str">
        <f t="shared" si="16"/>
        <v>--</v>
      </c>
      <c r="AB25" s="858" t="s">
        <v>238</v>
      </c>
      <c r="AC25" s="16">
        <f t="shared" si="17"/>
        <v>120514.61741400001</v>
      </c>
      <c r="AD25" s="859"/>
    </row>
    <row r="26" spans="2:30" s="5" customFormat="1" ht="16.5" customHeight="1">
      <c r="B26" s="50"/>
      <c r="C26" s="289">
        <v>8</v>
      </c>
      <c r="D26" s="148" t="s">
        <v>279</v>
      </c>
      <c r="E26" s="150">
        <v>500</v>
      </c>
      <c r="F26" s="913">
        <v>255</v>
      </c>
      <c r="G26" s="150" t="s">
        <v>278</v>
      </c>
      <c r="H26" s="849">
        <f t="shared" si="0"/>
        <v>60</v>
      </c>
      <c r="I26" s="850">
        <f t="shared" si="1"/>
        <v>298.80645</v>
      </c>
      <c r="J26" s="191">
        <v>39848.01944444444</v>
      </c>
      <c r="K26" s="233">
        <v>39848.44375</v>
      </c>
      <c r="L26" s="193">
        <f t="shared" si="2"/>
        <v>10.183333333348855</v>
      </c>
      <c r="M26" s="194">
        <f t="shared" si="3"/>
        <v>611</v>
      </c>
      <c r="N26" s="234" t="s">
        <v>273</v>
      </c>
      <c r="O26" s="195" t="str">
        <f t="shared" si="4"/>
        <v>--</v>
      </c>
      <c r="P26" s="155" t="str">
        <f t="shared" si="5"/>
        <v>NO</v>
      </c>
      <c r="Q26" s="155" t="str">
        <f t="shared" si="6"/>
        <v>NO</v>
      </c>
      <c r="R26" s="853" t="str">
        <f t="shared" si="7"/>
        <v>--</v>
      </c>
      <c r="S26" s="854" t="str">
        <f t="shared" si="8"/>
        <v>--</v>
      </c>
      <c r="T26" s="237">
        <f t="shared" si="9"/>
        <v>17928.387</v>
      </c>
      <c r="U26" s="238">
        <f t="shared" si="10"/>
        <v>89641.935</v>
      </c>
      <c r="V26" s="239">
        <f t="shared" si="11"/>
        <v>9286.904465999998</v>
      </c>
      <c r="W26" s="855" t="str">
        <f t="shared" si="12"/>
        <v>--</v>
      </c>
      <c r="X26" s="856" t="str">
        <f t="shared" si="13"/>
        <v>--</v>
      </c>
      <c r="Y26" s="857" t="str">
        <f t="shared" si="14"/>
        <v>--</v>
      </c>
      <c r="Z26" s="240" t="str">
        <f t="shared" si="15"/>
        <v>--</v>
      </c>
      <c r="AA26" s="241" t="str">
        <f t="shared" si="16"/>
        <v>--</v>
      </c>
      <c r="AB26" s="858" t="s">
        <v>238</v>
      </c>
      <c r="AC26" s="16">
        <f t="shared" si="17"/>
        <v>116857.226466</v>
      </c>
      <c r="AD26" s="859"/>
    </row>
    <row r="27" spans="2:30" s="5" customFormat="1" ht="16.5" customHeight="1">
      <c r="B27" s="50"/>
      <c r="C27" s="157">
        <v>9</v>
      </c>
      <c r="D27" s="148" t="s">
        <v>335</v>
      </c>
      <c r="E27" s="150">
        <v>220</v>
      </c>
      <c r="F27" s="913">
        <v>26</v>
      </c>
      <c r="G27" s="150" t="s">
        <v>249</v>
      </c>
      <c r="H27" s="849">
        <f t="shared" si="0"/>
        <v>20</v>
      </c>
      <c r="I27" s="850">
        <f t="shared" si="1"/>
        <v>97.649</v>
      </c>
      <c r="J27" s="191">
        <v>39851.39861111111</v>
      </c>
      <c r="K27" s="233">
        <v>39851.47986111111</v>
      </c>
      <c r="L27" s="193">
        <f t="shared" si="2"/>
        <v>1.9500000000698492</v>
      </c>
      <c r="M27" s="194">
        <f t="shared" si="3"/>
        <v>117</v>
      </c>
      <c r="N27" s="234" t="s">
        <v>241</v>
      </c>
      <c r="O27" s="195" t="str">
        <f t="shared" si="4"/>
        <v>--</v>
      </c>
      <c r="P27" s="155" t="str">
        <f t="shared" si="5"/>
        <v>NO</v>
      </c>
      <c r="Q27" s="155" t="str">
        <f t="shared" si="6"/>
        <v>--</v>
      </c>
      <c r="R27" s="853">
        <f t="shared" si="7"/>
        <v>38.083110000000005</v>
      </c>
      <c r="S27" s="854" t="str">
        <f t="shared" si="8"/>
        <v>--</v>
      </c>
      <c r="T27" s="237" t="str">
        <f t="shared" si="9"/>
        <v>--</v>
      </c>
      <c r="U27" s="238" t="str">
        <f t="shared" si="10"/>
        <v>--</v>
      </c>
      <c r="V27" s="239" t="str">
        <f t="shared" si="11"/>
        <v>--</v>
      </c>
      <c r="W27" s="855" t="str">
        <f t="shared" si="12"/>
        <v>--</v>
      </c>
      <c r="X27" s="856" t="str">
        <f t="shared" si="13"/>
        <v>--</v>
      </c>
      <c r="Y27" s="857" t="str">
        <f t="shared" si="14"/>
        <v>--</v>
      </c>
      <c r="Z27" s="240" t="str">
        <f t="shared" si="15"/>
        <v>--</v>
      </c>
      <c r="AA27" s="241" t="str">
        <f t="shared" si="16"/>
        <v>--</v>
      </c>
      <c r="AB27" s="858" t="s">
        <v>238</v>
      </c>
      <c r="AC27" s="16">
        <f t="shared" si="17"/>
        <v>38.083110000000005</v>
      </c>
      <c r="AD27" s="859"/>
    </row>
    <row r="28" spans="2:30" s="90" customFormat="1" ht="16.5" customHeight="1">
      <c r="B28" s="95"/>
      <c r="C28" s="289">
        <v>10</v>
      </c>
      <c r="D28" s="157" t="s">
        <v>277</v>
      </c>
      <c r="E28" s="190">
        <v>500</v>
      </c>
      <c r="F28" s="911">
        <v>345</v>
      </c>
      <c r="G28" s="190" t="s">
        <v>278</v>
      </c>
      <c r="H28" s="1323">
        <f t="shared" si="0"/>
        <v>60</v>
      </c>
      <c r="I28" s="1324">
        <f t="shared" si="1"/>
        <v>404.26754999999997</v>
      </c>
      <c r="J28" s="851">
        <v>39852.288194444445</v>
      </c>
      <c r="K28" s="852">
        <v>39852.82847222222</v>
      </c>
      <c r="L28" s="600">
        <f t="shared" si="2"/>
        <v>12.966666666674428</v>
      </c>
      <c r="M28" s="416">
        <f t="shared" si="3"/>
        <v>778</v>
      </c>
      <c r="N28" s="161" t="s">
        <v>241</v>
      </c>
      <c r="O28" s="1325" t="str">
        <f t="shared" si="4"/>
        <v>--</v>
      </c>
      <c r="P28" s="159" t="str">
        <f t="shared" si="5"/>
        <v>NO</v>
      </c>
      <c r="Q28" s="159" t="str">
        <f t="shared" si="6"/>
        <v>--</v>
      </c>
      <c r="R28" s="1326">
        <f t="shared" si="7"/>
        <v>3146.0100741</v>
      </c>
      <c r="S28" s="1327" t="str">
        <f t="shared" si="8"/>
        <v>--</v>
      </c>
      <c r="T28" s="1328" t="str">
        <f t="shared" si="9"/>
        <v>--</v>
      </c>
      <c r="U28" s="1329" t="str">
        <f t="shared" si="10"/>
        <v>--</v>
      </c>
      <c r="V28" s="1330" t="str">
        <f t="shared" si="11"/>
        <v>--</v>
      </c>
      <c r="W28" s="1331" t="str">
        <f t="shared" si="12"/>
        <v>--</v>
      </c>
      <c r="X28" s="1332" t="str">
        <f t="shared" si="13"/>
        <v>--</v>
      </c>
      <c r="Y28" s="1333" t="str">
        <f t="shared" si="14"/>
        <v>--</v>
      </c>
      <c r="Z28" s="1334" t="str">
        <f t="shared" si="15"/>
        <v>--</v>
      </c>
      <c r="AA28" s="1335" t="str">
        <f t="shared" si="16"/>
        <v>--</v>
      </c>
      <c r="AB28" s="1336" t="s">
        <v>238</v>
      </c>
      <c r="AC28" s="16">
        <f t="shared" si="17"/>
        <v>3146.0100741</v>
      </c>
      <c r="AD28" s="859"/>
    </row>
    <row r="29" spans="2:30" s="5" customFormat="1" ht="16.5" customHeight="1">
      <c r="B29" s="50"/>
      <c r="C29" s="157">
        <v>11</v>
      </c>
      <c r="D29" s="148" t="s">
        <v>336</v>
      </c>
      <c r="E29" s="150">
        <v>500</v>
      </c>
      <c r="F29" s="913">
        <v>3</v>
      </c>
      <c r="G29" s="150" t="s">
        <v>249</v>
      </c>
      <c r="H29" s="849">
        <f t="shared" si="0"/>
        <v>20</v>
      </c>
      <c r="I29" s="850">
        <f t="shared" si="1"/>
        <v>117.179</v>
      </c>
      <c r="J29" s="191">
        <v>39853.39166666667</v>
      </c>
      <c r="K29" s="233">
        <v>39853.504166666666</v>
      </c>
      <c r="L29" s="193">
        <f t="shared" si="2"/>
        <v>2.699999999895226</v>
      </c>
      <c r="M29" s="194">
        <f t="shared" si="3"/>
        <v>162</v>
      </c>
      <c r="N29" s="234" t="s">
        <v>241</v>
      </c>
      <c r="O29" s="195" t="str">
        <f t="shared" si="4"/>
        <v>--</v>
      </c>
      <c r="P29" s="155" t="str">
        <f t="shared" si="5"/>
        <v>NO</v>
      </c>
      <c r="Q29" s="155" t="str">
        <f t="shared" si="6"/>
        <v>--</v>
      </c>
      <c r="R29" s="853">
        <f t="shared" si="7"/>
        <v>63.27666</v>
      </c>
      <c r="S29" s="854" t="str">
        <f t="shared" si="8"/>
        <v>--</v>
      </c>
      <c r="T29" s="237" t="str">
        <f t="shared" si="9"/>
        <v>--</v>
      </c>
      <c r="U29" s="238" t="str">
        <f t="shared" si="10"/>
        <v>--</v>
      </c>
      <c r="V29" s="239" t="str">
        <f t="shared" si="11"/>
        <v>--</v>
      </c>
      <c r="W29" s="855" t="str">
        <f t="shared" si="12"/>
        <v>--</v>
      </c>
      <c r="X29" s="856" t="str">
        <f t="shared" si="13"/>
        <v>--</v>
      </c>
      <c r="Y29" s="857" t="str">
        <f t="shared" si="14"/>
        <v>--</v>
      </c>
      <c r="Z29" s="240" t="str">
        <f t="shared" si="15"/>
        <v>--</v>
      </c>
      <c r="AA29" s="241" t="str">
        <f t="shared" si="16"/>
        <v>--</v>
      </c>
      <c r="AB29" s="858" t="s">
        <v>238</v>
      </c>
      <c r="AC29" s="16">
        <v>0</v>
      </c>
      <c r="AD29" s="859"/>
    </row>
    <row r="30" spans="2:30" s="5" customFormat="1" ht="16.5" customHeight="1">
      <c r="B30" s="50"/>
      <c r="C30" s="289">
        <v>12</v>
      </c>
      <c r="D30" s="148" t="s">
        <v>280</v>
      </c>
      <c r="E30" s="150">
        <v>500</v>
      </c>
      <c r="F30" s="913">
        <v>4.5</v>
      </c>
      <c r="G30" s="150" t="s">
        <v>249</v>
      </c>
      <c r="H30" s="849">
        <f t="shared" si="0"/>
        <v>20</v>
      </c>
      <c r="I30" s="850">
        <f t="shared" si="1"/>
        <v>117.179</v>
      </c>
      <c r="J30" s="191">
        <v>39865.37291666667</v>
      </c>
      <c r="K30" s="192">
        <v>39865.782638888886</v>
      </c>
      <c r="L30" s="193">
        <f t="shared" si="2"/>
        <v>9.833333333255723</v>
      </c>
      <c r="M30" s="194">
        <f t="shared" si="3"/>
        <v>590</v>
      </c>
      <c r="N30" s="234" t="s">
        <v>241</v>
      </c>
      <c r="O30" s="195" t="str">
        <f t="shared" si="4"/>
        <v>--</v>
      </c>
      <c r="P30" s="155" t="str">
        <f t="shared" si="5"/>
        <v>NO</v>
      </c>
      <c r="Q30" s="155" t="str">
        <f t="shared" si="6"/>
        <v>--</v>
      </c>
      <c r="R30" s="853">
        <f t="shared" si="7"/>
        <v>230.373914</v>
      </c>
      <c r="S30" s="854" t="str">
        <f t="shared" si="8"/>
        <v>--</v>
      </c>
      <c r="T30" s="237" t="str">
        <f t="shared" si="9"/>
        <v>--</v>
      </c>
      <c r="U30" s="238" t="str">
        <f t="shared" si="10"/>
        <v>--</v>
      </c>
      <c r="V30" s="239" t="str">
        <f t="shared" si="11"/>
        <v>--</v>
      </c>
      <c r="W30" s="855" t="str">
        <f t="shared" si="12"/>
        <v>--</v>
      </c>
      <c r="X30" s="856" t="str">
        <f t="shared" si="13"/>
        <v>--</v>
      </c>
      <c r="Y30" s="857" t="str">
        <f t="shared" si="14"/>
        <v>--</v>
      </c>
      <c r="Z30" s="240" t="str">
        <f t="shared" si="15"/>
        <v>--</v>
      </c>
      <c r="AA30" s="241" t="str">
        <f t="shared" si="16"/>
        <v>--</v>
      </c>
      <c r="AB30" s="858" t="s">
        <v>238</v>
      </c>
      <c r="AC30" s="16">
        <f t="shared" si="17"/>
        <v>230.373914</v>
      </c>
      <c r="AD30" s="859"/>
    </row>
    <row r="31" spans="2:30" s="5" customFormat="1" ht="16.5" customHeight="1">
      <c r="B31" s="50"/>
      <c r="C31" s="157">
        <v>13</v>
      </c>
      <c r="D31" s="148" t="s">
        <v>280</v>
      </c>
      <c r="E31" s="150">
        <v>500</v>
      </c>
      <c r="F31" s="913">
        <v>4.5</v>
      </c>
      <c r="G31" s="150" t="s">
        <v>249</v>
      </c>
      <c r="H31" s="849">
        <f t="shared" si="0"/>
        <v>20</v>
      </c>
      <c r="I31" s="850">
        <f t="shared" si="1"/>
        <v>117.179</v>
      </c>
      <c r="J31" s="191">
        <v>39866.34861111111</v>
      </c>
      <c r="K31" s="192">
        <v>39866.77222222222</v>
      </c>
      <c r="L31" s="193">
        <f t="shared" si="2"/>
        <v>10.166666666627862</v>
      </c>
      <c r="M31" s="194">
        <f t="shared" si="3"/>
        <v>610</v>
      </c>
      <c r="N31" s="234" t="s">
        <v>241</v>
      </c>
      <c r="O31" s="195" t="str">
        <f t="shared" si="4"/>
        <v>--</v>
      </c>
      <c r="P31" s="155" t="str">
        <f t="shared" si="5"/>
        <v>NO</v>
      </c>
      <c r="Q31" s="155" t="str">
        <f t="shared" si="6"/>
        <v>--</v>
      </c>
      <c r="R31" s="853">
        <f t="shared" si="7"/>
        <v>238.342086</v>
      </c>
      <c r="S31" s="854" t="str">
        <f t="shared" si="8"/>
        <v>--</v>
      </c>
      <c r="T31" s="237" t="str">
        <f t="shared" si="9"/>
        <v>--</v>
      </c>
      <c r="U31" s="238" t="str">
        <f t="shared" si="10"/>
        <v>--</v>
      </c>
      <c r="V31" s="239" t="str">
        <f t="shared" si="11"/>
        <v>--</v>
      </c>
      <c r="W31" s="855" t="str">
        <f t="shared" si="12"/>
        <v>--</v>
      </c>
      <c r="X31" s="856" t="str">
        <f t="shared" si="13"/>
        <v>--</v>
      </c>
      <c r="Y31" s="857" t="str">
        <f t="shared" si="14"/>
        <v>--</v>
      </c>
      <c r="Z31" s="240" t="str">
        <f t="shared" si="15"/>
        <v>--</v>
      </c>
      <c r="AA31" s="241" t="str">
        <f t="shared" si="16"/>
        <v>--</v>
      </c>
      <c r="AB31" s="858" t="s">
        <v>238</v>
      </c>
      <c r="AC31" s="16">
        <f t="shared" si="17"/>
        <v>238.342086</v>
      </c>
      <c r="AD31" s="859"/>
    </row>
    <row r="32" spans="2:30" s="5" customFormat="1" ht="16.5" customHeight="1">
      <c r="B32" s="50"/>
      <c r="C32" s="289">
        <v>14</v>
      </c>
      <c r="D32" s="148" t="s">
        <v>281</v>
      </c>
      <c r="E32" s="150">
        <v>500</v>
      </c>
      <c r="F32" s="913">
        <v>53</v>
      </c>
      <c r="G32" s="150" t="s">
        <v>249</v>
      </c>
      <c r="H32" s="849">
        <f t="shared" si="0"/>
        <v>20</v>
      </c>
      <c r="I32" s="850">
        <f t="shared" si="1"/>
        <v>117.179</v>
      </c>
      <c r="J32" s="191">
        <v>39868.34722222222</v>
      </c>
      <c r="K32" s="192">
        <v>39868.740277777775</v>
      </c>
      <c r="L32" s="193">
        <f t="shared" si="2"/>
        <v>9.433333333348855</v>
      </c>
      <c r="M32" s="194">
        <f t="shared" si="3"/>
        <v>566</v>
      </c>
      <c r="N32" s="234" t="s">
        <v>241</v>
      </c>
      <c r="O32" s="195" t="str">
        <f t="shared" si="4"/>
        <v>--</v>
      </c>
      <c r="P32" s="155" t="str">
        <f t="shared" si="5"/>
        <v>NO</v>
      </c>
      <c r="Q32" s="155" t="str">
        <f t="shared" si="6"/>
        <v>--</v>
      </c>
      <c r="R32" s="853">
        <f t="shared" si="7"/>
        <v>220.999594</v>
      </c>
      <c r="S32" s="854" t="str">
        <f t="shared" si="8"/>
        <v>--</v>
      </c>
      <c r="T32" s="237" t="str">
        <f t="shared" si="9"/>
        <v>--</v>
      </c>
      <c r="U32" s="238" t="str">
        <f t="shared" si="10"/>
        <v>--</v>
      </c>
      <c r="V32" s="239" t="str">
        <f t="shared" si="11"/>
        <v>--</v>
      </c>
      <c r="W32" s="855" t="str">
        <f t="shared" si="12"/>
        <v>--</v>
      </c>
      <c r="X32" s="856" t="str">
        <f t="shared" si="13"/>
        <v>--</v>
      </c>
      <c r="Y32" s="857" t="str">
        <f t="shared" si="14"/>
        <v>--</v>
      </c>
      <c r="Z32" s="240" t="str">
        <f t="shared" si="15"/>
        <v>--</v>
      </c>
      <c r="AA32" s="241" t="str">
        <f t="shared" si="16"/>
        <v>--</v>
      </c>
      <c r="AB32" s="858" t="s">
        <v>238</v>
      </c>
      <c r="AC32" s="16">
        <f t="shared" si="17"/>
        <v>220.999594</v>
      </c>
      <c r="AD32" s="859"/>
    </row>
    <row r="33" spans="2:30" s="5" customFormat="1" ht="16.5" customHeight="1">
      <c r="B33" s="50"/>
      <c r="C33" s="157">
        <v>15</v>
      </c>
      <c r="D33" s="148" t="s">
        <v>275</v>
      </c>
      <c r="E33" s="150">
        <v>220</v>
      </c>
      <c r="F33" s="913">
        <v>114</v>
      </c>
      <c r="G33" s="150" t="s">
        <v>249</v>
      </c>
      <c r="H33" s="849">
        <f t="shared" si="0"/>
        <v>20</v>
      </c>
      <c r="I33" s="850">
        <f t="shared" si="1"/>
        <v>111.31986</v>
      </c>
      <c r="J33" s="191">
        <v>39869.350694444445</v>
      </c>
      <c r="K33" s="192">
        <v>39869.77777777778</v>
      </c>
      <c r="L33" s="193">
        <f t="shared" si="2"/>
        <v>10.250000000058208</v>
      </c>
      <c r="M33" s="194">
        <f t="shared" si="3"/>
        <v>615</v>
      </c>
      <c r="N33" s="234" t="s">
        <v>241</v>
      </c>
      <c r="O33" s="195" t="str">
        <f t="shared" si="4"/>
        <v>--</v>
      </c>
      <c r="P33" s="155" t="str">
        <f t="shared" si="5"/>
        <v>NO</v>
      </c>
      <c r="Q33" s="155" t="str">
        <f t="shared" si="6"/>
        <v>--</v>
      </c>
      <c r="R33" s="853">
        <f t="shared" si="7"/>
        <v>228.20571300000003</v>
      </c>
      <c r="S33" s="854" t="str">
        <f t="shared" si="8"/>
        <v>--</v>
      </c>
      <c r="T33" s="237" t="str">
        <f t="shared" si="9"/>
        <v>--</v>
      </c>
      <c r="U33" s="238" t="str">
        <f t="shared" si="10"/>
        <v>--</v>
      </c>
      <c r="V33" s="239" t="str">
        <f t="shared" si="11"/>
        <v>--</v>
      </c>
      <c r="W33" s="855" t="str">
        <f t="shared" si="12"/>
        <v>--</v>
      </c>
      <c r="X33" s="856" t="str">
        <f t="shared" si="13"/>
        <v>--</v>
      </c>
      <c r="Y33" s="857" t="str">
        <f t="shared" si="14"/>
        <v>--</v>
      </c>
      <c r="Z33" s="240" t="str">
        <f t="shared" si="15"/>
        <v>--</v>
      </c>
      <c r="AA33" s="241" t="str">
        <f t="shared" si="16"/>
        <v>--</v>
      </c>
      <c r="AB33" s="858" t="s">
        <v>238</v>
      </c>
      <c r="AC33" s="16">
        <f t="shared" si="17"/>
        <v>228.20571300000003</v>
      </c>
      <c r="AD33" s="859"/>
    </row>
    <row r="34" spans="2:30" s="5" customFormat="1" ht="16.5" customHeight="1">
      <c r="B34" s="50"/>
      <c r="C34" s="289">
        <v>16</v>
      </c>
      <c r="D34" s="148" t="s">
        <v>281</v>
      </c>
      <c r="E34" s="150">
        <v>500</v>
      </c>
      <c r="F34" s="913">
        <v>53</v>
      </c>
      <c r="G34" s="150" t="s">
        <v>249</v>
      </c>
      <c r="H34" s="849">
        <f t="shared" si="0"/>
        <v>20</v>
      </c>
      <c r="I34" s="850">
        <f t="shared" si="1"/>
        <v>117.179</v>
      </c>
      <c r="J34" s="191">
        <v>39869.35833333333</v>
      </c>
      <c r="K34" s="192">
        <v>39869.754166666666</v>
      </c>
      <c r="L34" s="193">
        <f t="shared" si="2"/>
        <v>9.500000000058208</v>
      </c>
      <c r="M34" s="194">
        <f t="shared" si="3"/>
        <v>570</v>
      </c>
      <c r="N34" s="234" t="s">
        <v>241</v>
      </c>
      <c r="O34" s="195" t="str">
        <f t="shared" si="4"/>
        <v>--</v>
      </c>
      <c r="P34" s="155" t="str">
        <f t="shared" si="5"/>
        <v>NO</v>
      </c>
      <c r="Q34" s="155" t="str">
        <f t="shared" si="6"/>
        <v>--</v>
      </c>
      <c r="R34" s="853">
        <f t="shared" si="7"/>
        <v>222.6401</v>
      </c>
      <c r="S34" s="854" t="str">
        <f t="shared" si="8"/>
        <v>--</v>
      </c>
      <c r="T34" s="237" t="str">
        <f t="shared" si="9"/>
        <v>--</v>
      </c>
      <c r="U34" s="238" t="str">
        <f t="shared" si="10"/>
        <v>--</v>
      </c>
      <c r="V34" s="239" t="str">
        <f t="shared" si="11"/>
        <v>--</v>
      </c>
      <c r="W34" s="855" t="str">
        <f t="shared" si="12"/>
        <v>--</v>
      </c>
      <c r="X34" s="856" t="str">
        <f t="shared" si="13"/>
        <v>--</v>
      </c>
      <c r="Y34" s="857" t="str">
        <f t="shared" si="14"/>
        <v>--</v>
      </c>
      <c r="Z34" s="240" t="str">
        <f t="shared" si="15"/>
        <v>--</v>
      </c>
      <c r="AA34" s="241" t="str">
        <f t="shared" si="16"/>
        <v>--</v>
      </c>
      <c r="AB34" s="858" t="s">
        <v>238</v>
      </c>
      <c r="AC34" s="16">
        <f t="shared" si="17"/>
        <v>222.6401</v>
      </c>
      <c r="AD34" s="859"/>
    </row>
    <row r="35" spans="2:30" s="5" customFormat="1" ht="16.5" customHeight="1">
      <c r="B35" s="50"/>
      <c r="C35" s="157">
        <v>17</v>
      </c>
      <c r="D35" s="148" t="s">
        <v>282</v>
      </c>
      <c r="E35" s="150">
        <v>220</v>
      </c>
      <c r="F35" s="913">
        <v>114</v>
      </c>
      <c r="G35" s="150" t="s">
        <v>249</v>
      </c>
      <c r="H35" s="849">
        <f t="shared" si="0"/>
        <v>20</v>
      </c>
      <c r="I35" s="850">
        <f t="shared" si="1"/>
        <v>111.31986</v>
      </c>
      <c r="J35" s="191">
        <v>39870.34444444445</v>
      </c>
      <c r="K35" s="192">
        <v>39870.75902777778</v>
      </c>
      <c r="L35" s="193">
        <f t="shared" si="2"/>
        <v>9.949999999953434</v>
      </c>
      <c r="M35" s="194">
        <f t="shared" si="3"/>
        <v>597</v>
      </c>
      <c r="N35" s="234" t="s">
        <v>241</v>
      </c>
      <c r="O35" s="195" t="str">
        <f t="shared" si="4"/>
        <v>--</v>
      </c>
      <c r="P35" s="155" t="str">
        <f t="shared" si="5"/>
        <v>NO</v>
      </c>
      <c r="Q35" s="155" t="str">
        <f t="shared" si="6"/>
        <v>--</v>
      </c>
      <c r="R35" s="853">
        <f t="shared" si="7"/>
        <v>221.52652140000004</v>
      </c>
      <c r="S35" s="854" t="str">
        <f t="shared" si="8"/>
        <v>--</v>
      </c>
      <c r="T35" s="237" t="str">
        <f t="shared" si="9"/>
        <v>--</v>
      </c>
      <c r="U35" s="238" t="str">
        <f t="shared" si="10"/>
        <v>--</v>
      </c>
      <c r="V35" s="239" t="str">
        <f t="shared" si="11"/>
        <v>--</v>
      </c>
      <c r="W35" s="855" t="str">
        <f t="shared" si="12"/>
        <v>--</v>
      </c>
      <c r="X35" s="856" t="str">
        <f t="shared" si="13"/>
        <v>--</v>
      </c>
      <c r="Y35" s="857" t="str">
        <f t="shared" si="14"/>
        <v>--</v>
      </c>
      <c r="Z35" s="240" t="str">
        <f t="shared" si="15"/>
        <v>--</v>
      </c>
      <c r="AA35" s="241" t="str">
        <f t="shared" si="16"/>
        <v>--</v>
      </c>
      <c r="AB35" s="858" t="s">
        <v>238</v>
      </c>
      <c r="AC35" s="16">
        <f t="shared" si="17"/>
        <v>221.52652140000004</v>
      </c>
      <c r="AD35" s="859"/>
    </row>
    <row r="36" spans="2:30" s="5" customFormat="1" ht="16.5" customHeight="1">
      <c r="B36" s="50"/>
      <c r="C36" s="289">
        <v>18</v>
      </c>
      <c r="D36" s="148" t="s">
        <v>281</v>
      </c>
      <c r="E36" s="150">
        <v>500</v>
      </c>
      <c r="F36" s="913">
        <v>53</v>
      </c>
      <c r="G36" s="150" t="s">
        <v>249</v>
      </c>
      <c r="H36" s="849">
        <f t="shared" si="0"/>
        <v>20</v>
      </c>
      <c r="I36" s="850">
        <f t="shared" si="1"/>
        <v>117.179</v>
      </c>
      <c r="J36" s="191">
        <v>39870.345138888886</v>
      </c>
      <c r="K36" s="192">
        <v>39870.72986111111</v>
      </c>
      <c r="L36" s="193">
        <f t="shared" si="2"/>
        <v>9.233333333395422</v>
      </c>
      <c r="M36" s="194">
        <f t="shared" si="3"/>
        <v>554</v>
      </c>
      <c r="N36" s="234" t="s">
        <v>241</v>
      </c>
      <c r="O36" s="195" t="str">
        <f t="shared" si="4"/>
        <v>--</v>
      </c>
      <c r="P36" s="155" t="str">
        <f t="shared" si="5"/>
        <v>NO</v>
      </c>
      <c r="Q36" s="155" t="str">
        <f t="shared" si="6"/>
        <v>--</v>
      </c>
      <c r="R36" s="853">
        <f t="shared" si="7"/>
        <v>216.312434</v>
      </c>
      <c r="S36" s="854" t="str">
        <f t="shared" si="8"/>
        <v>--</v>
      </c>
      <c r="T36" s="237" t="str">
        <f t="shared" si="9"/>
        <v>--</v>
      </c>
      <c r="U36" s="238" t="str">
        <f t="shared" si="10"/>
        <v>--</v>
      </c>
      <c r="V36" s="239" t="str">
        <f t="shared" si="11"/>
        <v>--</v>
      </c>
      <c r="W36" s="855" t="str">
        <f t="shared" si="12"/>
        <v>--</v>
      </c>
      <c r="X36" s="856" t="str">
        <f t="shared" si="13"/>
        <v>--</v>
      </c>
      <c r="Y36" s="857" t="str">
        <f t="shared" si="14"/>
        <v>--</v>
      </c>
      <c r="Z36" s="240" t="str">
        <f t="shared" si="15"/>
        <v>--</v>
      </c>
      <c r="AA36" s="241" t="str">
        <f t="shared" si="16"/>
        <v>--</v>
      </c>
      <c r="AB36" s="858" t="s">
        <v>238</v>
      </c>
      <c r="AC36" s="16">
        <f t="shared" si="17"/>
        <v>216.312434</v>
      </c>
      <c r="AD36" s="859"/>
    </row>
    <row r="37" spans="2:30" s="5" customFormat="1" ht="16.5" customHeight="1">
      <c r="B37" s="50"/>
      <c r="C37" s="157"/>
      <c r="D37" s="148"/>
      <c r="E37" s="150"/>
      <c r="F37" s="913"/>
      <c r="G37" s="150"/>
      <c r="H37" s="849">
        <f t="shared" si="0"/>
        <v>20</v>
      </c>
      <c r="I37" s="850">
        <f t="shared" si="1"/>
        <v>97.649</v>
      </c>
      <c r="J37" s="191"/>
      <c r="K37" s="192"/>
      <c r="L37" s="193">
        <f t="shared" si="2"/>
      </c>
      <c r="M37" s="194">
        <f t="shared" si="3"/>
      </c>
      <c r="N37" s="234"/>
      <c r="O37" s="195">
        <f t="shared" si="4"/>
      </c>
      <c r="P37" s="155">
        <f t="shared" si="5"/>
      </c>
      <c r="Q37" s="155">
        <f t="shared" si="6"/>
      </c>
      <c r="R37" s="853" t="str">
        <f t="shared" si="7"/>
        <v>--</v>
      </c>
      <c r="S37" s="854" t="str">
        <f t="shared" si="8"/>
        <v>--</v>
      </c>
      <c r="T37" s="237" t="str">
        <f t="shared" si="9"/>
        <v>--</v>
      </c>
      <c r="U37" s="238" t="str">
        <f t="shared" si="10"/>
        <v>--</v>
      </c>
      <c r="V37" s="239" t="str">
        <f t="shared" si="11"/>
        <v>--</v>
      </c>
      <c r="W37" s="855" t="str">
        <f t="shared" si="12"/>
        <v>--</v>
      </c>
      <c r="X37" s="856" t="str">
        <f t="shared" si="13"/>
        <v>--</v>
      </c>
      <c r="Y37" s="857" t="str">
        <f t="shared" si="14"/>
        <v>--</v>
      </c>
      <c r="Z37" s="240" t="str">
        <f t="shared" si="15"/>
        <v>--</v>
      </c>
      <c r="AA37" s="241" t="str">
        <f t="shared" si="16"/>
        <v>--</v>
      </c>
      <c r="AB37" s="858">
        <f>IF(D37="","","SI")</f>
      </c>
      <c r="AC37" s="16">
        <f t="shared" si="17"/>
      </c>
      <c r="AD37" s="859"/>
    </row>
    <row r="38" spans="2:30" s="5" customFormat="1" ht="16.5" customHeight="1">
      <c r="B38" s="50"/>
      <c r="C38" s="289"/>
      <c r="D38" s="148"/>
      <c r="E38" s="150"/>
      <c r="F38" s="913"/>
      <c r="G38" s="150"/>
      <c r="H38" s="849">
        <f t="shared" si="0"/>
        <v>20</v>
      </c>
      <c r="I38" s="850">
        <f t="shared" si="1"/>
        <v>97.649</v>
      </c>
      <c r="J38" s="191"/>
      <c r="K38" s="192"/>
      <c r="L38" s="193">
        <f t="shared" si="2"/>
      </c>
      <c r="M38" s="194">
        <f t="shared" si="3"/>
      </c>
      <c r="N38" s="234"/>
      <c r="O38" s="195">
        <f t="shared" si="4"/>
      </c>
      <c r="P38" s="155">
        <f t="shared" si="5"/>
      </c>
      <c r="Q38" s="155">
        <f t="shared" si="6"/>
      </c>
      <c r="R38" s="853" t="str">
        <f t="shared" si="7"/>
        <v>--</v>
      </c>
      <c r="S38" s="854" t="str">
        <f t="shared" si="8"/>
        <v>--</v>
      </c>
      <c r="T38" s="237" t="str">
        <f t="shared" si="9"/>
        <v>--</v>
      </c>
      <c r="U38" s="238" t="str">
        <f t="shared" si="10"/>
        <v>--</v>
      </c>
      <c r="V38" s="239" t="str">
        <f t="shared" si="11"/>
        <v>--</v>
      </c>
      <c r="W38" s="855" t="str">
        <f t="shared" si="12"/>
        <v>--</v>
      </c>
      <c r="X38" s="856" t="str">
        <f t="shared" si="13"/>
        <v>--</v>
      </c>
      <c r="Y38" s="857" t="str">
        <f t="shared" si="14"/>
        <v>--</v>
      </c>
      <c r="Z38" s="240" t="str">
        <f t="shared" si="15"/>
        <v>--</v>
      </c>
      <c r="AA38" s="241" t="str">
        <f t="shared" si="16"/>
        <v>--</v>
      </c>
      <c r="AB38" s="858">
        <f>IF(D38="","","SI")</f>
      </c>
      <c r="AC38" s="16">
        <f t="shared" si="17"/>
      </c>
      <c r="AD38" s="859"/>
    </row>
    <row r="39" spans="2:30" s="5" customFormat="1" ht="16.5" customHeight="1" thickBot="1">
      <c r="B39" s="50"/>
      <c r="C39" s="157"/>
      <c r="D39" s="152"/>
      <c r="E39" s="243"/>
      <c r="F39" s="907"/>
      <c r="G39" s="244"/>
      <c r="H39" s="864"/>
      <c r="I39" s="865"/>
      <c r="J39" s="902"/>
      <c r="K39" s="902"/>
      <c r="L39" s="9"/>
      <c r="M39" s="9"/>
      <c r="N39" s="154"/>
      <c r="O39" s="197"/>
      <c r="P39" s="154"/>
      <c r="Q39" s="154"/>
      <c r="R39" s="866"/>
      <c r="S39" s="867"/>
      <c r="T39" s="245"/>
      <c r="U39" s="246"/>
      <c r="V39" s="247"/>
      <c r="W39" s="868"/>
      <c r="X39" s="869"/>
      <c r="Y39" s="870"/>
      <c r="Z39" s="248"/>
      <c r="AA39" s="249"/>
      <c r="AB39" s="871"/>
      <c r="AC39" s="250"/>
      <c r="AD39" s="859"/>
    </row>
    <row r="40" spans="2:30" s="5" customFormat="1" ht="16.5" customHeight="1" thickBot="1" thickTop="1">
      <c r="B40" s="50"/>
      <c r="C40" s="128" t="s">
        <v>25</v>
      </c>
      <c r="D40" s="129" t="s">
        <v>328</v>
      </c>
      <c r="E40" s="251"/>
      <c r="F40" s="217"/>
      <c r="G40" s="252"/>
      <c r="H40" s="217"/>
      <c r="I40" s="198"/>
      <c r="J40" s="198"/>
      <c r="K40" s="198"/>
      <c r="L40" s="198"/>
      <c r="M40" s="198"/>
      <c r="N40" s="198"/>
      <c r="O40" s="253"/>
      <c r="P40" s="198"/>
      <c r="Q40" s="198"/>
      <c r="R40" s="872">
        <f aca="true" t="shared" si="18" ref="R40:AA40">SUM(R20:R39)</f>
        <v>4825.7702065</v>
      </c>
      <c r="S40" s="873">
        <f t="shared" si="18"/>
        <v>0</v>
      </c>
      <c r="T40" s="874">
        <f t="shared" si="18"/>
        <v>41989.1312</v>
      </c>
      <c r="U40" s="874">
        <f t="shared" si="18"/>
        <v>199860.076684</v>
      </c>
      <c r="V40" s="874">
        <f t="shared" si="18"/>
        <v>24949.74804</v>
      </c>
      <c r="W40" s="875">
        <f t="shared" si="18"/>
        <v>0</v>
      </c>
      <c r="X40" s="875">
        <f t="shared" si="18"/>
        <v>0</v>
      </c>
      <c r="Y40" s="875">
        <f t="shared" si="18"/>
        <v>0</v>
      </c>
      <c r="Z40" s="254">
        <f t="shared" si="18"/>
        <v>0</v>
      </c>
      <c r="AA40" s="255">
        <f t="shared" si="18"/>
        <v>0</v>
      </c>
      <c r="AB40" s="256"/>
      <c r="AC40" s="257">
        <f>ROUND(SUM(AC20:AC39),2)</f>
        <v>271561.45</v>
      </c>
      <c r="AD40" s="859"/>
    </row>
    <row r="41" spans="2:30" s="5" customFormat="1" ht="16.5" customHeight="1" thickBot="1" thickTop="1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</row>
    <row r="42" spans="2:30" ht="16.5" customHeight="1" thickTop="1">
      <c r="B42" s="1"/>
      <c r="AD42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64"/>
  <sheetViews>
    <sheetView zoomScale="70" zoomScaleNormal="70" workbookViewId="0" topLeftCell="B1">
      <selection activeCell="D5" sqref="D5"/>
    </sheetView>
  </sheetViews>
  <sheetFormatPr defaultColWidth="11.421875" defaultRowHeight="12.75" outlineLevelCol="1"/>
  <cols>
    <col min="1" max="1" width="22.00390625" style="1242" customWidth="1"/>
    <col min="2" max="2" width="15.7109375" style="1242" customWidth="1"/>
    <col min="3" max="3" width="4.57421875" style="1242" customWidth="1"/>
    <col min="4" max="4" width="5.28125" style="1242" customWidth="1"/>
    <col min="5" max="5" width="4.7109375" style="1242" customWidth="1"/>
    <col min="6" max="6" width="41.28125" style="1242" customWidth="1"/>
    <col min="7" max="7" width="7.7109375" style="1242" customWidth="1"/>
    <col min="8" max="8" width="13.140625" style="1242" customWidth="1"/>
    <col min="9" max="9" width="6.140625" style="1242" customWidth="1"/>
    <col min="10" max="10" width="4.421875" style="1242" hidden="1" customWidth="1"/>
    <col min="11" max="11" width="8.8515625" style="1242" hidden="1" customWidth="1"/>
    <col min="12" max="13" width="16.28125" style="1242" customWidth="1"/>
    <col min="14" max="14" width="7.140625" style="1244" customWidth="1"/>
    <col min="15" max="15" width="7.8515625" style="1242" customWidth="1"/>
    <col min="16" max="16" width="7.140625" style="1242" customWidth="1"/>
    <col min="17" max="17" width="6.57421875" style="1242" customWidth="1"/>
    <col min="18" max="18" width="5.421875" style="1242" customWidth="1"/>
    <col min="19" max="19" width="6.00390625" style="1242" bestFit="1" customWidth="1"/>
    <col min="20" max="20" width="48.00390625" style="1242" hidden="1" customWidth="1"/>
    <col min="21" max="21" width="12.8515625" style="1242" hidden="1" customWidth="1"/>
    <col min="22" max="22" width="12.140625" style="1242" hidden="1" customWidth="1"/>
    <col min="23" max="23" width="13.28125" style="1245" bestFit="1" customWidth="1"/>
    <col min="24" max="24" width="8.57421875" style="1242" customWidth="1"/>
    <col min="25" max="25" width="9.00390625" style="1242" customWidth="1"/>
    <col min="26" max="26" width="8.140625" style="1245" customWidth="1"/>
    <col min="27" max="27" width="8.57421875" style="1245" customWidth="1"/>
    <col min="28" max="28" width="4.140625" style="1245" bestFit="1" customWidth="1"/>
    <col min="29" max="29" width="8.57421875" style="1245" bestFit="1" customWidth="1"/>
    <col min="30" max="30" width="7.57421875" style="1245" bestFit="1" customWidth="1"/>
    <col min="31" max="31" width="11.8515625" style="1245" customWidth="1"/>
    <col min="32" max="32" width="16.57421875" style="1245" hidden="1" customWidth="1" outlineLevel="1"/>
    <col min="33" max="33" width="15.7109375" style="1242" hidden="1" customWidth="1" outlineLevel="1"/>
    <col min="34" max="34" width="15.8515625" style="1242" hidden="1" customWidth="1" outlineLevel="1"/>
    <col min="35" max="35" width="48.140625" style="1242" hidden="1" customWidth="1" outlineLevel="1"/>
    <col min="36" max="37" width="12.140625" style="1242" hidden="1" customWidth="1" outlineLevel="1"/>
    <col min="38" max="38" width="18.00390625" style="1242" customWidth="1" collapsed="1"/>
    <col min="39" max="39" width="15.28125" style="1242" customWidth="1"/>
    <col min="40" max="40" width="12.28125" style="1242" customWidth="1"/>
    <col min="41" max="41" width="30.421875" style="1242" customWidth="1"/>
    <col min="42" max="42" width="3.140625" style="1242" customWidth="1"/>
    <col min="43" max="43" width="3.57421875" style="1242" customWidth="1"/>
    <col min="44" max="44" width="24.28125" style="1242" customWidth="1"/>
    <col min="45" max="45" width="4.7109375" style="1242" customWidth="1"/>
    <col min="46" max="46" width="7.57421875" style="1242" customWidth="1"/>
    <col min="47" max="48" width="4.140625" style="1242" customWidth="1"/>
    <col min="49" max="49" width="7.140625" style="1242" customWidth="1"/>
    <col min="50" max="50" width="5.28125" style="1242" customWidth="1"/>
    <col min="51" max="51" width="5.421875" style="1242" customWidth="1"/>
    <col min="52" max="52" width="4.7109375" style="1242" customWidth="1"/>
    <col min="53" max="53" width="5.28125" style="1242" customWidth="1"/>
    <col min="54" max="55" width="13.28125" style="1242" customWidth="1"/>
    <col min="56" max="56" width="6.57421875" style="1242" customWidth="1"/>
    <col min="57" max="57" width="6.421875" style="1242" customWidth="1"/>
    <col min="58" max="61" width="11.421875" style="1242" customWidth="1"/>
    <col min="62" max="62" width="12.7109375" style="1242" customWidth="1"/>
    <col min="63" max="65" width="11.421875" style="1242" customWidth="1"/>
    <col min="66" max="66" width="21.00390625" style="1242" customWidth="1"/>
    <col min="67" max="16384" width="11.421875" style="1242" customWidth="1"/>
  </cols>
  <sheetData>
    <row r="1" ht="12.75"/>
    <row r="2" spans="1:40" s="1060" customFormat="1" ht="26.25">
      <c r="A2" s="1059"/>
      <c r="B2" s="1356" t="str">
        <f>+'TOT-0209'!B2</f>
        <v>ANEXO III al Memorandum  D.T.E.E. N°  770        /2010</v>
      </c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56"/>
      <c r="P2" s="1356"/>
      <c r="Q2" s="1356"/>
      <c r="R2" s="1356"/>
      <c r="S2" s="1356"/>
      <c r="T2" s="1356"/>
      <c r="U2" s="1356"/>
      <c r="V2" s="1356"/>
      <c r="W2" s="1356"/>
      <c r="X2" s="1356"/>
      <c r="Y2" s="1356"/>
      <c r="Z2" s="1356"/>
      <c r="AA2" s="1356"/>
      <c r="AB2" s="1356"/>
      <c r="AC2" s="1356"/>
      <c r="AD2" s="1356"/>
      <c r="AE2" s="1356"/>
      <c r="AF2" s="1356"/>
      <c r="AG2" s="1356"/>
      <c r="AH2" s="1356"/>
      <c r="AI2" s="1356"/>
      <c r="AJ2" s="1356"/>
      <c r="AK2" s="1356"/>
      <c r="AL2" s="1356"/>
      <c r="AM2" s="1356"/>
      <c r="AN2" s="1356"/>
    </row>
    <row r="3" spans="1:40" s="1060" customFormat="1" ht="26.25">
      <c r="A3" s="1059"/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2"/>
      <c r="O3" s="1061"/>
      <c r="P3" s="1061"/>
      <c r="Q3" s="1061"/>
      <c r="R3" s="1061"/>
      <c r="S3" s="1061"/>
      <c r="T3" s="1061"/>
      <c r="U3" s="1061"/>
      <c r="V3" s="1061"/>
      <c r="W3" s="1062"/>
      <c r="X3" s="1061"/>
      <c r="Y3" s="1061"/>
      <c r="Z3" s="1062"/>
      <c r="AA3" s="1062"/>
      <c r="AB3" s="1062"/>
      <c r="AC3" s="1062"/>
      <c r="AD3" s="1062"/>
      <c r="AE3" s="1062"/>
      <c r="AF3" s="1062"/>
      <c r="AG3" s="1061"/>
      <c r="AH3" s="1061"/>
      <c r="AI3" s="1061"/>
      <c r="AJ3" s="1061"/>
      <c r="AK3" s="1061"/>
      <c r="AL3" s="1061"/>
      <c r="AM3" s="1061"/>
      <c r="AN3" s="1061"/>
    </row>
    <row r="4" spans="1:32" s="1064" customFormat="1" ht="12.75">
      <c r="A4" s="1063"/>
      <c r="N4" s="1063"/>
      <c r="W4" s="1063"/>
      <c r="Z4" s="1063"/>
      <c r="AA4" s="1063"/>
      <c r="AB4" s="1063"/>
      <c r="AC4" s="1063"/>
      <c r="AD4" s="1063"/>
      <c r="AE4" s="1063"/>
      <c r="AF4" s="1063"/>
    </row>
    <row r="5" spans="1:32" s="1067" customFormat="1" ht="11.25">
      <c r="A5" s="1065" t="s">
        <v>2</v>
      </c>
      <c r="B5" s="1066"/>
      <c r="C5" s="1066"/>
      <c r="D5" s="1066"/>
      <c r="N5" s="1068"/>
      <c r="W5" s="1068"/>
      <c r="Z5" s="1068"/>
      <c r="AA5" s="1068"/>
      <c r="AB5" s="1068"/>
      <c r="AC5" s="1068"/>
      <c r="AD5" s="1068"/>
      <c r="AE5" s="1068"/>
      <c r="AF5" s="1068"/>
    </row>
    <row r="6" spans="1:32" s="1067" customFormat="1" ht="12" thickBot="1">
      <c r="A6" s="1065" t="s">
        <v>3</v>
      </c>
      <c r="B6" s="1066"/>
      <c r="C6" s="1066"/>
      <c r="D6" s="1066"/>
      <c r="N6" s="1068"/>
      <c r="W6" s="1068"/>
      <c r="Z6" s="1068"/>
      <c r="AA6" s="1068"/>
      <c r="AB6" s="1068"/>
      <c r="AC6" s="1068"/>
      <c r="AD6" s="1068"/>
      <c r="AE6" s="1068"/>
      <c r="AF6" s="1068"/>
    </row>
    <row r="7" spans="2:40" s="1064" customFormat="1" ht="12.75">
      <c r="B7" s="1255"/>
      <c r="C7" s="1256"/>
      <c r="D7" s="1256"/>
      <c r="E7" s="1256"/>
      <c r="F7" s="1256"/>
      <c r="G7" s="1257"/>
      <c r="H7" s="1256"/>
      <c r="I7" s="1256"/>
      <c r="J7" s="1256"/>
      <c r="K7" s="1256"/>
      <c r="L7" s="1256"/>
      <c r="M7" s="1256"/>
      <c r="N7" s="1258"/>
      <c r="O7" s="1256"/>
      <c r="P7" s="1256"/>
      <c r="Q7" s="1256"/>
      <c r="R7" s="1256"/>
      <c r="S7" s="1256"/>
      <c r="T7" s="1256"/>
      <c r="U7" s="1256"/>
      <c r="V7" s="1256"/>
      <c r="W7" s="1258"/>
      <c r="X7" s="1256"/>
      <c r="Y7" s="1256"/>
      <c r="Z7" s="1258"/>
      <c r="AA7" s="1258"/>
      <c r="AB7" s="1258"/>
      <c r="AC7" s="1258"/>
      <c r="AD7" s="1258"/>
      <c r="AE7" s="1258"/>
      <c r="AF7" s="1258"/>
      <c r="AG7" s="1256"/>
      <c r="AH7" s="1256"/>
      <c r="AI7" s="1256"/>
      <c r="AJ7" s="1256"/>
      <c r="AK7" s="1256"/>
      <c r="AL7" s="1256"/>
      <c r="AM7" s="1256"/>
      <c r="AN7" s="1259"/>
    </row>
    <row r="8" spans="2:40" s="1069" customFormat="1" ht="20.25">
      <c r="B8" s="1260"/>
      <c r="C8" s="1070"/>
      <c r="D8" s="1070"/>
      <c r="E8" s="1070"/>
      <c r="F8" s="1071" t="s">
        <v>69</v>
      </c>
      <c r="G8" s="1070"/>
      <c r="H8" s="1070"/>
      <c r="I8" s="1070"/>
      <c r="J8" s="1070"/>
      <c r="K8" s="1070"/>
      <c r="L8" s="1070"/>
      <c r="M8" s="1070"/>
      <c r="N8" s="1073"/>
      <c r="O8" s="1070"/>
      <c r="P8" s="1070"/>
      <c r="Q8" s="1070"/>
      <c r="R8" s="1072"/>
      <c r="S8" s="1072"/>
      <c r="T8" s="1070"/>
      <c r="U8" s="1070"/>
      <c r="V8" s="1070"/>
      <c r="W8" s="1073"/>
      <c r="X8" s="1070"/>
      <c r="Y8" s="1070"/>
      <c r="Z8" s="1073"/>
      <c r="AA8" s="1073"/>
      <c r="AB8" s="1073"/>
      <c r="AC8" s="1073"/>
      <c r="AD8" s="1073"/>
      <c r="AE8" s="1073"/>
      <c r="AF8" s="1073"/>
      <c r="AG8" s="1070"/>
      <c r="AH8" s="1070"/>
      <c r="AI8" s="1070"/>
      <c r="AJ8" s="1070"/>
      <c r="AK8" s="1070"/>
      <c r="AL8" s="1070"/>
      <c r="AM8" s="1070"/>
      <c r="AN8" s="1261"/>
    </row>
    <row r="9" spans="2:40" s="1064" customFormat="1" ht="12.75">
      <c r="B9" s="1262"/>
      <c r="C9" s="1074"/>
      <c r="D9" s="1074"/>
      <c r="E9" s="1074"/>
      <c r="F9" s="1074"/>
      <c r="G9" s="1074"/>
      <c r="H9" s="1074"/>
      <c r="I9" s="1074"/>
      <c r="J9" s="1074"/>
      <c r="K9" s="1074"/>
      <c r="L9" s="1074"/>
      <c r="M9" s="1074"/>
      <c r="N9" s="1075"/>
      <c r="O9" s="1074"/>
      <c r="P9" s="1074"/>
      <c r="Q9" s="1074"/>
      <c r="R9" s="1074"/>
      <c r="S9" s="1074"/>
      <c r="T9" s="1074"/>
      <c r="U9" s="1074"/>
      <c r="V9" s="1074"/>
      <c r="W9" s="1075"/>
      <c r="X9" s="1074"/>
      <c r="Y9" s="1074"/>
      <c r="Z9" s="1075"/>
      <c r="AA9" s="1075"/>
      <c r="AB9" s="1075"/>
      <c r="AC9" s="1075"/>
      <c r="AD9" s="1075"/>
      <c r="AE9" s="1075"/>
      <c r="AF9" s="1075"/>
      <c r="AG9" s="1074"/>
      <c r="AH9" s="1074"/>
      <c r="AI9" s="1074"/>
      <c r="AJ9" s="1074"/>
      <c r="AK9" s="1074"/>
      <c r="AL9" s="1074"/>
      <c r="AM9" s="1074"/>
      <c r="AN9" s="1263"/>
    </row>
    <row r="10" spans="2:40" s="1069" customFormat="1" ht="20.25">
      <c r="B10" s="1260"/>
      <c r="C10" s="1070"/>
      <c r="D10" s="1070"/>
      <c r="E10" s="1070"/>
      <c r="F10" s="1076" t="s">
        <v>398</v>
      </c>
      <c r="G10" s="1070"/>
      <c r="H10" s="1070"/>
      <c r="I10" s="1070"/>
      <c r="J10" s="1070"/>
      <c r="K10" s="1070"/>
      <c r="L10" s="1070"/>
      <c r="M10" s="1070"/>
      <c r="N10" s="1073"/>
      <c r="O10" s="1070"/>
      <c r="P10" s="1070"/>
      <c r="Q10" s="1070"/>
      <c r="R10" s="1070"/>
      <c r="S10" s="1070"/>
      <c r="T10" s="1070"/>
      <c r="U10" s="1070"/>
      <c r="V10" s="1070"/>
      <c r="W10" s="1073"/>
      <c r="X10" s="1070"/>
      <c r="Y10" s="1070"/>
      <c r="Z10" s="1073"/>
      <c r="AA10" s="1073"/>
      <c r="AB10" s="1073"/>
      <c r="AC10" s="1073"/>
      <c r="AD10" s="1073"/>
      <c r="AE10" s="1073"/>
      <c r="AF10" s="1073"/>
      <c r="AG10" s="1070"/>
      <c r="AH10" s="1070"/>
      <c r="AI10" s="1070"/>
      <c r="AJ10" s="1070"/>
      <c r="AK10" s="1070"/>
      <c r="AL10" s="1070"/>
      <c r="AM10" s="1070"/>
      <c r="AN10" s="1261"/>
    </row>
    <row r="11" spans="2:40" s="1064" customFormat="1" ht="12.75">
      <c r="B11" s="1262"/>
      <c r="C11" s="1074"/>
      <c r="D11" s="1074"/>
      <c r="E11" s="1074"/>
      <c r="F11" s="1074"/>
      <c r="G11" s="1074"/>
      <c r="H11" s="1074"/>
      <c r="I11" s="1074"/>
      <c r="J11" s="1074"/>
      <c r="K11" s="1074"/>
      <c r="L11" s="1074"/>
      <c r="M11" s="1074"/>
      <c r="N11" s="1075"/>
      <c r="O11" s="1074"/>
      <c r="P11" s="1074"/>
      <c r="Q11" s="1074"/>
      <c r="R11" s="1074"/>
      <c r="S11" s="1074"/>
      <c r="T11" s="1074"/>
      <c r="U11" s="1074"/>
      <c r="V11" s="1074"/>
      <c r="W11" s="1075"/>
      <c r="X11" s="1074"/>
      <c r="Y11" s="1074"/>
      <c r="Z11" s="1075"/>
      <c r="AA11" s="1075"/>
      <c r="AB11" s="1075"/>
      <c r="AC11" s="1075"/>
      <c r="AD11" s="1075"/>
      <c r="AE11" s="1075"/>
      <c r="AF11" s="1075"/>
      <c r="AG11" s="1074"/>
      <c r="AH11" s="1074"/>
      <c r="AI11" s="1074"/>
      <c r="AJ11" s="1074"/>
      <c r="AK11" s="1074"/>
      <c r="AL11" s="1074"/>
      <c r="AM11" s="1074"/>
      <c r="AN11" s="1263"/>
    </row>
    <row r="12" spans="2:40" s="1064" customFormat="1" ht="12.75">
      <c r="B12" s="1262"/>
      <c r="C12" s="1074"/>
      <c r="D12" s="1074"/>
      <c r="E12" s="1074"/>
      <c r="F12" s="1074"/>
      <c r="G12" s="1074"/>
      <c r="H12" s="1074"/>
      <c r="I12" s="1074"/>
      <c r="J12" s="1074"/>
      <c r="K12" s="1074"/>
      <c r="L12" s="1074"/>
      <c r="M12" s="1074"/>
      <c r="N12" s="1075"/>
      <c r="O12" s="1074"/>
      <c r="P12" s="1074"/>
      <c r="Q12" s="1074"/>
      <c r="R12" s="1074"/>
      <c r="S12" s="1074"/>
      <c r="T12" s="1074"/>
      <c r="U12" s="1074"/>
      <c r="V12" s="1074"/>
      <c r="W12" s="1075"/>
      <c r="X12" s="1074"/>
      <c r="Y12" s="1074"/>
      <c r="Z12" s="1075"/>
      <c r="AA12" s="1075"/>
      <c r="AB12" s="1075"/>
      <c r="AC12" s="1075"/>
      <c r="AD12" s="1075"/>
      <c r="AE12" s="1075"/>
      <c r="AF12" s="1075"/>
      <c r="AG12" s="1074"/>
      <c r="AH12" s="1074"/>
      <c r="AI12" s="1074"/>
      <c r="AJ12" s="1074"/>
      <c r="AK12" s="1074"/>
      <c r="AL12" s="1074"/>
      <c r="AM12" s="1074"/>
      <c r="AN12" s="1263"/>
    </row>
    <row r="13" spans="2:40" s="1077" customFormat="1" ht="19.5">
      <c r="B13" s="1264" t="str">
        <f>+'TOT-0209'!B14</f>
        <v>Desde el 01 al 28 de febrero de 2009</v>
      </c>
      <c r="C13" s="1078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9"/>
      <c r="O13" s="1078"/>
      <c r="P13" s="1078"/>
      <c r="Q13" s="1078"/>
      <c r="R13" s="1078"/>
      <c r="S13" s="1078"/>
      <c r="T13" s="1078"/>
      <c r="U13" s="1078"/>
      <c r="V13" s="1078"/>
      <c r="W13" s="1079"/>
      <c r="X13" s="1078"/>
      <c r="Y13" s="1078"/>
      <c r="Z13" s="1079"/>
      <c r="AA13" s="1079"/>
      <c r="AB13" s="1079"/>
      <c r="AC13" s="1079"/>
      <c r="AD13" s="1079"/>
      <c r="AE13" s="1079"/>
      <c r="AF13" s="1079"/>
      <c r="AG13" s="1078"/>
      <c r="AH13" s="1078"/>
      <c r="AI13" s="1078"/>
      <c r="AJ13" s="1078"/>
      <c r="AK13" s="1078"/>
      <c r="AL13" s="1078"/>
      <c r="AM13" s="1078"/>
      <c r="AN13" s="1265"/>
    </row>
    <row r="14" spans="2:40" s="1064" customFormat="1" ht="16.5" customHeight="1" thickBot="1">
      <c r="B14" s="1262"/>
      <c r="C14" s="1074"/>
      <c r="D14" s="1074"/>
      <c r="E14" s="1074"/>
      <c r="F14" s="1074"/>
      <c r="G14" s="1080"/>
      <c r="H14" s="1080"/>
      <c r="I14" s="1074"/>
      <c r="J14" s="1074"/>
      <c r="K14" s="1074"/>
      <c r="L14" s="1081"/>
      <c r="M14" s="1074"/>
      <c r="N14" s="1075"/>
      <c r="O14" s="1074"/>
      <c r="P14" s="1074"/>
      <c r="Q14" s="1074"/>
      <c r="R14" s="1074"/>
      <c r="S14" s="1074"/>
      <c r="T14" s="1074"/>
      <c r="U14" s="1074"/>
      <c r="V14" s="1074"/>
      <c r="W14" s="1075"/>
      <c r="X14" s="1074"/>
      <c r="Y14" s="1074"/>
      <c r="Z14" s="1075"/>
      <c r="AA14" s="1075"/>
      <c r="AB14" s="1075"/>
      <c r="AC14" s="1075"/>
      <c r="AD14" s="1075"/>
      <c r="AE14" s="1075"/>
      <c r="AF14" s="1075"/>
      <c r="AG14" s="1074"/>
      <c r="AH14" s="1074"/>
      <c r="AI14" s="1074"/>
      <c r="AJ14" s="1074"/>
      <c r="AK14" s="1074"/>
      <c r="AL14" s="1074"/>
      <c r="AM14" s="1074"/>
      <c r="AN14" s="1263"/>
    </row>
    <row r="15" spans="2:40" s="1064" customFormat="1" ht="16.5" customHeight="1" thickBot="1" thickTop="1">
      <c r="B15" s="1262"/>
      <c r="C15" s="1074"/>
      <c r="D15" s="1074"/>
      <c r="E15" s="1074"/>
      <c r="F15" s="1082" t="s">
        <v>95</v>
      </c>
      <c r="G15" s="908">
        <v>117.179</v>
      </c>
      <c r="H15" s="208"/>
      <c r="I15" s="1074"/>
      <c r="J15" s="1074"/>
      <c r="K15" s="1074"/>
      <c r="L15" s="1083"/>
      <c r="M15" s="1074"/>
      <c r="N15" s="1075"/>
      <c r="O15" s="1074"/>
      <c r="P15" s="1074"/>
      <c r="Q15" s="1074"/>
      <c r="R15" s="1074"/>
      <c r="S15" s="1074"/>
      <c r="T15" s="1084" t="s">
        <v>355</v>
      </c>
      <c r="U15" s="1085"/>
      <c r="V15" s="1086"/>
      <c r="W15" s="1075"/>
      <c r="X15" s="1074"/>
      <c r="Y15" s="1074"/>
      <c r="Z15" s="1075"/>
      <c r="AA15" s="1075"/>
      <c r="AB15" s="1075"/>
      <c r="AC15" s="1075"/>
      <c r="AD15" s="1075"/>
      <c r="AE15" s="1075"/>
      <c r="AF15" s="1075"/>
      <c r="AG15" s="1074"/>
      <c r="AH15" s="1074"/>
      <c r="AI15" s="1087" t="s">
        <v>355</v>
      </c>
      <c r="AJ15" s="1088"/>
      <c r="AK15" s="1089"/>
      <c r="AL15" s="1074"/>
      <c r="AM15" s="1074"/>
      <c r="AN15" s="1263"/>
    </row>
    <row r="16" spans="2:40" s="1064" customFormat="1" ht="16.5" customHeight="1" thickBot="1" thickTop="1">
      <c r="B16" s="1262"/>
      <c r="C16" s="1074"/>
      <c r="D16" s="1074"/>
      <c r="E16" s="1074"/>
      <c r="F16" s="1082" t="s">
        <v>96</v>
      </c>
      <c r="G16" s="908">
        <v>97.649</v>
      </c>
      <c r="H16" s="208"/>
      <c r="I16" s="1074"/>
      <c r="J16" s="1074"/>
      <c r="K16" s="1074"/>
      <c r="L16" s="1083"/>
      <c r="M16" s="1090"/>
      <c r="N16" s="1075"/>
      <c r="O16" s="1074"/>
      <c r="P16" s="1074"/>
      <c r="Q16" s="1074"/>
      <c r="R16" s="1074"/>
      <c r="S16" s="1074"/>
      <c r="T16" s="1091" t="s">
        <v>356</v>
      </c>
      <c r="U16" s="1092"/>
      <c r="V16" s="1093"/>
      <c r="W16" s="1075"/>
      <c r="X16" s="1094"/>
      <c r="Y16" s="1074"/>
      <c r="Z16" s="1075"/>
      <c r="AA16" s="1075"/>
      <c r="AB16" s="1075"/>
      <c r="AC16" s="1075"/>
      <c r="AD16" s="1075"/>
      <c r="AE16" s="1075"/>
      <c r="AF16" s="1075"/>
      <c r="AG16" s="1074"/>
      <c r="AH16" s="1074"/>
      <c r="AI16" s="1095" t="s">
        <v>357</v>
      </c>
      <c r="AJ16" s="1096"/>
      <c r="AK16" s="1097"/>
      <c r="AL16" s="1098"/>
      <c r="AM16" s="1098"/>
      <c r="AN16" s="1266"/>
    </row>
    <row r="17" spans="2:40" s="1064" customFormat="1" ht="16.5" customHeight="1" thickBot="1" thickTop="1">
      <c r="B17" s="1262"/>
      <c r="C17" s="1074"/>
      <c r="D17" s="1074"/>
      <c r="E17" s="1074"/>
      <c r="F17" s="1074"/>
      <c r="G17" s="1099"/>
      <c r="H17" s="1074"/>
      <c r="I17" s="1074"/>
      <c r="J17" s="1074"/>
      <c r="K17" s="1074"/>
      <c r="L17" s="1074"/>
      <c r="M17" s="1074"/>
      <c r="N17" s="1075"/>
      <c r="O17" s="1074"/>
      <c r="P17" s="1100"/>
      <c r="Q17" s="1074"/>
      <c r="R17" s="1074"/>
      <c r="S17" s="1074"/>
      <c r="T17" s="1101" t="s">
        <v>358</v>
      </c>
      <c r="U17" s="1102"/>
      <c r="V17" s="1103"/>
      <c r="W17" s="1075"/>
      <c r="X17" s="1074"/>
      <c r="Y17" s="1074"/>
      <c r="Z17" s="1075"/>
      <c r="AA17" s="1075"/>
      <c r="AB17" s="1075"/>
      <c r="AC17" s="1075"/>
      <c r="AD17" s="1075"/>
      <c r="AE17" s="1075"/>
      <c r="AF17" s="1075"/>
      <c r="AG17" s="1074"/>
      <c r="AH17" s="1074"/>
      <c r="AI17" s="1104" t="s">
        <v>359</v>
      </c>
      <c r="AJ17" s="1105"/>
      <c r="AK17" s="1106"/>
      <c r="AL17" s="1074"/>
      <c r="AM17" s="1074"/>
      <c r="AN17" s="1263"/>
    </row>
    <row r="18" spans="2:40" s="1107" customFormat="1" ht="67.5" customHeight="1" thickBot="1" thickTop="1">
      <c r="B18" s="1267"/>
      <c r="C18" s="1108"/>
      <c r="D18" s="1109" t="s">
        <v>360</v>
      </c>
      <c r="E18" s="1110" t="s">
        <v>13</v>
      </c>
      <c r="F18" s="1111" t="s">
        <v>0</v>
      </c>
      <c r="G18" s="1112" t="s">
        <v>14</v>
      </c>
      <c r="H18" s="1111" t="s">
        <v>15</v>
      </c>
      <c r="I18" s="1113" t="s">
        <v>76</v>
      </c>
      <c r="J18" s="1114" t="s">
        <v>37</v>
      </c>
      <c r="K18" s="1115" t="s">
        <v>16</v>
      </c>
      <c r="L18" s="1111" t="s">
        <v>17</v>
      </c>
      <c r="M18" s="1116" t="s">
        <v>18</v>
      </c>
      <c r="N18" s="1117" t="s">
        <v>36</v>
      </c>
      <c r="O18" s="1118" t="s">
        <v>31</v>
      </c>
      <c r="P18" s="1116" t="s">
        <v>19</v>
      </c>
      <c r="Q18" s="1111" t="s">
        <v>58</v>
      </c>
      <c r="R18" s="1116" t="s">
        <v>59</v>
      </c>
      <c r="S18" s="1111" t="s">
        <v>32</v>
      </c>
      <c r="T18" s="1119" t="s">
        <v>60</v>
      </c>
      <c r="U18" s="1120"/>
      <c r="V18" s="1121"/>
      <c r="W18" s="1122" t="s">
        <v>361</v>
      </c>
      <c r="X18" s="1110" t="s">
        <v>362</v>
      </c>
      <c r="Y18" s="1110" t="s">
        <v>363</v>
      </c>
      <c r="Z18" s="1122" t="s">
        <v>364</v>
      </c>
      <c r="AA18" s="1122" t="s">
        <v>365</v>
      </c>
      <c r="AB18" s="1122" t="s">
        <v>366</v>
      </c>
      <c r="AC18" s="1122" t="s">
        <v>367</v>
      </c>
      <c r="AD18" s="1122" t="s">
        <v>368</v>
      </c>
      <c r="AE18" s="1122" t="s">
        <v>369</v>
      </c>
      <c r="AF18" s="1123" t="s">
        <v>370</v>
      </c>
      <c r="AG18" s="1123" t="s">
        <v>371</v>
      </c>
      <c r="AH18" s="1123" t="s">
        <v>372</v>
      </c>
      <c r="AI18" s="1119" t="s">
        <v>60</v>
      </c>
      <c r="AJ18" s="1120"/>
      <c r="AK18" s="1121"/>
      <c r="AL18" s="1122" t="s">
        <v>373</v>
      </c>
      <c r="AM18" s="1110" t="s">
        <v>24</v>
      </c>
      <c r="AN18" s="1268"/>
    </row>
    <row r="19" spans="2:40" s="1064" customFormat="1" ht="16.5" customHeight="1" hidden="1">
      <c r="B19" s="1262"/>
      <c r="C19" s="1074"/>
      <c r="D19" s="1074"/>
      <c r="E19" s="1124"/>
      <c r="F19" s="1125"/>
      <c r="G19" s="1125"/>
      <c r="H19" s="1124"/>
      <c r="I19" s="1124"/>
      <c r="J19" s="1126"/>
      <c r="K19" s="1127"/>
      <c r="L19" s="1124"/>
      <c r="M19" s="1124"/>
      <c r="N19" s="1128"/>
      <c r="O19" s="1129"/>
      <c r="P19" s="1124"/>
      <c r="Q19" s="1124"/>
      <c r="R19" s="1124"/>
      <c r="S19" s="1124"/>
      <c r="T19" s="1130"/>
      <c r="U19" s="1131"/>
      <c r="V19" s="1132"/>
      <c r="W19" s="1133"/>
      <c r="X19" s="1124"/>
      <c r="Y19" s="1134"/>
      <c r="Z19" s="1135"/>
      <c r="AA19" s="1134"/>
      <c r="AB19" s="1134"/>
      <c r="AC19" s="1135"/>
      <c r="AD19" s="1135"/>
      <c r="AE19" s="1136"/>
      <c r="AF19" s="1137"/>
      <c r="AG19" s="1137"/>
      <c r="AH19" s="1137"/>
      <c r="AI19" s="1130"/>
      <c r="AJ19" s="1131"/>
      <c r="AK19" s="1132"/>
      <c r="AL19" s="1135"/>
      <c r="AM19" s="1134"/>
      <c r="AN19" s="1263"/>
    </row>
    <row r="20" spans="2:40" s="1064" customFormat="1" ht="16.5" customHeight="1" thickBot="1" thickTop="1">
      <c r="B20" s="1262"/>
      <c r="C20" s="1138"/>
      <c r="D20" s="1139"/>
      <c r="E20" s="1140"/>
      <c r="F20" s="1141"/>
      <c r="G20" s="1142"/>
      <c r="H20" s="1141"/>
      <c r="I20" s="1141"/>
      <c r="J20" s="1143"/>
      <c r="K20" s="1144"/>
      <c r="L20" s="1145"/>
      <c r="M20" s="1146"/>
      <c r="N20" s="1147"/>
      <c r="O20" s="1147"/>
      <c r="P20" s="1148"/>
      <c r="Q20" s="1147"/>
      <c r="R20" s="1147"/>
      <c r="S20" s="1147"/>
      <c r="T20" s="1284"/>
      <c r="U20" s="1284"/>
      <c r="V20" s="1285"/>
      <c r="W20" s="1151"/>
      <c r="X20" s="1139"/>
      <c r="Y20" s="1152"/>
      <c r="Z20" s="1151"/>
      <c r="AA20" s="1152"/>
      <c r="AB20" s="1151"/>
      <c r="AC20" s="1151"/>
      <c r="AD20" s="1151"/>
      <c r="AE20" s="1153"/>
      <c r="AF20" s="1154"/>
      <c r="AG20" s="1154"/>
      <c r="AH20" s="1154"/>
      <c r="AI20" s="1284"/>
      <c r="AJ20" s="1284"/>
      <c r="AK20" s="1285"/>
      <c r="AL20" s="1151"/>
      <c r="AM20" s="1155"/>
      <c r="AN20" s="1263"/>
    </row>
    <row r="21" spans="2:40" s="1063" customFormat="1" ht="16.5" customHeight="1">
      <c r="B21" s="1269"/>
      <c r="C21" s="1357" t="s">
        <v>374</v>
      </c>
      <c r="D21" s="1156">
        <v>1</v>
      </c>
      <c r="E21" s="1156">
        <v>1</v>
      </c>
      <c r="F21" s="1157" t="s">
        <v>272</v>
      </c>
      <c r="G21" s="1157">
        <v>500</v>
      </c>
      <c r="H21" s="1157">
        <v>77</v>
      </c>
      <c r="I21" s="1157" t="s">
        <v>249</v>
      </c>
      <c r="J21" s="1286">
        <f>IF(I21="A",200,IF(I21="B",60,20))</f>
        <v>20</v>
      </c>
      <c r="K21" s="1158">
        <f>IF(G21=500,IF(H21&lt;100,100*$G$15/100,H21*$G$15/100),IF(H21&lt;100,100*$G$16/100,H21*$G$16/100))</f>
        <v>117.179</v>
      </c>
      <c r="L21" s="1287">
        <v>39846.876388888886</v>
      </c>
      <c r="M21" s="1287">
        <v>39855.73125</v>
      </c>
      <c r="N21" s="1159">
        <f>IF(F21="","",(M21-L21)*24)</f>
        <v>212.5166666666628</v>
      </c>
      <c r="O21" s="1160">
        <f>IF(F21="","",ROUND((M21-L21)*24*60,0))</f>
        <v>12751</v>
      </c>
      <c r="P21" s="1288" t="s">
        <v>273</v>
      </c>
      <c r="Q21" s="1161" t="str">
        <f>IF(F21="","","--")</f>
        <v>--</v>
      </c>
      <c r="R21" s="1162" t="str">
        <f>IF(F21="","","NO")</f>
        <v>NO</v>
      </c>
      <c r="S21" s="1162" t="str">
        <f>IF(F21="","",IF(OR(P21="P",P21="RP"),"--","NO"))</f>
        <v>NO</v>
      </c>
      <c r="T21" s="1163">
        <f>IF(AND(P21="F",S21="NO"),K21*J21*IF(R21="SI",1.2,1),"--")</f>
        <v>2343.58</v>
      </c>
      <c r="U21" s="1163">
        <f>IF(AND(P21="F",AF21&gt;=10),K21*J21*IF(R21="SI",1.2,1)*IF(AF21&lt;=300,ROUND(AF21/60,2),5),"--")</f>
        <v>11717.9</v>
      </c>
      <c r="V21" s="1164">
        <f>IF(AND(P21="F",AF21&gt;300),(ROUND(AF21/60,2)-5)*K21*J21*0.1*IF(R21="SI",1.2,1),"--")</f>
        <v>51699.3748</v>
      </c>
      <c r="W21" s="1178">
        <f>IF(F21="","",SUM(T21:V21)*IF(X21="SI",1,2))</f>
        <v>65760.8548</v>
      </c>
      <c r="X21" s="1165" t="str">
        <f>IF(F21="","","SI")</f>
        <v>SI</v>
      </c>
      <c r="Y21" s="1289">
        <v>6</v>
      </c>
      <c r="Z21" s="1290">
        <f>IF(F21="","",IF(Y21&lt;=10,48,72))</f>
        <v>48</v>
      </c>
      <c r="AA21" s="1166">
        <v>48</v>
      </c>
      <c r="AB21" s="1167">
        <f>IF(F21="","",0.9)</f>
        <v>0.9</v>
      </c>
      <c r="AC21" s="1168">
        <f>IF(F21="","",Z21+AA21)</f>
        <v>96</v>
      </c>
      <c r="AD21" s="1168">
        <f>IF(F21="","",AB21*24*Y21)</f>
        <v>129.60000000000002</v>
      </c>
      <c r="AE21" s="1168">
        <f>IF(F21="","",AD21+AC21)</f>
        <v>225.60000000000002</v>
      </c>
      <c r="AF21" s="1291">
        <f>AE21*60</f>
        <v>13536.000000000002</v>
      </c>
      <c r="AG21" s="1292">
        <f>LOG(W21)/LOG(AD21)</f>
        <v>2.2805812947974218</v>
      </c>
      <c r="AH21" s="1292">
        <f>1/(2*Y21)</f>
        <v>0.08333333333333333</v>
      </c>
      <c r="AI21" s="1163">
        <f>IF(AND(P21="F",S21="NO"),K21*J21*IF(R21="SI",1.2,1),"--")</f>
        <v>2343.58</v>
      </c>
      <c r="AJ21" s="1163">
        <f>IF(AND(P21="F",O21&gt;=10),K21*J21*IF(R21="SI",1.2,1)*IF(O21&lt;=300,ROUND(O21/60,2),5),"--")</f>
        <v>11717.9</v>
      </c>
      <c r="AK21" s="1164">
        <f>IF(AND(P21="F",O21&gt;300),(ROUND(O21/60,2)-5)*K21*J21*0.1*IF(R21="SI",1.2,1),"--")</f>
        <v>48633.972160000005</v>
      </c>
      <c r="AL21" s="1168">
        <f>IF(F21="","",SUM(AI21:AK21)*IF(X21="SI",1,2))</f>
        <v>62695.45216</v>
      </c>
      <c r="AM21" s="1293">
        <f>IF(F21=""," ",IF(N21&lt;=AC21,0,(IF(N21&gt;AE21,AL21,(N21-AC21)^AG21*1/(1-AH21*(N21-AE21))))))</f>
        <v>24680.953574328778</v>
      </c>
      <c r="AN21" s="1270"/>
    </row>
    <row r="22" spans="2:40" s="1063" customFormat="1" ht="16.5" customHeight="1">
      <c r="B22" s="1269"/>
      <c r="C22" s="1358"/>
      <c r="D22" s="1169"/>
      <c r="E22" s="1169"/>
      <c r="F22" s="1179"/>
      <c r="G22" s="1170"/>
      <c r="H22" s="1179"/>
      <c r="I22" s="1170"/>
      <c r="J22" s="1294"/>
      <c r="K22" s="1182"/>
      <c r="L22" s="1183"/>
      <c r="M22" s="1183"/>
      <c r="N22" s="1171">
        <f>IF(F22="","",(M22-L22)*24)</f>
      </c>
      <c r="O22" s="1172">
        <f>IF(F22="","",ROUND((M22-L22)*24*60,0))</f>
      </c>
      <c r="P22" s="1184"/>
      <c r="Q22" s="1173">
        <f>IF(F22="","","--")</f>
      </c>
      <c r="R22" s="1174">
        <f>IF(F22="","","NO")</f>
      </c>
      <c r="S22" s="1174">
        <f>IF(F22="","",IF(OR(P22="P",P22="RP"),"--","NO"))</f>
      </c>
      <c r="T22" s="1175" t="str">
        <f>IF(AND(P22="F",S22="NO"),K22*J22*IF(R22="SI",1.2,1),"--")</f>
        <v>--</v>
      </c>
      <c r="U22" s="1175" t="str">
        <f>IF(AND(P22="F",AF22&gt;=10),K22*J22*IF(R22="SI",1.2,1)*IF(AF22&lt;=300,ROUND(AF22/60,2),5),"--")</f>
        <v>--</v>
      </c>
      <c r="V22" s="1176" t="str">
        <f>IF(AND(P22="F",AF22&gt;300),(ROUND(AF22/60,2)-5)*K22*J22*0.1*IF(R22="SI",1.2,1),"--")</f>
        <v>--</v>
      </c>
      <c r="W22" s="1185">
        <f>IF(F22="","",SUM(T22:V22)*IF(X22="SI",1,2))</f>
      </c>
      <c r="X22" s="1177">
        <f>IF(F22="","","SI")</f>
      </c>
      <c r="Y22" s="1186"/>
      <c r="Z22" s="1187">
        <f>IF(F22="","",IF(Y22&lt;=10,48,72))</f>
      </c>
      <c r="AA22" s="1188"/>
      <c r="AB22" s="1295">
        <f>IF(F22="","",0.9)</f>
      </c>
      <c r="AC22" s="1185">
        <f>IF(F22="","",Z22+AA22)</f>
      </c>
      <c r="AD22" s="1185">
        <f>IF(F22="","",AB22*24*Y22)</f>
      </c>
      <c r="AE22" s="1185">
        <f>IF(F22="","",AD22+AC22)</f>
      </c>
      <c r="AF22" s="1296"/>
      <c r="AG22" s="1297"/>
      <c r="AH22" s="1297"/>
      <c r="AI22" s="1175" t="str">
        <f>IF(AND(P22="F",S22="NO"),K22*J22*IF(R22="SI",1.2,1),"--")</f>
        <v>--</v>
      </c>
      <c r="AJ22" s="1175" t="str">
        <f>IF(AND(P22="F",O22&gt;=10),K22*J22*IF(R22="SI",1.2,1)*IF(O22&lt;=300,ROUND(O22/60,2),5),"--")</f>
        <v>--</v>
      </c>
      <c r="AK22" s="1176" t="str">
        <f>IF(AND(P22="F",O22&gt;300),(ROUND(O22/60,2)-5)*K22*J22*0.1*IF(R22="SI",1.2,1),"--")</f>
        <v>--</v>
      </c>
      <c r="AL22" s="1185">
        <f>IF(F22="","",SUM(AI22:AK22)*IF(X22="SI",1,2))</f>
      </c>
      <c r="AM22" s="1298" t="str">
        <f>IF(F22=""," ",IF(N22&lt;=AC22,0,(IF(N22&gt;AE22,AL22,(N22-AC22)^AG22*1/(1-AH22*(N22-AE22))))))</f>
        <v> </v>
      </c>
      <c r="AN22" s="1270"/>
    </row>
    <row r="23" spans="2:40" s="1063" customFormat="1" ht="16.5" customHeight="1">
      <c r="B23" s="1269"/>
      <c r="C23" s="1358"/>
      <c r="D23" s="1169"/>
      <c r="E23" s="1169"/>
      <c r="F23" s="1179"/>
      <c r="G23" s="1170"/>
      <c r="H23" s="1180"/>
      <c r="I23" s="1170"/>
      <c r="J23" s="1181"/>
      <c r="K23" s="1182"/>
      <c r="L23" s="1183"/>
      <c r="M23" s="1183"/>
      <c r="N23" s="1171">
        <f>IF(F23="","",(M23-L23)*24)</f>
      </c>
      <c r="O23" s="1172">
        <f>IF(F23="","",ROUND((M23-L23)*24*60,0))</f>
      </c>
      <c r="P23" s="1184"/>
      <c r="Q23" s="1173">
        <f>IF(F23="","","--")</f>
      </c>
      <c r="R23" s="1174">
        <f>IF(F23="","","NO")</f>
      </c>
      <c r="S23" s="1174">
        <f>IF(F23="","",IF(OR(P23="P",P23="RP"),"--","NO"))</f>
      </c>
      <c r="T23" s="1175" t="str">
        <f>IF(AND(P23="F",S23="NO"),K23*J23*IF(R23="SI",1.2,1),"--")</f>
        <v>--</v>
      </c>
      <c r="U23" s="1175"/>
      <c r="V23" s="1176"/>
      <c r="W23" s="1185">
        <f>IF(F23="","",SUM(T23:V23)*IF(X23="SI",1,2))</f>
      </c>
      <c r="X23" s="1177">
        <f>IF(F23="","","SI")</f>
      </c>
      <c r="Y23" s="1186"/>
      <c r="Z23" s="1187">
        <f>IF(F23="","",IF(N22&lt;=AE22,0,IF(Y23&lt;=10,48,72)))</f>
      </c>
      <c r="AA23" s="1188"/>
      <c r="AB23" s="1295">
        <f>IF(F23="","",IF(N22&lt;=AE22,1,0.9))</f>
      </c>
      <c r="AC23" s="1185">
        <f>IF(F23="","",IF(N22&lt;=AE22,N22+AA23,Z23+AA23))</f>
      </c>
      <c r="AD23" s="1185">
        <f>IF(F23="","",IF(N22&lt;=AE22,AB23*Y23*24,AB23*Y23*24))</f>
      </c>
      <c r="AE23" s="1185">
        <f>IF(F23="","",AD23+AC23)</f>
      </c>
      <c r="AF23" s="1189"/>
      <c r="AG23" s="1190"/>
      <c r="AH23" s="1190"/>
      <c r="AI23" s="1175" t="str">
        <f>IF(AND(P23="F",S23="NO"),K23*J23*IF(R23="SI",1.2,1),"--")</f>
        <v>--</v>
      </c>
      <c r="AJ23" s="1175" t="str">
        <f>IF(AND(P23="F",O23&gt;=10),K23*J23*IF(R23="SI",1.2,1)*IF(O23&lt;=300,ROUND(O23/60,2),5),"--")</f>
        <v>--</v>
      </c>
      <c r="AK23" s="1176" t="str">
        <f>IF(AND(P23="F",O23&gt;300),(ROUND(O23/60,2)-5)*K23*J23*0.1*IF(R23="SI",1.2,1),"--")</f>
        <v>--</v>
      </c>
      <c r="AL23" s="1185">
        <f>IF(F23="","",SUM(AI23:AK23)*IF(X23="SI",1,2))</f>
      </c>
      <c r="AM23" s="1298" t="str">
        <f>IF(F23=""," ",IF(N23&lt;=AC23,0,(IF(N23&gt;AE23,AL23,(N23-AC23)^AG23*1/(1-AH23*(N23-AE23))))))</f>
        <v> </v>
      </c>
      <c r="AN23" s="1270"/>
    </row>
    <row r="24" spans="2:40" s="1075" customFormat="1" ht="16.5" customHeight="1" thickBot="1">
      <c r="B24" s="1269"/>
      <c r="C24" s="1359"/>
      <c r="D24" s="1191"/>
      <c r="E24" s="1191"/>
      <c r="F24" s="1192"/>
      <c r="G24" s="1193"/>
      <c r="H24" s="1194"/>
      <c r="I24" s="1193"/>
      <c r="J24" s="1195"/>
      <c r="K24" s="1196"/>
      <c r="L24" s="1197"/>
      <c r="M24" s="1197"/>
      <c r="N24" s="1198">
        <f>IF(F24="","",(M24-L24)*24)</f>
      </c>
      <c r="O24" s="1199">
        <f>IF(F24="","",ROUND((M24-L24)*24*60,0))</f>
      </c>
      <c r="P24" s="1200"/>
      <c r="Q24" s="1201">
        <f>IF(F24="","","--")</f>
      </c>
      <c r="R24" s="1202">
        <f>IF(F24="","","NO")</f>
      </c>
      <c r="S24" s="1202">
        <f>IF(F24="","",IF(OR(P24="P",P24="RP"),"--","NO"))</f>
      </c>
      <c r="T24" s="1149" t="str">
        <f>IF(AND(P24="F",S24="NO"),K24*J24*IF(R24="SI",1.2,1),"--")</f>
        <v>--</v>
      </c>
      <c r="U24" s="1149"/>
      <c r="V24" s="1150"/>
      <c r="W24" s="1203">
        <f>IF(F24="","",SUM(T24:V24)*IF(X24="SI",1,2))</f>
      </c>
      <c r="X24" s="1204">
        <f>IF(F24="","","SI")</f>
      </c>
      <c r="Y24" s="1205"/>
      <c r="Z24" s="1206">
        <f>IF(F24="","",IF(N23&lt;=AE23,0,IF(Y24&lt;=10,48,72)))</f>
      </c>
      <c r="AA24" s="1207"/>
      <c r="AB24" s="1299">
        <f>IF(F24="","",IF(N23&lt;=AE23,1,0.9))</f>
      </c>
      <c r="AC24" s="1203">
        <f>IF(F24="","",IF(N23&lt;=AE23,N23+AA24,Z24+AA24))</f>
      </c>
      <c r="AD24" s="1203">
        <f>IF(F24="","",IF(N23&lt;=AE23,AB24*Y24*24,AB24*Y24*24))</f>
      </c>
      <c r="AE24" s="1203">
        <f>IF(F24="","",AD24+AC24)</f>
      </c>
      <c r="AF24" s="1208"/>
      <c r="AG24" s="1209"/>
      <c r="AH24" s="1209"/>
      <c r="AI24" s="1149" t="str">
        <f>IF(AND(P24="F",S24="NO"),K24*J24*IF(R24="SI",1.2,1),"--")</f>
        <v>--</v>
      </c>
      <c r="AJ24" s="1149" t="str">
        <f>IF(AND(P24="F",O24&gt;=10),K24*J24*IF(R24="SI",1.2,1)*IF(O24&lt;=300,ROUND(O24/60,2),5),"--")</f>
        <v>--</v>
      </c>
      <c r="AK24" s="1150" t="str">
        <f>IF(AND(P24="F",O24&gt;300),(ROUND(O24/60,2)-5)*K24*J24*0.1*IF(R24="SI",1.2,1),"--")</f>
        <v>--</v>
      </c>
      <c r="AL24" s="1203">
        <f>IF(F24="","",SUM(AI24:AK24)*IF(X24="SI",1,2))</f>
      </c>
      <c r="AM24" s="1300" t="str">
        <f>IF(F24=""," ",IF(N24&lt;=AC24,0,(IF(N24&gt;AE24,AL24,(N24-AC24)^AG24*1/(1-AH24*(N24-AE24))))))</f>
        <v> </v>
      </c>
      <c r="AN24" s="1270"/>
    </row>
    <row r="25" spans="1:41" s="1063" customFormat="1" ht="16.5" customHeight="1" thickBot="1">
      <c r="A25" s="1064"/>
      <c r="B25" s="1262"/>
      <c r="C25" s="1210"/>
      <c r="D25" s="1211"/>
      <c r="E25" s="1212"/>
      <c r="F25" s="1213"/>
      <c r="G25" s="1214"/>
      <c r="H25" s="1213"/>
      <c r="I25" s="1215"/>
      <c r="J25" s="1216"/>
      <c r="K25" s="1217"/>
      <c r="L25" s="1218"/>
      <c r="M25" s="1218"/>
      <c r="N25" s="1219"/>
      <c r="O25" s="1219"/>
      <c r="P25" s="1218"/>
      <c r="Q25" s="1220"/>
      <c r="R25" s="1219"/>
      <c r="S25" s="1219"/>
      <c r="T25" s="1228"/>
      <c r="U25" s="1228"/>
      <c r="V25" s="1229"/>
      <c r="W25" s="1221"/>
      <c r="X25" s="1222"/>
      <c r="Y25" s="1223"/>
      <c r="Z25" s="1224"/>
      <c r="AA25" s="1223"/>
      <c r="AB25" s="1225"/>
      <c r="AC25" s="1224"/>
      <c r="AD25" s="1224"/>
      <c r="AE25" s="1224"/>
      <c r="AF25" s="1226"/>
      <c r="AG25" s="1227"/>
      <c r="AH25" s="1227"/>
      <c r="AI25" s="1228"/>
      <c r="AJ25" s="1228"/>
      <c r="AK25" s="1229"/>
      <c r="AL25" s="1224"/>
      <c r="AM25" s="1230"/>
      <c r="AN25" s="1270"/>
      <c r="AO25" s="1064"/>
    </row>
    <row r="26" spans="2:40" s="1064" customFormat="1" ht="16.5" customHeight="1" thickBot="1" thickTop="1">
      <c r="B26" s="1262"/>
      <c r="C26" s="1074"/>
      <c r="D26" s="1074"/>
      <c r="E26" s="1231"/>
      <c r="F26" s="1232"/>
      <c r="G26" s="1233"/>
      <c r="H26" s="1099"/>
      <c r="I26" s="1234"/>
      <c r="J26" s="1099"/>
      <c r="K26" s="1235"/>
      <c r="L26" s="1235"/>
      <c r="M26" s="1235"/>
      <c r="N26" s="1236"/>
      <c r="O26" s="1235"/>
      <c r="P26" s="1235"/>
      <c r="Q26" s="1237"/>
      <c r="R26" s="1235"/>
      <c r="S26" s="1235"/>
      <c r="T26" s="1238">
        <f>SUM(T19:T25)</f>
        <v>2343.58</v>
      </c>
      <c r="U26" s="1238">
        <f>SUM(U19:U25)</f>
        <v>11717.9</v>
      </c>
      <c r="V26" s="1238">
        <f>SUM(V19:V25)</f>
        <v>51699.3748</v>
      </c>
      <c r="W26" s="1239"/>
      <c r="X26" s="1240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8">
        <f>SUM(AI19:AI25)</f>
        <v>2343.58</v>
      </c>
      <c r="AJ26" s="1238">
        <f>SUM(AJ19:AJ25)</f>
        <v>11717.9</v>
      </c>
      <c r="AK26" s="1238">
        <f>SUM(AK19:AK25)</f>
        <v>48633.972160000005</v>
      </c>
      <c r="AL26" s="1239"/>
      <c r="AM26" s="1241">
        <f>ROUND(SUM(AM19:AM25),2)</f>
        <v>24680.95</v>
      </c>
      <c r="AN26" s="1270"/>
    </row>
    <row r="27" spans="2:40" s="1064" customFormat="1" ht="16.5" customHeight="1" thickTop="1">
      <c r="B27" s="1262"/>
      <c r="C27" s="1074"/>
      <c r="D27" s="1074"/>
      <c r="E27" s="1243" t="s">
        <v>375</v>
      </c>
      <c r="F27" s="1271" t="s">
        <v>376</v>
      </c>
      <c r="G27" s="1233"/>
      <c r="H27" s="1099"/>
      <c r="I27" s="1234"/>
      <c r="J27" s="1099"/>
      <c r="K27" s="1235"/>
      <c r="L27" s="1235"/>
      <c r="M27" s="1235"/>
      <c r="N27" s="1236"/>
      <c r="O27" s="1235"/>
      <c r="P27" s="1235"/>
      <c r="Q27" s="1237"/>
      <c r="R27" s="1235"/>
      <c r="S27" s="1235"/>
      <c r="T27" s="1254"/>
      <c r="U27" s="1254"/>
      <c r="V27" s="1254"/>
      <c r="W27" s="1239"/>
      <c r="X27" s="1240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54"/>
      <c r="AJ27" s="1254"/>
      <c r="AK27" s="1254"/>
      <c r="AL27" s="1239"/>
      <c r="AM27" s="1239"/>
      <c r="AN27" s="1270"/>
    </row>
    <row r="28" spans="2:40" s="1064" customFormat="1" ht="16.5" customHeight="1">
      <c r="B28" s="1262"/>
      <c r="C28" s="1074"/>
      <c r="D28" s="1074"/>
      <c r="E28" s="1243" t="s">
        <v>377</v>
      </c>
      <c r="F28" s="1271" t="s">
        <v>378</v>
      </c>
      <c r="G28" s="1233"/>
      <c r="H28" s="1099"/>
      <c r="I28" s="1234"/>
      <c r="J28" s="1099"/>
      <c r="K28" s="1235"/>
      <c r="L28" s="1235"/>
      <c r="M28" s="1235"/>
      <c r="N28" s="1236"/>
      <c r="O28" s="1235"/>
      <c r="P28" s="1235"/>
      <c r="Q28" s="1237"/>
      <c r="R28" s="1235"/>
      <c r="S28" s="1235"/>
      <c r="T28" s="1254"/>
      <c r="U28" s="1254"/>
      <c r="V28" s="1254"/>
      <c r="W28" s="1239"/>
      <c r="X28" s="1240"/>
      <c r="Y28" s="1239"/>
      <c r="Z28" s="1239"/>
      <c r="AA28" s="1239"/>
      <c r="AB28" s="1239"/>
      <c r="AC28" s="1239"/>
      <c r="AD28" s="1239"/>
      <c r="AE28" s="1239"/>
      <c r="AF28" s="1239"/>
      <c r="AG28" s="1239"/>
      <c r="AH28" s="1239"/>
      <c r="AI28" s="1254"/>
      <c r="AJ28" s="1254"/>
      <c r="AK28" s="1254"/>
      <c r="AL28" s="1239"/>
      <c r="AM28" s="1239"/>
      <c r="AN28" s="1270"/>
    </row>
    <row r="29" spans="2:40" s="1064" customFormat="1" ht="16.5" customHeight="1">
      <c r="B29" s="1262"/>
      <c r="C29" s="1074"/>
      <c r="D29" s="1074"/>
      <c r="E29" s="1271" t="s">
        <v>379</v>
      </c>
      <c r="F29" s="1271" t="s">
        <v>380</v>
      </c>
      <c r="G29" s="1233"/>
      <c r="H29" s="1099"/>
      <c r="I29" s="1234"/>
      <c r="J29" s="1099"/>
      <c r="K29" s="1235"/>
      <c r="L29" s="1235"/>
      <c r="M29" s="1235"/>
      <c r="N29" s="1236"/>
      <c r="O29" s="1235"/>
      <c r="P29" s="1235"/>
      <c r="Q29" s="1237"/>
      <c r="R29" s="1235"/>
      <c r="S29" s="1235"/>
      <c r="T29" s="1254"/>
      <c r="U29" s="1254"/>
      <c r="V29" s="1254"/>
      <c r="W29" s="1239"/>
      <c r="X29" s="1240"/>
      <c r="Y29" s="1239"/>
      <c r="Z29" s="1239"/>
      <c r="AA29" s="1239"/>
      <c r="AB29" s="1239"/>
      <c r="AC29" s="1239"/>
      <c r="AD29" s="1239"/>
      <c r="AE29" s="1239"/>
      <c r="AF29" s="1239"/>
      <c r="AG29" s="1239"/>
      <c r="AH29" s="1239"/>
      <c r="AI29" s="1254"/>
      <c r="AJ29" s="1254"/>
      <c r="AK29" s="1254"/>
      <c r="AL29" s="1239"/>
      <c r="AM29" s="1239"/>
      <c r="AN29" s="1270"/>
    </row>
    <row r="30" spans="2:40" s="1064" customFormat="1" ht="16.5" customHeight="1">
      <c r="B30" s="1262"/>
      <c r="C30" s="1074"/>
      <c r="D30" s="1074"/>
      <c r="E30" s="1271" t="s">
        <v>381</v>
      </c>
      <c r="F30" s="1271" t="s">
        <v>382</v>
      </c>
      <c r="G30" s="1233"/>
      <c r="H30" s="1099"/>
      <c r="I30" s="1234"/>
      <c r="J30" s="1099"/>
      <c r="K30" s="1235"/>
      <c r="L30" s="1235"/>
      <c r="M30" s="1235"/>
      <c r="N30" s="1236"/>
      <c r="O30" s="1235"/>
      <c r="P30" s="1235"/>
      <c r="Q30" s="1237"/>
      <c r="R30" s="1235"/>
      <c r="S30" s="1235"/>
      <c r="T30" s="1254"/>
      <c r="U30" s="1254"/>
      <c r="V30" s="1254"/>
      <c r="W30" s="1239"/>
      <c r="X30" s="1240"/>
      <c r="Y30" s="1239"/>
      <c r="Z30" s="1239"/>
      <c r="AA30" s="1239"/>
      <c r="AB30" s="1239"/>
      <c r="AC30" s="1239"/>
      <c r="AD30" s="1239"/>
      <c r="AE30" s="1239"/>
      <c r="AF30" s="1239"/>
      <c r="AG30" s="1239"/>
      <c r="AH30" s="1239"/>
      <c r="AI30" s="1254"/>
      <c r="AJ30" s="1254"/>
      <c r="AK30" s="1254"/>
      <c r="AL30" s="1239"/>
      <c r="AM30" s="1239"/>
      <c r="AN30" s="1270"/>
    </row>
    <row r="31" spans="2:40" s="1064" customFormat="1" ht="16.5" customHeight="1">
      <c r="B31" s="1262"/>
      <c r="C31" s="1074"/>
      <c r="D31" s="1074"/>
      <c r="E31" s="1271"/>
      <c r="F31" s="1271"/>
      <c r="G31" s="1233"/>
      <c r="H31" s="1099"/>
      <c r="I31" s="1234"/>
      <c r="J31" s="1099"/>
      <c r="K31" s="1235"/>
      <c r="L31" s="1235"/>
      <c r="M31" s="1235"/>
      <c r="N31" s="1236"/>
      <c r="O31" s="1235"/>
      <c r="P31" s="1235"/>
      <c r="Q31" s="1237"/>
      <c r="R31" s="1235"/>
      <c r="S31" s="1235"/>
      <c r="T31" s="1254"/>
      <c r="U31" s="1254"/>
      <c r="V31" s="1254"/>
      <c r="W31" s="1239"/>
      <c r="X31" s="1240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54"/>
      <c r="AJ31" s="1254"/>
      <c r="AK31" s="1254"/>
      <c r="AL31" s="1239"/>
      <c r="AM31" s="1239"/>
      <c r="AN31" s="1270"/>
    </row>
    <row r="32" spans="2:40" s="1064" customFormat="1" ht="16.5" customHeight="1">
      <c r="B32" s="1262"/>
      <c r="C32" s="1074"/>
      <c r="D32" s="1074"/>
      <c r="E32" s="1253"/>
      <c r="F32" s="1232"/>
      <c r="G32" s="1233"/>
      <c r="H32" s="1099"/>
      <c r="I32" s="1234"/>
      <c r="J32" s="1099"/>
      <c r="K32" s="1235"/>
      <c r="L32" s="1235"/>
      <c r="M32" s="1235"/>
      <c r="N32" s="1236"/>
      <c r="O32" s="1235"/>
      <c r="P32" s="1235"/>
      <c r="Q32" s="1237"/>
      <c r="R32" s="1235"/>
      <c r="S32" s="1235"/>
      <c r="T32" s="1254"/>
      <c r="U32" s="1254"/>
      <c r="V32" s="1254"/>
      <c r="W32" s="1239"/>
      <c r="X32" s="1240"/>
      <c r="Y32" s="1239"/>
      <c r="Z32" s="1239"/>
      <c r="AA32" s="1239"/>
      <c r="AB32" s="1239"/>
      <c r="AC32" s="1239"/>
      <c r="AD32" s="1239"/>
      <c r="AE32" s="1239"/>
      <c r="AF32" s="1239"/>
      <c r="AG32" s="1239"/>
      <c r="AH32" s="1239"/>
      <c r="AI32" s="1254"/>
      <c r="AJ32" s="1254"/>
      <c r="AK32" s="1254"/>
      <c r="AL32" s="1239"/>
      <c r="AM32" s="1239"/>
      <c r="AN32" s="1270"/>
    </row>
    <row r="33" spans="2:40" s="1064" customFormat="1" ht="16.5" customHeight="1" thickBot="1">
      <c r="B33" s="1262"/>
      <c r="C33" s="1074"/>
      <c r="D33" s="1074"/>
      <c r="E33" s="1253"/>
      <c r="F33" s="1232"/>
      <c r="G33" s="1233"/>
      <c r="H33" s="1099"/>
      <c r="I33" s="1234"/>
      <c r="J33" s="1099"/>
      <c r="K33" s="1235"/>
      <c r="L33" s="1235"/>
      <c r="M33" s="1235"/>
      <c r="N33" s="1236"/>
      <c r="O33" s="1235"/>
      <c r="P33" s="1235"/>
      <c r="Q33" s="1237"/>
      <c r="R33" s="1235"/>
      <c r="S33" s="1235"/>
      <c r="T33" s="1254"/>
      <c r="U33" s="1254"/>
      <c r="V33" s="1254"/>
      <c r="W33" s="1239"/>
      <c r="X33" s="1240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54"/>
      <c r="AJ33" s="1254"/>
      <c r="AK33" s="1254"/>
      <c r="AL33" s="1239"/>
      <c r="AM33" s="1239"/>
      <c r="AN33" s="1270"/>
    </row>
    <row r="34" spans="2:40" s="1064" customFormat="1" ht="16.5" customHeight="1" thickBot="1" thickTop="1">
      <c r="B34" s="1262"/>
      <c r="C34" s="1074"/>
      <c r="D34" s="1074"/>
      <c r="E34" s="1253"/>
      <c r="F34" s="1082" t="s">
        <v>95</v>
      </c>
      <c r="G34" s="908">
        <v>117.179</v>
      </c>
      <c r="H34" s="208"/>
      <c r="I34" s="1234"/>
      <c r="J34" s="1099"/>
      <c r="K34" s="1235"/>
      <c r="L34" s="1235"/>
      <c r="M34" s="1235"/>
      <c r="N34" s="1236"/>
      <c r="O34" s="1235"/>
      <c r="P34" s="1235"/>
      <c r="Q34" s="1237"/>
      <c r="R34" s="1235"/>
      <c r="S34" s="1235"/>
      <c r="T34" s="1254"/>
      <c r="U34" s="1254"/>
      <c r="V34" s="1254"/>
      <c r="W34" s="1239"/>
      <c r="X34" s="1240"/>
      <c r="Y34" s="1239"/>
      <c r="Z34" s="1239"/>
      <c r="AA34" s="1239"/>
      <c r="AB34" s="1239"/>
      <c r="AC34" s="1239"/>
      <c r="AD34" s="1239"/>
      <c r="AE34" s="1239"/>
      <c r="AF34" s="1239"/>
      <c r="AG34" s="1239"/>
      <c r="AH34" s="1239"/>
      <c r="AI34" s="1254"/>
      <c r="AJ34" s="1254"/>
      <c r="AK34" s="1254"/>
      <c r="AL34" s="1239"/>
      <c r="AM34" s="1239"/>
      <c r="AN34" s="1270"/>
    </row>
    <row r="35" spans="2:40" s="1064" customFormat="1" ht="16.5" customHeight="1" thickBot="1" thickTop="1">
      <c r="B35" s="1262"/>
      <c r="C35" s="1074"/>
      <c r="D35" s="1074"/>
      <c r="E35" s="1253"/>
      <c r="F35" s="1082" t="s">
        <v>96</v>
      </c>
      <c r="G35" s="908">
        <v>97.649</v>
      </c>
      <c r="H35" s="208"/>
      <c r="I35" s="1234"/>
      <c r="J35" s="1099"/>
      <c r="K35" s="1235"/>
      <c r="L35" s="1235"/>
      <c r="M35" s="1235"/>
      <c r="N35" s="1236"/>
      <c r="O35" s="1235"/>
      <c r="P35" s="1235"/>
      <c r="Q35" s="1237"/>
      <c r="R35" s="1235"/>
      <c r="S35" s="1235"/>
      <c r="T35" s="1254"/>
      <c r="U35" s="1254"/>
      <c r="V35" s="1254"/>
      <c r="W35" s="1239"/>
      <c r="X35" s="1240"/>
      <c r="Y35" s="1239"/>
      <c r="Z35" s="1239"/>
      <c r="AA35" s="1239"/>
      <c r="AB35" s="1239"/>
      <c r="AC35" s="1239"/>
      <c r="AD35" s="1239"/>
      <c r="AE35" s="1239"/>
      <c r="AF35" s="1239"/>
      <c r="AG35" s="1239"/>
      <c r="AH35" s="1239"/>
      <c r="AI35" s="1254"/>
      <c r="AJ35" s="1254"/>
      <c r="AK35" s="1254"/>
      <c r="AL35" s="1239"/>
      <c r="AM35" s="1239"/>
      <c r="AN35" s="1270"/>
    </row>
    <row r="36" spans="2:40" s="1064" customFormat="1" ht="16.5" customHeight="1" thickBot="1" thickTop="1">
      <c r="B36" s="1262"/>
      <c r="C36" s="1074"/>
      <c r="D36" s="1074"/>
      <c r="E36" s="1253"/>
      <c r="F36" s="1232"/>
      <c r="G36" s="1233"/>
      <c r="H36" s="1099"/>
      <c r="I36" s="1234"/>
      <c r="J36" s="1099"/>
      <c r="K36" s="1235"/>
      <c r="L36" s="1235"/>
      <c r="M36" s="1235"/>
      <c r="N36" s="1236"/>
      <c r="O36" s="1235"/>
      <c r="P36" s="1235"/>
      <c r="Q36" s="1237"/>
      <c r="R36" s="1235"/>
      <c r="S36" s="1235"/>
      <c r="T36" s="1254"/>
      <c r="U36" s="1254"/>
      <c r="V36" s="1254"/>
      <c r="W36" s="1239"/>
      <c r="X36" s="1240"/>
      <c r="Y36" s="1239"/>
      <c r="Z36" s="1239"/>
      <c r="AA36" s="1239"/>
      <c r="AB36" s="1239"/>
      <c r="AC36" s="1239"/>
      <c r="AD36" s="1239"/>
      <c r="AE36" s="1239"/>
      <c r="AF36" s="1239"/>
      <c r="AG36" s="1239"/>
      <c r="AH36" s="1239"/>
      <c r="AI36" s="1254"/>
      <c r="AJ36" s="1254"/>
      <c r="AK36" s="1254"/>
      <c r="AL36" s="1239"/>
      <c r="AM36" s="1239"/>
      <c r="AN36" s="1270"/>
    </row>
    <row r="37" spans="2:40" s="1064" customFormat="1" ht="51" customHeight="1" thickBot="1" thickTop="1">
      <c r="B37" s="1262"/>
      <c r="C37" s="1108"/>
      <c r="D37" s="1109" t="s">
        <v>360</v>
      </c>
      <c r="E37" s="1110" t="s">
        <v>13</v>
      </c>
      <c r="F37" s="1111" t="s">
        <v>0</v>
      </c>
      <c r="G37" s="1112" t="s">
        <v>14</v>
      </c>
      <c r="H37" s="1111" t="s">
        <v>15</v>
      </c>
      <c r="I37" s="1113" t="s">
        <v>76</v>
      </c>
      <c r="J37" s="1114" t="s">
        <v>37</v>
      </c>
      <c r="K37" s="1115" t="s">
        <v>16</v>
      </c>
      <c r="L37" s="1111" t="s">
        <v>17</v>
      </c>
      <c r="M37" s="1116" t="s">
        <v>18</v>
      </c>
      <c r="N37" s="1117" t="s">
        <v>36</v>
      </c>
      <c r="O37" s="1118" t="s">
        <v>31</v>
      </c>
      <c r="P37" s="1116" t="s">
        <v>19</v>
      </c>
      <c r="Q37" s="1111" t="s">
        <v>58</v>
      </c>
      <c r="R37" s="1116" t="s">
        <v>59</v>
      </c>
      <c r="S37" s="1111" t="s">
        <v>32</v>
      </c>
      <c r="T37" s="1119" t="s">
        <v>60</v>
      </c>
      <c r="U37" s="1120"/>
      <c r="V37" s="1121"/>
      <c r="W37" s="1122" t="s">
        <v>361</v>
      </c>
      <c r="X37" s="1110" t="s">
        <v>362</v>
      </c>
      <c r="Y37" s="1122" t="s">
        <v>364</v>
      </c>
      <c r="Z37" s="1122" t="s">
        <v>402</v>
      </c>
      <c r="AA37" s="1122" t="s">
        <v>403</v>
      </c>
      <c r="AB37" s="1122" t="s">
        <v>406</v>
      </c>
      <c r="AC37" s="1122" t="s">
        <v>409</v>
      </c>
      <c r="AD37" s="1122" t="s">
        <v>410</v>
      </c>
      <c r="AE37" s="1122" t="s">
        <v>369</v>
      </c>
      <c r="AF37" s="1123" t="s">
        <v>370</v>
      </c>
      <c r="AG37" s="1123" t="s">
        <v>371</v>
      </c>
      <c r="AH37" s="1123" t="s">
        <v>372</v>
      </c>
      <c r="AI37" s="1119" t="s">
        <v>60</v>
      </c>
      <c r="AJ37" s="1120"/>
      <c r="AK37" s="1121"/>
      <c r="AL37" s="1122" t="s">
        <v>373</v>
      </c>
      <c r="AM37" s="1110" t="s">
        <v>24</v>
      </c>
      <c r="AN37" s="1270"/>
    </row>
    <row r="38" spans="2:40" s="1064" customFormat="1" ht="16.5" customHeight="1" thickBot="1" thickTop="1">
      <c r="B38" s="1262"/>
      <c r="C38" s="1138"/>
      <c r="D38" s="1139"/>
      <c r="E38" s="1140"/>
      <c r="F38" s="1141"/>
      <c r="G38" s="1142"/>
      <c r="H38" s="1141"/>
      <c r="I38" s="1141"/>
      <c r="J38" s="1143"/>
      <c r="K38" s="1144"/>
      <c r="L38" s="1145"/>
      <c r="M38" s="1146"/>
      <c r="N38" s="1147"/>
      <c r="O38" s="1147"/>
      <c r="P38" s="1148"/>
      <c r="Q38" s="1147"/>
      <c r="R38" s="1147"/>
      <c r="S38" s="1147"/>
      <c r="T38" s="1284"/>
      <c r="U38" s="1284"/>
      <c r="V38" s="1285"/>
      <c r="W38" s="1151"/>
      <c r="X38" s="1139"/>
      <c r="Y38" s="1152"/>
      <c r="Z38" s="1151"/>
      <c r="AA38" s="1152"/>
      <c r="AB38" s="1151"/>
      <c r="AC38" s="1151"/>
      <c r="AD38" s="1151"/>
      <c r="AE38" s="1153"/>
      <c r="AF38" s="1154"/>
      <c r="AG38" s="1154"/>
      <c r="AH38" s="1154"/>
      <c r="AI38" s="1284"/>
      <c r="AJ38" s="1284"/>
      <c r="AK38" s="1285"/>
      <c r="AL38" s="1151"/>
      <c r="AM38" s="1155"/>
      <c r="AN38" s="1263"/>
    </row>
    <row r="39" spans="2:40" s="1063" customFormat="1" ht="16.5" customHeight="1" thickBot="1">
      <c r="B39" s="1269"/>
      <c r="C39" s="1357" t="s">
        <v>374</v>
      </c>
      <c r="D39" s="1156">
        <v>2</v>
      </c>
      <c r="E39" s="1156">
        <v>5</v>
      </c>
      <c r="F39" s="1157" t="s">
        <v>277</v>
      </c>
      <c r="G39" s="1157">
        <v>500</v>
      </c>
      <c r="H39" s="1157">
        <v>345</v>
      </c>
      <c r="I39" s="1157" t="s">
        <v>278</v>
      </c>
      <c r="J39" s="1286">
        <f>IF(I39="A",200,IF(I39="B",60,20))</f>
        <v>60</v>
      </c>
      <c r="K39" s="1158">
        <f>IF(G39=500,IF(H39&lt;100,100*$G$15/100,H39*$G$15/100),IF(H39&lt;100,100*$G$16/100,H39*$G$16/100))</f>
        <v>404.26754999999997</v>
      </c>
      <c r="L39" s="1287">
        <v>39846.90138888889</v>
      </c>
      <c r="M39" s="1287">
        <v>39846.91388888889</v>
      </c>
      <c r="N39" s="1159">
        <f>IF(F39="","",(M39-L39)*24)</f>
        <v>0.3000000001047738</v>
      </c>
      <c r="O39" s="1160">
        <f>IF(F39="","",ROUND((M39-L39)*24*60,0))</f>
        <v>18</v>
      </c>
      <c r="P39" s="1288" t="s">
        <v>273</v>
      </c>
      <c r="Q39" s="1161" t="str">
        <f>IF(F39="","","--")</f>
        <v>--</v>
      </c>
      <c r="R39" s="1162" t="str">
        <f>IF(F39="","","NO")</f>
        <v>NO</v>
      </c>
      <c r="S39" s="1162" t="str">
        <f>IF(F39="","",IF(OR(P39="P",P39="RP"),"--","NO"))</f>
        <v>NO</v>
      </c>
      <c r="T39" s="1163">
        <f>IF(AND(P39="F",S39="NO"),K39*J39*IF(R39="SI",1.2,1),"--")</f>
        <v>24256.053</v>
      </c>
      <c r="U39" s="1163">
        <v>121280.265</v>
      </c>
      <c r="V39" s="1164">
        <v>24256.053</v>
      </c>
      <c r="W39" s="1178">
        <f>IF(F39="","",SUM(T39:V39)*IF(X39="SI",1,2))</f>
        <v>169792.37099999998</v>
      </c>
      <c r="X39" s="1165" t="str">
        <f>IF(F39="","","SI")</f>
        <v>SI</v>
      </c>
      <c r="Y39" s="1289">
        <v>5</v>
      </c>
      <c r="Z39" s="1290">
        <v>10</v>
      </c>
      <c r="AA39" s="1289">
        <v>1</v>
      </c>
      <c r="AB39" s="1167">
        <v>0.3</v>
      </c>
      <c r="AC39" s="1168">
        <f>+Y39+Z39</f>
        <v>15</v>
      </c>
      <c r="AD39" s="1168">
        <v>1</v>
      </c>
      <c r="AE39" s="1168">
        <f>+AD39*(AC39)</f>
        <v>15</v>
      </c>
      <c r="AF39" s="1306">
        <f>AE39*60</f>
        <v>900</v>
      </c>
      <c r="AG39" s="1307" t="e">
        <f>LOG(W39)/LOG(AD39)</f>
        <v>#DIV/0!</v>
      </c>
      <c r="AH39" s="1307">
        <f>1/(2*Y39)</f>
        <v>0.1</v>
      </c>
      <c r="AI39" s="1163">
        <f>IF(AND(P39="F",S39="NO"),K39*J39*IF(R39="SI",1.2,1),"--")</f>
        <v>24256.053</v>
      </c>
      <c r="AJ39" s="1163">
        <f>IF(AND(P39="F",O39&gt;=10),K39*J39*IF(R39="SI",1.2,1)*IF(O39&lt;=300,ROUND(O39/60,2),5),"--")</f>
        <v>7276.8159</v>
      </c>
      <c r="AK39" s="1164" t="str">
        <f>IF(AND(P39="F",O39&gt;300),(ROUND(O39/60,2)-5)*K39*J39*0.1*IF(R39="SI",1.2,1),"--")</f>
        <v>--</v>
      </c>
      <c r="AL39" s="1168">
        <f>IF(F39="","",SUM(AI39:AK39)*IF(X39="SI",1,2))</f>
        <v>31532.8689</v>
      </c>
      <c r="AM39" s="1293">
        <f>+IF(N39&lt;Y39,0,((N39-Y39)^(LOG(W39)/LOG(Z39)))/(1-(1/(2*AA39))*(N39-AE39)))</f>
        <v>0</v>
      </c>
      <c r="AN39" s="1270"/>
    </row>
    <row r="40" spans="2:40" s="1063" customFormat="1" ht="16.5" customHeight="1">
      <c r="B40" s="1269"/>
      <c r="C40" s="1358"/>
      <c r="D40" s="1169">
        <v>3</v>
      </c>
      <c r="E40" s="1169">
        <v>7</v>
      </c>
      <c r="F40" s="1179" t="s">
        <v>277</v>
      </c>
      <c r="G40" s="1170">
        <v>500</v>
      </c>
      <c r="H40" s="1179">
        <v>345</v>
      </c>
      <c r="I40" s="1170" t="s">
        <v>278</v>
      </c>
      <c r="J40" s="1286">
        <f>IF(I40="A",200,IF(I40="B",60,20))</f>
        <v>60</v>
      </c>
      <c r="K40" s="1158">
        <f>IF(G40=500,IF(H40&lt;100,100*$G$15/100,H40*$G$15/100),IF(H40&lt;100,100*$G$16/100,H40*$G$16/100))</f>
        <v>404.26754999999997</v>
      </c>
      <c r="L40" s="1183">
        <v>39847.020833333336</v>
      </c>
      <c r="M40" s="1183">
        <v>39847.774305555555</v>
      </c>
      <c r="N40" s="1171">
        <f>IF(F40="","",(M40-L40)*24)</f>
        <v>18.083333333255723</v>
      </c>
      <c r="O40" s="1172">
        <f>IF(F40="","",ROUND((M40-L40)*24*60,0))</f>
        <v>1085</v>
      </c>
      <c r="P40" s="1184" t="s">
        <v>273</v>
      </c>
      <c r="Q40" s="1173" t="str">
        <f>IF(F40="","","--")</f>
        <v>--</v>
      </c>
      <c r="R40" s="1174" t="str">
        <f>IF(F40="","","NO")</f>
        <v>NO</v>
      </c>
      <c r="S40" s="1174" t="s">
        <v>238</v>
      </c>
      <c r="T40" s="1163" t="str">
        <f>IF(AND(P40="F",S40="NO"),K40*J40*IF(R40="SI",1.2,1),"--")</f>
        <v>--</v>
      </c>
      <c r="U40" s="1163">
        <v>121280.265</v>
      </c>
      <c r="V40" s="1176">
        <v>24256.053</v>
      </c>
      <c r="W40" s="1185">
        <f>IF(F40="","",SUM(T40:V40)*IF(X40="SI",1,2))</f>
        <v>145536.318</v>
      </c>
      <c r="X40" s="1177" t="str">
        <f>IF(F40="","","SI")</f>
        <v>SI</v>
      </c>
      <c r="Y40" s="1301">
        <v>5</v>
      </c>
      <c r="Z40" s="1304">
        <v>10</v>
      </c>
      <c r="AA40" s="1338">
        <v>1</v>
      </c>
      <c r="AB40" s="1295">
        <v>0.3</v>
      </c>
      <c r="AC40" s="1308">
        <v>15</v>
      </c>
      <c r="AD40" s="1308">
        <v>1</v>
      </c>
      <c r="AE40" s="1308">
        <f>+AD40*(AC40)</f>
        <v>15</v>
      </c>
      <c r="AF40" s="1306">
        <f>AE40*60</f>
        <v>900</v>
      </c>
      <c r="AG40" s="1307" t="e">
        <f>LOG(W40)/LOG(AD40)</f>
        <v>#DIV/0!</v>
      </c>
      <c r="AH40" s="1307">
        <f>1/(2*Y40)</f>
        <v>0.1</v>
      </c>
      <c r="AI40" s="1175" t="str">
        <f>IF(AND(P40="F",S40="NO"),K40*J40*IF(R40="SI",1.2,1),"--")</f>
        <v>--</v>
      </c>
      <c r="AJ40" s="1175">
        <f>IF(AND(P40="F",O40&gt;=10),K40*J40*IF(R40="SI",1.2,1)*IF(O40&lt;=300,ROUND(O40/60,2),5),"--")</f>
        <v>121280.265</v>
      </c>
      <c r="AK40" s="1176">
        <f>IF(AND(P40="F",O40&gt;300),(ROUND(O40/60,2)-5)*K40*J40*0.1*IF(R40="SI",1.2,1),"--")</f>
        <v>31726.917323999995</v>
      </c>
      <c r="AL40" s="1308">
        <f>IF(F40="","",SUM(AI40:AK40)*IF(X40="SI",1,2))</f>
        <v>153007.182324</v>
      </c>
      <c r="AM40" s="1309">
        <f>+AL40</f>
        <v>153007.182324</v>
      </c>
      <c r="AN40" s="1270"/>
    </row>
    <row r="41" spans="2:40" s="1063" customFormat="1" ht="16.5" customHeight="1">
      <c r="B41" s="1269"/>
      <c r="C41" s="1358"/>
      <c r="D41" s="1169"/>
      <c r="E41" s="1169"/>
      <c r="F41" s="1179"/>
      <c r="G41" s="1170"/>
      <c r="H41" s="1180"/>
      <c r="I41" s="1170"/>
      <c r="J41" s="1181"/>
      <c r="K41" s="1182"/>
      <c r="L41" s="1183"/>
      <c r="M41" s="1183"/>
      <c r="N41" s="1171">
        <f>IF(F41="","",(M41-L41)*24)</f>
      </c>
      <c r="O41" s="1172">
        <f>IF(F41="","",ROUND((M41-L41)*24*60,0))</f>
      </c>
      <c r="P41" s="1184"/>
      <c r="Q41" s="1173">
        <f>IF(F41="","","--")</f>
      </c>
      <c r="R41" s="1174">
        <f>IF(F41="","","NO")</f>
      </c>
      <c r="S41" s="1174">
        <f>IF(F41="","",IF(OR(P41="P",P41="RP"),"--","NO"))</f>
      </c>
      <c r="T41" s="1175" t="str">
        <f>IF(AND(P41="F",S41="NO"),K41*J41*IF(R41="SI",1.2,1),"--")</f>
        <v>--</v>
      </c>
      <c r="U41" s="1175"/>
      <c r="V41" s="1176"/>
      <c r="W41" s="1185">
        <f>IF(F41="","",SUM(T41:V41)*IF(X41="SI",1,2))</f>
      </c>
      <c r="X41" s="1177">
        <f>IF(F41="","","SI")</f>
      </c>
      <c r="Y41" s="1301"/>
      <c r="Z41" s="1304">
        <f>IF(F41="","",IF(N40&lt;=AE40,0,IF(Y41&lt;=10,48,72)))</f>
      </c>
      <c r="AA41" s="1316"/>
      <c r="AB41" s="1295">
        <f>IF(F41="","",IF(N40&lt;=AE40,1,0.9))</f>
      </c>
      <c r="AC41" s="1308">
        <f>IF(F41="","",IF(N40&lt;=AE40,N40+AA41,Z41+AA41))</f>
      </c>
      <c r="AD41" s="1308">
        <f>IF(F41="","",IF(N40&lt;=AE40,AB41*Y41*24,AB41*Y41*24))</f>
      </c>
      <c r="AE41" s="1308">
        <f>IF(F41="","",AD41+AC41)</f>
      </c>
      <c r="AF41" s="1310"/>
      <c r="AG41" s="1311"/>
      <c r="AH41" s="1311"/>
      <c r="AI41" s="1175" t="str">
        <f>IF(AND(P41="F",S41="NO"),K41*J41*IF(R41="SI",1.2,1),"--")</f>
        <v>--</v>
      </c>
      <c r="AJ41" s="1175" t="str">
        <f>IF(AND(P41="F",O41&gt;=10),K41*J41*IF(R41="SI",1.2,1)*IF(O41&lt;=300,ROUND(O41/60,2),5),"--")</f>
        <v>--</v>
      </c>
      <c r="AK41" s="1176" t="str">
        <f>IF(AND(P41="F",O41&gt;300),(ROUND(O41/60,2)-5)*K41*J41*0.1*IF(R41="SI",1.2,1),"--")</f>
        <v>--</v>
      </c>
      <c r="AL41" s="1308">
        <f>IF(F41="","",SUM(AI41:AK41)*IF(X41="SI",1,2))</f>
      </c>
      <c r="AM41" s="1309" t="str">
        <f>IF(F41=""," ",IF(N41&lt;=AC41,0,(IF(N41&gt;AE41,AL41,(N41-AC41)^AG41*1/(1-AH41*(N41-AE41))))))</f>
        <v> </v>
      </c>
      <c r="AN41" s="1270"/>
    </row>
    <row r="42" spans="2:40" s="1075" customFormat="1" ht="16.5" customHeight="1" thickBot="1">
      <c r="B42" s="1269"/>
      <c r="C42" s="1359"/>
      <c r="D42" s="1191"/>
      <c r="E42" s="1191"/>
      <c r="F42" s="1192"/>
      <c r="G42" s="1193"/>
      <c r="H42" s="1194"/>
      <c r="I42" s="1193"/>
      <c r="J42" s="1195"/>
      <c r="K42" s="1196"/>
      <c r="L42" s="1197"/>
      <c r="M42" s="1197"/>
      <c r="N42" s="1198">
        <f>IF(F42="","",(M42-L42)*24)</f>
      </c>
      <c r="O42" s="1199">
        <f>IF(F42="","",ROUND((M42-L42)*24*60,0))</f>
      </c>
      <c r="P42" s="1200"/>
      <c r="Q42" s="1201">
        <f>IF(F42="","","--")</f>
      </c>
      <c r="R42" s="1202">
        <f>IF(F42="","","NO")</f>
      </c>
      <c r="S42" s="1202">
        <f>IF(F42="","",IF(OR(P42="P",P42="RP"),"--","NO"))</f>
      </c>
      <c r="T42" s="1149" t="str">
        <f>IF(AND(P42="F",S42="NO"),K42*J42*IF(R42="SI",1.2,1),"--")</f>
        <v>--</v>
      </c>
      <c r="U42" s="1149"/>
      <c r="V42" s="1150"/>
      <c r="W42" s="1203">
        <f>IF(F42="","",SUM(T42:V42)*IF(X42="SI",1,2))</f>
      </c>
      <c r="X42" s="1204">
        <f>IF(F42="","","SI")</f>
      </c>
      <c r="Y42" s="1302"/>
      <c r="Z42" s="1305">
        <f>IF(F42="","",IF(N41&lt;=AE41,0,IF(Y42&lt;=10,48,72)))</f>
      </c>
      <c r="AA42" s="1317"/>
      <c r="AB42" s="1299">
        <f>IF(F42="","",IF(N41&lt;=AE41,1,0.9))</f>
      </c>
      <c r="AC42" s="1312">
        <f>IF(F42="","",IF(N41&lt;=AE41,N41+AA42,Z42+AA42))</f>
      </c>
      <c r="AD42" s="1312">
        <f>IF(F42="","",IF(N41&lt;=AE41,AB42*Y42*24,AB42*Y42*24))</f>
      </c>
      <c r="AE42" s="1312">
        <f>IF(F42="","",AD42+AC42)</f>
      </c>
      <c r="AF42" s="1313"/>
      <c r="AG42" s="1314"/>
      <c r="AH42" s="1314"/>
      <c r="AI42" s="1149" t="str">
        <f>IF(AND(P42="F",S42="NO"),K42*J42*IF(R42="SI",1.2,1),"--")</f>
        <v>--</v>
      </c>
      <c r="AJ42" s="1149" t="str">
        <f>IF(AND(P42="F",O42&gt;=10),K42*J42*IF(R42="SI",1.2,1)*IF(O42&lt;=300,ROUND(O42/60,2),5),"--")</f>
        <v>--</v>
      </c>
      <c r="AK42" s="1150" t="str">
        <f>IF(AND(P42="F",O42&gt;300),(ROUND(O42/60,2)-5)*K42*J42*0.1*IF(R42="SI",1.2,1),"--")</f>
        <v>--</v>
      </c>
      <c r="AL42" s="1312">
        <f>IF(F42="","",SUM(AI42:AK42)*IF(X42="SI",1,2))</f>
      </c>
      <c r="AM42" s="1315" t="str">
        <f>IF(F42=""," ",IF(N42&lt;=AC42,0,(IF(N42&gt;AE42,AL42,(N42-AC42)^AG42*1/(1-AH42*(N42-AE42))))))</f>
        <v> </v>
      </c>
      <c r="AN42" s="1270"/>
    </row>
    <row r="43" spans="1:41" s="1063" customFormat="1" ht="16.5" customHeight="1" thickBot="1">
      <c r="A43" s="1064"/>
      <c r="B43" s="1262"/>
      <c r="C43" s="1210"/>
      <c r="D43" s="1211"/>
      <c r="E43" s="1212"/>
      <c r="F43" s="1213"/>
      <c r="G43" s="1214"/>
      <c r="H43" s="1213"/>
      <c r="I43" s="1215"/>
      <c r="J43" s="1216"/>
      <c r="K43" s="1217"/>
      <c r="L43" s="1218"/>
      <c r="M43" s="1218"/>
      <c r="N43" s="1219"/>
      <c r="O43" s="1219"/>
      <c r="P43" s="1218"/>
      <c r="Q43" s="1220"/>
      <c r="R43" s="1219"/>
      <c r="S43" s="1219"/>
      <c r="T43" s="1228"/>
      <c r="U43" s="1228"/>
      <c r="V43" s="1229"/>
      <c r="W43" s="1221"/>
      <c r="X43" s="1222"/>
      <c r="Y43" s="1303"/>
      <c r="Z43" s="1224"/>
      <c r="AA43" s="1223"/>
      <c r="AB43" s="1225"/>
      <c r="AC43" s="1224"/>
      <c r="AD43" s="1224"/>
      <c r="AE43" s="1224"/>
      <c r="AF43" s="1226"/>
      <c r="AG43" s="1227"/>
      <c r="AH43" s="1227"/>
      <c r="AI43" s="1228"/>
      <c r="AJ43" s="1228"/>
      <c r="AK43" s="1229"/>
      <c r="AL43" s="1224"/>
      <c r="AM43" s="1230"/>
      <c r="AN43" s="1270"/>
      <c r="AO43" s="1064"/>
    </row>
    <row r="44" spans="2:40" ht="17.25" thickBot="1" thickTop="1">
      <c r="B44" s="1272"/>
      <c r="C44" s="1074"/>
      <c r="D44" s="1074"/>
      <c r="E44" s="1231"/>
      <c r="F44" s="1232"/>
      <c r="G44" s="1233"/>
      <c r="H44" s="1099"/>
      <c r="I44" s="1234"/>
      <c r="J44" s="1099"/>
      <c r="K44" s="1235"/>
      <c r="L44" s="1235"/>
      <c r="M44" s="1235"/>
      <c r="N44" s="1236"/>
      <c r="O44" s="1235"/>
      <c r="P44" s="1235"/>
      <c r="Q44" s="1237"/>
      <c r="R44" s="1235"/>
      <c r="S44" s="1235"/>
      <c r="T44" s="1238">
        <f>SUM(T38:T43)</f>
        <v>24256.053</v>
      </c>
      <c r="U44" s="1238">
        <f>SUM(U38:U43)</f>
        <v>242560.53</v>
      </c>
      <c r="V44" s="1238">
        <f>SUM(V38:V43)</f>
        <v>48512.106</v>
      </c>
      <c r="W44" s="1239"/>
      <c r="X44" s="1240"/>
      <c r="Y44" s="1239"/>
      <c r="Z44" s="1239"/>
      <c r="AA44" s="1239"/>
      <c r="AB44" s="1239"/>
      <c r="AC44" s="1239"/>
      <c r="AD44" s="1239"/>
      <c r="AE44" s="1239"/>
      <c r="AF44" s="1239"/>
      <c r="AG44" s="1239"/>
      <c r="AH44" s="1239"/>
      <c r="AI44" s="1238">
        <f>SUM(AI38:AI43)</f>
        <v>24256.053</v>
      </c>
      <c r="AJ44" s="1238">
        <f>SUM(AJ38:AJ43)</f>
        <v>128557.0809</v>
      </c>
      <c r="AK44" s="1238">
        <f>SUM(AK38:AK43)</f>
        <v>31726.917323999995</v>
      </c>
      <c r="AL44" s="1239"/>
      <c r="AM44" s="1241">
        <f>ROUND(SUM(AM38:AM43),2)</f>
        <v>153007.18</v>
      </c>
      <c r="AN44" s="1273"/>
    </row>
    <row r="45" spans="2:40" s="1064" customFormat="1" ht="16.5" customHeight="1" thickTop="1">
      <c r="B45" s="1262"/>
      <c r="C45" s="1074"/>
      <c r="D45" s="1074"/>
      <c r="E45" s="1271"/>
      <c r="F45" s="1271"/>
      <c r="G45" s="1233"/>
      <c r="H45" s="1099"/>
      <c r="I45" s="1234"/>
      <c r="J45" s="1099"/>
      <c r="K45" s="1235"/>
      <c r="L45" s="1235"/>
      <c r="M45" s="1235"/>
      <c r="N45" s="1236"/>
      <c r="O45" s="1235"/>
      <c r="P45" s="1235"/>
      <c r="Q45" s="1237"/>
      <c r="R45" s="1235"/>
      <c r="S45" s="1235"/>
      <c r="T45" s="1254"/>
      <c r="U45" s="1254"/>
      <c r="V45" s="1254"/>
      <c r="W45" s="1239"/>
      <c r="X45" s="1240"/>
      <c r="Y45" s="1239"/>
      <c r="Z45" s="1239"/>
      <c r="AA45" s="1239"/>
      <c r="AB45" s="1239"/>
      <c r="AC45" s="1239"/>
      <c r="AD45" s="1239"/>
      <c r="AE45" s="1239"/>
      <c r="AF45" s="1239"/>
      <c r="AG45" s="1239"/>
      <c r="AH45" s="1239"/>
      <c r="AI45" s="1254"/>
      <c r="AJ45" s="1254"/>
      <c r="AK45" s="1254"/>
      <c r="AL45" s="1239"/>
      <c r="AM45" s="1239"/>
      <c r="AN45" s="1274"/>
    </row>
    <row r="46" spans="2:40" s="1064" customFormat="1" ht="16.5" customHeight="1" thickBot="1">
      <c r="B46" s="1262"/>
      <c r="C46" s="1074"/>
      <c r="D46" s="1074"/>
      <c r="E46" s="1271"/>
      <c r="F46" s="1271"/>
      <c r="G46" s="1233"/>
      <c r="H46" s="1099"/>
      <c r="I46" s="1234"/>
      <c r="J46" s="1099"/>
      <c r="K46" s="1235"/>
      <c r="L46" s="1235"/>
      <c r="M46" s="1235"/>
      <c r="N46" s="1236"/>
      <c r="O46" s="1235"/>
      <c r="P46" s="1235"/>
      <c r="Q46" s="1237"/>
      <c r="R46" s="1235"/>
      <c r="S46" s="1235"/>
      <c r="T46" s="1254"/>
      <c r="U46" s="1254"/>
      <c r="V46" s="1254"/>
      <c r="W46" s="1239"/>
      <c r="X46" s="1240"/>
      <c r="Y46" s="1239"/>
      <c r="Z46" s="1239"/>
      <c r="AA46" s="1239"/>
      <c r="AB46" s="1239"/>
      <c r="AC46" s="1239"/>
      <c r="AD46" s="1239"/>
      <c r="AE46" s="1239"/>
      <c r="AF46" s="1239"/>
      <c r="AG46" s="1239"/>
      <c r="AH46" s="1239"/>
      <c r="AI46" s="1254"/>
      <c r="AJ46" s="1254"/>
      <c r="AK46" s="1254"/>
      <c r="AL46" s="1239"/>
      <c r="AM46" s="1239"/>
      <c r="AN46" s="1274"/>
    </row>
    <row r="47" spans="2:40" ht="16.5" customHeight="1" thickBot="1" thickTop="1">
      <c r="B47" s="1272"/>
      <c r="C47" s="1243"/>
      <c r="D47" s="1243"/>
      <c r="E47" s="1243"/>
      <c r="F47" s="265" t="s">
        <v>81</v>
      </c>
      <c r="G47" s="266"/>
      <c r="H47" s="267">
        <v>0.319</v>
      </c>
      <c r="I47" s="1243"/>
      <c r="J47" s="1243"/>
      <c r="K47" s="1243"/>
      <c r="L47" s="1243"/>
      <c r="M47" s="1243"/>
      <c r="N47" s="1275"/>
      <c r="O47" s="1243"/>
      <c r="P47" s="1243"/>
      <c r="Q47" s="1243"/>
      <c r="R47" s="1243"/>
      <c r="S47" s="1243"/>
      <c r="T47" s="1243"/>
      <c r="U47" s="1243"/>
      <c r="V47" s="1243"/>
      <c r="W47" s="1276"/>
      <c r="X47" s="1243"/>
      <c r="Y47" s="1243"/>
      <c r="Z47" s="1276"/>
      <c r="AA47" s="1276"/>
      <c r="AB47" s="1276"/>
      <c r="AC47" s="1276"/>
      <c r="AD47" s="1276"/>
      <c r="AE47" s="1276"/>
      <c r="AF47" s="1276"/>
      <c r="AG47" s="1243"/>
      <c r="AH47" s="1243"/>
      <c r="AI47" s="1243"/>
      <c r="AJ47" s="1243"/>
      <c r="AK47" s="1243"/>
      <c r="AL47" s="1243"/>
      <c r="AM47" s="1243"/>
      <c r="AN47" s="1273"/>
    </row>
    <row r="48" spans="2:40" ht="17.25" thickBot="1" thickTop="1">
      <c r="B48" s="1272"/>
      <c r="C48" s="1243"/>
      <c r="D48" s="1243"/>
      <c r="E48" s="1243"/>
      <c r="F48" s="111" t="s">
        <v>26</v>
      </c>
      <c r="G48" s="112"/>
      <c r="H48" s="917">
        <v>200</v>
      </c>
      <c r="I48" s="1277"/>
      <c r="J48" s="1277"/>
      <c r="K48" s="1277"/>
      <c r="L48" s="1277"/>
      <c r="M48" s="1277"/>
      <c r="N48" s="1278"/>
      <c r="O48" s="1277"/>
      <c r="P48" s="1243"/>
      <c r="Q48" s="1243"/>
      <c r="R48" s="1243"/>
      <c r="S48" s="1243"/>
      <c r="T48" s="1243"/>
      <c r="U48" s="1243"/>
      <c r="V48" s="1243"/>
      <c r="W48" s="1276"/>
      <c r="X48" s="1243"/>
      <c r="Y48" s="1243"/>
      <c r="Z48" s="1276"/>
      <c r="AA48" s="1276"/>
      <c r="AB48" s="1276"/>
      <c r="AC48" s="1276"/>
      <c r="AD48" s="1276"/>
      <c r="AE48" s="1276"/>
      <c r="AF48" s="1276"/>
      <c r="AG48" s="1243"/>
      <c r="AH48" s="1243"/>
      <c r="AI48" s="1243"/>
      <c r="AJ48" s="1243"/>
      <c r="AK48" s="1243"/>
      <c r="AL48" s="1243"/>
      <c r="AM48" s="1243"/>
      <c r="AN48" s="1273"/>
    </row>
    <row r="49" spans="2:40" ht="17.25" thickBot="1" thickTop="1">
      <c r="B49" s="1272"/>
      <c r="C49" s="1243"/>
      <c r="D49" s="1243"/>
      <c r="E49" s="1243"/>
      <c r="F49" s="1277"/>
      <c r="G49" s="1277"/>
      <c r="H49" s="1277"/>
      <c r="I49" s="1277"/>
      <c r="J49" s="1277"/>
      <c r="K49" s="1277"/>
      <c r="L49" s="1277"/>
      <c r="M49" s="1277"/>
      <c r="N49" s="1278"/>
      <c r="O49" s="1277"/>
      <c r="P49" s="1243"/>
      <c r="Q49" s="1243"/>
      <c r="R49" s="1243"/>
      <c r="S49" s="1243"/>
      <c r="T49" s="1243"/>
      <c r="U49" s="1243"/>
      <c r="V49" s="1243"/>
      <c r="W49" s="1276"/>
      <c r="X49" s="1243"/>
      <c r="Y49" s="1243"/>
      <c r="Z49" s="1276"/>
      <c r="AA49" s="1276"/>
      <c r="AB49" s="1276"/>
      <c r="AC49" s="1276"/>
      <c r="AD49" s="1276"/>
      <c r="AE49" s="1276"/>
      <c r="AF49" s="1276"/>
      <c r="AG49" s="1243"/>
      <c r="AH49" s="1243"/>
      <c r="AI49" s="1243"/>
      <c r="AJ49" s="1243"/>
      <c r="AK49" s="1243"/>
      <c r="AL49" s="1243"/>
      <c r="AM49" s="1243"/>
      <c r="AN49" s="1273"/>
    </row>
    <row r="50" spans="2:40" ht="49.5" customHeight="1" thickBot="1" thickTop="1">
      <c r="B50" s="1272"/>
      <c r="C50" s="1108"/>
      <c r="D50" s="1109" t="s">
        <v>360</v>
      </c>
      <c r="E50" s="1110" t="s">
        <v>13</v>
      </c>
      <c r="F50" s="1111" t="s">
        <v>399</v>
      </c>
      <c r="G50" s="1112" t="s">
        <v>29</v>
      </c>
      <c r="H50" s="1111" t="s">
        <v>14</v>
      </c>
      <c r="I50" s="1337"/>
      <c r="J50" s="1114"/>
      <c r="K50" s="1115" t="s">
        <v>16</v>
      </c>
      <c r="L50" s="1111" t="s">
        <v>17</v>
      </c>
      <c r="M50" s="1116" t="s">
        <v>18</v>
      </c>
      <c r="N50" s="1117" t="s">
        <v>36</v>
      </c>
      <c r="O50" s="1118" t="s">
        <v>31</v>
      </c>
      <c r="P50" s="1116" t="s">
        <v>19</v>
      </c>
      <c r="Q50" s="1111" t="s">
        <v>58</v>
      </c>
      <c r="R50" s="1116" t="s">
        <v>414</v>
      </c>
      <c r="S50" s="1111" t="s">
        <v>32</v>
      </c>
      <c r="T50" s="1119"/>
      <c r="U50" s="1120" t="s">
        <v>82</v>
      </c>
      <c r="V50" s="1121"/>
      <c r="W50" s="1122" t="s">
        <v>361</v>
      </c>
      <c r="X50" s="1110" t="s">
        <v>362</v>
      </c>
      <c r="Y50" s="1110" t="s">
        <v>364</v>
      </c>
      <c r="Z50" s="1122" t="s">
        <v>402</v>
      </c>
      <c r="AA50" s="1122" t="s">
        <v>403</v>
      </c>
      <c r="AB50" s="1122" t="s">
        <v>406</v>
      </c>
      <c r="AC50" s="1122" t="s">
        <v>409</v>
      </c>
      <c r="AD50" s="1122" t="s">
        <v>410</v>
      </c>
      <c r="AE50" s="1122" t="s">
        <v>369</v>
      </c>
      <c r="AF50" s="1123" t="s">
        <v>370</v>
      </c>
      <c r="AG50" s="1123" t="s">
        <v>371</v>
      </c>
      <c r="AH50" s="1123" t="s">
        <v>372</v>
      </c>
      <c r="AI50" s="1119"/>
      <c r="AJ50" s="1120" t="s">
        <v>82</v>
      </c>
      <c r="AK50" s="1121"/>
      <c r="AL50" s="1122" t="s">
        <v>373</v>
      </c>
      <c r="AM50" s="1110" t="s">
        <v>24</v>
      </c>
      <c r="AN50" s="1273"/>
    </row>
    <row r="51" spans="2:40" s="1064" customFormat="1" ht="16.5" customHeight="1" thickBot="1" thickTop="1">
      <c r="B51" s="1262"/>
      <c r="C51" s="1138"/>
      <c r="D51" s="1139"/>
      <c r="E51" s="1140"/>
      <c r="F51" s="1141"/>
      <c r="G51" s="1142"/>
      <c r="H51" s="1141"/>
      <c r="I51" s="1141"/>
      <c r="J51" s="1143"/>
      <c r="K51" s="1144"/>
      <c r="L51" s="1145"/>
      <c r="M51" s="1146"/>
      <c r="N51" s="1147"/>
      <c r="O51" s="1147"/>
      <c r="P51" s="1148"/>
      <c r="Q51" s="1147"/>
      <c r="R51" s="1147"/>
      <c r="S51" s="1147"/>
      <c r="T51" s="1284"/>
      <c r="U51" s="1284"/>
      <c r="V51" s="1285"/>
      <c r="W51" s="1151"/>
      <c r="X51" s="1139"/>
      <c r="Y51" s="1152"/>
      <c r="Z51" s="1151"/>
      <c r="AA51" s="1152"/>
      <c r="AB51" s="1151"/>
      <c r="AC51" s="1151"/>
      <c r="AD51" s="1151"/>
      <c r="AE51" s="1153"/>
      <c r="AF51" s="1154"/>
      <c r="AG51" s="1154"/>
      <c r="AH51" s="1154"/>
      <c r="AI51" s="1284"/>
      <c r="AJ51" s="1284"/>
      <c r="AK51" s="1285"/>
      <c r="AL51" s="1151"/>
      <c r="AM51" s="1155"/>
      <c r="AN51" s="1263"/>
    </row>
    <row r="52" spans="2:40" s="1063" customFormat="1" ht="16.5" customHeight="1" thickBot="1">
      <c r="B52" s="1269"/>
      <c r="C52" s="1357" t="s">
        <v>374</v>
      </c>
      <c r="D52" s="1156">
        <v>4</v>
      </c>
      <c r="E52" s="1156">
        <v>25</v>
      </c>
      <c r="F52" s="1157" t="s">
        <v>413</v>
      </c>
      <c r="G52" s="1157">
        <v>300</v>
      </c>
      <c r="H52" s="1157" t="s">
        <v>286</v>
      </c>
      <c r="I52" s="1157"/>
      <c r="J52" s="1286"/>
      <c r="K52" s="1318">
        <f>+H47*G52</f>
        <v>95.7</v>
      </c>
      <c r="L52" s="1287">
        <v>39846.90138888889</v>
      </c>
      <c r="M52" s="1287">
        <v>39847.049305555556</v>
      </c>
      <c r="N52" s="1159">
        <f>IF(F52="","",(M52-L52)*24)</f>
        <v>3.550000000046566</v>
      </c>
      <c r="O52" s="1160">
        <f>IF(F52="","",ROUND((M52-L52)*24*60,0))</f>
        <v>213</v>
      </c>
      <c r="P52" s="1288" t="s">
        <v>273</v>
      </c>
      <c r="Q52" s="1161" t="str">
        <f>IF(F52="","","--")</f>
        <v>--</v>
      </c>
      <c r="R52" s="1162" t="s">
        <v>238</v>
      </c>
      <c r="S52" s="1162" t="str">
        <f>IF(F52="","",IF(OR(P52="P",P52="RP"),"--","NO"))</f>
        <v>NO</v>
      </c>
      <c r="T52" s="1163"/>
      <c r="U52" s="1163">
        <v>19140</v>
      </c>
      <c r="V52" s="1164">
        <v>287100</v>
      </c>
      <c r="W52" s="1168">
        <f>IF(F52="","",SUM(T52:V52)*IF(X52="SI",1,2))</f>
        <v>306240</v>
      </c>
      <c r="X52" s="1165" t="str">
        <f>IF(F52="","","SI")</f>
        <v>SI</v>
      </c>
      <c r="Y52" s="1289">
        <v>5</v>
      </c>
      <c r="Z52" s="1290">
        <v>10</v>
      </c>
      <c r="AA52" s="1339">
        <v>1</v>
      </c>
      <c r="AB52" s="1167">
        <v>0.3</v>
      </c>
      <c r="AC52" s="1168">
        <f>+Y52+Z52</f>
        <v>15</v>
      </c>
      <c r="AD52" s="1168">
        <v>1</v>
      </c>
      <c r="AE52" s="1168">
        <f>+AD52*(AC52)</f>
        <v>15</v>
      </c>
      <c r="AF52" s="1306">
        <f>AE52*60</f>
        <v>900</v>
      </c>
      <c r="AG52" s="1307" t="e">
        <f>LOG(W52)/LOG(AD52)</f>
        <v>#DIV/0!</v>
      </c>
      <c r="AH52" s="1307">
        <f>1/(2*Y52)</f>
        <v>0.1</v>
      </c>
      <c r="AI52" s="1163"/>
      <c r="AJ52" s="1163">
        <v>19140</v>
      </c>
      <c r="AK52" s="1164">
        <v>67947</v>
      </c>
      <c r="AL52" s="1168">
        <f>IF(F52="","",SUM(AI52:AK52)*IF(X52="SI",1,2))</f>
        <v>87087</v>
      </c>
      <c r="AM52" s="1293">
        <f>+IF(N52&lt;Y52,0,((N52-Y52)^(LOG(W52)/LOG(Z52)))/(1-(1/(2*AA52))*(N52-AE52)))</f>
        <v>0</v>
      </c>
      <c r="AN52" s="1270"/>
    </row>
    <row r="53" spans="2:40" s="1063" customFormat="1" ht="16.5" customHeight="1">
      <c r="B53" s="1269"/>
      <c r="C53" s="1358"/>
      <c r="D53" s="1169">
        <v>5</v>
      </c>
      <c r="E53" s="1169">
        <v>26</v>
      </c>
      <c r="F53" s="1179" t="s">
        <v>413</v>
      </c>
      <c r="G53" s="1170">
        <v>300</v>
      </c>
      <c r="H53" s="1179" t="s">
        <v>286</v>
      </c>
      <c r="I53" s="1170"/>
      <c r="J53" s="1294"/>
      <c r="K53" s="1319">
        <f>+H47*G53</f>
        <v>95.7</v>
      </c>
      <c r="L53" s="1183">
        <v>39847.05</v>
      </c>
      <c r="M53" s="1183">
        <v>39847.285416666666</v>
      </c>
      <c r="N53" s="1171">
        <f>IF(F53="","",(M53-L53)*24)</f>
        <v>5.649999999906868</v>
      </c>
      <c r="O53" s="1172">
        <f>IF(F53="","",ROUND((M53-L53)*24*60,0))</f>
        <v>339</v>
      </c>
      <c r="P53" s="1184" t="s">
        <v>273</v>
      </c>
      <c r="Q53" s="1173" t="str">
        <f>IF(F53="","","--")</f>
        <v>--</v>
      </c>
      <c r="R53" s="1174" t="str">
        <f>IF(F53="","","NO")</f>
        <v>NO</v>
      </c>
      <c r="S53" s="1174" t="str">
        <f>IF(F53="","",IF(OR(P53="P",P53="RP"),"--","NO"))</f>
        <v>NO</v>
      </c>
      <c r="T53" s="1175"/>
      <c r="U53" s="1175">
        <v>1914</v>
      </c>
      <c r="V53" s="1176">
        <v>28710</v>
      </c>
      <c r="W53" s="1308">
        <f>IF(F53="","",SUM(T53:V53)*IF(X53="SI",1,2))</f>
        <v>30624</v>
      </c>
      <c r="X53" s="1177" t="str">
        <f>IF(F53="","","SI")</f>
        <v>SI</v>
      </c>
      <c r="Y53" s="1301">
        <v>5</v>
      </c>
      <c r="Z53" s="1304">
        <v>10</v>
      </c>
      <c r="AA53" s="1338">
        <v>1</v>
      </c>
      <c r="AB53" s="1295">
        <v>0.3</v>
      </c>
      <c r="AC53" s="1308">
        <f>+Y53+Z53</f>
        <v>15</v>
      </c>
      <c r="AD53" s="1308">
        <v>1</v>
      </c>
      <c r="AE53" s="1308">
        <f>+AD53*(AC53)</f>
        <v>15</v>
      </c>
      <c r="AF53" s="1306">
        <f>AE53*60</f>
        <v>900</v>
      </c>
      <c r="AG53" s="1307" t="e">
        <f>LOG(W53)/LOG(AD53)</f>
        <v>#DIV/0!</v>
      </c>
      <c r="AH53" s="1307">
        <f>1/(2*Y53)</f>
        <v>0.1</v>
      </c>
      <c r="AI53" s="1175"/>
      <c r="AJ53" s="1175">
        <v>1914</v>
      </c>
      <c r="AK53" s="1176">
        <v>10814.1</v>
      </c>
      <c r="AL53" s="1308">
        <f>IF(F53="","",SUM(AI53:AK53)*IF(X53="SI",1,2))</f>
        <v>12728.1</v>
      </c>
      <c r="AM53" s="1309">
        <f>+IF(N53&lt;Y53,0,((N53-Y53)^(LOG(W53)/LOG(Z53)))/(1-(1/(2*AA53))*(N53-AE53)))</f>
        <v>0.02551243246442694</v>
      </c>
      <c r="AN53" s="1270"/>
    </row>
    <row r="54" spans="2:40" s="1063" customFormat="1" ht="16.5" customHeight="1">
      <c r="B54" s="1269"/>
      <c r="C54" s="1358"/>
      <c r="D54" s="1169"/>
      <c r="E54" s="1169"/>
      <c r="F54" s="1179"/>
      <c r="G54" s="1170"/>
      <c r="H54" s="1180"/>
      <c r="I54" s="1170"/>
      <c r="J54" s="1320"/>
      <c r="K54" s="1319"/>
      <c r="L54" s="1183"/>
      <c r="M54" s="1183"/>
      <c r="N54" s="1171">
        <f>IF(F54="","",(M54-L54)*24)</f>
      </c>
      <c r="O54" s="1172">
        <f>IF(F54="","",ROUND((M54-L54)*24*60,0))</f>
      </c>
      <c r="P54" s="1184"/>
      <c r="Q54" s="1173">
        <f>IF(F54="","","--")</f>
      </c>
      <c r="R54" s="1174">
        <f>IF(F54="","","NO")</f>
      </c>
      <c r="S54" s="1174">
        <f>IF(F54="","",IF(OR(P54="P",P54="RP"),"--","NO"))</f>
      </c>
      <c r="T54" s="1175" t="str">
        <f>IF(AND(P54="F",S54="NO"),K54*J54*IF(R54="SI",1.2,1),"--")</f>
        <v>--</v>
      </c>
      <c r="U54" s="1175"/>
      <c r="V54" s="1176"/>
      <c r="W54" s="1308">
        <f>IF(F54="","",SUM(T54:V54)*IF(X54="SI",1,2))</f>
      </c>
      <c r="X54" s="1177">
        <f>IF(F54="","","SI")</f>
      </c>
      <c r="Y54" s="1301"/>
      <c r="Z54" s="1304">
        <f>IF(F54="","",IF(N53&lt;=AE53,0,IF(Y54&lt;=10,48,72)))</f>
      </c>
      <c r="AA54" s="1316"/>
      <c r="AB54" s="1295">
        <f>IF(F54="","",IF(N53&lt;=AE53,1,0.9))</f>
      </c>
      <c r="AC54" s="1308">
        <f>IF(F54="","",IF(N53&lt;=AE53,N53+AA54,Z54+AA54))</f>
      </c>
      <c r="AD54" s="1308">
        <f>IF(F54="","",IF(N53&lt;=AE53,AB54*Y54*24,AB54*Y54*24))</f>
      </c>
      <c r="AE54" s="1308">
        <f>IF(F54="","",AD54+AC54)</f>
      </c>
      <c r="AF54" s="1310"/>
      <c r="AG54" s="1311"/>
      <c r="AH54" s="1311"/>
      <c r="AI54" s="1175"/>
      <c r="AJ54" s="1175"/>
      <c r="AK54" s="1176"/>
      <c r="AL54" s="1308">
        <f>IF(F54="","",SUM(AI54:AK54)*IF(X54="SI",1,2))</f>
      </c>
      <c r="AM54" s="1309" t="str">
        <f>IF(F54=""," ",IF(N54&lt;=AC54,0,(IF(N54&gt;AE54,AL54,(N54-AC54)^AG54*1/(1-AH54*(N54-AE54))))))</f>
        <v> </v>
      </c>
      <c r="AN54" s="1270"/>
    </row>
    <row r="55" spans="2:40" s="1075" customFormat="1" ht="16.5" customHeight="1" thickBot="1">
      <c r="B55" s="1269"/>
      <c r="C55" s="1359"/>
      <c r="D55" s="1191"/>
      <c r="E55" s="1191"/>
      <c r="F55" s="1192"/>
      <c r="G55" s="1193"/>
      <c r="H55" s="1194"/>
      <c r="I55" s="1193"/>
      <c r="J55" s="1321"/>
      <c r="K55" s="1322"/>
      <c r="L55" s="1197"/>
      <c r="M55" s="1197"/>
      <c r="N55" s="1198">
        <f>IF(F55="","",(M55-L55)*24)</f>
      </c>
      <c r="O55" s="1199">
        <f>IF(F55="","",ROUND((M55-L55)*24*60,0))</f>
      </c>
      <c r="P55" s="1200"/>
      <c r="Q55" s="1201">
        <f>IF(F55="","","--")</f>
      </c>
      <c r="R55" s="1202">
        <f>IF(F55="","","NO")</f>
      </c>
      <c r="S55" s="1202">
        <f>IF(F55="","",IF(OR(P55="P",P55="RP"),"--","NO"))</f>
      </c>
      <c r="T55" s="1149" t="str">
        <f>IF(AND(P55="F",S55="NO"),K55*J55*IF(R55="SI",1.2,1),"--")</f>
        <v>--</v>
      </c>
      <c r="U55" s="1149"/>
      <c r="V55" s="1150"/>
      <c r="W55" s="1312">
        <f>IF(F55="","",SUM(T55:V55)*IF(X55="SI",1,2))</f>
      </c>
      <c r="X55" s="1204">
        <f>IF(F55="","","SI")</f>
      </c>
      <c r="Y55" s="1302"/>
      <c r="Z55" s="1305">
        <f>IF(F55="","",IF(N54&lt;=AE54,0,IF(Y55&lt;=10,48,72)))</f>
      </c>
      <c r="AA55" s="1317"/>
      <c r="AB55" s="1299">
        <f>IF(F55="","",IF(N54&lt;=AE54,1,0.9))</f>
      </c>
      <c r="AC55" s="1312">
        <f>IF(F55="","",IF(N54&lt;=AE54,N54+AA55,Z55+AA55))</f>
      </c>
      <c r="AD55" s="1312">
        <f>IF(F55="","",IF(N54&lt;=AE54,AB55*Y55*24,AB55*Y55*24))</f>
      </c>
      <c r="AE55" s="1312">
        <f>IF(F55="","",AD55+AC55)</f>
      </c>
      <c r="AF55" s="1313"/>
      <c r="AG55" s="1314"/>
      <c r="AH55" s="1314"/>
      <c r="AI55" s="1149"/>
      <c r="AJ55" s="1149"/>
      <c r="AK55" s="1150"/>
      <c r="AL55" s="1312">
        <f>IF(F55="","",SUM(AI55:AK55)*IF(X55="SI",1,2))</f>
      </c>
      <c r="AM55" s="1315" t="str">
        <f>IF(F55=""," ",IF(N55&lt;=AC55,0,(IF(N55&gt;AE55,AL55,(N55-AC55)^AG55*1/(1-AH55*(N55-AE55))))))</f>
        <v> </v>
      </c>
      <c r="AN55" s="1270"/>
    </row>
    <row r="56" spans="1:41" s="1063" customFormat="1" ht="16.5" customHeight="1" thickBot="1">
      <c r="A56" s="1064"/>
      <c r="B56" s="1262"/>
      <c r="C56" s="1210"/>
      <c r="D56" s="1211"/>
      <c r="E56" s="1212"/>
      <c r="F56" s="1213"/>
      <c r="G56" s="1214"/>
      <c r="H56" s="1213"/>
      <c r="I56" s="1215"/>
      <c r="J56" s="1216"/>
      <c r="K56" s="1217"/>
      <c r="L56" s="1218"/>
      <c r="M56" s="1218"/>
      <c r="N56" s="1219"/>
      <c r="O56" s="1219"/>
      <c r="P56" s="1218"/>
      <c r="Q56" s="1220"/>
      <c r="R56" s="1219"/>
      <c r="S56" s="1219"/>
      <c r="T56" s="1228"/>
      <c r="U56" s="1228"/>
      <c r="V56" s="1229"/>
      <c r="W56" s="1221"/>
      <c r="X56" s="1222"/>
      <c r="Y56" s="1223"/>
      <c r="Z56" s="1224"/>
      <c r="AA56" s="1223"/>
      <c r="AB56" s="1225"/>
      <c r="AC56" s="1224"/>
      <c r="AD56" s="1224"/>
      <c r="AE56" s="1224"/>
      <c r="AF56" s="1226"/>
      <c r="AG56" s="1227"/>
      <c r="AH56" s="1227"/>
      <c r="AI56" s="1228"/>
      <c r="AJ56" s="1228"/>
      <c r="AK56" s="1229"/>
      <c r="AL56" s="1224"/>
      <c r="AM56" s="1230"/>
      <c r="AN56" s="1270"/>
      <c r="AO56" s="1064"/>
    </row>
    <row r="57" spans="2:40" ht="17.25" thickBot="1" thickTop="1">
      <c r="B57" s="1272"/>
      <c r="C57" s="1074"/>
      <c r="D57" s="1074"/>
      <c r="E57" s="1231"/>
      <c r="F57" s="1232"/>
      <c r="G57" s="1233"/>
      <c r="H57" s="1099"/>
      <c r="I57" s="1234"/>
      <c r="J57" s="1099"/>
      <c r="K57" s="1235"/>
      <c r="L57" s="1235"/>
      <c r="M57" s="1235"/>
      <c r="N57" s="1236"/>
      <c r="O57" s="1235"/>
      <c r="P57" s="1235"/>
      <c r="Q57" s="1237"/>
      <c r="R57" s="1235"/>
      <c r="S57" s="1235"/>
      <c r="T57" s="1238">
        <f>SUM(T51:T56)</f>
        <v>0</v>
      </c>
      <c r="U57" s="1238">
        <f>SUM(U51:U56)</f>
        <v>21054</v>
      </c>
      <c r="V57" s="1238">
        <f>SUM(V51:V56)</f>
        <v>315810</v>
      </c>
      <c r="W57" s="1239"/>
      <c r="X57" s="1240"/>
      <c r="Y57" s="1239"/>
      <c r="Z57" s="1239"/>
      <c r="AA57" s="1239"/>
      <c r="AB57" s="1239"/>
      <c r="AC57" s="1239"/>
      <c r="AD57" s="1239"/>
      <c r="AE57" s="1239"/>
      <c r="AF57" s="1239"/>
      <c r="AG57" s="1239"/>
      <c r="AH57" s="1239"/>
      <c r="AI57" s="1238">
        <f>SUM(AI51:AI56)</f>
        <v>0</v>
      </c>
      <c r="AJ57" s="1238">
        <f>SUM(AJ51:AJ56)</f>
        <v>21054</v>
      </c>
      <c r="AK57" s="1238">
        <f>SUM(AK51:AK56)</f>
        <v>78761.1</v>
      </c>
      <c r="AL57" s="1239"/>
      <c r="AM57" s="1241">
        <f>ROUND(SUM(AM51:AM56),2)</f>
        <v>0.03</v>
      </c>
      <c r="AN57" s="1273"/>
    </row>
    <row r="58" spans="2:40" ht="16.5" thickTop="1">
      <c r="B58" s="1272"/>
      <c r="C58" s="1074"/>
      <c r="D58" s="1074"/>
      <c r="E58" s="1253"/>
      <c r="F58" s="1232"/>
      <c r="G58" s="1233"/>
      <c r="H58" s="1099"/>
      <c r="I58" s="1234"/>
      <c r="J58" s="1099"/>
      <c r="K58" s="1235"/>
      <c r="L58" s="1235"/>
      <c r="M58" s="1235"/>
      <c r="N58" s="1236"/>
      <c r="O58" s="1235"/>
      <c r="P58" s="1235"/>
      <c r="Q58" s="1237"/>
      <c r="R58" s="1235"/>
      <c r="S58" s="1235"/>
      <c r="T58" s="1254"/>
      <c r="U58" s="1254"/>
      <c r="V58" s="1254"/>
      <c r="W58" s="1239"/>
      <c r="X58" s="1240"/>
      <c r="Y58" s="1239"/>
      <c r="Z58" s="1239"/>
      <c r="AA58" s="1239"/>
      <c r="AB58" s="1239"/>
      <c r="AC58" s="1239"/>
      <c r="AD58" s="1239"/>
      <c r="AE58" s="1239"/>
      <c r="AF58" s="1239"/>
      <c r="AG58" s="1239"/>
      <c r="AH58" s="1239"/>
      <c r="AI58" s="1254"/>
      <c r="AJ58" s="1254"/>
      <c r="AK58" s="1254"/>
      <c r="AL58" s="1239"/>
      <c r="AM58" s="1239"/>
      <c r="AN58" s="1273"/>
    </row>
    <row r="59" spans="2:40" ht="15.75">
      <c r="B59" s="1272"/>
      <c r="C59" s="1074"/>
      <c r="D59" s="1074"/>
      <c r="E59" s="1243" t="s">
        <v>375</v>
      </c>
      <c r="F59" s="1271" t="s">
        <v>400</v>
      </c>
      <c r="G59" s="1233"/>
      <c r="H59" s="1099"/>
      <c r="I59" s="1234"/>
      <c r="J59" s="1099"/>
      <c r="K59" s="1235"/>
      <c r="L59" s="1235"/>
      <c r="M59" s="1235"/>
      <c r="N59" s="1236"/>
      <c r="O59" s="1235"/>
      <c r="P59" s="1235"/>
      <c r="Q59" s="1237"/>
      <c r="R59" s="1235"/>
      <c r="S59" s="1235"/>
      <c r="T59" s="1254"/>
      <c r="U59" s="1254"/>
      <c r="V59" s="1254"/>
      <c r="W59" s="1239"/>
      <c r="X59" s="1240"/>
      <c r="Y59" s="1239"/>
      <c r="Z59" s="1239"/>
      <c r="AA59" s="1239"/>
      <c r="AB59" s="1239"/>
      <c r="AC59" s="1239"/>
      <c r="AD59" s="1239"/>
      <c r="AE59" s="1239"/>
      <c r="AF59" s="1239"/>
      <c r="AG59" s="1239"/>
      <c r="AH59" s="1239"/>
      <c r="AI59" s="1254"/>
      <c r="AJ59" s="1254"/>
      <c r="AK59" s="1254"/>
      <c r="AL59" s="1239"/>
      <c r="AM59" s="1239"/>
      <c r="AN59" s="1273"/>
    </row>
    <row r="60" spans="2:40" ht="15.75">
      <c r="B60" s="1272"/>
      <c r="C60" s="1074"/>
      <c r="D60" s="1074"/>
      <c r="E60" s="1243" t="s">
        <v>377</v>
      </c>
      <c r="F60" s="1271" t="s">
        <v>401</v>
      </c>
      <c r="G60" s="1233"/>
      <c r="H60" s="1099"/>
      <c r="I60" s="1234"/>
      <c r="J60" s="1099"/>
      <c r="K60" s="1235"/>
      <c r="L60" s="1235"/>
      <c r="M60" s="1235"/>
      <c r="N60" s="1236"/>
      <c r="O60" s="1235"/>
      <c r="P60" s="1235"/>
      <c r="Q60" s="1237"/>
      <c r="R60" s="1235"/>
      <c r="S60" s="1235"/>
      <c r="T60" s="1254"/>
      <c r="U60" s="1254"/>
      <c r="V60" s="1254"/>
      <c r="W60" s="1239"/>
      <c r="X60" s="1240"/>
      <c r="Y60" s="1239"/>
      <c r="Z60" s="1239"/>
      <c r="AA60" s="1239"/>
      <c r="AB60" s="1239"/>
      <c r="AC60" s="1239"/>
      <c r="AD60" s="1239"/>
      <c r="AE60" s="1239"/>
      <c r="AF60" s="1239"/>
      <c r="AG60" s="1239"/>
      <c r="AH60" s="1239"/>
      <c r="AI60" s="1254"/>
      <c r="AJ60" s="1254"/>
      <c r="AK60" s="1254"/>
      <c r="AL60" s="1239"/>
      <c r="AM60" s="1239"/>
      <c r="AN60" s="1273"/>
    </row>
    <row r="61" spans="2:40" ht="15.75">
      <c r="B61" s="1272"/>
      <c r="C61" s="1074"/>
      <c r="D61" s="1074"/>
      <c r="E61" s="1271" t="s">
        <v>405</v>
      </c>
      <c r="F61" s="1271" t="s">
        <v>404</v>
      </c>
      <c r="G61" s="1233"/>
      <c r="H61" s="1099"/>
      <c r="I61" s="1234"/>
      <c r="J61" s="1099"/>
      <c r="K61" s="1235"/>
      <c r="L61" s="1235"/>
      <c r="M61" s="1235"/>
      <c r="N61" s="1236"/>
      <c r="O61" s="1235"/>
      <c r="P61" s="1235"/>
      <c r="Q61" s="1237"/>
      <c r="R61" s="1235"/>
      <c r="S61" s="1235"/>
      <c r="T61" s="1254"/>
      <c r="U61" s="1254"/>
      <c r="V61" s="1254"/>
      <c r="W61" s="1239"/>
      <c r="X61" s="1240"/>
      <c r="Y61" s="1239"/>
      <c r="Z61" s="1239"/>
      <c r="AA61" s="1239"/>
      <c r="AB61" s="1239"/>
      <c r="AC61" s="1239"/>
      <c r="AD61" s="1239"/>
      <c r="AE61" s="1239"/>
      <c r="AF61" s="1239"/>
      <c r="AG61" s="1239"/>
      <c r="AH61" s="1239"/>
      <c r="AI61" s="1254"/>
      <c r="AJ61" s="1254"/>
      <c r="AK61" s="1254"/>
      <c r="AL61" s="1239"/>
      <c r="AM61" s="1239"/>
      <c r="AN61" s="1273"/>
    </row>
    <row r="62" spans="2:40" s="1064" customFormat="1" ht="16.5" customHeight="1">
      <c r="B62" s="1272"/>
      <c r="C62" s="1074"/>
      <c r="D62" s="1074"/>
      <c r="E62" s="1271" t="s">
        <v>407</v>
      </c>
      <c r="F62" s="1271" t="s">
        <v>408</v>
      </c>
      <c r="G62" s="1233"/>
      <c r="H62" s="1099"/>
      <c r="I62" s="1234"/>
      <c r="J62" s="1099"/>
      <c r="K62" s="1235"/>
      <c r="L62" s="1235"/>
      <c r="M62" s="1235"/>
      <c r="N62" s="1236"/>
      <c r="O62" s="1235"/>
      <c r="P62" s="1235"/>
      <c r="Q62" s="1237"/>
      <c r="R62" s="1235"/>
      <c r="S62" s="1235"/>
      <c r="T62" s="1254"/>
      <c r="U62" s="1254"/>
      <c r="V62" s="1254"/>
      <c r="W62" s="1239"/>
      <c r="X62" s="1240"/>
      <c r="Y62" s="1239"/>
      <c r="Z62" s="1239"/>
      <c r="AA62" s="1239"/>
      <c r="AB62" s="1239"/>
      <c r="AC62" s="1239"/>
      <c r="AD62" s="1239"/>
      <c r="AE62" s="1239"/>
      <c r="AF62" s="1239"/>
      <c r="AG62" s="1239"/>
      <c r="AH62" s="1239"/>
      <c r="AI62" s="1254"/>
      <c r="AJ62" s="1254"/>
      <c r="AK62" s="1254"/>
      <c r="AL62" s="1239"/>
      <c r="AM62" s="1239"/>
      <c r="AN62" s="1273"/>
    </row>
    <row r="63" spans="2:40" s="1064" customFormat="1" ht="16.5" customHeight="1">
      <c r="B63" s="1262"/>
      <c r="C63" s="1074"/>
      <c r="D63" s="1074"/>
      <c r="E63" s="1271" t="s">
        <v>411</v>
      </c>
      <c r="F63" s="1271" t="s">
        <v>412</v>
      </c>
      <c r="G63" s="1233"/>
      <c r="H63" s="1099"/>
      <c r="I63" s="1234"/>
      <c r="J63" s="1099"/>
      <c r="K63" s="1235"/>
      <c r="L63" s="1235"/>
      <c r="M63" s="1235"/>
      <c r="N63" s="1236"/>
      <c r="O63" s="1235"/>
      <c r="P63" s="1235"/>
      <c r="Q63" s="1237"/>
      <c r="R63" s="1235"/>
      <c r="S63" s="1235"/>
      <c r="T63" s="1254"/>
      <c r="U63" s="1254"/>
      <c r="V63" s="1254"/>
      <c r="W63" s="1239"/>
      <c r="X63" s="1240"/>
      <c r="Y63" s="1239"/>
      <c r="Z63" s="1239"/>
      <c r="AA63" s="1239"/>
      <c r="AB63" s="1239"/>
      <c r="AC63" s="1239"/>
      <c r="AD63" s="1239"/>
      <c r="AE63" s="1239"/>
      <c r="AF63" s="1239"/>
      <c r="AG63" s="1239"/>
      <c r="AH63" s="1239"/>
      <c r="AI63" s="1254"/>
      <c r="AJ63" s="1254"/>
      <c r="AK63" s="1254"/>
      <c r="AL63" s="1239"/>
      <c r="AM63" s="1239"/>
      <c r="AN63" s="1274"/>
    </row>
    <row r="64" spans="2:40" ht="13.5" thickBot="1">
      <c r="B64" s="1279"/>
      <c r="C64" s="1280"/>
      <c r="D64" s="1280"/>
      <c r="E64" s="1280"/>
      <c r="F64" s="1280"/>
      <c r="G64" s="1280"/>
      <c r="H64" s="1280"/>
      <c r="I64" s="1280"/>
      <c r="J64" s="1280"/>
      <c r="K64" s="1280"/>
      <c r="L64" s="1280"/>
      <c r="M64" s="1280"/>
      <c r="N64" s="1281"/>
      <c r="O64" s="1280"/>
      <c r="P64" s="1280"/>
      <c r="Q64" s="1280"/>
      <c r="R64" s="1280"/>
      <c r="S64" s="1280"/>
      <c r="T64" s="1280"/>
      <c r="U64" s="1280"/>
      <c r="V64" s="1280"/>
      <c r="W64" s="1282"/>
      <c r="X64" s="1280"/>
      <c r="Y64" s="1280"/>
      <c r="Z64" s="1282"/>
      <c r="AA64" s="1282"/>
      <c r="AB64" s="1282"/>
      <c r="AC64" s="1282"/>
      <c r="AD64" s="1282"/>
      <c r="AE64" s="1282"/>
      <c r="AF64" s="1282"/>
      <c r="AG64" s="1280"/>
      <c r="AH64" s="1280"/>
      <c r="AI64" s="1280"/>
      <c r="AJ64" s="1280"/>
      <c r="AK64" s="1280"/>
      <c r="AL64" s="1280"/>
      <c r="AM64" s="1280"/>
      <c r="AN64" s="1283"/>
    </row>
  </sheetData>
  <mergeCells count="4">
    <mergeCell ref="B2:AN2"/>
    <mergeCell ref="C21:C24"/>
    <mergeCell ref="C39:C42"/>
    <mergeCell ref="C52:C55"/>
  </mergeCells>
  <printOptions horizontalCentered="1"/>
  <pageMargins left="0.3937007874015748" right="0.1968503937007874" top="0.25" bottom="0.34" header="0.2" footer="0.23"/>
  <pageSetup fitToHeight="1" fitToWidth="1" horizontalDpi="600" verticalDpi="600" orientation="landscape" paperSize="9" scale="45" r:id="rId4"/>
  <headerFooter alignWithMargins="0">
    <oddFooter>&amp;L&amp;"Times New Roman,Normal"&amp;8&amp;F-&amp;A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D45"/>
  <sheetViews>
    <sheetView zoomScale="75" zoomScaleNormal="75" workbookViewId="0" topLeftCell="A1">
      <selection activeCell="L29" sqref="L2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+'TOT-0209'!B2</f>
        <v>ANEXO III al Memorandum 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78" t="s">
        <v>69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334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'TOT-0209'!B14</f>
        <v>Desde el 01 al 28 de febrero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4"/>
      <c r="O14" s="20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05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95</v>
      </c>
      <c r="E16" s="908">
        <v>117.179</v>
      </c>
      <c r="F16" s="20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96</v>
      </c>
      <c r="E17" s="908">
        <v>97.649</v>
      </c>
      <c r="F17" s="208"/>
      <c r="G17" s="4"/>
      <c r="H17" s="4"/>
      <c r="I17" s="4"/>
      <c r="J17" s="214"/>
      <c r="K17" s="215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17"/>
      <c r="F18" s="4"/>
      <c r="G18" s="4"/>
      <c r="H18" s="4"/>
      <c r="I18" s="4"/>
      <c r="J18" s="4"/>
      <c r="K18" s="4"/>
      <c r="L18" s="4"/>
      <c r="M18" s="4"/>
      <c r="N18" s="2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31" t="s">
        <v>14</v>
      </c>
      <c r="F19" s="86" t="s">
        <v>15</v>
      </c>
      <c r="G19" s="220" t="s">
        <v>76</v>
      </c>
      <c r="H19" s="832" t="s">
        <v>37</v>
      </c>
      <c r="I19" s="833" t="s">
        <v>16</v>
      </c>
      <c r="J19" s="85" t="s">
        <v>17</v>
      </c>
      <c r="K19" s="183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3" t="s">
        <v>59</v>
      </c>
      <c r="Q19" s="85" t="s">
        <v>32</v>
      </c>
      <c r="R19" s="137" t="s">
        <v>20</v>
      </c>
      <c r="S19" s="834" t="s">
        <v>21</v>
      </c>
      <c r="T19" s="222" t="s">
        <v>60</v>
      </c>
      <c r="U19" s="223"/>
      <c r="V19" s="224"/>
      <c r="W19" s="835" t="s">
        <v>156</v>
      </c>
      <c r="X19" s="836"/>
      <c r="Y19" s="837"/>
      <c r="Z19" s="225" t="s">
        <v>22</v>
      </c>
      <c r="AA19" s="226" t="s">
        <v>78</v>
      </c>
      <c r="AB19" s="133" t="s">
        <v>79</v>
      </c>
      <c r="AC19" s="133" t="s">
        <v>24</v>
      </c>
      <c r="AD19" s="227"/>
    </row>
    <row r="20" spans="2:30" s="5" customFormat="1" ht="16.5" customHeight="1" thickTop="1">
      <c r="B20" s="50"/>
      <c r="C20" s="185"/>
      <c r="D20" s="887"/>
      <c r="E20" s="887"/>
      <c r="F20" s="909"/>
      <c r="G20" s="886"/>
      <c r="H20" s="888"/>
      <c r="I20" s="889"/>
      <c r="J20" s="901"/>
      <c r="K20" s="901"/>
      <c r="L20" s="886"/>
      <c r="M20" s="886"/>
      <c r="N20" s="886"/>
      <c r="O20" s="886"/>
      <c r="P20" s="886"/>
      <c r="Q20" s="886"/>
      <c r="R20" s="890"/>
      <c r="S20" s="891"/>
      <c r="T20" s="892"/>
      <c r="U20" s="893"/>
      <c r="V20" s="894"/>
      <c r="W20" s="895"/>
      <c r="X20" s="896"/>
      <c r="Y20" s="897"/>
      <c r="Z20" s="898"/>
      <c r="AA20" s="899"/>
      <c r="AB20" s="886"/>
      <c r="AC20" s="838"/>
      <c r="AD20" s="17"/>
    </row>
    <row r="21" spans="2:30" s="5" customFormat="1" ht="16.5" customHeight="1">
      <c r="B21" s="50"/>
      <c r="C21" s="289"/>
      <c r="D21" s="187"/>
      <c r="E21" s="7"/>
      <c r="F21" s="910"/>
      <c r="G21" s="187"/>
      <c r="H21" s="839"/>
      <c r="I21" s="840"/>
      <c r="J21" s="228"/>
      <c r="K21" s="116"/>
      <c r="L21" s="187"/>
      <c r="M21" s="187"/>
      <c r="N21" s="188"/>
      <c r="O21" s="187"/>
      <c r="P21" s="187"/>
      <c r="Q21" s="187"/>
      <c r="R21" s="841"/>
      <c r="S21" s="842"/>
      <c r="T21" s="843"/>
      <c r="U21" s="844"/>
      <c r="V21" s="845"/>
      <c r="W21" s="846"/>
      <c r="X21" s="847"/>
      <c r="Y21" s="848"/>
      <c r="Z21" s="229"/>
      <c r="AA21" s="230"/>
      <c r="AB21" s="187"/>
      <c r="AC21" s="231"/>
      <c r="AD21" s="17"/>
    </row>
    <row r="22" spans="2:30" s="5" customFormat="1" ht="16.5" customHeight="1">
      <c r="B22" s="50"/>
      <c r="C22" s="157">
        <v>19</v>
      </c>
      <c r="D22" s="157" t="s">
        <v>283</v>
      </c>
      <c r="E22" s="190">
        <v>500</v>
      </c>
      <c r="F22" s="911">
        <v>254.8000030517578</v>
      </c>
      <c r="G22" s="190" t="s">
        <v>278</v>
      </c>
      <c r="H22" s="849">
        <f aca="true" t="shared" si="0" ref="H22:H41">IF(G22="A",200,IF(G22="B",60,20))</f>
        <v>60</v>
      </c>
      <c r="I22" s="850">
        <f aca="true" t="shared" si="1" ref="I22:I41">IF(E22=500,IF(F22&lt;100,100*$E$16/100,F22*$E$16/100),IF(F22&lt;100,100*$E$17/100,F22*$E$17/100))</f>
        <v>298.5720955760193</v>
      </c>
      <c r="J22" s="851">
        <v>39847.0375</v>
      </c>
      <c r="K22" s="852">
        <v>39847.57083333333</v>
      </c>
      <c r="L22" s="193">
        <f aca="true" t="shared" si="2" ref="L22:L41">IF(D22="","",(K22-J22)*24)</f>
        <v>12.799999999988358</v>
      </c>
      <c r="M22" s="194">
        <f aca="true" t="shared" si="3" ref="M22:M41">IF(D22="","",ROUND((K22-J22)*24*60,0))</f>
        <v>768</v>
      </c>
      <c r="N22" s="234" t="s">
        <v>273</v>
      </c>
      <c r="O22" s="195" t="str">
        <f aca="true" t="shared" si="4" ref="O22:O41">IF(D22="","","--")</f>
        <v>--</v>
      </c>
      <c r="P22" s="155" t="str">
        <f aca="true" t="shared" si="5" ref="P22:P41">IF(D22="","","NO")</f>
        <v>NO</v>
      </c>
      <c r="Q22" s="155" t="str">
        <f aca="true" t="shared" si="6" ref="Q22:Q41">IF(D22="","",IF(OR(N22="P",N22="RP"),"--","NO"))</f>
        <v>NO</v>
      </c>
      <c r="R22" s="853" t="str">
        <f aca="true" t="shared" si="7" ref="R22:R41">IF(N22="P",I22*H22*ROUND(M22/60,2)*0.01,"--")</f>
        <v>--</v>
      </c>
      <c r="S22" s="854" t="str">
        <f aca="true" t="shared" si="8" ref="S22:S41">IF(N22="RP",I22*H22*ROUND(M22/60,2)*0.01*O22/100,"--")</f>
        <v>--</v>
      </c>
      <c r="T22" s="237">
        <f aca="true" t="shared" si="9" ref="T22:T41">IF(AND(N22="F",Q22="NO"),I22*H22*IF(P22="SI",1.2,1),"--")</f>
        <v>17914.32573456116</v>
      </c>
      <c r="U22" s="238">
        <f aca="true" t="shared" si="10" ref="U22:U41">IF(AND(N22="F",M22&gt;=10),I22*H22*IF(P22="SI",1.2,1)*IF(M22&lt;=300,ROUND(M22/60,2),5),"--")</f>
        <v>89571.6286728058</v>
      </c>
      <c r="V22" s="239">
        <f aca="true" t="shared" si="11" ref="V22:V41">IF(AND(N22="F",M22&gt;300),(ROUND(M22/60,2)-5)*I22*H22*0.1*IF(P22="SI",1.2,1),"--")</f>
        <v>13973.174072957707</v>
      </c>
      <c r="W22" s="855" t="str">
        <f aca="true" t="shared" si="12" ref="W22:W41">IF(AND(N22="R",Q22="NO"),I22*H22*O22/100*IF(P22="SI",1.2,1),"--")</f>
        <v>--</v>
      </c>
      <c r="X22" s="856" t="str">
        <f aca="true" t="shared" si="13" ref="X22:X41">IF(AND(N22="R",M22&gt;=10),I22*H22*O22/100*IF(P22="SI",1.2,1)*IF(M22&lt;=300,ROUND(M22/60,2),5),"--")</f>
        <v>--</v>
      </c>
      <c r="Y22" s="857" t="str">
        <f aca="true" t="shared" si="14" ref="Y22:Y41">IF(AND(N22="R",M22&gt;300),(ROUND(M22/60,2)-5)*I22*H22*0.1*O22/100*IF(P22="SI",1.2,1),"--")</f>
        <v>--</v>
      </c>
      <c r="Z22" s="240" t="str">
        <f aca="true" t="shared" si="15" ref="Z22:Z41">IF(N22="RF",ROUND(M22/60,2)*I22*H22*0.1*IF(P22="SI",1.2,1),"--")</f>
        <v>--</v>
      </c>
      <c r="AA22" s="241" t="str">
        <f aca="true" t="shared" si="16" ref="AA22:AA41">IF(N22="RR",ROUND(M22/60,2)*I22*H22*0.1*O22/100*IF(P22="SI",1.2,1),"--")</f>
        <v>--</v>
      </c>
      <c r="AB22" s="858" t="s">
        <v>238</v>
      </c>
      <c r="AC22" s="16">
        <f aca="true" t="shared" si="17" ref="AC22:AC41">IF(D22="","",SUM(R22:AA22)*IF(AB22="SI",1,2))</f>
        <v>121459.12848032467</v>
      </c>
      <c r="AD22" s="859"/>
    </row>
    <row r="23" spans="2:30" s="5" customFormat="1" ht="16.5" customHeight="1">
      <c r="B23" s="50"/>
      <c r="C23" s="289"/>
      <c r="D23" s="157"/>
      <c r="E23" s="190"/>
      <c r="F23" s="911"/>
      <c r="G23" s="190"/>
      <c r="H23" s="849">
        <f t="shared" si="0"/>
        <v>20</v>
      </c>
      <c r="I23" s="850">
        <f t="shared" si="1"/>
        <v>97.649</v>
      </c>
      <c r="J23" s="851"/>
      <c r="K23" s="852"/>
      <c r="L23" s="193">
        <f t="shared" si="2"/>
      </c>
      <c r="M23" s="194">
        <f t="shared" si="3"/>
      </c>
      <c r="N23" s="234"/>
      <c r="O23" s="195">
        <f t="shared" si="4"/>
      </c>
      <c r="P23" s="155">
        <f t="shared" si="5"/>
      </c>
      <c r="Q23" s="155">
        <f t="shared" si="6"/>
      </c>
      <c r="R23" s="853" t="str">
        <f t="shared" si="7"/>
        <v>--</v>
      </c>
      <c r="S23" s="854" t="str">
        <f t="shared" si="8"/>
        <v>--</v>
      </c>
      <c r="T23" s="237" t="str">
        <f t="shared" si="9"/>
        <v>--</v>
      </c>
      <c r="U23" s="238" t="str">
        <f t="shared" si="10"/>
        <v>--</v>
      </c>
      <c r="V23" s="239" t="str">
        <f t="shared" si="11"/>
        <v>--</v>
      </c>
      <c r="W23" s="855" t="str">
        <f t="shared" si="12"/>
        <v>--</v>
      </c>
      <c r="X23" s="856" t="str">
        <f t="shared" si="13"/>
        <v>--</v>
      </c>
      <c r="Y23" s="857" t="str">
        <f t="shared" si="14"/>
        <v>--</v>
      </c>
      <c r="Z23" s="240" t="str">
        <f t="shared" si="15"/>
        <v>--</v>
      </c>
      <c r="AA23" s="241" t="str">
        <f t="shared" si="16"/>
        <v>--</v>
      </c>
      <c r="AB23" s="858">
        <f aca="true" t="shared" si="18" ref="AB23:AB41">IF(D23="","","SI")</f>
      </c>
      <c r="AC23" s="16">
        <f t="shared" si="17"/>
      </c>
      <c r="AD23" s="859"/>
    </row>
    <row r="24" spans="2:30" s="5" customFormat="1" ht="16.5" customHeight="1">
      <c r="B24" s="50"/>
      <c r="C24" s="157"/>
      <c r="D24" s="860"/>
      <c r="E24" s="861"/>
      <c r="F24" s="912"/>
      <c r="G24" s="861"/>
      <c r="H24" s="849">
        <f t="shared" si="0"/>
        <v>20</v>
      </c>
      <c r="I24" s="850">
        <f t="shared" si="1"/>
        <v>97.649</v>
      </c>
      <c r="J24" s="862"/>
      <c r="K24" s="863"/>
      <c r="L24" s="193">
        <f t="shared" si="2"/>
      </c>
      <c r="M24" s="194">
        <f t="shared" si="3"/>
      </c>
      <c r="N24" s="234"/>
      <c r="O24" s="195">
        <f t="shared" si="4"/>
      </c>
      <c r="P24" s="155">
        <f t="shared" si="5"/>
      </c>
      <c r="Q24" s="155">
        <f t="shared" si="6"/>
      </c>
      <c r="R24" s="853" t="str">
        <f t="shared" si="7"/>
        <v>--</v>
      </c>
      <c r="S24" s="854" t="str">
        <f t="shared" si="8"/>
        <v>--</v>
      </c>
      <c r="T24" s="237" t="str">
        <f t="shared" si="9"/>
        <v>--</v>
      </c>
      <c r="U24" s="238" t="str">
        <f t="shared" si="10"/>
        <v>--</v>
      </c>
      <c r="V24" s="239" t="str">
        <f t="shared" si="11"/>
        <v>--</v>
      </c>
      <c r="W24" s="855" t="str">
        <f t="shared" si="12"/>
        <v>--</v>
      </c>
      <c r="X24" s="856" t="str">
        <f t="shared" si="13"/>
        <v>--</v>
      </c>
      <c r="Y24" s="857" t="str">
        <f t="shared" si="14"/>
        <v>--</v>
      </c>
      <c r="Z24" s="240" t="str">
        <f t="shared" si="15"/>
        <v>--</v>
      </c>
      <c r="AA24" s="241" t="str">
        <f t="shared" si="16"/>
        <v>--</v>
      </c>
      <c r="AB24" s="858">
        <f t="shared" si="18"/>
      </c>
      <c r="AC24" s="16">
        <f t="shared" si="17"/>
      </c>
      <c r="AD24" s="859"/>
    </row>
    <row r="25" spans="2:30" s="5" customFormat="1" ht="16.5" customHeight="1">
      <c r="B25" s="50"/>
      <c r="C25" s="289"/>
      <c r="D25" s="860"/>
      <c r="E25" s="861"/>
      <c r="F25" s="912"/>
      <c r="G25" s="861"/>
      <c r="H25" s="849">
        <f t="shared" si="0"/>
        <v>20</v>
      </c>
      <c r="I25" s="850">
        <f t="shared" si="1"/>
        <v>97.649</v>
      </c>
      <c r="J25" s="862"/>
      <c r="K25" s="863"/>
      <c r="L25" s="193">
        <f t="shared" si="2"/>
      </c>
      <c r="M25" s="194">
        <f t="shared" si="3"/>
      </c>
      <c r="N25" s="234"/>
      <c r="O25" s="195">
        <f t="shared" si="4"/>
      </c>
      <c r="P25" s="155">
        <f t="shared" si="5"/>
      </c>
      <c r="Q25" s="155">
        <f t="shared" si="6"/>
      </c>
      <c r="R25" s="853" t="str">
        <f t="shared" si="7"/>
        <v>--</v>
      </c>
      <c r="S25" s="854" t="str">
        <f t="shared" si="8"/>
        <v>--</v>
      </c>
      <c r="T25" s="237" t="str">
        <f t="shared" si="9"/>
        <v>--</v>
      </c>
      <c r="U25" s="238" t="str">
        <f t="shared" si="10"/>
        <v>--</v>
      </c>
      <c r="V25" s="239" t="str">
        <f t="shared" si="11"/>
        <v>--</v>
      </c>
      <c r="W25" s="855" t="str">
        <f t="shared" si="12"/>
        <v>--</v>
      </c>
      <c r="X25" s="856" t="str">
        <f t="shared" si="13"/>
        <v>--</v>
      </c>
      <c r="Y25" s="857" t="str">
        <f t="shared" si="14"/>
        <v>--</v>
      </c>
      <c r="Z25" s="240" t="str">
        <f t="shared" si="15"/>
        <v>--</v>
      </c>
      <c r="AA25" s="241" t="str">
        <f t="shared" si="16"/>
        <v>--</v>
      </c>
      <c r="AB25" s="858">
        <f t="shared" si="18"/>
      </c>
      <c r="AC25" s="16">
        <f t="shared" si="17"/>
      </c>
      <c r="AD25" s="859"/>
    </row>
    <row r="26" spans="2:30" s="5" customFormat="1" ht="16.5" customHeight="1">
      <c r="B26" s="50"/>
      <c r="C26" s="157"/>
      <c r="D26" s="157"/>
      <c r="E26" s="190"/>
      <c r="F26" s="911"/>
      <c r="G26" s="190"/>
      <c r="H26" s="849">
        <f t="shared" si="0"/>
        <v>20</v>
      </c>
      <c r="I26" s="850">
        <f t="shared" si="1"/>
        <v>97.649</v>
      </c>
      <c r="J26" s="851"/>
      <c r="K26" s="852"/>
      <c r="L26" s="193">
        <f t="shared" si="2"/>
      </c>
      <c r="M26" s="194">
        <f t="shared" si="3"/>
      </c>
      <c r="N26" s="234"/>
      <c r="O26" s="195">
        <f t="shared" si="4"/>
      </c>
      <c r="P26" s="155">
        <f t="shared" si="5"/>
      </c>
      <c r="Q26" s="155">
        <f t="shared" si="6"/>
      </c>
      <c r="R26" s="853" t="str">
        <f t="shared" si="7"/>
        <v>--</v>
      </c>
      <c r="S26" s="854" t="str">
        <f t="shared" si="8"/>
        <v>--</v>
      </c>
      <c r="T26" s="237" t="str">
        <f t="shared" si="9"/>
        <v>--</v>
      </c>
      <c r="U26" s="238" t="str">
        <f t="shared" si="10"/>
        <v>--</v>
      </c>
      <c r="V26" s="239" t="str">
        <f t="shared" si="11"/>
        <v>--</v>
      </c>
      <c r="W26" s="855" t="str">
        <f t="shared" si="12"/>
        <v>--</v>
      </c>
      <c r="X26" s="856" t="str">
        <f t="shared" si="13"/>
        <v>--</v>
      </c>
      <c r="Y26" s="857" t="str">
        <f t="shared" si="14"/>
        <v>--</v>
      </c>
      <c r="Z26" s="240" t="str">
        <f t="shared" si="15"/>
        <v>--</v>
      </c>
      <c r="AA26" s="241" t="str">
        <f t="shared" si="16"/>
        <v>--</v>
      </c>
      <c r="AB26" s="858">
        <f t="shared" si="18"/>
      </c>
      <c r="AC26" s="16">
        <f t="shared" si="17"/>
      </c>
      <c r="AD26" s="859"/>
    </row>
    <row r="27" spans="2:30" s="5" customFormat="1" ht="16.5" customHeight="1">
      <c r="B27" s="50"/>
      <c r="C27" s="289"/>
      <c r="D27" s="157"/>
      <c r="E27" s="190"/>
      <c r="F27" s="911"/>
      <c r="G27" s="190"/>
      <c r="H27" s="849">
        <f t="shared" si="0"/>
        <v>20</v>
      </c>
      <c r="I27" s="850">
        <f t="shared" si="1"/>
        <v>97.649</v>
      </c>
      <c r="J27" s="851"/>
      <c r="K27" s="852"/>
      <c r="L27" s="193">
        <f t="shared" si="2"/>
      </c>
      <c r="M27" s="194">
        <f t="shared" si="3"/>
      </c>
      <c r="N27" s="234"/>
      <c r="O27" s="195">
        <f t="shared" si="4"/>
      </c>
      <c r="P27" s="155">
        <f t="shared" si="5"/>
      </c>
      <c r="Q27" s="155">
        <f t="shared" si="6"/>
      </c>
      <c r="R27" s="853" t="str">
        <f t="shared" si="7"/>
        <v>--</v>
      </c>
      <c r="S27" s="854" t="str">
        <f t="shared" si="8"/>
        <v>--</v>
      </c>
      <c r="T27" s="237" t="str">
        <f t="shared" si="9"/>
        <v>--</v>
      </c>
      <c r="U27" s="238" t="str">
        <f t="shared" si="10"/>
        <v>--</v>
      </c>
      <c r="V27" s="239" t="str">
        <f t="shared" si="11"/>
        <v>--</v>
      </c>
      <c r="W27" s="855" t="str">
        <f t="shared" si="12"/>
        <v>--</v>
      </c>
      <c r="X27" s="856" t="str">
        <f t="shared" si="13"/>
        <v>--</v>
      </c>
      <c r="Y27" s="857" t="str">
        <f t="shared" si="14"/>
        <v>--</v>
      </c>
      <c r="Z27" s="240" t="str">
        <f t="shared" si="15"/>
        <v>--</v>
      </c>
      <c r="AA27" s="241" t="str">
        <f t="shared" si="16"/>
        <v>--</v>
      </c>
      <c r="AB27" s="858">
        <f t="shared" si="18"/>
      </c>
      <c r="AC27" s="16">
        <f t="shared" si="17"/>
      </c>
      <c r="AD27" s="859"/>
    </row>
    <row r="28" spans="2:30" s="5" customFormat="1" ht="16.5" customHeight="1">
      <c r="B28" s="50"/>
      <c r="C28" s="157"/>
      <c r="D28" s="148"/>
      <c r="E28" s="150"/>
      <c r="F28" s="913"/>
      <c r="G28" s="150"/>
      <c r="H28" s="849">
        <f t="shared" si="0"/>
        <v>20</v>
      </c>
      <c r="I28" s="850">
        <f t="shared" si="1"/>
        <v>97.649</v>
      </c>
      <c r="J28" s="191"/>
      <c r="K28" s="233"/>
      <c r="L28" s="193">
        <f t="shared" si="2"/>
      </c>
      <c r="M28" s="194">
        <f t="shared" si="3"/>
      </c>
      <c r="N28" s="234"/>
      <c r="O28" s="195">
        <f t="shared" si="4"/>
      </c>
      <c r="P28" s="155">
        <f t="shared" si="5"/>
      </c>
      <c r="Q28" s="155">
        <f t="shared" si="6"/>
      </c>
      <c r="R28" s="853" t="str">
        <f t="shared" si="7"/>
        <v>--</v>
      </c>
      <c r="S28" s="854" t="str">
        <f t="shared" si="8"/>
        <v>--</v>
      </c>
      <c r="T28" s="237" t="str">
        <f t="shared" si="9"/>
        <v>--</v>
      </c>
      <c r="U28" s="238" t="str">
        <f t="shared" si="10"/>
        <v>--</v>
      </c>
      <c r="V28" s="239" t="str">
        <f t="shared" si="11"/>
        <v>--</v>
      </c>
      <c r="W28" s="855" t="str">
        <f t="shared" si="12"/>
        <v>--</v>
      </c>
      <c r="X28" s="856" t="str">
        <f t="shared" si="13"/>
        <v>--</v>
      </c>
      <c r="Y28" s="857" t="str">
        <f t="shared" si="14"/>
        <v>--</v>
      </c>
      <c r="Z28" s="240" t="str">
        <f t="shared" si="15"/>
        <v>--</v>
      </c>
      <c r="AA28" s="241" t="str">
        <f t="shared" si="16"/>
        <v>--</v>
      </c>
      <c r="AB28" s="858">
        <f t="shared" si="18"/>
      </c>
      <c r="AC28" s="16">
        <f t="shared" si="17"/>
      </c>
      <c r="AD28" s="859"/>
    </row>
    <row r="29" spans="2:30" s="5" customFormat="1" ht="16.5" customHeight="1">
      <c r="B29" s="50"/>
      <c r="C29" s="289"/>
      <c r="D29" s="148"/>
      <c r="E29" s="150"/>
      <c r="F29" s="913"/>
      <c r="G29" s="150"/>
      <c r="H29" s="849">
        <f t="shared" si="0"/>
        <v>20</v>
      </c>
      <c r="I29" s="850">
        <f t="shared" si="1"/>
        <v>97.649</v>
      </c>
      <c r="J29" s="191"/>
      <c r="K29" s="233"/>
      <c r="L29" s="193">
        <f t="shared" si="2"/>
      </c>
      <c r="M29" s="194">
        <f t="shared" si="3"/>
      </c>
      <c r="N29" s="234"/>
      <c r="O29" s="195">
        <f t="shared" si="4"/>
      </c>
      <c r="P29" s="155">
        <f t="shared" si="5"/>
      </c>
      <c r="Q29" s="155">
        <f t="shared" si="6"/>
      </c>
      <c r="R29" s="853" t="str">
        <f t="shared" si="7"/>
        <v>--</v>
      </c>
      <c r="S29" s="854" t="str">
        <f t="shared" si="8"/>
        <v>--</v>
      </c>
      <c r="T29" s="237" t="str">
        <f t="shared" si="9"/>
        <v>--</v>
      </c>
      <c r="U29" s="238" t="str">
        <f t="shared" si="10"/>
        <v>--</v>
      </c>
      <c r="V29" s="239" t="str">
        <f t="shared" si="11"/>
        <v>--</v>
      </c>
      <c r="W29" s="855" t="str">
        <f t="shared" si="12"/>
        <v>--</v>
      </c>
      <c r="X29" s="856" t="str">
        <f t="shared" si="13"/>
        <v>--</v>
      </c>
      <c r="Y29" s="857" t="str">
        <f t="shared" si="14"/>
        <v>--</v>
      </c>
      <c r="Z29" s="240" t="str">
        <f t="shared" si="15"/>
        <v>--</v>
      </c>
      <c r="AA29" s="241" t="str">
        <f t="shared" si="16"/>
        <v>--</v>
      </c>
      <c r="AB29" s="858">
        <f t="shared" si="18"/>
      </c>
      <c r="AC29" s="16">
        <f t="shared" si="17"/>
      </c>
      <c r="AD29" s="859"/>
    </row>
    <row r="30" spans="2:30" s="5" customFormat="1" ht="16.5" customHeight="1">
      <c r="B30" s="50"/>
      <c r="C30" s="157"/>
      <c r="D30" s="148"/>
      <c r="E30" s="150"/>
      <c r="F30" s="913"/>
      <c r="G30" s="150"/>
      <c r="H30" s="849">
        <f t="shared" si="0"/>
        <v>20</v>
      </c>
      <c r="I30" s="850">
        <f t="shared" si="1"/>
        <v>97.649</v>
      </c>
      <c r="J30" s="191"/>
      <c r="K30" s="233"/>
      <c r="L30" s="193">
        <f t="shared" si="2"/>
      </c>
      <c r="M30" s="194">
        <f t="shared" si="3"/>
      </c>
      <c r="N30" s="234"/>
      <c r="O30" s="195">
        <f t="shared" si="4"/>
      </c>
      <c r="P30" s="155">
        <f t="shared" si="5"/>
      </c>
      <c r="Q30" s="155">
        <f t="shared" si="6"/>
      </c>
      <c r="R30" s="853" t="str">
        <f t="shared" si="7"/>
        <v>--</v>
      </c>
      <c r="S30" s="854" t="str">
        <f t="shared" si="8"/>
        <v>--</v>
      </c>
      <c r="T30" s="237" t="str">
        <f t="shared" si="9"/>
        <v>--</v>
      </c>
      <c r="U30" s="238" t="str">
        <f t="shared" si="10"/>
        <v>--</v>
      </c>
      <c r="V30" s="239" t="str">
        <f t="shared" si="11"/>
        <v>--</v>
      </c>
      <c r="W30" s="855" t="str">
        <f t="shared" si="12"/>
        <v>--</v>
      </c>
      <c r="X30" s="856" t="str">
        <f t="shared" si="13"/>
        <v>--</v>
      </c>
      <c r="Y30" s="857" t="str">
        <f t="shared" si="14"/>
        <v>--</v>
      </c>
      <c r="Z30" s="240" t="str">
        <f t="shared" si="15"/>
        <v>--</v>
      </c>
      <c r="AA30" s="241" t="str">
        <f t="shared" si="16"/>
        <v>--</v>
      </c>
      <c r="AB30" s="858">
        <f t="shared" si="18"/>
      </c>
      <c r="AC30" s="16">
        <f t="shared" si="17"/>
      </c>
      <c r="AD30" s="859"/>
    </row>
    <row r="31" spans="2:30" s="5" customFormat="1" ht="16.5" customHeight="1">
      <c r="B31" s="50"/>
      <c r="C31" s="289"/>
      <c r="D31" s="148"/>
      <c r="E31" s="150"/>
      <c r="F31" s="913"/>
      <c r="G31" s="150"/>
      <c r="H31" s="849">
        <f t="shared" si="0"/>
        <v>20</v>
      </c>
      <c r="I31" s="850">
        <f t="shared" si="1"/>
        <v>97.649</v>
      </c>
      <c r="J31" s="191"/>
      <c r="K31" s="233"/>
      <c r="L31" s="193">
        <f t="shared" si="2"/>
      </c>
      <c r="M31" s="194">
        <f t="shared" si="3"/>
      </c>
      <c r="N31" s="234"/>
      <c r="O31" s="195">
        <f t="shared" si="4"/>
      </c>
      <c r="P31" s="155">
        <f t="shared" si="5"/>
      </c>
      <c r="Q31" s="155">
        <f t="shared" si="6"/>
      </c>
      <c r="R31" s="853" t="str">
        <f t="shared" si="7"/>
        <v>--</v>
      </c>
      <c r="S31" s="854" t="str">
        <f t="shared" si="8"/>
        <v>--</v>
      </c>
      <c r="T31" s="237" t="str">
        <f t="shared" si="9"/>
        <v>--</v>
      </c>
      <c r="U31" s="238" t="str">
        <f t="shared" si="10"/>
        <v>--</v>
      </c>
      <c r="V31" s="239" t="str">
        <f t="shared" si="11"/>
        <v>--</v>
      </c>
      <c r="W31" s="855" t="str">
        <f t="shared" si="12"/>
        <v>--</v>
      </c>
      <c r="X31" s="856" t="str">
        <f t="shared" si="13"/>
        <v>--</v>
      </c>
      <c r="Y31" s="857" t="str">
        <f t="shared" si="14"/>
        <v>--</v>
      </c>
      <c r="Z31" s="240" t="str">
        <f t="shared" si="15"/>
        <v>--</v>
      </c>
      <c r="AA31" s="241" t="str">
        <f t="shared" si="16"/>
        <v>--</v>
      </c>
      <c r="AB31" s="858">
        <f t="shared" si="18"/>
      </c>
      <c r="AC31" s="16">
        <f t="shared" si="17"/>
      </c>
      <c r="AD31" s="859"/>
    </row>
    <row r="32" spans="2:30" s="5" customFormat="1" ht="16.5" customHeight="1">
      <c r="B32" s="50"/>
      <c r="C32" s="157"/>
      <c r="D32" s="148"/>
      <c r="E32" s="150"/>
      <c r="F32" s="913"/>
      <c r="G32" s="150"/>
      <c r="H32" s="849">
        <f t="shared" si="0"/>
        <v>20</v>
      </c>
      <c r="I32" s="850">
        <f t="shared" si="1"/>
        <v>97.649</v>
      </c>
      <c r="J32" s="191"/>
      <c r="K32" s="233"/>
      <c r="L32" s="193">
        <f t="shared" si="2"/>
      </c>
      <c r="M32" s="194">
        <f t="shared" si="3"/>
      </c>
      <c r="N32" s="234"/>
      <c r="O32" s="195">
        <f t="shared" si="4"/>
      </c>
      <c r="P32" s="155">
        <f t="shared" si="5"/>
      </c>
      <c r="Q32" s="155">
        <f t="shared" si="6"/>
      </c>
      <c r="R32" s="853" t="str">
        <f t="shared" si="7"/>
        <v>--</v>
      </c>
      <c r="S32" s="854" t="str">
        <f t="shared" si="8"/>
        <v>--</v>
      </c>
      <c r="T32" s="237" t="str">
        <f t="shared" si="9"/>
        <v>--</v>
      </c>
      <c r="U32" s="238" t="str">
        <f t="shared" si="10"/>
        <v>--</v>
      </c>
      <c r="V32" s="239" t="str">
        <f t="shared" si="11"/>
        <v>--</v>
      </c>
      <c r="W32" s="855" t="str">
        <f t="shared" si="12"/>
        <v>--</v>
      </c>
      <c r="X32" s="856" t="str">
        <f t="shared" si="13"/>
        <v>--</v>
      </c>
      <c r="Y32" s="857" t="str">
        <f t="shared" si="14"/>
        <v>--</v>
      </c>
      <c r="Z32" s="240" t="str">
        <f t="shared" si="15"/>
        <v>--</v>
      </c>
      <c r="AA32" s="241" t="str">
        <f t="shared" si="16"/>
        <v>--</v>
      </c>
      <c r="AB32" s="858">
        <f t="shared" si="18"/>
      </c>
      <c r="AC32" s="16">
        <f t="shared" si="17"/>
      </c>
      <c r="AD32" s="859"/>
    </row>
    <row r="33" spans="2:30" s="5" customFormat="1" ht="16.5" customHeight="1">
      <c r="B33" s="50"/>
      <c r="C33" s="289"/>
      <c r="D33" s="148"/>
      <c r="E33" s="150"/>
      <c r="F33" s="913"/>
      <c r="G33" s="150"/>
      <c r="H33" s="849">
        <f t="shared" si="0"/>
        <v>20</v>
      </c>
      <c r="I33" s="850">
        <f t="shared" si="1"/>
        <v>97.649</v>
      </c>
      <c r="J33" s="191"/>
      <c r="K33" s="192"/>
      <c r="L33" s="193">
        <f t="shared" si="2"/>
      </c>
      <c r="M33" s="194">
        <f t="shared" si="3"/>
      </c>
      <c r="N33" s="234"/>
      <c r="O33" s="195">
        <f t="shared" si="4"/>
      </c>
      <c r="P33" s="155">
        <f t="shared" si="5"/>
      </c>
      <c r="Q33" s="155">
        <f t="shared" si="6"/>
      </c>
      <c r="R33" s="853" t="str">
        <f t="shared" si="7"/>
        <v>--</v>
      </c>
      <c r="S33" s="854" t="str">
        <f t="shared" si="8"/>
        <v>--</v>
      </c>
      <c r="T33" s="237" t="str">
        <f t="shared" si="9"/>
        <v>--</v>
      </c>
      <c r="U33" s="238" t="str">
        <f t="shared" si="10"/>
        <v>--</v>
      </c>
      <c r="V33" s="239" t="str">
        <f t="shared" si="11"/>
        <v>--</v>
      </c>
      <c r="W33" s="855" t="str">
        <f t="shared" si="12"/>
        <v>--</v>
      </c>
      <c r="X33" s="856" t="str">
        <f t="shared" si="13"/>
        <v>--</v>
      </c>
      <c r="Y33" s="857" t="str">
        <f t="shared" si="14"/>
        <v>--</v>
      </c>
      <c r="Z33" s="240" t="str">
        <f t="shared" si="15"/>
        <v>--</v>
      </c>
      <c r="AA33" s="241" t="str">
        <f t="shared" si="16"/>
        <v>--</v>
      </c>
      <c r="AB33" s="858">
        <f t="shared" si="18"/>
      </c>
      <c r="AC33" s="16">
        <f t="shared" si="17"/>
      </c>
      <c r="AD33" s="859"/>
    </row>
    <row r="34" spans="2:30" s="5" customFormat="1" ht="16.5" customHeight="1">
      <c r="B34" s="50"/>
      <c r="C34" s="157"/>
      <c r="D34" s="148"/>
      <c r="E34" s="150"/>
      <c r="F34" s="913"/>
      <c r="G34" s="150"/>
      <c r="H34" s="849">
        <f t="shared" si="0"/>
        <v>20</v>
      </c>
      <c r="I34" s="850">
        <f t="shared" si="1"/>
        <v>97.649</v>
      </c>
      <c r="J34" s="191"/>
      <c r="K34" s="192"/>
      <c r="L34" s="193">
        <f t="shared" si="2"/>
      </c>
      <c r="M34" s="194">
        <f t="shared" si="3"/>
      </c>
      <c r="N34" s="234"/>
      <c r="O34" s="195">
        <f t="shared" si="4"/>
      </c>
      <c r="P34" s="155">
        <f t="shared" si="5"/>
      </c>
      <c r="Q34" s="155">
        <f t="shared" si="6"/>
      </c>
      <c r="R34" s="853" t="str">
        <f t="shared" si="7"/>
        <v>--</v>
      </c>
      <c r="S34" s="854" t="str">
        <f t="shared" si="8"/>
        <v>--</v>
      </c>
      <c r="T34" s="237" t="str">
        <f t="shared" si="9"/>
        <v>--</v>
      </c>
      <c r="U34" s="238" t="str">
        <f t="shared" si="10"/>
        <v>--</v>
      </c>
      <c r="V34" s="239" t="str">
        <f t="shared" si="11"/>
        <v>--</v>
      </c>
      <c r="W34" s="855" t="str">
        <f t="shared" si="12"/>
        <v>--</v>
      </c>
      <c r="X34" s="856" t="str">
        <f t="shared" si="13"/>
        <v>--</v>
      </c>
      <c r="Y34" s="857" t="str">
        <f t="shared" si="14"/>
        <v>--</v>
      </c>
      <c r="Z34" s="240" t="str">
        <f t="shared" si="15"/>
        <v>--</v>
      </c>
      <c r="AA34" s="241" t="str">
        <f t="shared" si="16"/>
        <v>--</v>
      </c>
      <c r="AB34" s="858">
        <f t="shared" si="18"/>
      </c>
      <c r="AC34" s="16">
        <f t="shared" si="17"/>
      </c>
      <c r="AD34" s="859"/>
    </row>
    <row r="35" spans="2:30" s="5" customFormat="1" ht="16.5" customHeight="1">
      <c r="B35" s="50"/>
      <c r="C35" s="289"/>
      <c r="D35" s="148"/>
      <c r="E35" s="150"/>
      <c r="F35" s="913"/>
      <c r="G35" s="150"/>
      <c r="H35" s="849">
        <f t="shared" si="0"/>
        <v>20</v>
      </c>
      <c r="I35" s="850">
        <f t="shared" si="1"/>
        <v>97.649</v>
      </c>
      <c r="J35" s="191"/>
      <c r="K35" s="192"/>
      <c r="L35" s="193">
        <f t="shared" si="2"/>
      </c>
      <c r="M35" s="194">
        <f t="shared" si="3"/>
      </c>
      <c r="N35" s="234"/>
      <c r="O35" s="195">
        <f t="shared" si="4"/>
      </c>
      <c r="P35" s="155">
        <f t="shared" si="5"/>
      </c>
      <c r="Q35" s="155">
        <f t="shared" si="6"/>
      </c>
      <c r="R35" s="853" t="str">
        <f t="shared" si="7"/>
        <v>--</v>
      </c>
      <c r="S35" s="854" t="str">
        <f t="shared" si="8"/>
        <v>--</v>
      </c>
      <c r="T35" s="237" t="str">
        <f t="shared" si="9"/>
        <v>--</v>
      </c>
      <c r="U35" s="238" t="str">
        <f t="shared" si="10"/>
        <v>--</v>
      </c>
      <c r="V35" s="239" t="str">
        <f t="shared" si="11"/>
        <v>--</v>
      </c>
      <c r="W35" s="855" t="str">
        <f t="shared" si="12"/>
        <v>--</v>
      </c>
      <c r="X35" s="856" t="str">
        <f t="shared" si="13"/>
        <v>--</v>
      </c>
      <c r="Y35" s="857" t="str">
        <f t="shared" si="14"/>
        <v>--</v>
      </c>
      <c r="Z35" s="240" t="str">
        <f t="shared" si="15"/>
        <v>--</v>
      </c>
      <c r="AA35" s="241" t="str">
        <f t="shared" si="16"/>
        <v>--</v>
      </c>
      <c r="AB35" s="858">
        <f t="shared" si="18"/>
      </c>
      <c r="AC35" s="16">
        <f t="shared" si="17"/>
      </c>
      <c r="AD35" s="859"/>
    </row>
    <row r="36" spans="2:30" s="5" customFormat="1" ht="16.5" customHeight="1">
      <c r="B36" s="50"/>
      <c r="C36" s="157"/>
      <c r="D36" s="148"/>
      <c r="E36" s="150"/>
      <c r="F36" s="913"/>
      <c r="G36" s="150"/>
      <c r="H36" s="849">
        <f t="shared" si="0"/>
        <v>20</v>
      </c>
      <c r="I36" s="850">
        <f t="shared" si="1"/>
        <v>97.649</v>
      </c>
      <c r="J36" s="191"/>
      <c r="K36" s="192"/>
      <c r="L36" s="193">
        <f t="shared" si="2"/>
      </c>
      <c r="M36" s="194">
        <f t="shared" si="3"/>
      </c>
      <c r="N36" s="234"/>
      <c r="O36" s="195">
        <f t="shared" si="4"/>
      </c>
      <c r="P36" s="155">
        <f t="shared" si="5"/>
      </c>
      <c r="Q36" s="155">
        <f t="shared" si="6"/>
      </c>
      <c r="R36" s="853" t="str">
        <f t="shared" si="7"/>
        <v>--</v>
      </c>
      <c r="S36" s="854" t="str">
        <f t="shared" si="8"/>
        <v>--</v>
      </c>
      <c r="T36" s="237" t="str">
        <f t="shared" si="9"/>
        <v>--</v>
      </c>
      <c r="U36" s="238" t="str">
        <f t="shared" si="10"/>
        <v>--</v>
      </c>
      <c r="V36" s="239" t="str">
        <f t="shared" si="11"/>
        <v>--</v>
      </c>
      <c r="W36" s="855" t="str">
        <f t="shared" si="12"/>
        <v>--</v>
      </c>
      <c r="X36" s="856" t="str">
        <f t="shared" si="13"/>
        <v>--</v>
      </c>
      <c r="Y36" s="857" t="str">
        <f t="shared" si="14"/>
        <v>--</v>
      </c>
      <c r="Z36" s="240" t="str">
        <f t="shared" si="15"/>
        <v>--</v>
      </c>
      <c r="AA36" s="241" t="str">
        <f t="shared" si="16"/>
        <v>--</v>
      </c>
      <c r="AB36" s="858">
        <f t="shared" si="18"/>
      </c>
      <c r="AC36" s="16">
        <f t="shared" si="17"/>
      </c>
      <c r="AD36" s="859"/>
    </row>
    <row r="37" spans="2:30" s="5" customFormat="1" ht="16.5" customHeight="1">
      <c r="B37" s="50"/>
      <c r="C37" s="289"/>
      <c r="D37" s="148"/>
      <c r="E37" s="150"/>
      <c r="F37" s="913"/>
      <c r="G37" s="150"/>
      <c r="H37" s="849">
        <f t="shared" si="0"/>
        <v>20</v>
      </c>
      <c r="I37" s="850">
        <f t="shared" si="1"/>
        <v>97.649</v>
      </c>
      <c r="J37" s="191"/>
      <c r="K37" s="192"/>
      <c r="L37" s="193">
        <f t="shared" si="2"/>
      </c>
      <c r="M37" s="194">
        <f t="shared" si="3"/>
      </c>
      <c r="N37" s="234"/>
      <c r="O37" s="195">
        <f t="shared" si="4"/>
      </c>
      <c r="P37" s="155">
        <f t="shared" si="5"/>
      </c>
      <c r="Q37" s="155">
        <f t="shared" si="6"/>
      </c>
      <c r="R37" s="853" t="str">
        <f t="shared" si="7"/>
        <v>--</v>
      </c>
      <c r="S37" s="854" t="str">
        <f t="shared" si="8"/>
        <v>--</v>
      </c>
      <c r="T37" s="237" t="str">
        <f t="shared" si="9"/>
        <v>--</v>
      </c>
      <c r="U37" s="238" t="str">
        <f t="shared" si="10"/>
        <v>--</v>
      </c>
      <c r="V37" s="239" t="str">
        <f t="shared" si="11"/>
        <v>--</v>
      </c>
      <c r="W37" s="855" t="str">
        <f t="shared" si="12"/>
        <v>--</v>
      </c>
      <c r="X37" s="856" t="str">
        <f t="shared" si="13"/>
        <v>--</v>
      </c>
      <c r="Y37" s="857" t="str">
        <f t="shared" si="14"/>
        <v>--</v>
      </c>
      <c r="Z37" s="240" t="str">
        <f t="shared" si="15"/>
        <v>--</v>
      </c>
      <c r="AA37" s="241" t="str">
        <f t="shared" si="16"/>
        <v>--</v>
      </c>
      <c r="AB37" s="858">
        <f t="shared" si="18"/>
      </c>
      <c r="AC37" s="16">
        <f t="shared" si="17"/>
      </c>
      <c r="AD37" s="859"/>
    </row>
    <row r="38" spans="2:30" s="5" customFormat="1" ht="16.5" customHeight="1">
      <c r="B38" s="50"/>
      <c r="C38" s="157"/>
      <c r="D38" s="148"/>
      <c r="E38" s="150"/>
      <c r="F38" s="913"/>
      <c r="G38" s="150"/>
      <c r="H38" s="849">
        <f t="shared" si="0"/>
        <v>20</v>
      </c>
      <c r="I38" s="850">
        <f t="shared" si="1"/>
        <v>97.649</v>
      </c>
      <c r="J38" s="191"/>
      <c r="K38" s="192"/>
      <c r="L38" s="193">
        <f t="shared" si="2"/>
      </c>
      <c r="M38" s="194">
        <f t="shared" si="3"/>
      </c>
      <c r="N38" s="234"/>
      <c r="O38" s="195">
        <f t="shared" si="4"/>
      </c>
      <c r="P38" s="155">
        <f t="shared" si="5"/>
      </c>
      <c r="Q38" s="155">
        <f t="shared" si="6"/>
      </c>
      <c r="R38" s="853" t="str">
        <f t="shared" si="7"/>
        <v>--</v>
      </c>
      <c r="S38" s="854" t="str">
        <f t="shared" si="8"/>
        <v>--</v>
      </c>
      <c r="T38" s="237" t="str">
        <f t="shared" si="9"/>
        <v>--</v>
      </c>
      <c r="U38" s="238" t="str">
        <f t="shared" si="10"/>
        <v>--</v>
      </c>
      <c r="V38" s="239" t="str">
        <f t="shared" si="11"/>
        <v>--</v>
      </c>
      <c r="W38" s="855" t="str">
        <f t="shared" si="12"/>
        <v>--</v>
      </c>
      <c r="X38" s="856" t="str">
        <f t="shared" si="13"/>
        <v>--</v>
      </c>
      <c r="Y38" s="857" t="str">
        <f t="shared" si="14"/>
        <v>--</v>
      </c>
      <c r="Z38" s="240" t="str">
        <f t="shared" si="15"/>
        <v>--</v>
      </c>
      <c r="AA38" s="241" t="str">
        <f t="shared" si="16"/>
        <v>--</v>
      </c>
      <c r="AB38" s="858">
        <f t="shared" si="18"/>
      </c>
      <c r="AC38" s="16">
        <f t="shared" si="17"/>
      </c>
      <c r="AD38" s="859"/>
    </row>
    <row r="39" spans="2:30" s="5" customFormat="1" ht="16.5" customHeight="1">
      <c r="B39" s="50"/>
      <c r="C39" s="289"/>
      <c r="D39" s="148"/>
      <c r="E39" s="150"/>
      <c r="F39" s="913"/>
      <c r="G39" s="150"/>
      <c r="H39" s="849">
        <f t="shared" si="0"/>
        <v>20</v>
      </c>
      <c r="I39" s="850">
        <f t="shared" si="1"/>
        <v>97.649</v>
      </c>
      <c r="J39" s="191"/>
      <c r="K39" s="192"/>
      <c r="L39" s="193">
        <f t="shared" si="2"/>
      </c>
      <c r="M39" s="194">
        <f t="shared" si="3"/>
      </c>
      <c r="N39" s="234"/>
      <c r="O39" s="195">
        <f t="shared" si="4"/>
      </c>
      <c r="P39" s="155">
        <f t="shared" si="5"/>
      </c>
      <c r="Q39" s="155">
        <f t="shared" si="6"/>
      </c>
      <c r="R39" s="853" t="str">
        <f t="shared" si="7"/>
        <v>--</v>
      </c>
      <c r="S39" s="854" t="str">
        <f t="shared" si="8"/>
        <v>--</v>
      </c>
      <c r="T39" s="237" t="str">
        <f t="shared" si="9"/>
        <v>--</v>
      </c>
      <c r="U39" s="238" t="str">
        <f t="shared" si="10"/>
        <v>--</v>
      </c>
      <c r="V39" s="239" t="str">
        <f t="shared" si="11"/>
        <v>--</v>
      </c>
      <c r="W39" s="855" t="str">
        <f t="shared" si="12"/>
        <v>--</v>
      </c>
      <c r="X39" s="856" t="str">
        <f t="shared" si="13"/>
        <v>--</v>
      </c>
      <c r="Y39" s="857" t="str">
        <f t="shared" si="14"/>
        <v>--</v>
      </c>
      <c r="Z39" s="240" t="str">
        <f t="shared" si="15"/>
        <v>--</v>
      </c>
      <c r="AA39" s="241" t="str">
        <f t="shared" si="16"/>
        <v>--</v>
      </c>
      <c r="AB39" s="858">
        <f t="shared" si="18"/>
      </c>
      <c r="AC39" s="16">
        <f t="shared" si="17"/>
      </c>
      <c r="AD39" s="859"/>
    </row>
    <row r="40" spans="2:30" s="5" customFormat="1" ht="16.5" customHeight="1">
      <c r="B40" s="50"/>
      <c r="C40" s="157"/>
      <c r="D40" s="148"/>
      <c r="E40" s="150"/>
      <c r="F40" s="913"/>
      <c r="G40" s="150"/>
      <c r="H40" s="849">
        <f t="shared" si="0"/>
        <v>20</v>
      </c>
      <c r="I40" s="850">
        <f t="shared" si="1"/>
        <v>97.649</v>
      </c>
      <c r="J40" s="191"/>
      <c r="K40" s="192"/>
      <c r="L40" s="193">
        <f t="shared" si="2"/>
      </c>
      <c r="M40" s="194">
        <f t="shared" si="3"/>
      </c>
      <c r="N40" s="234"/>
      <c r="O40" s="195">
        <f t="shared" si="4"/>
      </c>
      <c r="P40" s="155">
        <f t="shared" si="5"/>
      </c>
      <c r="Q40" s="155">
        <f t="shared" si="6"/>
      </c>
      <c r="R40" s="853" t="str">
        <f t="shared" si="7"/>
        <v>--</v>
      </c>
      <c r="S40" s="854" t="str">
        <f t="shared" si="8"/>
        <v>--</v>
      </c>
      <c r="T40" s="237" t="str">
        <f t="shared" si="9"/>
        <v>--</v>
      </c>
      <c r="U40" s="238" t="str">
        <f t="shared" si="10"/>
        <v>--</v>
      </c>
      <c r="V40" s="239" t="str">
        <f t="shared" si="11"/>
        <v>--</v>
      </c>
      <c r="W40" s="855" t="str">
        <f t="shared" si="12"/>
        <v>--</v>
      </c>
      <c r="X40" s="856" t="str">
        <f t="shared" si="13"/>
        <v>--</v>
      </c>
      <c r="Y40" s="857" t="str">
        <f t="shared" si="14"/>
        <v>--</v>
      </c>
      <c r="Z40" s="240" t="str">
        <f t="shared" si="15"/>
        <v>--</v>
      </c>
      <c r="AA40" s="241" t="str">
        <f t="shared" si="16"/>
        <v>--</v>
      </c>
      <c r="AB40" s="858">
        <f t="shared" si="18"/>
      </c>
      <c r="AC40" s="16">
        <f t="shared" si="17"/>
      </c>
      <c r="AD40" s="859"/>
    </row>
    <row r="41" spans="2:30" s="5" customFormat="1" ht="16.5" customHeight="1">
      <c r="B41" s="50"/>
      <c r="C41" s="289"/>
      <c r="D41" s="148"/>
      <c r="E41" s="150"/>
      <c r="F41" s="913"/>
      <c r="G41" s="150"/>
      <c r="H41" s="849">
        <f t="shared" si="0"/>
        <v>20</v>
      </c>
      <c r="I41" s="850">
        <f t="shared" si="1"/>
        <v>97.649</v>
      </c>
      <c r="J41" s="191"/>
      <c r="K41" s="192"/>
      <c r="L41" s="193">
        <f t="shared" si="2"/>
      </c>
      <c r="M41" s="194">
        <f t="shared" si="3"/>
      </c>
      <c r="N41" s="234"/>
      <c r="O41" s="195">
        <f t="shared" si="4"/>
      </c>
      <c r="P41" s="155">
        <f t="shared" si="5"/>
      </c>
      <c r="Q41" s="155">
        <f t="shared" si="6"/>
      </c>
      <c r="R41" s="853" t="str">
        <f t="shared" si="7"/>
        <v>--</v>
      </c>
      <c r="S41" s="854" t="str">
        <f t="shared" si="8"/>
        <v>--</v>
      </c>
      <c r="T41" s="237" t="str">
        <f t="shared" si="9"/>
        <v>--</v>
      </c>
      <c r="U41" s="238" t="str">
        <f t="shared" si="10"/>
        <v>--</v>
      </c>
      <c r="V41" s="239" t="str">
        <f t="shared" si="11"/>
        <v>--</v>
      </c>
      <c r="W41" s="855" t="str">
        <f t="shared" si="12"/>
        <v>--</v>
      </c>
      <c r="X41" s="856" t="str">
        <f t="shared" si="13"/>
        <v>--</v>
      </c>
      <c r="Y41" s="857" t="str">
        <f t="shared" si="14"/>
        <v>--</v>
      </c>
      <c r="Z41" s="240" t="str">
        <f t="shared" si="15"/>
        <v>--</v>
      </c>
      <c r="AA41" s="241" t="str">
        <f t="shared" si="16"/>
        <v>--</v>
      </c>
      <c r="AB41" s="858">
        <f t="shared" si="18"/>
      </c>
      <c r="AC41" s="16">
        <f t="shared" si="17"/>
      </c>
      <c r="AD41" s="859"/>
    </row>
    <row r="42" spans="2:30" s="5" customFormat="1" ht="16.5" customHeight="1" thickBot="1">
      <c r="B42" s="50"/>
      <c r="C42" s="157"/>
      <c r="D42" s="152"/>
      <c r="E42" s="243"/>
      <c r="F42" s="907"/>
      <c r="G42" s="244"/>
      <c r="H42" s="864"/>
      <c r="I42" s="865"/>
      <c r="J42" s="902"/>
      <c r="K42" s="902"/>
      <c r="L42" s="9"/>
      <c r="M42" s="9"/>
      <c r="N42" s="154"/>
      <c r="O42" s="197"/>
      <c r="P42" s="154"/>
      <c r="Q42" s="154"/>
      <c r="R42" s="866"/>
      <c r="S42" s="867"/>
      <c r="T42" s="245"/>
      <c r="U42" s="246"/>
      <c r="V42" s="247"/>
      <c r="W42" s="868"/>
      <c r="X42" s="869"/>
      <c r="Y42" s="870"/>
      <c r="Z42" s="248"/>
      <c r="AA42" s="249"/>
      <c r="AB42" s="871"/>
      <c r="AC42" s="250"/>
      <c r="AD42" s="859"/>
    </row>
    <row r="43" spans="2:30" s="5" customFormat="1" ht="16.5" customHeight="1" thickBot="1" thickTop="1">
      <c r="B43" s="50"/>
      <c r="C43" s="128" t="s">
        <v>25</v>
      </c>
      <c r="D43" s="129" t="s">
        <v>329</v>
      </c>
      <c r="E43" s="251"/>
      <c r="F43" s="217"/>
      <c r="G43" s="252"/>
      <c r="H43" s="217"/>
      <c r="I43" s="198"/>
      <c r="J43" s="198"/>
      <c r="K43" s="198"/>
      <c r="L43" s="198"/>
      <c r="M43" s="198"/>
      <c r="N43" s="198"/>
      <c r="O43" s="253"/>
      <c r="P43" s="198"/>
      <c r="Q43" s="198"/>
      <c r="R43" s="872">
        <f aca="true" t="shared" si="19" ref="R43:AA43">SUM(R20:R42)</f>
        <v>0</v>
      </c>
      <c r="S43" s="873">
        <f t="shared" si="19"/>
        <v>0</v>
      </c>
      <c r="T43" s="874">
        <f t="shared" si="19"/>
        <v>17914.32573456116</v>
      </c>
      <c r="U43" s="874">
        <f t="shared" si="19"/>
        <v>89571.6286728058</v>
      </c>
      <c r="V43" s="874">
        <f t="shared" si="19"/>
        <v>13973.174072957707</v>
      </c>
      <c r="W43" s="875">
        <f t="shared" si="19"/>
        <v>0</v>
      </c>
      <c r="X43" s="875">
        <f t="shared" si="19"/>
        <v>0</v>
      </c>
      <c r="Y43" s="875">
        <f t="shared" si="19"/>
        <v>0</v>
      </c>
      <c r="Z43" s="254">
        <f t="shared" si="19"/>
        <v>0</v>
      </c>
      <c r="AA43" s="255">
        <f t="shared" si="19"/>
        <v>0</v>
      </c>
      <c r="AB43" s="256"/>
      <c r="AC43" s="257">
        <f>ROUND(SUM(AC20:AC42),2)</f>
        <v>121459.13</v>
      </c>
      <c r="AD43" s="859"/>
    </row>
    <row r="44" spans="2:30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2:30" ht="16.5" customHeight="1" thickTop="1">
      <c r="B45" s="1"/>
      <c r="AD45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C153"/>
  <sheetViews>
    <sheetView zoomScale="75" zoomScaleNormal="75" workbookViewId="0" topLeftCell="A13">
      <selection activeCell="L29" sqref="L2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+'TOT-0209'!B2</f>
        <v>ANEXO III al Memorandum  D.T.E.E. N°  770        /2010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80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69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44" customFormat="1" ht="30" customHeight="1">
      <c r="A10" s="938"/>
      <c r="B10" s="939"/>
      <c r="C10" s="938"/>
      <c r="D10" s="940" t="s">
        <v>253</v>
      </c>
      <c r="E10" s="938"/>
      <c r="F10" s="941"/>
      <c r="G10" s="942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3"/>
    </row>
    <row r="11" spans="1:28" s="949" customFormat="1" ht="9.75" customHeight="1">
      <c r="A11" s="945"/>
      <c r="B11" s="946"/>
      <c r="C11" s="945"/>
      <c r="E11" s="947"/>
      <c r="F11" s="947"/>
      <c r="G11" s="947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8"/>
    </row>
    <row r="12" spans="1:28" s="949" customFormat="1" ht="21" customHeight="1">
      <c r="A12" s="938"/>
      <c r="B12" s="939"/>
      <c r="C12" s="938"/>
      <c r="D12" s="950" t="s">
        <v>254</v>
      </c>
      <c r="E12" s="938"/>
      <c r="F12" s="938"/>
      <c r="G12" s="938"/>
      <c r="H12" s="951"/>
      <c r="I12" s="951"/>
      <c r="J12" s="951"/>
      <c r="K12" s="951"/>
      <c r="L12" s="951"/>
      <c r="M12" s="945"/>
      <c r="N12" s="945"/>
      <c r="O12" s="945"/>
      <c r="P12" s="945"/>
      <c r="Q12" s="945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8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'TOT-0209'!B14</f>
        <v>Desde el 01 al 28 de febrero de 2009</v>
      </c>
      <c r="C14" s="263"/>
      <c r="D14" s="113"/>
      <c r="E14" s="113"/>
      <c r="F14" s="113"/>
      <c r="G14" s="113"/>
      <c r="H14" s="113"/>
      <c r="I14" s="113"/>
      <c r="J14" s="113"/>
      <c r="K14" s="113"/>
      <c r="L14" s="113"/>
      <c r="M14" s="263"/>
      <c r="N14" s="263"/>
      <c r="O14" s="263"/>
      <c r="P14" s="263"/>
      <c r="Q14" s="26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4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5" t="s">
        <v>81</v>
      </c>
      <c r="E16" s="266"/>
      <c r="F16" s="267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17">
        <v>200</v>
      </c>
      <c r="G17"/>
      <c r="H17" s="15"/>
      <c r="I17" s="214"/>
      <c r="J17" s="215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8" t="s">
        <v>37</v>
      </c>
      <c r="R19" s="269" t="s">
        <v>20</v>
      </c>
      <c r="S19" s="270" t="s">
        <v>21</v>
      </c>
      <c r="T19" s="222" t="s">
        <v>82</v>
      </c>
      <c r="U19" s="224"/>
      <c r="V19" s="271" t="s">
        <v>83</v>
      </c>
      <c r="W19" s="272"/>
      <c r="X19" s="273" t="s">
        <v>22</v>
      </c>
      <c r="Y19" s="274" t="s">
        <v>78</v>
      </c>
      <c r="Z19" s="133" t="s">
        <v>79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5"/>
      <c r="D20" s="275"/>
      <c r="E20" s="275"/>
      <c r="F20" s="275"/>
      <c r="G20" s="276"/>
      <c r="H20" s="277"/>
      <c r="I20" s="275"/>
      <c r="J20" s="275"/>
      <c r="K20" s="275"/>
      <c r="L20" s="275"/>
      <c r="M20" s="275"/>
      <c r="N20" s="185"/>
      <c r="O20" s="278"/>
      <c r="P20" s="275"/>
      <c r="Q20" s="279"/>
      <c r="R20" s="280"/>
      <c r="S20" s="281"/>
      <c r="T20" s="282"/>
      <c r="U20" s="283"/>
      <c r="V20" s="284"/>
      <c r="W20" s="285"/>
      <c r="X20" s="286"/>
      <c r="Y20" s="287"/>
      <c r="Z20" s="278"/>
      <c r="AA20" s="288"/>
      <c r="AB20" s="17"/>
    </row>
    <row r="21" spans="1:28" s="5" customFormat="1" ht="16.5" customHeight="1">
      <c r="A21" s="90"/>
      <c r="B21" s="95"/>
      <c r="C21" s="289"/>
      <c r="D21" s="289"/>
      <c r="E21" s="289"/>
      <c r="F21" s="289"/>
      <c r="G21" s="290"/>
      <c r="H21" s="291"/>
      <c r="I21" s="289"/>
      <c r="J21" s="289"/>
      <c r="K21" s="289"/>
      <c r="L21" s="289"/>
      <c r="M21" s="289"/>
      <c r="N21" s="188"/>
      <c r="O21" s="292"/>
      <c r="P21" s="289"/>
      <c r="Q21" s="293"/>
      <c r="R21" s="294"/>
      <c r="S21" s="295"/>
      <c r="T21" s="296"/>
      <c r="U21" s="297"/>
      <c r="V21" s="298"/>
      <c r="W21" s="299"/>
      <c r="X21" s="300"/>
      <c r="Y21" s="301"/>
      <c r="Z21" s="292"/>
      <c r="AA21" s="302"/>
      <c r="AB21" s="17"/>
    </row>
    <row r="22" spans="1:28" s="5" customFormat="1" ht="16.5" customHeight="1">
      <c r="A22" s="90"/>
      <c r="B22" s="95"/>
      <c r="C22" s="289">
        <v>21</v>
      </c>
      <c r="D22" s="151" t="s">
        <v>287</v>
      </c>
      <c r="E22" s="303" t="s">
        <v>288</v>
      </c>
      <c r="F22" s="304">
        <v>150</v>
      </c>
      <c r="G22" s="305" t="s">
        <v>291</v>
      </c>
      <c r="H22" s="306">
        <f aca="true" t="shared" si="0" ref="H22:H38">F22*$F$16</f>
        <v>47.85</v>
      </c>
      <c r="I22" s="158">
        <v>39845.31041666667</v>
      </c>
      <c r="J22" s="158">
        <v>39845.42638888889</v>
      </c>
      <c r="K22" s="307">
        <f aca="true" t="shared" si="1" ref="K22:K38">IF(D22="","",(J22-I22)*24)</f>
        <v>2.7833333333255723</v>
      </c>
      <c r="L22" s="14">
        <f aca="true" t="shared" si="2" ref="L22:L38">IF(D22="","",ROUND((J22-I22)*24*60,0))</f>
        <v>167</v>
      </c>
      <c r="M22" s="159" t="s">
        <v>241</v>
      </c>
      <c r="N22" s="235" t="str">
        <f aca="true" t="shared" si="3" ref="N22:N38">IF(D22="","","--")</f>
        <v>--</v>
      </c>
      <c r="O22" s="156" t="str">
        <f aca="true" t="shared" si="4" ref="O22:O38">IF(D22="","",IF(OR(M22="P",M22="RP"),"--","NO"))</f>
        <v>--</v>
      </c>
      <c r="P22" s="155" t="str">
        <f aca="true" t="shared" si="5" ref="P22:P38">IF(D22="","","NO")</f>
        <v>NO</v>
      </c>
      <c r="Q22" s="308">
        <f aca="true" t="shared" si="6" ref="Q22:Q38">$F$17*IF(OR(M22="P",M22="RP"),0.1,1)*IF(P22="SI",1,0.1)</f>
        <v>2</v>
      </c>
      <c r="R22" s="309">
        <f aca="true" t="shared" si="7" ref="R22:R38">IF(M22="P",H22*Q22*ROUND(L22/60,2),"--")</f>
        <v>266.046</v>
      </c>
      <c r="S22" s="310" t="str">
        <f aca="true" t="shared" si="8" ref="S22:S38">IF(M22="RP",H22*Q22*N22/100*ROUND(L22/60,2),"--")</f>
        <v>--</v>
      </c>
      <c r="T22" s="311" t="str">
        <f aca="true" t="shared" si="9" ref="T22:T38">IF(AND(M22="F",O22="NO"),H22*Q22,"--")</f>
        <v>--</v>
      </c>
      <c r="U22" s="312" t="str">
        <f aca="true" t="shared" si="10" ref="U22:U38">IF(M22="F",H22*Q22*ROUND(L22/60,2),"--")</f>
        <v>--</v>
      </c>
      <c r="V22" s="313" t="str">
        <f aca="true" t="shared" si="11" ref="V22:V38">IF(AND(M22="R",O22="NO"),H22*Q22*N22/100,"--")</f>
        <v>--</v>
      </c>
      <c r="W22" s="314" t="str">
        <f aca="true" t="shared" si="12" ref="W22:W38">IF(M22="R",H22*Q22*N22/100*ROUND(L22/60,2),"--")</f>
        <v>--</v>
      </c>
      <c r="X22" s="315" t="str">
        <f aca="true" t="shared" si="13" ref="X22:X38">IF(M22="RF",H22*Q22*ROUND(L22/60,2),"--")</f>
        <v>--</v>
      </c>
      <c r="Y22" s="316" t="str">
        <f aca="true" t="shared" si="14" ref="Y22:Y38">IF(M22="RR",H22*Q22*N22/100*ROUND(L22/60,2),"--")</f>
        <v>--</v>
      </c>
      <c r="Z22" s="317" t="s">
        <v>238</v>
      </c>
      <c r="AA22" s="16">
        <f aca="true" t="shared" si="15" ref="AA22:AA38">IF(D22="","",(SUM(R22:Y22)*IF(Z22="SI",1,2)*IF(AND(N22&lt;&gt;"--",M22="RF"),N22/100,1)))</f>
        <v>266.046</v>
      </c>
      <c r="AB22" s="17"/>
    </row>
    <row r="23" spans="1:28" s="5" customFormat="1" ht="16.5" customHeight="1">
      <c r="A23" s="90"/>
      <c r="B23" s="95"/>
      <c r="C23" s="157">
        <v>22</v>
      </c>
      <c r="D23" s="151" t="s">
        <v>289</v>
      </c>
      <c r="E23" s="303" t="s">
        <v>290</v>
      </c>
      <c r="F23" s="304">
        <v>300</v>
      </c>
      <c r="G23" s="305" t="s">
        <v>291</v>
      </c>
      <c r="H23" s="306">
        <f t="shared" si="0"/>
        <v>95.7</v>
      </c>
      <c r="I23" s="158">
        <v>39846.876388888886</v>
      </c>
      <c r="J23" s="158">
        <v>39846.92222222222</v>
      </c>
      <c r="K23" s="307">
        <f t="shared" si="1"/>
        <v>1.1000000000931323</v>
      </c>
      <c r="L23" s="14">
        <f t="shared" si="2"/>
        <v>66</v>
      </c>
      <c r="M23" s="159" t="s">
        <v>273</v>
      </c>
      <c r="N23" s="235" t="str">
        <f t="shared" si="3"/>
        <v>--</v>
      </c>
      <c r="O23" s="156" t="str">
        <f t="shared" si="4"/>
        <v>NO</v>
      </c>
      <c r="P23" s="155" t="s">
        <v>238</v>
      </c>
      <c r="Q23" s="308">
        <f t="shared" si="6"/>
        <v>200</v>
      </c>
      <c r="R23" s="309" t="str">
        <f t="shared" si="7"/>
        <v>--</v>
      </c>
      <c r="S23" s="310" t="str">
        <f t="shared" si="8"/>
        <v>--</v>
      </c>
      <c r="T23" s="311">
        <f t="shared" si="9"/>
        <v>19140</v>
      </c>
      <c r="U23" s="312">
        <f t="shared" si="10"/>
        <v>21054</v>
      </c>
      <c r="V23" s="313" t="str">
        <f t="shared" si="11"/>
        <v>--</v>
      </c>
      <c r="W23" s="314" t="str">
        <f t="shared" si="12"/>
        <v>--</v>
      </c>
      <c r="X23" s="315" t="str">
        <f t="shared" si="13"/>
        <v>--</v>
      </c>
      <c r="Y23" s="316" t="str">
        <f t="shared" si="14"/>
        <v>--</v>
      </c>
      <c r="Z23" s="317" t="s">
        <v>238</v>
      </c>
      <c r="AA23" s="16">
        <f t="shared" si="15"/>
        <v>40194</v>
      </c>
      <c r="AB23" s="17"/>
    </row>
    <row r="24" spans="1:28" s="5" customFormat="1" ht="16.5" customHeight="1">
      <c r="A24" s="90"/>
      <c r="B24" s="95"/>
      <c r="C24" s="289">
        <v>23</v>
      </c>
      <c r="D24" s="151" t="s">
        <v>287</v>
      </c>
      <c r="E24" s="303" t="s">
        <v>288</v>
      </c>
      <c r="F24" s="304">
        <v>150</v>
      </c>
      <c r="G24" s="305" t="s">
        <v>291</v>
      </c>
      <c r="H24" s="306">
        <f t="shared" si="0"/>
        <v>47.85</v>
      </c>
      <c r="I24" s="158">
        <v>39846.87847222222</v>
      </c>
      <c r="J24" s="158">
        <v>39847.00277777778</v>
      </c>
      <c r="K24" s="307">
        <f t="shared" si="1"/>
        <v>2.983333333453629</v>
      </c>
      <c r="L24" s="14">
        <f t="shared" si="2"/>
        <v>179</v>
      </c>
      <c r="M24" s="159" t="s">
        <v>273</v>
      </c>
      <c r="N24" s="235" t="str">
        <f t="shared" si="3"/>
        <v>--</v>
      </c>
      <c r="O24" s="156" t="str">
        <f t="shared" si="4"/>
        <v>NO</v>
      </c>
      <c r="P24" s="155" t="str">
        <f t="shared" si="5"/>
        <v>NO</v>
      </c>
      <c r="Q24" s="308">
        <f t="shared" si="6"/>
        <v>20</v>
      </c>
      <c r="R24" s="309" t="str">
        <f t="shared" si="7"/>
        <v>--</v>
      </c>
      <c r="S24" s="310" t="str">
        <f t="shared" si="8"/>
        <v>--</v>
      </c>
      <c r="T24" s="311">
        <f t="shared" si="9"/>
        <v>957</v>
      </c>
      <c r="U24" s="312">
        <f t="shared" si="10"/>
        <v>2851.86</v>
      </c>
      <c r="V24" s="313" t="str">
        <f t="shared" si="11"/>
        <v>--</v>
      </c>
      <c r="W24" s="314" t="str">
        <f t="shared" si="12"/>
        <v>--</v>
      </c>
      <c r="X24" s="315" t="str">
        <f t="shared" si="13"/>
        <v>--</v>
      </c>
      <c r="Y24" s="316" t="str">
        <f t="shared" si="14"/>
        <v>--</v>
      </c>
      <c r="Z24" s="317" t="s">
        <v>238</v>
      </c>
      <c r="AA24" s="16">
        <f t="shared" si="15"/>
        <v>3808.86</v>
      </c>
      <c r="AB24" s="17"/>
    </row>
    <row r="25" spans="1:28" s="5" customFormat="1" ht="16.5" customHeight="1">
      <c r="A25" s="90"/>
      <c r="B25" s="95"/>
      <c r="C25" s="157">
        <v>24</v>
      </c>
      <c r="D25" s="151" t="s">
        <v>287</v>
      </c>
      <c r="E25" s="303" t="s">
        <v>285</v>
      </c>
      <c r="F25" s="304">
        <v>300</v>
      </c>
      <c r="G25" s="305" t="s">
        <v>337</v>
      </c>
      <c r="H25" s="306">
        <f t="shared" si="0"/>
        <v>95.7</v>
      </c>
      <c r="I25" s="158">
        <v>39846.879166666666</v>
      </c>
      <c r="J25" s="158">
        <v>39846.98333333333</v>
      </c>
      <c r="K25" s="307">
        <f t="shared" si="1"/>
        <v>2.4999999999417923</v>
      </c>
      <c r="L25" s="14">
        <f t="shared" si="2"/>
        <v>150</v>
      </c>
      <c r="M25" s="159" t="s">
        <v>273</v>
      </c>
      <c r="N25" s="235" t="str">
        <f t="shared" si="3"/>
        <v>--</v>
      </c>
      <c r="O25" s="156" t="str">
        <f t="shared" si="4"/>
        <v>NO</v>
      </c>
      <c r="P25" s="155" t="str">
        <f t="shared" si="5"/>
        <v>NO</v>
      </c>
      <c r="Q25" s="308">
        <f t="shared" si="6"/>
        <v>20</v>
      </c>
      <c r="R25" s="309" t="str">
        <f t="shared" si="7"/>
        <v>--</v>
      </c>
      <c r="S25" s="310" t="str">
        <f t="shared" si="8"/>
        <v>--</v>
      </c>
      <c r="T25" s="311">
        <f t="shared" si="9"/>
        <v>1914</v>
      </c>
      <c r="U25" s="312">
        <f t="shared" si="10"/>
        <v>4785</v>
      </c>
      <c r="V25" s="313" t="str">
        <f t="shared" si="11"/>
        <v>--</v>
      </c>
      <c r="W25" s="314" t="str">
        <f t="shared" si="12"/>
        <v>--</v>
      </c>
      <c r="X25" s="315" t="str">
        <f t="shared" si="13"/>
        <v>--</v>
      </c>
      <c r="Y25" s="316" t="str">
        <f t="shared" si="14"/>
        <v>--</v>
      </c>
      <c r="Z25" s="317" t="s">
        <v>238</v>
      </c>
      <c r="AA25" s="16">
        <f t="shared" si="15"/>
        <v>6699</v>
      </c>
      <c r="AB25" s="17"/>
    </row>
    <row r="26" spans="2:28" s="90" customFormat="1" ht="16.5" customHeight="1">
      <c r="B26" s="95"/>
      <c r="C26" s="289">
        <v>27</v>
      </c>
      <c r="D26" s="1340" t="s">
        <v>287</v>
      </c>
      <c r="E26" s="1341" t="s">
        <v>292</v>
      </c>
      <c r="F26" s="1342">
        <v>300</v>
      </c>
      <c r="G26" s="1343" t="s">
        <v>286</v>
      </c>
      <c r="H26" s="1344">
        <f t="shared" si="0"/>
        <v>95.7</v>
      </c>
      <c r="I26" s="158">
        <v>39851.28194444445</v>
      </c>
      <c r="J26" s="158">
        <v>39851.56597222222</v>
      </c>
      <c r="K26" s="307">
        <f t="shared" si="1"/>
        <v>6.816666666534729</v>
      </c>
      <c r="L26" s="14">
        <f t="shared" si="2"/>
        <v>409</v>
      </c>
      <c r="M26" s="159" t="s">
        <v>241</v>
      </c>
      <c r="N26" s="1345" t="str">
        <f t="shared" si="3"/>
        <v>--</v>
      </c>
      <c r="O26" s="1346" t="str">
        <f t="shared" si="4"/>
        <v>--</v>
      </c>
      <c r="P26" s="159" t="str">
        <f t="shared" si="5"/>
        <v>NO</v>
      </c>
      <c r="Q26" s="1347">
        <f t="shared" si="6"/>
        <v>2</v>
      </c>
      <c r="R26" s="1348">
        <f t="shared" si="7"/>
        <v>1305.3480000000002</v>
      </c>
      <c r="S26" s="1349" t="str">
        <f t="shared" si="8"/>
        <v>--</v>
      </c>
      <c r="T26" s="1350" t="str">
        <f t="shared" si="9"/>
        <v>--</v>
      </c>
      <c r="U26" s="1351" t="str">
        <f t="shared" si="10"/>
        <v>--</v>
      </c>
      <c r="V26" s="1352" t="str">
        <f t="shared" si="11"/>
        <v>--</v>
      </c>
      <c r="W26" s="1353" t="str">
        <f t="shared" si="12"/>
        <v>--</v>
      </c>
      <c r="X26" s="1354" t="str">
        <f t="shared" si="13"/>
        <v>--</v>
      </c>
      <c r="Y26" s="1355" t="str">
        <f t="shared" si="14"/>
        <v>--</v>
      </c>
      <c r="Z26" s="317" t="s">
        <v>238</v>
      </c>
      <c r="AA26" s="16">
        <f t="shared" si="15"/>
        <v>1305.3480000000002</v>
      </c>
      <c r="AB26" s="17"/>
    </row>
    <row r="27" spans="1:28" s="5" customFormat="1" ht="16.5" customHeight="1">
      <c r="A27" s="90"/>
      <c r="B27" s="95"/>
      <c r="C27" s="157">
        <v>28</v>
      </c>
      <c r="D27" s="151" t="s">
        <v>287</v>
      </c>
      <c r="E27" s="303" t="s">
        <v>285</v>
      </c>
      <c r="F27" s="304">
        <v>300</v>
      </c>
      <c r="G27" s="305" t="s">
        <v>337</v>
      </c>
      <c r="H27" s="306">
        <f t="shared" si="0"/>
        <v>95.7</v>
      </c>
      <c r="I27" s="158">
        <v>39862.55902777778</v>
      </c>
      <c r="J27" s="158">
        <v>39862.72986111111</v>
      </c>
      <c r="K27" s="307">
        <f t="shared" si="1"/>
        <v>4.099999999918509</v>
      </c>
      <c r="L27" s="14">
        <f t="shared" si="2"/>
        <v>246</v>
      </c>
      <c r="M27" s="159" t="s">
        <v>241</v>
      </c>
      <c r="N27" s="235" t="str">
        <f t="shared" si="3"/>
        <v>--</v>
      </c>
      <c r="O27" s="156" t="str">
        <f t="shared" si="4"/>
        <v>--</v>
      </c>
      <c r="P27" s="155" t="str">
        <f t="shared" si="5"/>
        <v>NO</v>
      </c>
      <c r="Q27" s="308">
        <f t="shared" si="6"/>
        <v>2</v>
      </c>
      <c r="R27" s="309">
        <f t="shared" si="7"/>
        <v>784.74</v>
      </c>
      <c r="S27" s="310" t="str">
        <f t="shared" si="8"/>
        <v>--</v>
      </c>
      <c r="T27" s="311" t="str">
        <f t="shared" si="9"/>
        <v>--</v>
      </c>
      <c r="U27" s="312" t="str">
        <f t="shared" si="10"/>
        <v>--</v>
      </c>
      <c r="V27" s="313" t="str">
        <f t="shared" si="11"/>
        <v>--</v>
      </c>
      <c r="W27" s="314" t="str">
        <f t="shared" si="12"/>
        <v>--</v>
      </c>
      <c r="X27" s="315" t="str">
        <f t="shared" si="13"/>
        <v>--</v>
      </c>
      <c r="Y27" s="316" t="str">
        <f t="shared" si="14"/>
        <v>--</v>
      </c>
      <c r="Z27" s="317" t="s">
        <v>238</v>
      </c>
      <c r="AA27" s="16">
        <f t="shared" si="15"/>
        <v>784.74</v>
      </c>
      <c r="AB27" s="17"/>
    </row>
    <row r="28" spans="1:28" s="5" customFormat="1" ht="16.5" customHeight="1">
      <c r="A28" s="90"/>
      <c r="B28" s="95"/>
      <c r="C28" s="289">
        <v>29</v>
      </c>
      <c r="D28" s="151" t="s">
        <v>287</v>
      </c>
      <c r="E28" s="303" t="s">
        <v>288</v>
      </c>
      <c r="F28" s="304">
        <v>150</v>
      </c>
      <c r="G28" s="305" t="s">
        <v>291</v>
      </c>
      <c r="H28" s="306">
        <f t="shared" si="0"/>
        <v>47.85</v>
      </c>
      <c r="I28" s="158">
        <v>39868.42916666667</v>
      </c>
      <c r="J28" s="158">
        <v>39868.66805555556</v>
      </c>
      <c r="K28" s="307">
        <f t="shared" si="1"/>
        <v>5.733333333337214</v>
      </c>
      <c r="L28" s="14">
        <f t="shared" si="2"/>
        <v>344</v>
      </c>
      <c r="M28" s="159" t="s">
        <v>241</v>
      </c>
      <c r="N28" s="235" t="str">
        <f t="shared" si="3"/>
        <v>--</v>
      </c>
      <c r="O28" s="156" t="str">
        <f t="shared" si="4"/>
        <v>--</v>
      </c>
      <c r="P28" s="155" t="str">
        <f t="shared" si="5"/>
        <v>NO</v>
      </c>
      <c r="Q28" s="308">
        <f t="shared" si="6"/>
        <v>2</v>
      </c>
      <c r="R28" s="309">
        <f t="shared" si="7"/>
        <v>548.3610000000001</v>
      </c>
      <c r="S28" s="310" t="str">
        <f t="shared" si="8"/>
        <v>--</v>
      </c>
      <c r="T28" s="311" t="str">
        <f t="shared" si="9"/>
        <v>--</v>
      </c>
      <c r="U28" s="312" t="str">
        <f t="shared" si="10"/>
        <v>--</v>
      </c>
      <c r="V28" s="313" t="str">
        <f t="shared" si="11"/>
        <v>--</v>
      </c>
      <c r="W28" s="314" t="str">
        <f t="shared" si="12"/>
        <v>--</v>
      </c>
      <c r="X28" s="315" t="str">
        <f t="shared" si="13"/>
        <v>--</v>
      </c>
      <c r="Y28" s="316" t="str">
        <f t="shared" si="14"/>
        <v>--</v>
      </c>
      <c r="Z28" s="317" t="s">
        <v>238</v>
      </c>
      <c r="AA28" s="16">
        <f t="shared" si="15"/>
        <v>548.3610000000001</v>
      </c>
      <c r="AB28" s="17"/>
    </row>
    <row r="29" spans="1:28" s="5" customFormat="1" ht="16.5" customHeight="1">
      <c r="A29" s="90"/>
      <c r="B29" s="95"/>
      <c r="C29" s="157">
        <v>30</v>
      </c>
      <c r="D29" s="151" t="s">
        <v>287</v>
      </c>
      <c r="E29" s="319" t="s">
        <v>293</v>
      </c>
      <c r="F29" s="304">
        <v>300</v>
      </c>
      <c r="G29" s="305" t="s">
        <v>286</v>
      </c>
      <c r="H29" s="306">
        <f t="shared" si="0"/>
        <v>95.7</v>
      </c>
      <c r="I29" s="158">
        <v>39871.319444444445</v>
      </c>
      <c r="J29" s="158">
        <v>39871.71388888889</v>
      </c>
      <c r="K29" s="307">
        <f t="shared" si="1"/>
        <v>9.46666666661622</v>
      </c>
      <c r="L29" s="14">
        <f t="shared" si="2"/>
        <v>568</v>
      </c>
      <c r="M29" s="159" t="s">
        <v>241</v>
      </c>
      <c r="N29" s="235" t="str">
        <f t="shared" si="3"/>
        <v>--</v>
      </c>
      <c r="O29" s="156" t="str">
        <f t="shared" si="4"/>
        <v>--</v>
      </c>
      <c r="P29" s="155" t="str">
        <f t="shared" si="5"/>
        <v>NO</v>
      </c>
      <c r="Q29" s="308">
        <f t="shared" si="6"/>
        <v>2</v>
      </c>
      <c r="R29" s="309">
        <f t="shared" si="7"/>
        <v>1812.5580000000002</v>
      </c>
      <c r="S29" s="310" t="str">
        <f t="shared" si="8"/>
        <v>--</v>
      </c>
      <c r="T29" s="311" t="str">
        <f t="shared" si="9"/>
        <v>--</v>
      </c>
      <c r="U29" s="312" t="str">
        <f t="shared" si="10"/>
        <v>--</v>
      </c>
      <c r="V29" s="313" t="str">
        <f t="shared" si="11"/>
        <v>--</v>
      </c>
      <c r="W29" s="314" t="str">
        <f t="shared" si="12"/>
        <v>--</v>
      </c>
      <c r="X29" s="315" t="str">
        <f t="shared" si="13"/>
        <v>--</v>
      </c>
      <c r="Y29" s="316" t="str">
        <f t="shared" si="14"/>
        <v>--</v>
      </c>
      <c r="Z29" s="317" t="s">
        <v>238</v>
      </c>
      <c r="AA29" s="16">
        <f t="shared" si="15"/>
        <v>1812.5580000000002</v>
      </c>
      <c r="AB29" s="17"/>
    </row>
    <row r="30" spans="1:28" s="5" customFormat="1" ht="16.5" customHeight="1">
      <c r="A30" s="90"/>
      <c r="B30" s="95"/>
      <c r="C30" s="289"/>
      <c r="D30" s="151"/>
      <c r="E30" s="319"/>
      <c r="F30" s="304"/>
      <c r="G30" s="305"/>
      <c r="H30" s="306">
        <f t="shared" si="0"/>
        <v>0</v>
      </c>
      <c r="I30" s="158"/>
      <c r="J30" s="158"/>
      <c r="K30" s="307">
        <f t="shared" si="1"/>
      </c>
      <c r="L30" s="14">
        <f t="shared" si="2"/>
      </c>
      <c r="M30" s="159"/>
      <c r="N30" s="235">
        <f t="shared" si="3"/>
      </c>
      <c r="O30" s="156">
        <f t="shared" si="4"/>
      </c>
      <c r="P30" s="155">
        <f t="shared" si="5"/>
      </c>
      <c r="Q30" s="308">
        <f t="shared" si="6"/>
        <v>20</v>
      </c>
      <c r="R30" s="309" t="str">
        <f t="shared" si="7"/>
        <v>--</v>
      </c>
      <c r="S30" s="310" t="str">
        <f t="shared" si="8"/>
        <v>--</v>
      </c>
      <c r="T30" s="311" t="str">
        <f t="shared" si="9"/>
        <v>--</v>
      </c>
      <c r="U30" s="312" t="str">
        <f t="shared" si="10"/>
        <v>--</v>
      </c>
      <c r="V30" s="313" t="str">
        <f t="shared" si="11"/>
        <v>--</v>
      </c>
      <c r="W30" s="314" t="str">
        <f t="shared" si="12"/>
        <v>--</v>
      </c>
      <c r="X30" s="315" t="str">
        <f t="shared" si="13"/>
        <v>--</v>
      </c>
      <c r="Y30" s="316" t="str">
        <f t="shared" si="14"/>
        <v>--</v>
      </c>
      <c r="Z30" s="317">
        <f aca="true" t="shared" si="16" ref="Z30:Z38">IF(D30="","","SI")</f>
      </c>
      <c r="AA30" s="16">
        <f t="shared" si="15"/>
      </c>
      <c r="AB30" s="17"/>
    </row>
    <row r="31" spans="1:28" s="5" customFormat="1" ht="16.5" customHeight="1">
      <c r="A31" s="90"/>
      <c r="B31" s="95"/>
      <c r="C31" s="157"/>
      <c r="D31" s="151"/>
      <c r="E31" s="319"/>
      <c r="F31" s="304"/>
      <c r="G31" s="305"/>
      <c r="H31" s="306">
        <f t="shared" si="0"/>
        <v>0</v>
      </c>
      <c r="I31" s="158"/>
      <c r="J31" s="158"/>
      <c r="K31" s="307">
        <f t="shared" si="1"/>
      </c>
      <c r="L31" s="14">
        <f t="shared" si="2"/>
      </c>
      <c r="M31" s="159"/>
      <c r="N31" s="235">
        <f t="shared" si="3"/>
      </c>
      <c r="O31" s="156">
        <f t="shared" si="4"/>
      </c>
      <c r="P31" s="155">
        <f t="shared" si="5"/>
      </c>
      <c r="Q31" s="308">
        <f t="shared" si="6"/>
        <v>20</v>
      </c>
      <c r="R31" s="309" t="str">
        <f t="shared" si="7"/>
        <v>--</v>
      </c>
      <c r="S31" s="310" t="str">
        <f t="shared" si="8"/>
        <v>--</v>
      </c>
      <c r="T31" s="311" t="str">
        <f t="shared" si="9"/>
        <v>--</v>
      </c>
      <c r="U31" s="312" t="str">
        <f t="shared" si="10"/>
        <v>--</v>
      </c>
      <c r="V31" s="313" t="str">
        <f t="shared" si="11"/>
        <v>--</v>
      </c>
      <c r="W31" s="314" t="str">
        <f t="shared" si="12"/>
        <v>--</v>
      </c>
      <c r="X31" s="315" t="str">
        <f t="shared" si="13"/>
        <v>--</v>
      </c>
      <c r="Y31" s="316" t="str">
        <f t="shared" si="14"/>
        <v>--</v>
      </c>
      <c r="Z31" s="317">
        <f t="shared" si="16"/>
      </c>
      <c r="AA31" s="16">
        <f t="shared" si="15"/>
      </c>
      <c r="AB31" s="17"/>
    </row>
    <row r="32" spans="1:28" s="5" customFormat="1" ht="16.5" customHeight="1">
      <c r="A32" s="90"/>
      <c r="B32" s="95"/>
      <c r="C32" s="289"/>
      <c r="D32" s="151"/>
      <c r="E32" s="319"/>
      <c r="F32" s="304"/>
      <c r="G32" s="305"/>
      <c r="H32" s="306">
        <f t="shared" si="0"/>
        <v>0</v>
      </c>
      <c r="I32" s="158"/>
      <c r="J32" s="158"/>
      <c r="K32" s="307">
        <f t="shared" si="1"/>
      </c>
      <c r="L32" s="14">
        <f t="shared" si="2"/>
      </c>
      <c r="M32" s="159"/>
      <c r="N32" s="235">
        <f t="shared" si="3"/>
      </c>
      <c r="O32" s="156">
        <f t="shared" si="4"/>
      </c>
      <c r="P32" s="155">
        <f t="shared" si="5"/>
      </c>
      <c r="Q32" s="308">
        <f t="shared" si="6"/>
        <v>20</v>
      </c>
      <c r="R32" s="309" t="str">
        <f t="shared" si="7"/>
        <v>--</v>
      </c>
      <c r="S32" s="310" t="str">
        <f t="shared" si="8"/>
        <v>--</v>
      </c>
      <c r="T32" s="311" t="str">
        <f t="shared" si="9"/>
        <v>--</v>
      </c>
      <c r="U32" s="312" t="str">
        <f t="shared" si="10"/>
        <v>--</v>
      </c>
      <c r="V32" s="313" t="str">
        <f t="shared" si="11"/>
        <v>--</v>
      </c>
      <c r="W32" s="314" t="str">
        <f t="shared" si="12"/>
        <v>--</v>
      </c>
      <c r="X32" s="315" t="str">
        <f t="shared" si="13"/>
        <v>--</v>
      </c>
      <c r="Y32" s="316" t="str">
        <f t="shared" si="14"/>
        <v>--</v>
      </c>
      <c r="Z32" s="317">
        <f t="shared" si="16"/>
      </c>
      <c r="AA32" s="16">
        <f t="shared" si="15"/>
      </c>
      <c r="AB32" s="17"/>
    </row>
    <row r="33" spans="1:28" s="5" customFormat="1" ht="16.5" customHeight="1">
      <c r="A33" s="90"/>
      <c r="B33" s="95"/>
      <c r="C33" s="157"/>
      <c r="D33" s="151"/>
      <c r="E33" s="319"/>
      <c r="F33" s="304"/>
      <c r="G33" s="305"/>
      <c r="H33" s="306">
        <f t="shared" si="0"/>
        <v>0</v>
      </c>
      <c r="I33" s="158"/>
      <c r="J33" s="158"/>
      <c r="K33" s="307">
        <f t="shared" si="1"/>
      </c>
      <c r="L33" s="14">
        <f t="shared" si="2"/>
      </c>
      <c r="M33" s="159"/>
      <c r="N33" s="235">
        <f t="shared" si="3"/>
      </c>
      <c r="O33" s="156">
        <f t="shared" si="4"/>
      </c>
      <c r="P33" s="155">
        <f t="shared" si="5"/>
      </c>
      <c r="Q33" s="308">
        <f t="shared" si="6"/>
        <v>20</v>
      </c>
      <c r="R33" s="309" t="str">
        <f t="shared" si="7"/>
        <v>--</v>
      </c>
      <c r="S33" s="310" t="str">
        <f t="shared" si="8"/>
        <v>--</v>
      </c>
      <c r="T33" s="311" t="str">
        <f t="shared" si="9"/>
        <v>--</v>
      </c>
      <c r="U33" s="312" t="str">
        <f t="shared" si="10"/>
        <v>--</v>
      </c>
      <c r="V33" s="313" t="str">
        <f t="shared" si="11"/>
        <v>--</v>
      </c>
      <c r="W33" s="314" t="str">
        <f t="shared" si="12"/>
        <v>--</v>
      </c>
      <c r="X33" s="315" t="str">
        <f t="shared" si="13"/>
        <v>--</v>
      </c>
      <c r="Y33" s="316" t="str">
        <f t="shared" si="14"/>
        <v>--</v>
      </c>
      <c r="Z33" s="317">
        <f t="shared" si="16"/>
      </c>
      <c r="AA33" s="16">
        <f t="shared" si="15"/>
      </c>
      <c r="AB33" s="17"/>
    </row>
    <row r="34" spans="1:28" s="5" customFormat="1" ht="16.5" customHeight="1">
      <c r="A34" s="90"/>
      <c r="B34" s="95"/>
      <c r="C34" s="289"/>
      <c r="D34" s="151"/>
      <c r="E34" s="319"/>
      <c r="F34" s="304"/>
      <c r="G34" s="305"/>
      <c r="H34" s="306">
        <f t="shared" si="0"/>
        <v>0</v>
      </c>
      <c r="I34" s="158"/>
      <c r="J34" s="158"/>
      <c r="K34" s="307">
        <f t="shared" si="1"/>
      </c>
      <c r="L34" s="14">
        <f t="shared" si="2"/>
      </c>
      <c r="M34" s="159"/>
      <c r="N34" s="235">
        <f t="shared" si="3"/>
      </c>
      <c r="O34" s="156">
        <f t="shared" si="4"/>
      </c>
      <c r="P34" s="155">
        <f t="shared" si="5"/>
      </c>
      <c r="Q34" s="308">
        <f t="shared" si="6"/>
        <v>20</v>
      </c>
      <c r="R34" s="309" t="str">
        <f t="shared" si="7"/>
        <v>--</v>
      </c>
      <c r="S34" s="310" t="str">
        <f t="shared" si="8"/>
        <v>--</v>
      </c>
      <c r="T34" s="311" t="str">
        <f t="shared" si="9"/>
        <v>--</v>
      </c>
      <c r="U34" s="312" t="str">
        <f t="shared" si="10"/>
        <v>--</v>
      </c>
      <c r="V34" s="313" t="str">
        <f t="shared" si="11"/>
        <v>--</v>
      </c>
      <c r="W34" s="314" t="str">
        <f t="shared" si="12"/>
        <v>--</v>
      </c>
      <c r="X34" s="315" t="str">
        <f t="shared" si="13"/>
        <v>--</v>
      </c>
      <c r="Y34" s="316" t="str">
        <f t="shared" si="14"/>
        <v>--</v>
      </c>
      <c r="Z34" s="317">
        <f t="shared" si="16"/>
      </c>
      <c r="AA34" s="16">
        <f t="shared" si="15"/>
      </c>
      <c r="AB34" s="17"/>
    </row>
    <row r="35" spans="1:28" s="5" customFormat="1" ht="16.5" customHeight="1">
      <c r="A35" s="90"/>
      <c r="B35" s="95"/>
      <c r="C35" s="157"/>
      <c r="D35" s="151"/>
      <c r="E35" s="319"/>
      <c r="F35" s="304"/>
      <c r="G35" s="305"/>
      <c r="H35" s="306">
        <f t="shared" si="0"/>
        <v>0</v>
      </c>
      <c r="I35" s="158"/>
      <c r="J35" s="158"/>
      <c r="K35" s="307">
        <f t="shared" si="1"/>
      </c>
      <c r="L35" s="14">
        <f t="shared" si="2"/>
      </c>
      <c r="M35" s="159"/>
      <c r="N35" s="235">
        <f t="shared" si="3"/>
      </c>
      <c r="O35" s="156">
        <f t="shared" si="4"/>
      </c>
      <c r="P35" s="155">
        <f t="shared" si="5"/>
      </c>
      <c r="Q35" s="308">
        <f t="shared" si="6"/>
        <v>20</v>
      </c>
      <c r="R35" s="309" t="str">
        <f t="shared" si="7"/>
        <v>--</v>
      </c>
      <c r="S35" s="310" t="str">
        <f t="shared" si="8"/>
        <v>--</v>
      </c>
      <c r="T35" s="311" t="str">
        <f t="shared" si="9"/>
        <v>--</v>
      </c>
      <c r="U35" s="312" t="str">
        <f t="shared" si="10"/>
        <v>--</v>
      </c>
      <c r="V35" s="313" t="str">
        <f t="shared" si="11"/>
        <v>--</v>
      </c>
      <c r="W35" s="314" t="str">
        <f t="shared" si="12"/>
        <v>--</v>
      </c>
      <c r="X35" s="315" t="str">
        <f t="shared" si="13"/>
        <v>--</v>
      </c>
      <c r="Y35" s="316" t="str">
        <f t="shared" si="14"/>
        <v>--</v>
      </c>
      <c r="Z35" s="317">
        <f t="shared" si="16"/>
      </c>
      <c r="AA35" s="16">
        <f t="shared" si="15"/>
      </c>
      <c r="AB35" s="17"/>
    </row>
    <row r="36" spans="1:28" s="5" customFormat="1" ht="16.5" customHeight="1">
      <c r="A36" s="90"/>
      <c r="B36" s="95"/>
      <c r="C36" s="289"/>
      <c r="D36" s="151"/>
      <c r="E36" s="319"/>
      <c r="F36" s="304"/>
      <c r="G36" s="305"/>
      <c r="H36" s="306">
        <f t="shared" si="0"/>
        <v>0</v>
      </c>
      <c r="I36" s="158"/>
      <c r="J36" s="158"/>
      <c r="K36" s="307">
        <f t="shared" si="1"/>
      </c>
      <c r="L36" s="14">
        <f t="shared" si="2"/>
      </c>
      <c r="M36" s="159"/>
      <c r="N36" s="235">
        <f t="shared" si="3"/>
      </c>
      <c r="O36" s="156">
        <f t="shared" si="4"/>
      </c>
      <c r="P36" s="155">
        <f t="shared" si="5"/>
      </c>
      <c r="Q36" s="308">
        <f t="shared" si="6"/>
        <v>20</v>
      </c>
      <c r="R36" s="309" t="str">
        <f t="shared" si="7"/>
        <v>--</v>
      </c>
      <c r="S36" s="310" t="str">
        <f t="shared" si="8"/>
        <v>--</v>
      </c>
      <c r="T36" s="311" t="str">
        <f t="shared" si="9"/>
        <v>--</v>
      </c>
      <c r="U36" s="312" t="str">
        <f t="shared" si="10"/>
        <v>--</v>
      </c>
      <c r="V36" s="313" t="str">
        <f t="shared" si="11"/>
        <v>--</v>
      </c>
      <c r="W36" s="314" t="str">
        <f t="shared" si="12"/>
        <v>--</v>
      </c>
      <c r="X36" s="315" t="str">
        <f t="shared" si="13"/>
        <v>--</v>
      </c>
      <c r="Y36" s="316" t="str">
        <f t="shared" si="14"/>
        <v>--</v>
      </c>
      <c r="Z36" s="317">
        <f t="shared" si="16"/>
      </c>
      <c r="AA36" s="16">
        <f t="shared" si="15"/>
      </c>
      <c r="AB36" s="17"/>
    </row>
    <row r="37" spans="1:28" s="5" customFormat="1" ht="16.5" customHeight="1">
      <c r="A37" s="90"/>
      <c r="B37" s="95"/>
      <c r="C37" s="157"/>
      <c r="D37" s="151"/>
      <c r="E37" s="319"/>
      <c r="F37" s="304"/>
      <c r="G37" s="305"/>
      <c r="H37" s="306">
        <f t="shared" si="0"/>
        <v>0</v>
      </c>
      <c r="I37" s="158"/>
      <c r="J37" s="158"/>
      <c r="K37" s="307">
        <f t="shared" si="1"/>
      </c>
      <c r="L37" s="14">
        <f t="shared" si="2"/>
      </c>
      <c r="M37" s="159"/>
      <c r="N37" s="235">
        <f t="shared" si="3"/>
      </c>
      <c r="O37" s="156">
        <f t="shared" si="4"/>
      </c>
      <c r="P37" s="155">
        <f t="shared" si="5"/>
      </c>
      <c r="Q37" s="308">
        <f t="shared" si="6"/>
        <v>20</v>
      </c>
      <c r="R37" s="309" t="str">
        <f t="shared" si="7"/>
        <v>--</v>
      </c>
      <c r="S37" s="310" t="str">
        <f t="shared" si="8"/>
        <v>--</v>
      </c>
      <c r="T37" s="311" t="str">
        <f t="shared" si="9"/>
        <v>--</v>
      </c>
      <c r="U37" s="312" t="str">
        <f t="shared" si="10"/>
        <v>--</v>
      </c>
      <c r="V37" s="313" t="str">
        <f t="shared" si="11"/>
        <v>--</v>
      </c>
      <c r="W37" s="314" t="str">
        <f t="shared" si="12"/>
        <v>--</v>
      </c>
      <c r="X37" s="315" t="str">
        <f t="shared" si="13"/>
        <v>--</v>
      </c>
      <c r="Y37" s="316" t="str">
        <f t="shared" si="14"/>
        <v>--</v>
      </c>
      <c r="Z37" s="317">
        <f t="shared" si="16"/>
      </c>
      <c r="AA37" s="16">
        <f t="shared" si="15"/>
      </c>
      <c r="AB37" s="17"/>
    </row>
    <row r="38" spans="1:28" s="5" customFormat="1" ht="16.5" customHeight="1">
      <c r="A38" s="90"/>
      <c r="B38" s="95"/>
      <c r="C38" s="289"/>
      <c r="D38" s="151"/>
      <c r="E38" s="319"/>
      <c r="F38" s="304"/>
      <c r="G38" s="305"/>
      <c r="H38" s="306">
        <f t="shared" si="0"/>
        <v>0</v>
      </c>
      <c r="I38" s="158"/>
      <c r="J38" s="158"/>
      <c r="K38" s="307">
        <f t="shared" si="1"/>
      </c>
      <c r="L38" s="14">
        <f t="shared" si="2"/>
      </c>
      <c r="M38" s="159"/>
      <c r="N38" s="235">
        <f t="shared" si="3"/>
      </c>
      <c r="O38" s="156">
        <f t="shared" si="4"/>
      </c>
      <c r="P38" s="155">
        <f t="shared" si="5"/>
      </c>
      <c r="Q38" s="308">
        <f t="shared" si="6"/>
        <v>20</v>
      </c>
      <c r="R38" s="309" t="str">
        <f t="shared" si="7"/>
        <v>--</v>
      </c>
      <c r="S38" s="310" t="str">
        <f t="shared" si="8"/>
        <v>--</v>
      </c>
      <c r="T38" s="311" t="str">
        <f t="shared" si="9"/>
        <v>--</v>
      </c>
      <c r="U38" s="312" t="str">
        <f t="shared" si="10"/>
        <v>--</v>
      </c>
      <c r="V38" s="313" t="str">
        <f t="shared" si="11"/>
        <v>--</v>
      </c>
      <c r="W38" s="314" t="str">
        <f t="shared" si="12"/>
        <v>--</v>
      </c>
      <c r="X38" s="315" t="str">
        <f t="shared" si="13"/>
        <v>--</v>
      </c>
      <c r="Y38" s="316" t="str">
        <f t="shared" si="14"/>
        <v>--</v>
      </c>
      <c r="Z38" s="317">
        <f t="shared" si="16"/>
      </c>
      <c r="AA38" s="16">
        <f t="shared" si="15"/>
      </c>
      <c r="AB38" s="17"/>
    </row>
    <row r="39" spans="1:28" s="5" customFormat="1" ht="16.5" customHeight="1" thickBot="1">
      <c r="A39" s="90"/>
      <c r="B39" s="95"/>
      <c r="C39" s="157"/>
      <c r="D39" s="320"/>
      <c r="E39" s="321"/>
      <c r="F39" s="320"/>
      <c r="G39" s="322"/>
      <c r="H39" s="132"/>
      <c r="I39" s="160"/>
      <c r="J39" s="323"/>
      <c r="K39" s="324"/>
      <c r="L39" s="325"/>
      <c r="M39" s="165"/>
      <c r="N39" s="197"/>
      <c r="O39" s="163"/>
      <c r="P39" s="165"/>
      <c r="Q39" s="326"/>
      <c r="R39" s="327"/>
      <c r="S39" s="328"/>
      <c r="T39" s="329"/>
      <c r="U39" s="330"/>
      <c r="V39" s="331"/>
      <c r="W39" s="332"/>
      <c r="X39" s="333"/>
      <c r="Y39" s="334"/>
      <c r="Z39" s="335"/>
      <c r="AA39" s="336"/>
      <c r="AB39" s="17"/>
    </row>
    <row r="40" spans="1:28" s="5" customFormat="1" ht="16.5" customHeight="1" thickBot="1" thickTop="1">
      <c r="A40" s="90"/>
      <c r="B40" s="95"/>
      <c r="C40" s="128" t="s">
        <v>25</v>
      </c>
      <c r="D40" s="129" t="s">
        <v>328</v>
      </c>
      <c r="E40" s="15"/>
      <c r="F40" s="15"/>
      <c r="G40" s="15"/>
      <c r="H40" s="15"/>
      <c r="I40" s="15"/>
      <c r="J40" s="99"/>
      <c r="K40" s="15"/>
      <c r="L40" s="15"/>
      <c r="M40" s="15"/>
      <c r="N40" s="15"/>
      <c r="O40" s="15"/>
      <c r="P40" s="15"/>
      <c r="Q40" s="15"/>
      <c r="R40" s="337">
        <f aca="true" t="shared" si="17" ref="R40:Y40">SUM(R20:R39)</f>
        <v>4717.053</v>
      </c>
      <c r="S40" s="338">
        <f t="shared" si="17"/>
        <v>0</v>
      </c>
      <c r="T40" s="339">
        <f t="shared" si="17"/>
        <v>22011</v>
      </c>
      <c r="U40" s="340">
        <f t="shared" si="17"/>
        <v>28690.86</v>
      </c>
      <c r="V40" s="341">
        <f t="shared" si="17"/>
        <v>0</v>
      </c>
      <c r="W40" s="342">
        <f t="shared" si="17"/>
        <v>0</v>
      </c>
      <c r="X40" s="343">
        <f t="shared" si="17"/>
        <v>0</v>
      </c>
      <c r="Y40" s="344">
        <f t="shared" si="17"/>
        <v>0</v>
      </c>
      <c r="Z40" s="90"/>
      <c r="AA40" s="345">
        <f>ROUND(SUM(AA20:AA39),2)</f>
        <v>55418.91</v>
      </c>
      <c r="AB40" s="17"/>
    </row>
    <row r="41" spans="1:28" s="5" customFormat="1" ht="16.5" customHeight="1" thickBot="1" thickTop="1">
      <c r="A41" s="90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/>
    </row>
    <row r="42" spans="1:29" ht="16.5" customHeight="1" thickTop="1">
      <c r="A42" s="2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</row>
    <row r="43" spans="1:29" ht="16.5" customHeight="1">
      <c r="A43" s="2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</row>
    <row r="44" spans="1:29" ht="16.5" customHeight="1">
      <c r="A44" s="2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ht="16.5" customHeight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4:29" ht="16.5" customHeight="1"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4:29" ht="16.5" customHeight="1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4:29" ht="16.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ht="16.5" customHeight="1">
      <c r="AC150" s="179"/>
    </row>
    <row r="151" ht="16.5" customHeight="1">
      <c r="AC151" s="179"/>
    </row>
    <row r="152" ht="16.5" customHeight="1">
      <c r="AC152" s="179"/>
    </row>
    <row r="153" ht="16.5" customHeight="1">
      <c r="AC153" s="179"/>
    </row>
    <row r="154" ht="16.5" customHeight="1"/>
    <row r="155" ht="16.5" customHeight="1"/>
    <row r="156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Roman,Normal"&amp;8&amp;F-&amp;A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zoomScale="70" zoomScaleNormal="70" workbookViewId="0" topLeftCell="A1">
      <selection activeCell="L29" sqref="L2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8" t="str">
        <f>+'TOT-0209'!B2</f>
        <v>ANEXO III al Memorandum  D.T.E.E. N°  770        /2010</v>
      </c>
      <c r="C2" s="258"/>
      <c r="D2" s="258"/>
      <c r="E2" s="1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59" t="s">
        <v>80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59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0" t="s">
        <v>69</v>
      </c>
      <c r="E8" s="106"/>
      <c r="F8" s="106"/>
      <c r="G8" s="261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2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44" customFormat="1" ht="30" customHeight="1">
      <c r="A10" s="938"/>
      <c r="B10" s="939"/>
      <c r="C10" s="938"/>
      <c r="D10" s="940" t="s">
        <v>253</v>
      </c>
      <c r="E10" s="938"/>
      <c r="F10" s="941"/>
      <c r="G10" s="942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3"/>
    </row>
    <row r="11" spans="1:28" s="949" customFormat="1" ht="9.75" customHeight="1">
      <c r="A11" s="945"/>
      <c r="B11" s="946"/>
      <c r="C11" s="945"/>
      <c r="E11" s="947"/>
      <c r="F11" s="947"/>
      <c r="G11" s="947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8"/>
    </row>
    <row r="12" spans="1:28" s="949" customFormat="1" ht="21" customHeight="1">
      <c r="A12" s="938"/>
      <c r="B12" s="939"/>
      <c r="C12" s="938"/>
      <c r="D12" s="940" t="s">
        <v>385</v>
      </c>
      <c r="E12" s="938"/>
      <c r="F12" s="938"/>
      <c r="G12" s="938"/>
      <c r="H12" s="951"/>
      <c r="I12" s="951"/>
      <c r="J12" s="951"/>
      <c r="K12" s="951"/>
      <c r="L12" s="951"/>
      <c r="M12" s="945"/>
      <c r="N12" s="945"/>
      <c r="O12" s="945"/>
      <c r="P12" s="945"/>
      <c r="Q12" s="945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8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+'TOT-0209'!B14</f>
        <v>Desde el 01 al 28 de febrero de 2009</v>
      </c>
      <c r="C14" s="263"/>
      <c r="D14" s="113"/>
      <c r="E14" s="113"/>
      <c r="F14" s="113"/>
      <c r="G14" s="113"/>
      <c r="H14" s="113"/>
      <c r="I14" s="113"/>
      <c r="J14" s="113"/>
      <c r="K14" s="113"/>
      <c r="L14" s="113"/>
      <c r="M14" s="263"/>
      <c r="N14" s="263"/>
      <c r="O14" s="263"/>
      <c r="P14" s="263"/>
      <c r="Q14" s="26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4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5" t="s">
        <v>81</v>
      </c>
      <c r="E16" s="266"/>
      <c r="F16" s="267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17">
        <v>200</v>
      </c>
      <c r="G17"/>
      <c r="H17" s="15"/>
      <c r="I17" s="214"/>
      <c r="J17" s="215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8" t="s">
        <v>37</v>
      </c>
      <c r="R19" s="269" t="s">
        <v>20</v>
      </c>
      <c r="S19" s="270" t="s">
        <v>21</v>
      </c>
      <c r="T19" s="222" t="s">
        <v>82</v>
      </c>
      <c r="U19" s="224"/>
      <c r="V19" s="271" t="s">
        <v>83</v>
      </c>
      <c r="W19" s="272"/>
      <c r="X19" s="273" t="s">
        <v>22</v>
      </c>
      <c r="Y19" s="274" t="s">
        <v>78</v>
      </c>
      <c r="Z19" s="133" t="s">
        <v>79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5"/>
      <c r="D20" s="275"/>
      <c r="E20" s="275"/>
      <c r="F20" s="275"/>
      <c r="G20" s="276"/>
      <c r="H20" s="277"/>
      <c r="I20" s="275"/>
      <c r="J20" s="275"/>
      <c r="K20" s="275"/>
      <c r="L20" s="275"/>
      <c r="M20" s="275"/>
      <c r="N20" s="185"/>
      <c r="O20" s="278"/>
      <c r="P20" s="275"/>
      <c r="Q20" s="279"/>
      <c r="R20" s="280"/>
      <c r="S20" s="281"/>
      <c r="T20" s="282"/>
      <c r="U20" s="283"/>
      <c r="V20" s="284"/>
      <c r="W20" s="285"/>
      <c r="X20" s="286"/>
      <c r="Y20" s="287"/>
      <c r="Z20" s="278"/>
      <c r="AA20" s="288"/>
      <c r="AB20" s="17"/>
    </row>
    <row r="21" spans="1:28" s="5" customFormat="1" ht="16.5" customHeight="1">
      <c r="A21" s="90"/>
      <c r="B21" s="95"/>
      <c r="C21" s="289"/>
      <c r="D21" s="289"/>
      <c r="E21" s="289"/>
      <c r="F21" s="289"/>
      <c r="G21" s="290"/>
      <c r="H21" s="291"/>
      <c r="I21" s="289"/>
      <c r="J21" s="289"/>
      <c r="K21" s="289"/>
      <c r="L21" s="289"/>
      <c r="M21" s="289"/>
      <c r="N21" s="188"/>
      <c r="O21" s="292"/>
      <c r="P21" s="289"/>
      <c r="Q21" s="293"/>
      <c r="R21" s="294"/>
      <c r="S21" s="295"/>
      <c r="T21" s="296"/>
      <c r="U21" s="297"/>
      <c r="V21" s="298"/>
      <c r="W21" s="299"/>
      <c r="X21" s="300"/>
      <c r="Y21" s="301"/>
      <c r="Z21" s="292"/>
      <c r="AA21" s="302"/>
      <c r="AB21" s="17"/>
    </row>
    <row r="22" spans="1:28" s="5" customFormat="1" ht="16.5" customHeight="1">
      <c r="A22" s="90"/>
      <c r="B22" s="95"/>
      <c r="C22" s="157">
        <v>20</v>
      </c>
      <c r="D22" s="151" t="s">
        <v>284</v>
      </c>
      <c r="E22" s="303" t="s">
        <v>285</v>
      </c>
      <c r="F22" s="304">
        <v>150</v>
      </c>
      <c r="G22" s="305" t="s">
        <v>286</v>
      </c>
      <c r="H22" s="306">
        <f>F22*$F$16</f>
        <v>47.85</v>
      </c>
      <c r="I22" s="158">
        <v>39845</v>
      </c>
      <c r="J22" s="158">
        <v>39872.99998842592</v>
      </c>
      <c r="K22" s="307">
        <v>671.9997222221573</v>
      </c>
      <c r="L22" s="14">
        <v>40320</v>
      </c>
      <c r="M22" s="159" t="s">
        <v>241</v>
      </c>
      <c r="N22" s="235" t="s">
        <v>386</v>
      </c>
      <c r="O22" s="156" t="s">
        <v>386</v>
      </c>
      <c r="P22" s="155" t="s">
        <v>387</v>
      </c>
      <c r="Q22" s="308">
        <f>$F$17*IF(OR(M22="P",M22="RP"),0.1,1)*IF(P22="SI",1,0.1)</f>
        <v>2</v>
      </c>
      <c r="R22" s="309">
        <f>IF(M22="P",H22*Q22*ROUND(L22/60,2),"--")</f>
        <v>64310.4</v>
      </c>
      <c r="S22" s="310" t="str">
        <f>IF(M22="RP",H22*Q22*N22/100*ROUND(L22/60,2),"--")</f>
        <v>--</v>
      </c>
      <c r="T22" s="311" t="str">
        <f>IF(AND(M22="F",O22="NO"),H22*Q22,"--")</f>
        <v>--</v>
      </c>
      <c r="U22" s="312" t="str">
        <f>IF(M22="F",H22*Q22*ROUND(L22/60,2),"--")</f>
        <v>--</v>
      </c>
      <c r="V22" s="313" t="str">
        <f>IF(AND(M22="R",O22="NO"),H22*Q22*N22/100,"--")</f>
        <v>--</v>
      </c>
      <c r="W22" s="314" t="str">
        <f>IF(M22="R",H22*Q22*N22/100*ROUND(L22/60,2),"--")</f>
        <v>--</v>
      </c>
      <c r="X22" s="315" t="str">
        <f>IF(M22="RF",H22*Q22*ROUND(L22/60,2),"--")</f>
        <v>--</v>
      </c>
      <c r="Y22" s="316" t="str">
        <f>IF(M22="RR",H22*Q22*N22/100*ROUND(L22/60,2),"--")</f>
        <v>--</v>
      </c>
      <c r="Z22" s="317" t="s">
        <v>238</v>
      </c>
      <c r="AA22" s="16">
        <f>IF(D22="","",(SUM(R22:Y22)*IF(Z22="SI",1,2)*IF(AND(N22&lt;&gt;"--",M22="RF"),N22/100,1)))</f>
        <v>64310.4</v>
      </c>
      <c r="AB22" s="17"/>
    </row>
    <row r="23" spans="1:28" s="5" customFormat="1" ht="16.5" customHeight="1">
      <c r="A23" s="90"/>
      <c r="B23" s="95"/>
      <c r="C23" s="289"/>
      <c r="D23" s="151"/>
      <c r="E23" s="303"/>
      <c r="F23" s="304"/>
      <c r="G23" s="305"/>
      <c r="H23" s="306"/>
      <c r="I23" s="158"/>
      <c r="J23" s="158"/>
      <c r="K23" s="307"/>
      <c r="L23" s="14"/>
      <c r="M23" s="159"/>
      <c r="N23" s="235"/>
      <c r="O23" s="156"/>
      <c r="P23" s="155"/>
      <c r="Q23" s="308"/>
      <c r="R23" s="309"/>
      <c r="S23" s="310"/>
      <c r="T23" s="311"/>
      <c r="U23" s="312"/>
      <c r="V23" s="313"/>
      <c r="W23" s="314"/>
      <c r="X23" s="315"/>
      <c r="Y23" s="316"/>
      <c r="Z23" s="317"/>
      <c r="AA23" s="16"/>
      <c r="AB23" s="17"/>
    </row>
    <row r="24" spans="1:28" s="5" customFormat="1" ht="16.5" customHeight="1">
      <c r="A24" s="90"/>
      <c r="B24" s="95"/>
      <c r="C24" s="157"/>
      <c r="D24" s="151"/>
      <c r="E24" s="303"/>
      <c r="F24" s="304"/>
      <c r="G24" s="305"/>
      <c r="H24" s="306"/>
      <c r="I24" s="158"/>
      <c r="J24" s="158"/>
      <c r="K24" s="307"/>
      <c r="L24" s="14"/>
      <c r="M24" s="159"/>
      <c r="N24" s="235"/>
      <c r="O24" s="156"/>
      <c r="P24" s="155"/>
      <c r="Q24" s="308"/>
      <c r="R24" s="309"/>
      <c r="S24" s="310"/>
      <c r="T24" s="311"/>
      <c r="U24" s="312"/>
      <c r="V24" s="313"/>
      <c r="W24" s="314"/>
      <c r="X24" s="315"/>
      <c r="Y24" s="316"/>
      <c r="Z24" s="317"/>
      <c r="AA24" s="16"/>
      <c r="AB24" s="17"/>
    </row>
    <row r="25" spans="1:28" s="5" customFormat="1" ht="16.5" customHeight="1">
      <c r="A25" s="90"/>
      <c r="B25" s="95"/>
      <c r="C25" s="289"/>
      <c r="D25" s="151"/>
      <c r="E25" s="303"/>
      <c r="F25" s="304"/>
      <c r="G25" s="305"/>
      <c r="H25" s="306"/>
      <c r="I25" s="158"/>
      <c r="J25" s="158"/>
      <c r="K25" s="307"/>
      <c r="L25" s="14"/>
      <c r="M25" s="159"/>
      <c r="N25" s="235"/>
      <c r="O25" s="156"/>
      <c r="P25" s="155"/>
      <c r="Q25" s="308"/>
      <c r="R25" s="309"/>
      <c r="S25" s="310"/>
      <c r="T25" s="311"/>
      <c r="U25" s="312"/>
      <c r="V25" s="313"/>
      <c r="W25" s="314"/>
      <c r="X25" s="315"/>
      <c r="Y25" s="316"/>
      <c r="Z25" s="317"/>
      <c r="AA25" s="16"/>
      <c r="AB25" s="17"/>
    </row>
    <row r="26" spans="1:28" s="5" customFormat="1" ht="16.5" customHeight="1">
      <c r="A26" s="90"/>
      <c r="B26" s="95"/>
      <c r="C26" s="157"/>
      <c r="D26" s="151"/>
      <c r="E26" s="303"/>
      <c r="F26" s="304"/>
      <c r="G26" s="305"/>
      <c r="H26" s="306"/>
      <c r="I26" s="158"/>
      <c r="J26" s="158"/>
      <c r="K26" s="307"/>
      <c r="L26" s="14"/>
      <c r="M26" s="159"/>
      <c r="N26" s="235"/>
      <c r="O26" s="156"/>
      <c r="P26" s="155"/>
      <c r="Q26" s="308"/>
      <c r="R26" s="309"/>
      <c r="S26" s="310"/>
      <c r="T26" s="311"/>
      <c r="U26" s="312"/>
      <c r="V26" s="313"/>
      <c r="W26" s="314"/>
      <c r="X26" s="315"/>
      <c r="Y26" s="316"/>
      <c r="Z26" s="317"/>
      <c r="AA26" s="16"/>
      <c r="AB26" s="17"/>
    </row>
    <row r="27" spans="1:28" s="5" customFormat="1" ht="16.5" customHeight="1">
      <c r="A27" s="90"/>
      <c r="B27" s="95"/>
      <c r="C27" s="289"/>
      <c r="D27" s="151"/>
      <c r="E27" s="303"/>
      <c r="F27" s="304"/>
      <c r="G27" s="305"/>
      <c r="H27" s="306"/>
      <c r="I27" s="158"/>
      <c r="J27" s="158"/>
      <c r="K27" s="307"/>
      <c r="L27" s="14"/>
      <c r="M27" s="159"/>
      <c r="N27" s="235"/>
      <c r="O27" s="156"/>
      <c r="P27" s="155"/>
      <c r="Q27" s="308"/>
      <c r="R27" s="309"/>
      <c r="S27" s="310"/>
      <c r="T27" s="311"/>
      <c r="U27" s="312"/>
      <c r="V27" s="313"/>
      <c r="W27" s="314"/>
      <c r="X27" s="315"/>
      <c r="Y27" s="316"/>
      <c r="Z27" s="317"/>
      <c r="AA27" s="16"/>
      <c r="AB27" s="17"/>
    </row>
    <row r="28" spans="1:29" s="5" customFormat="1" ht="16.5" customHeight="1">
      <c r="A28" s="90"/>
      <c r="B28" s="95"/>
      <c r="C28" s="157"/>
      <c r="D28" s="151"/>
      <c r="E28" s="303"/>
      <c r="F28" s="304"/>
      <c r="G28" s="305"/>
      <c r="H28" s="306"/>
      <c r="I28" s="158"/>
      <c r="J28" s="158"/>
      <c r="K28" s="307"/>
      <c r="L28" s="14"/>
      <c r="M28" s="159"/>
      <c r="N28" s="235"/>
      <c r="O28" s="156"/>
      <c r="P28" s="155"/>
      <c r="Q28" s="308"/>
      <c r="R28" s="309"/>
      <c r="S28" s="310"/>
      <c r="T28" s="311"/>
      <c r="U28" s="312"/>
      <c r="V28" s="313"/>
      <c r="W28" s="314"/>
      <c r="X28" s="315"/>
      <c r="Y28" s="316"/>
      <c r="Z28" s="317"/>
      <c r="AA28" s="16"/>
      <c r="AB28" s="17"/>
      <c r="AC28" s="15"/>
    </row>
    <row r="29" spans="1:28" s="5" customFormat="1" ht="16.5" customHeight="1">
      <c r="A29" s="90"/>
      <c r="B29" s="95"/>
      <c r="C29" s="289"/>
      <c r="D29" s="151"/>
      <c r="E29" s="303"/>
      <c r="F29" s="304"/>
      <c r="G29" s="305"/>
      <c r="H29" s="306"/>
      <c r="I29" s="158"/>
      <c r="J29" s="158"/>
      <c r="K29" s="307"/>
      <c r="L29" s="14"/>
      <c r="M29" s="159"/>
      <c r="N29" s="235"/>
      <c r="O29" s="156"/>
      <c r="P29" s="155"/>
      <c r="Q29" s="308"/>
      <c r="R29" s="309"/>
      <c r="S29" s="310"/>
      <c r="T29" s="311"/>
      <c r="U29" s="312"/>
      <c r="V29" s="313"/>
      <c r="W29" s="314"/>
      <c r="X29" s="315"/>
      <c r="Y29" s="316"/>
      <c r="Z29" s="317"/>
      <c r="AA29" s="16"/>
      <c r="AB29" s="17"/>
    </row>
    <row r="30" spans="1:28" s="5" customFormat="1" ht="16.5" customHeight="1">
      <c r="A30" s="90"/>
      <c r="B30" s="95"/>
      <c r="C30" s="157"/>
      <c r="D30" s="151"/>
      <c r="E30" s="303"/>
      <c r="F30" s="304"/>
      <c r="G30" s="305"/>
      <c r="H30" s="306"/>
      <c r="I30" s="158"/>
      <c r="J30" s="158"/>
      <c r="K30" s="307"/>
      <c r="L30" s="14"/>
      <c r="M30" s="159"/>
      <c r="N30" s="235"/>
      <c r="O30" s="156"/>
      <c r="P30" s="155"/>
      <c r="Q30" s="308"/>
      <c r="R30" s="309"/>
      <c r="S30" s="310"/>
      <c r="T30" s="311"/>
      <c r="U30" s="312"/>
      <c r="V30" s="313"/>
      <c r="W30" s="314"/>
      <c r="X30" s="315"/>
      <c r="Y30" s="316"/>
      <c r="Z30" s="317"/>
      <c r="AA30" s="16"/>
      <c r="AB30" s="17"/>
    </row>
    <row r="31" spans="1:28" s="5" customFormat="1" ht="16.5" customHeight="1">
      <c r="A31" s="90"/>
      <c r="B31" s="95"/>
      <c r="C31" s="289"/>
      <c r="D31" s="151"/>
      <c r="E31" s="303"/>
      <c r="F31" s="304"/>
      <c r="G31" s="305"/>
      <c r="H31" s="306"/>
      <c r="I31" s="158"/>
      <c r="J31" s="158"/>
      <c r="K31" s="307"/>
      <c r="L31" s="14"/>
      <c r="M31" s="159"/>
      <c r="N31" s="235"/>
      <c r="O31" s="156"/>
      <c r="P31" s="155"/>
      <c r="Q31" s="308"/>
      <c r="R31" s="309"/>
      <c r="S31" s="310"/>
      <c r="T31" s="311"/>
      <c r="U31" s="312"/>
      <c r="V31" s="313"/>
      <c r="W31" s="314"/>
      <c r="X31" s="315"/>
      <c r="Y31" s="316"/>
      <c r="Z31" s="317"/>
      <c r="AA31" s="16"/>
      <c r="AB31" s="17"/>
    </row>
    <row r="32" spans="1:28" s="5" customFormat="1" ht="16.5" customHeight="1">
      <c r="A32" s="90"/>
      <c r="B32" s="95"/>
      <c r="C32" s="157"/>
      <c r="D32" s="151"/>
      <c r="E32" s="319"/>
      <c r="F32" s="304"/>
      <c r="G32" s="305"/>
      <c r="H32" s="306"/>
      <c r="I32" s="158"/>
      <c r="J32" s="158"/>
      <c r="K32" s="307"/>
      <c r="L32" s="14"/>
      <c r="M32" s="159"/>
      <c r="N32" s="235"/>
      <c r="O32" s="156"/>
      <c r="P32" s="155"/>
      <c r="Q32" s="308"/>
      <c r="R32" s="309"/>
      <c r="S32" s="310"/>
      <c r="T32" s="311"/>
      <c r="U32" s="312"/>
      <c r="V32" s="313"/>
      <c r="W32" s="314"/>
      <c r="X32" s="315"/>
      <c r="Y32" s="316"/>
      <c r="Z32" s="317"/>
      <c r="AA32" s="16"/>
      <c r="AB32" s="17"/>
    </row>
    <row r="33" spans="1:28" s="5" customFormat="1" ht="16.5" customHeight="1">
      <c r="A33" s="90"/>
      <c r="B33" s="95"/>
      <c r="C33" s="289"/>
      <c r="D33" s="151"/>
      <c r="E33" s="319"/>
      <c r="F33" s="304"/>
      <c r="G33" s="305"/>
      <c r="H33" s="306"/>
      <c r="I33" s="158"/>
      <c r="J33" s="158"/>
      <c r="K33" s="307"/>
      <c r="L33" s="14"/>
      <c r="M33" s="159"/>
      <c r="N33" s="235"/>
      <c r="O33" s="156"/>
      <c r="P33" s="155"/>
      <c r="Q33" s="308"/>
      <c r="R33" s="309"/>
      <c r="S33" s="310"/>
      <c r="T33" s="311"/>
      <c r="U33" s="312"/>
      <c r="V33" s="313"/>
      <c r="W33" s="314"/>
      <c r="X33" s="315"/>
      <c r="Y33" s="316"/>
      <c r="Z33" s="317"/>
      <c r="AA33" s="16"/>
      <c r="AB33" s="17"/>
    </row>
    <row r="34" spans="1:28" s="5" customFormat="1" ht="16.5" customHeight="1">
      <c r="A34" s="90"/>
      <c r="B34" s="95"/>
      <c r="C34" s="157"/>
      <c r="D34" s="151"/>
      <c r="E34" s="319"/>
      <c r="F34" s="304"/>
      <c r="G34" s="305"/>
      <c r="H34" s="306"/>
      <c r="I34" s="158"/>
      <c r="J34" s="158"/>
      <c r="K34" s="307"/>
      <c r="L34" s="14"/>
      <c r="M34" s="159"/>
      <c r="N34" s="235"/>
      <c r="O34" s="155"/>
      <c r="P34" s="155"/>
      <c r="Q34" s="308"/>
      <c r="R34" s="309"/>
      <c r="S34" s="310"/>
      <c r="T34" s="311"/>
      <c r="U34" s="312"/>
      <c r="V34" s="313"/>
      <c r="W34" s="314"/>
      <c r="X34" s="315"/>
      <c r="Y34" s="316"/>
      <c r="Z34" s="317"/>
      <c r="AA34" s="16"/>
      <c r="AB34" s="17"/>
    </row>
    <row r="35" spans="1:28" s="5" customFormat="1" ht="16.5" customHeight="1">
      <c r="A35" s="90"/>
      <c r="B35" s="95"/>
      <c r="C35" s="289"/>
      <c r="D35" s="151"/>
      <c r="E35" s="319"/>
      <c r="F35" s="304"/>
      <c r="G35" s="305"/>
      <c r="H35" s="306"/>
      <c r="I35" s="158"/>
      <c r="J35" s="158"/>
      <c r="K35" s="307"/>
      <c r="L35" s="14"/>
      <c r="M35" s="159"/>
      <c r="N35" s="235"/>
      <c r="O35" s="156"/>
      <c r="P35" s="155"/>
      <c r="Q35" s="308"/>
      <c r="R35" s="309"/>
      <c r="S35" s="310"/>
      <c r="T35" s="311"/>
      <c r="U35" s="312"/>
      <c r="V35" s="313"/>
      <c r="W35" s="314"/>
      <c r="X35" s="315"/>
      <c r="Y35" s="316"/>
      <c r="Z35" s="317"/>
      <c r="AA35" s="16"/>
      <c r="AB35" s="17"/>
    </row>
    <row r="36" spans="1:28" s="5" customFormat="1" ht="16.5" customHeight="1">
      <c r="A36" s="90"/>
      <c r="B36" s="95"/>
      <c r="C36" s="157"/>
      <c r="D36" s="151"/>
      <c r="E36" s="319"/>
      <c r="F36" s="304"/>
      <c r="G36" s="305"/>
      <c r="H36" s="306"/>
      <c r="I36" s="158"/>
      <c r="J36" s="158"/>
      <c r="K36" s="307"/>
      <c r="L36" s="14"/>
      <c r="M36" s="159"/>
      <c r="N36" s="235"/>
      <c r="O36" s="156"/>
      <c r="P36" s="155"/>
      <c r="Q36" s="308"/>
      <c r="R36" s="309"/>
      <c r="S36" s="310"/>
      <c r="T36" s="311"/>
      <c r="U36" s="312"/>
      <c r="V36" s="313"/>
      <c r="W36" s="314"/>
      <c r="X36" s="315"/>
      <c r="Y36" s="316"/>
      <c r="Z36" s="317"/>
      <c r="AA36" s="16"/>
      <c r="AB36" s="17"/>
    </row>
    <row r="37" spans="1:28" s="5" customFormat="1" ht="16.5" customHeight="1">
      <c r="A37" s="90"/>
      <c r="B37" s="95"/>
      <c r="C37" s="289"/>
      <c r="D37" s="151"/>
      <c r="E37" s="319"/>
      <c r="F37" s="304"/>
      <c r="G37" s="305"/>
      <c r="H37" s="306"/>
      <c r="I37" s="158"/>
      <c r="J37" s="158"/>
      <c r="K37" s="307"/>
      <c r="L37" s="14"/>
      <c r="M37" s="159"/>
      <c r="N37" s="235"/>
      <c r="O37" s="156"/>
      <c r="P37" s="155"/>
      <c r="Q37" s="308"/>
      <c r="R37" s="309"/>
      <c r="S37" s="310"/>
      <c r="T37" s="311"/>
      <c r="U37" s="312"/>
      <c r="V37" s="313"/>
      <c r="W37" s="314"/>
      <c r="X37" s="315"/>
      <c r="Y37" s="316"/>
      <c r="Z37" s="317"/>
      <c r="AA37" s="16"/>
      <c r="AB37" s="17"/>
    </row>
    <row r="38" spans="1:28" s="5" customFormat="1" ht="16.5" customHeight="1">
      <c r="A38" s="90"/>
      <c r="B38" s="95"/>
      <c r="C38" s="157"/>
      <c r="D38" s="151"/>
      <c r="E38" s="319"/>
      <c r="F38" s="304"/>
      <c r="G38" s="305"/>
      <c r="H38" s="306"/>
      <c r="I38" s="158"/>
      <c r="J38" s="158"/>
      <c r="K38" s="307"/>
      <c r="L38" s="14"/>
      <c r="M38" s="159"/>
      <c r="N38" s="235"/>
      <c r="O38" s="156"/>
      <c r="P38" s="155"/>
      <c r="Q38" s="308"/>
      <c r="R38" s="309"/>
      <c r="S38" s="310"/>
      <c r="T38" s="311"/>
      <c r="U38" s="312"/>
      <c r="V38" s="313"/>
      <c r="W38" s="314"/>
      <c r="X38" s="315"/>
      <c r="Y38" s="316"/>
      <c r="Z38" s="317"/>
      <c r="AA38" s="16"/>
      <c r="AB38" s="17"/>
    </row>
    <row r="39" spans="1:28" s="5" customFormat="1" ht="16.5" customHeight="1">
      <c r="A39" s="90"/>
      <c r="B39" s="95"/>
      <c r="C39" s="289"/>
      <c r="D39" s="151"/>
      <c r="E39" s="319"/>
      <c r="F39" s="304"/>
      <c r="G39" s="305"/>
      <c r="H39" s="306"/>
      <c r="I39" s="158"/>
      <c r="J39" s="158"/>
      <c r="K39" s="307"/>
      <c r="L39" s="14"/>
      <c r="M39" s="159"/>
      <c r="N39" s="235"/>
      <c r="O39" s="156"/>
      <c r="P39" s="155"/>
      <c r="Q39" s="308"/>
      <c r="R39" s="309"/>
      <c r="S39" s="310"/>
      <c r="T39" s="311"/>
      <c r="U39" s="312"/>
      <c r="V39" s="313"/>
      <c r="W39" s="314"/>
      <c r="X39" s="315"/>
      <c r="Y39" s="316"/>
      <c r="Z39" s="317"/>
      <c r="AA39" s="16"/>
      <c r="AB39" s="17"/>
    </row>
    <row r="40" spans="1:28" s="5" customFormat="1" ht="16.5" customHeight="1">
      <c r="A40" s="90"/>
      <c r="B40" s="95"/>
      <c r="C40" s="157"/>
      <c r="D40" s="151"/>
      <c r="E40" s="319"/>
      <c r="F40" s="304"/>
      <c r="G40" s="305"/>
      <c r="H40" s="306"/>
      <c r="I40" s="158"/>
      <c r="J40" s="158"/>
      <c r="K40" s="307"/>
      <c r="L40" s="14"/>
      <c r="M40" s="159"/>
      <c r="N40" s="235"/>
      <c r="O40" s="156"/>
      <c r="P40" s="155"/>
      <c r="Q40" s="308"/>
      <c r="R40" s="309"/>
      <c r="S40" s="310"/>
      <c r="T40" s="311"/>
      <c r="U40" s="312"/>
      <c r="V40" s="313"/>
      <c r="W40" s="314"/>
      <c r="X40" s="315"/>
      <c r="Y40" s="316"/>
      <c r="Z40" s="317"/>
      <c r="AA40" s="16"/>
      <c r="AB40" s="17"/>
    </row>
    <row r="41" spans="1:28" s="5" customFormat="1" ht="16.5" customHeight="1">
      <c r="A41" s="90"/>
      <c r="B41" s="95"/>
      <c r="C41" s="289"/>
      <c r="D41" s="151"/>
      <c r="E41" s="319"/>
      <c r="F41" s="304"/>
      <c r="G41" s="305"/>
      <c r="H41" s="306">
        <f>F41*$F$16</f>
        <v>0</v>
      </c>
      <c r="I41" s="158"/>
      <c r="J41" s="158"/>
      <c r="K41" s="307">
        <f>IF(D41="","",(J41-I41)*24)</f>
      </c>
      <c r="L41" s="14">
        <f>IF(D41="","",ROUND((J41-I41)*24*60,0))</f>
      </c>
      <c r="M41" s="159"/>
      <c r="N41" s="235">
        <f>IF(D41="","","--")</f>
      </c>
      <c r="O41" s="156">
        <f>IF(D41="","",IF(OR(M41="P",M41="RP"),"--","NO"))</f>
      </c>
      <c r="P41" s="155">
        <f>IF(D41="","","NO")</f>
      </c>
      <c r="Q41" s="308">
        <f>$F$17*IF(OR(M41="P",M41="RP"),0.1,1)*IF(P41="SI",1,0.1)</f>
        <v>20</v>
      </c>
      <c r="R41" s="309" t="str">
        <f>IF(M41="P",H41*Q41*ROUND(L41/60,2),"--")</f>
        <v>--</v>
      </c>
      <c r="S41" s="310" t="str">
        <f>IF(M41="RP",H41*Q41*N41/100*ROUND(L41/60,2),"--")</f>
        <v>--</v>
      </c>
      <c r="T41" s="311" t="str">
        <f>IF(AND(M41="F",O41="NO"),H41*Q41,"--")</f>
        <v>--</v>
      </c>
      <c r="U41" s="312" t="str">
        <f>IF(M41="F",H41*Q41*ROUND(L41/60,2),"--")</f>
        <v>--</v>
      </c>
      <c r="V41" s="313" t="str">
        <f>IF(AND(M41="R",O41="NO"),H41*Q41*N41/100,"--")</f>
        <v>--</v>
      </c>
      <c r="W41" s="314" t="str">
        <f>IF(M41="R",H41*Q41*N41/100*ROUND(L41/60,2),"--")</f>
        <v>--</v>
      </c>
      <c r="X41" s="315" t="str">
        <f>IF(M41="RF",H41*Q41*ROUND(L41/60,2),"--")</f>
        <v>--</v>
      </c>
      <c r="Y41" s="316" t="str">
        <f>IF(M41="RR",H41*Q41*N41/100*ROUND(L41/60,2),"--")</f>
        <v>--</v>
      </c>
      <c r="Z41" s="317">
        <f>IF(D41="","","SI")</f>
      </c>
      <c r="AA41" s="16">
        <f>IF(D41="","",(SUM(R41:Y41)*IF(Z41="SI",1,2)*IF(AND(N41&lt;&gt;"--",M41="RF"),N41/100,1)))</f>
      </c>
      <c r="AB41" s="17"/>
    </row>
    <row r="42" spans="1:28" s="5" customFormat="1" ht="16.5" customHeight="1" thickBot="1">
      <c r="A42" s="90"/>
      <c r="B42" s="95"/>
      <c r="C42" s="157"/>
      <c r="D42" s="320"/>
      <c r="E42" s="321"/>
      <c r="F42" s="320"/>
      <c r="G42" s="322"/>
      <c r="H42" s="132"/>
      <c r="I42" s="160"/>
      <c r="J42" s="323"/>
      <c r="K42" s="324"/>
      <c r="L42" s="325"/>
      <c r="M42" s="165"/>
      <c r="N42" s="197"/>
      <c r="O42" s="163"/>
      <c r="P42" s="165"/>
      <c r="Q42" s="326"/>
      <c r="R42" s="327"/>
      <c r="S42" s="328"/>
      <c r="T42" s="329"/>
      <c r="U42" s="330"/>
      <c r="V42" s="331"/>
      <c r="W42" s="332"/>
      <c r="X42" s="333"/>
      <c r="Y42" s="334"/>
      <c r="Z42" s="335"/>
      <c r="AA42" s="336"/>
      <c r="AB42" s="17"/>
    </row>
    <row r="43" spans="1:28" s="5" customFormat="1" ht="16.5" customHeight="1" thickBot="1" thickTop="1">
      <c r="A43" s="90"/>
      <c r="B43" s="95"/>
      <c r="C43" s="128" t="s">
        <v>25</v>
      </c>
      <c r="D43" s="129" t="s">
        <v>330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337">
        <f aca="true" t="shared" si="0" ref="R43:Y43">SUM(R20:R42)</f>
        <v>64310.4</v>
      </c>
      <c r="S43" s="338">
        <f t="shared" si="0"/>
        <v>0</v>
      </c>
      <c r="T43" s="339">
        <f t="shared" si="0"/>
        <v>0</v>
      </c>
      <c r="U43" s="340">
        <f t="shared" si="0"/>
        <v>0</v>
      </c>
      <c r="V43" s="341">
        <f t="shared" si="0"/>
        <v>0</v>
      </c>
      <c r="W43" s="342">
        <f t="shared" si="0"/>
        <v>0</v>
      </c>
      <c r="X43" s="343">
        <f t="shared" si="0"/>
        <v>0</v>
      </c>
      <c r="Y43" s="344">
        <f t="shared" si="0"/>
        <v>0</v>
      </c>
      <c r="Z43" s="90"/>
      <c r="AA43" s="345">
        <f>ROUND(SUM(AA20:AA42),2)</f>
        <v>64310.4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6.5" customHeight="1">
      <c r="A46" s="2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1:29" ht="16.5" customHeight="1">
      <c r="A47" s="2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1:29" ht="16.5" customHeight="1">
      <c r="A48" s="2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4:29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4:29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4:29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4:29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4:29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4:29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4:29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4:29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4:29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4:29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4:29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4:29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4:29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4:29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4:29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4:29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  <row r="65" spans="4:29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</row>
    <row r="66" spans="4:29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</row>
    <row r="67" spans="4:29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</row>
    <row r="68" spans="4:29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</row>
    <row r="69" spans="4:29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</row>
    <row r="70" spans="4:29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</row>
    <row r="71" spans="4:29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</row>
    <row r="72" spans="4:29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</row>
    <row r="73" spans="4:29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</row>
    <row r="74" spans="4:29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</row>
    <row r="75" spans="4:29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</row>
    <row r="76" spans="4:29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</row>
    <row r="77" spans="4:29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</row>
    <row r="78" spans="4:29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</row>
    <row r="79" spans="4:29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</row>
    <row r="80" spans="4:29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4:29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</row>
    <row r="82" spans="4:29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</row>
    <row r="83" spans="4:29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</row>
    <row r="84" spans="4:29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</row>
    <row r="85" spans="4:29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</row>
    <row r="86" spans="4:29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</row>
    <row r="87" spans="4:29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</row>
    <row r="88" spans="4:29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</row>
    <row r="89" spans="4:29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</row>
    <row r="90" spans="4:29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</row>
    <row r="91" spans="4:29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</row>
    <row r="92" spans="4:29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</row>
    <row r="93" spans="4:29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</row>
    <row r="94" spans="4:29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</row>
    <row r="95" spans="4:29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</row>
    <row r="96" spans="4:29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</row>
    <row r="97" spans="4:29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</row>
    <row r="98" spans="4:29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</row>
    <row r="99" spans="4:29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</row>
    <row r="100" spans="4:29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</row>
    <row r="101" spans="4:29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</row>
    <row r="102" spans="4:29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</row>
    <row r="103" spans="4:29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</row>
    <row r="104" spans="4:29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</row>
    <row r="105" spans="4:29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</row>
    <row r="106" spans="4:29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</row>
    <row r="107" spans="4:29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</row>
    <row r="108" spans="4:29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</row>
    <row r="109" spans="4:29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</row>
    <row r="110" spans="4:29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</row>
    <row r="111" spans="4:29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</row>
    <row r="112" spans="4:29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</row>
    <row r="113" spans="4:29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</row>
    <row r="114" spans="4:29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</row>
    <row r="115" spans="4:29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</row>
    <row r="116" spans="4:29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</row>
    <row r="117" spans="4:29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</row>
    <row r="118" spans="4:29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</row>
    <row r="119" spans="4:29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</row>
    <row r="120" spans="4:29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</row>
    <row r="121" spans="4:29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</row>
    <row r="122" spans="4:29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</row>
    <row r="123" spans="4:29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</row>
    <row r="124" spans="4:29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</row>
    <row r="125" spans="4:29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</row>
    <row r="126" spans="4:29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</row>
    <row r="127" spans="4:29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</row>
    <row r="128" spans="4:29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</row>
    <row r="129" spans="4:29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</row>
    <row r="130" spans="4:29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</row>
    <row r="131" spans="4:29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</row>
    <row r="132" spans="4:29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</row>
    <row r="133" spans="4:29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</row>
    <row r="134" spans="4:29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</row>
    <row r="135" spans="4:29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</row>
    <row r="136" spans="4:29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</row>
    <row r="137" spans="4:29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</row>
    <row r="138" spans="4:29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</row>
    <row r="139" spans="4:29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</row>
    <row r="140" spans="4:29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</row>
    <row r="141" spans="4:29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</row>
    <row r="142" spans="4:29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</row>
    <row r="143" spans="4:29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</row>
    <row r="144" spans="4:29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</row>
    <row r="145" spans="4:29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</row>
    <row r="146" spans="4:29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</row>
    <row r="147" spans="4:29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</row>
    <row r="148" spans="4:29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</row>
    <row r="149" spans="4:29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</row>
    <row r="150" spans="4:29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</row>
    <row r="151" spans="4:29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</row>
    <row r="152" spans="4:29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</row>
    <row r="153" ht="16.5" customHeight="1">
      <c r="AC153" s="179"/>
    </row>
    <row r="154" ht="16.5" customHeight="1">
      <c r="AC154" s="179"/>
    </row>
    <row r="155" ht="16.5" customHeight="1">
      <c r="AC155" s="179"/>
    </row>
    <row r="156" ht="16.5" customHeight="1">
      <c r="AC156" s="179"/>
    </row>
    <row r="157" ht="16.5" customHeight="1"/>
    <row r="158" ht="16.5" customHeight="1"/>
    <row r="159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1" r:id="rId4"/>
  <headerFooter alignWithMargins="0">
    <oddFooter>&amp;L&amp;"Times New Roman,Normal"&amp;8&amp;F-&amp;A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W159"/>
  <sheetViews>
    <sheetView zoomScale="75" zoomScaleNormal="75" workbookViewId="0" topLeftCell="E22">
      <selection activeCell="L29" sqref="L29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+'TOT-0209'!B2</f>
        <v>ANEXO III al Memorandum 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252</v>
      </c>
      <c r="E10" s="369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70"/>
      <c r="E11" s="370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84</v>
      </c>
      <c r="E12" s="369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70"/>
      <c r="E13" s="370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'TOT-0209'!B14</f>
        <v>Desde el 01 al 28 de febrero de 2009</v>
      </c>
      <c r="C14" s="40"/>
      <c r="D14" s="40"/>
      <c r="E14" s="40"/>
      <c r="F14" s="40"/>
      <c r="G14" s="371"/>
      <c r="H14" s="371"/>
      <c r="I14" s="371"/>
      <c r="J14" s="371"/>
      <c r="K14" s="371"/>
      <c r="L14" s="371"/>
      <c r="M14" s="371"/>
      <c r="N14" s="371"/>
      <c r="O14" s="40"/>
      <c r="P14" s="40"/>
      <c r="Q14" s="40"/>
      <c r="R14" s="40"/>
      <c r="S14" s="40"/>
      <c r="T14" s="40"/>
      <c r="U14" s="372"/>
    </row>
    <row r="15" spans="2:21" s="5" customFormat="1" ht="14.25" thickBot="1">
      <c r="B15" s="373"/>
      <c r="C15" s="374"/>
      <c r="D15" s="374"/>
      <c r="E15" s="374"/>
      <c r="F15" s="374"/>
      <c r="G15" s="375"/>
      <c r="H15" s="375"/>
      <c r="I15" s="375"/>
      <c r="J15" s="375"/>
      <c r="K15" s="375"/>
      <c r="L15" s="375"/>
      <c r="M15" s="375"/>
      <c r="N15" s="375"/>
      <c r="O15" s="374"/>
      <c r="P15" s="374"/>
      <c r="Q15" s="374"/>
      <c r="R15" s="374"/>
      <c r="S15" s="374"/>
      <c r="T15" s="374"/>
      <c r="U15" s="376"/>
    </row>
    <row r="16" spans="2:21" s="5" customFormat="1" ht="15" thickBot="1" thickTop="1">
      <c r="B16" s="50"/>
      <c r="C16" s="4"/>
      <c r="D16" s="377"/>
      <c r="E16" s="377"/>
      <c r="F16" s="118" t="s">
        <v>85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78" t="s">
        <v>86</v>
      </c>
      <c r="E17" s="379">
        <v>63.904</v>
      </c>
      <c r="F17" s="380">
        <v>200</v>
      </c>
      <c r="T17" s="116"/>
      <c r="U17" s="6"/>
    </row>
    <row r="18" spans="2:21" s="5" customFormat="1" ht="16.5" customHeight="1" thickBot="1" thickTop="1">
      <c r="B18" s="50"/>
      <c r="C18" s="4"/>
      <c r="D18" s="381" t="s">
        <v>87</v>
      </c>
      <c r="E18" s="382">
        <v>57.511</v>
      </c>
      <c r="F18" s="380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83" t="s">
        <v>88</v>
      </c>
      <c r="E19" s="382">
        <v>51.126</v>
      </c>
      <c r="F19" s="380">
        <v>40</v>
      </c>
      <c r="I19" s="214"/>
      <c r="J19" s="215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84"/>
      <c r="D20" s="385"/>
      <c r="E20" s="385"/>
      <c r="F20" s="386"/>
      <c r="G20" s="387"/>
      <c r="H20" s="387"/>
      <c r="I20" s="387"/>
      <c r="J20" s="387"/>
      <c r="K20" s="387"/>
      <c r="L20" s="387"/>
      <c r="M20" s="387"/>
      <c r="N20" s="388"/>
      <c r="O20" s="389"/>
      <c r="P20" s="390"/>
      <c r="Q20" s="390"/>
      <c r="R20" s="390"/>
      <c r="S20" s="391"/>
      <c r="T20" s="392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393" t="s">
        <v>28</v>
      </c>
      <c r="F21" s="394" t="s">
        <v>14</v>
      </c>
      <c r="G21" s="130" t="s">
        <v>16</v>
      </c>
      <c r="H21" s="85" t="s">
        <v>17</v>
      </c>
      <c r="I21" s="393" t="s">
        <v>18</v>
      </c>
      <c r="J21" s="395" t="s">
        <v>36</v>
      </c>
      <c r="K21" s="395" t="s">
        <v>31</v>
      </c>
      <c r="L21" s="88" t="s">
        <v>19</v>
      </c>
      <c r="M21" s="183" t="s">
        <v>32</v>
      </c>
      <c r="N21" s="136" t="s">
        <v>37</v>
      </c>
      <c r="O21" s="396" t="s">
        <v>70</v>
      </c>
      <c r="P21" s="184" t="s">
        <v>35</v>
      </c>
      <c r="Q21" s="397"/>
      <c r="R21" s="135" t="s">
        <v>22</v>
      </c>
      <c r="S21" s="133" t="s">
        <v>79</v>
      </c>
      <c r="T21" s="122" t="s">
        <v>24</v>
      </c>
      <c r="U21" s="6"/>
    </row>
    <row r="22" spans="2:21" s="5" customFormat="1" ht="16.5" customHeight="1" thickTop="1">
      <c r="B22" s="50"/>
      <c r="C22" s="7"/>
      <c r="D22" s="398"/>
      <c r="E22" s="398"/>
      <c r="F22" s="398"/>
      <c r="G22" s="232"/>
      <c r="H22" s="398"/>
      <c r="I22" s="398"/>
      <c r="J22" s="398"/>
      <c r="K22" s="398"/>
      <c r="L22" s="398"/>
      <c r="M22" s="398"/>
      <c r="N22" s="399"/>
      <c r="O22" s="400"/>
      <c r="P22" s="401"/>
      <c r="Q22" s="402"/>
      <c r="R22" s="403"/>
      <c r="S22" s="398"/>
      <c r="T22" s="404"/>
      <c r="U22" s="6"/>
    </row>
    <row r="23" spans="2:21" s="5" customFormat="1" ht="16.5" customHeight="1">
      <c r="B23" s="50"/>
      <c r="C23" s="289"/>
      <c r="D23" s="405"/>
      <c r="E23" s="405"/>
      <c r="F23" s="405"/>
      <c r="G23" s="406"/>
      <c r="H23" s="405"/>
      <c r="I23" s="405"/>
      <c r="J23" s="405"/>
      <c r="K23" s="405"/>
      <c r="L23" s="405"/>
      <c r="M23" s="405"/>
      <c r="N23" s="407"/>
      <c r="O23" s="408"/>
      <c r="P23" s="196"/>
      <c r="Q23" s="409"/>
      <c r="R23" s="410"/>
      <c r="S23" s="405"/>
      <c r="T23" s="411"/>
      <c r="U23" s="6"/>
    </row>
    <row r="24" spans="2:21" s="5" customFormat="1" ht="16.5" customHeight="1">
      <c r="B24" s="50"/>
      <c r="C24" s="157">
        <v>31</v>
      </c>
      <c r="D24" s="412" t="s">
        <v>287</v>
      </c>
      <c r="E24" s="412" t="s">
        <v>294</v>
      </c>
      <c r="F24" s="413">
        <v>132</v>
      </c>
      <c r="G24" s="131">
        <f aca="true" t="shared" si="0" ref="G24:G43">IF(F24=500,$E$17,IF(F24=220,$E$18,$E$19))</f>
        <v>51.126</v>
      </c>
      <c r="H24" s="414">
        <v>39845.294444444444</v>
      </c>
      <c r="I24" s="153">
        <v>39845.79236111111</v>
      </c>
      <c r="J24" s="415">
        <f aca="true" t="shared" si="1" ref="J24:J43">IF(D24="","",(I24-H24)*24)</f>
        <v>11.950000000011642</v>
      </c>
      <c r="K24" s="416">
        <f aca="true" t="shared" si="2" ref="K24:K43">IF(D24="","",ROUND((I24-H24)*24*60,0))</f>
        <v>717</v>
      </c>
      <c r="L24" s="234" t="s">
        <v>241</v>
      </c>
      <c r="M24" s="155" t="str">
        <f aca="true" t="shared" si="3" ref="M24:M43">IF(D24="","",IF(L24="P","--","NO"))</f>
        <v>--</v>
      </c>
      <c r="N24" s="417">
        <f aca="true" t="shared" si="4" ref="N24:N43">IF(F24=500,$F$17,IF(F24=220,$F$18,$F$19))</f>
        <v>40</v>
      </c>
      <c r="O24" s="418">
        <f aca="true" t="shared" si="5" ref="O24:O43">IF(L24="P",G24*N24*ROUND(K24/60,2)*0.1,"--")</f>
        <v>2443.8228</v>
      </c>
      <c r="P24" s="419" t="str">
        <f aca="true" t="shared" si="6" ref="P24:P43">IF(AND(L24="F",M24="NO"),G24*N24,"--")</f>
        <v>--</v>
      </c>
      <c r="Q24" s="420" t="str">
        <f aca="true" t="shared" si="7" ref="Q24:Q43">IF(L24="F",G24*N24*ROUND(K24/60,2),"--")</f>
        <v>--</v>
      </c>
      <c r="R24" s="162" t="str">
        <f aca="true" t="shared" si="8" ref="R24:R43">IF(L24="RF",G24*N24*ROUND(K24/60,2),"--")</f>
        <v>--</v>
      </c>
      <c r="S24" s="155" t="str">
        <f aca="true" t="shared" si="9" ref="S24:S43">IF(D24="","","SI")</f>
        <v>SI</v>
      </c>
      <c r="T24" s="421">
        <v>0</v>
      </c>
      <c r="U24" s="6"/>
    </row>
    <row r="25" spans="2:21" s="5" customFormat="1" ht="16.5" customHeight="1">
      <c r="B25" s="50"/>
      <c r="C25" s="289">
        <v>32</v>
      </c>
      <c r="D25" s="412" t="s">
        <v>295</v>
      </c>
      <c r="E25" s="412" t="s">
        <v>296</v>
      </c>
      <c r="F25" s="413">
        <v>500</v>
      </c>
      <c r="G25" s="131">
        <f t="shared" si="0"/>
        <v>63.904</v>
      </c>
      <c r="H25" s="414">
        <v>39845.32013888889</v>
      </c>
      <c r="I25" s="153">
        <v>39845.54027777778</v>
      </c>
      <c r="J25" s="415">
        <f t="shared" si="1"/>
        <v>5.283333333267365</v>
      </c>
      <c r="K25" s="416">
        <f t="shared" si="2"/>
        <v>317</v>
      </c>
      <c r="L25" s="234" t="s">
        <v>241</v>
      </c>
      <c r="M25" s="155" t="str">
        <f t="shared" si="3"/>
        <v>--</v>
      </c>
      <c r="N25" s="417">
        <f t="shared" si="4"/>
        <v>200</v>
      </c>
      <c r="O25" s="418">
        <f t="shared" si="5"/>
        <v>6748.262400000001</v>
      </c>
      <c r="P25" s="419" t="str">
        <f t="shared" si="6"/>
        <v>--</v>
      </c>
      <c r="Q25" s="420" t="str">
        <f t="shared" si="7"/>
        <v>--</v>
      </c>
      <c r="R25" s="162" t="str">
        <f t="shared" si="8"/>
        <v>--</v>
      </c>
      <c r="S25" s="155" t="str">
        <f t="shared" si="9"/>
        <v>SI</v>
      </c>
      <c r="T25" s="421">
        <v>0</v>
      </c>
      <c r="U25" s="6"/>
    </row>
    <row r="26" spans="2:21" s="5" customFormat="1" ht="16.5" customHeight="1">
      <c r="B26" s="50"/>
      <c r="C26" s="157">
        <v>33</v>
      </c>
      <c r="D26" s="412" t="s">
        <v>297</v>
      </c>
      <c r="E26" s="412" t="s">
        <v>298</v>
      </c>
      <c r="F26" s="413">
        <v>132</v>
      </c>
      <c r="G26" s="131">
        <f t="shared" si="0"/>
        <v>51.126</v>
      </c>
      <c r="H26" s="414">
        <v>39851.419444444444</v>
      </c>
      <c r="I26" s="153">
        <v>39851.54652777778</v>
      </c>
      <c r="J26" s="415">
        <f t="shared" si="1"/>
        <v>3.0499999999883585</v>
      </c>
      <c r="K26" s="416">
        <f t="shared" si="2"/>
        <v>183</v>
      </c>
      <c r="L26" s="234" t="s">
        <v>241</v>
      </c>
      <c r="M26" s="155" t="str">
        <f t="shared" si="3"/>
        <v>--</v>
      </c>
      <c r="N26" s="417">
        <f t="shared" si="4"/>
        <v>40</v>
      </c>
      <c r="O26" s="418">
        <f t="shared" si="5"/>
        <v>623.7372</v>
      </c>
      <c r="P26" s="419" t="str">
        <f t="shared" si="6"/>
        <v>--</v>
      </c>
      <c r="Q26" s="420" t="str">
        <f t="shared" si="7"/>
        <v>--</v>
      </c>
      <c r="R26" s="162" t="str">
        <f t="shared" si="8"/>
        <v>--</v>
      </c>
      <c r="S26" s="155" t="str">
        <f t="shared" si="9"/>
        <v>SI</v>
      </c>
      <c r="T26" s="421">
        <v>0</v>
      </c>
      <c r="U26" s="6"/>
    </row>
    <row r="27" spans="2:21" s="5" customFormat="1" ht="16.5" customHeight="1">
      <c r="B27" s="50"/>
      <c r="C27" s="289">
        <v>34</v>
      </c>
      <c r="D27" s="412" t="s">
        <v>287</v>
      </c>
      <c r="E27" s="412" t="s">
        <v>299</v>
      </c>
      <c r="F27" s="413">
        <v>132</v>
      </c>
      <c r="G27" s="131">
        <f t="shared" si="0"/>
        <v>51.126</v>
      </c>
      <c r="H27" s="414">
        <v>39852.33819444444</v>
      </c>
      <c r="I27" s="153">
        <v>39852.697222222225</v>
      </c>
      <c r="J27" s="415">
        <f t="shared" si="1"/>
        <v>8.616666666814126</v>
      </c>
      <c r="K27" s="416">
        <f t="shared" si="2"/>
        <v>517</v>
      </c>
      <c r="L27" s="234" t="s">
        <v>241</v>
      </c>
      <c r="M27" s="155" t="str">
        <f t="shared" si="3"/>
        <v>--</v>
      </c>
      <c r="N27" s="417">
        <f t="shared" si="4"/>
        <v>40</v>
      </c>
      <c r="O27" s="418">
        <f t="shared" si="5"/>
        <v>1762.8244799999998</v>
      </c>
      <c r="P27" s="419" t="str">
        <f t="shared" si="6"/>
        <v>--</v>
      </c>
      <c r="Q27" s="420" t="str">
        <f t="shared" si="7"/>
        <v>--</v>
      </c>
      <c r="R27" s="162" t="str">
        <f t="shared" si="8"/>
        <v>--</v>
      </c>
      <c r="S27" s="155" t="str">
        <f t="shared" si="9"/>
        <v>SI</v>
      </c>
      <c r="T27" s="421">
        <f aca="true" t="shared" si="10" ref="T27:T43">IF(D27="","",SUM(O27:R27)*IF(S27="SI",1,2))</f>
        <v>1762.8244799999998</v>
      </c>
      <c r="U27" s="6"/>
    </row>
    <row r="28" spans="2:21" s="5" customFormat="1" ht="16.5" customHeight="1">
      <c r="B28" s="50"/>
      <c r="C28" s="157">
        <v>35</v>
      </c>
      <c r="D28" s="412" t="s">
        <v>289</v>
      </c>
      <c r="E28" s="412" t="s">
        <v>300</v>
      </c>
      <c r="F28" s="413">
        <v>132</v>
      </c>
      <c r="G28" s="131">
        <f t="shared" si="0"/>
        <v>51.126</v>
      </c>
      <c r="H28" s="414">
        <v>39854.35208333333</v>
      </c>
      <c r="I28" s="153">
        <v>39854.67986111111</v>
      </c>
      <c r="J28" s="415">
        <f t="shared" si="1"/>
        <v>7.866666666639503</v>
      </c>
      <c r="K28" s="416">
        <f t="shared" si="2"/>
        <v>472</v>
      </c>
      <c r="L28" s="234" t="s">
        <v>241</v>
      </c>
      <c r="M28" s="155" t="str">
        <f t="shared" si="3"/>
        <v>--</v>
      </c>
      <c r="N28" s="417">
        <f t="shared" si="4"/>
        <v>40</v>
      </c>
      <c r="O28" s="418">
        <f t="shared" si="5"/>
        <v>1609.44648</v>
      </c>
      <c r="P28" s="419" t="str">
        <f t="shared" si="6"/>
        <v>--</v>
      </c>
      <c r="Q28" s="420" t="str">
        <f t="shared" si="7"/>
        <v>--</v>
      </c>
      <c r="R28" s="162" t="str">
        <f t="shared" si="8"/>
        <v>--</v>
      </c>
      <c r="S28" s="155" t="str">
        <f t="shared" si="9"/>
        <v>SI</v>
      </c>
      <c r="T28" s="421">
        <f t="shared" si="10"/>
        <v>1609.44648</v>
      </c>
      <c r="U28" s="6"/>
    </row>
    <row r="29" spans="2:21" s="5" customFormat="1" ht="16.5" customHeight="1">
      <c r="B29" s="50"/>
      <c r="C29" s="289">
        <v>36</v>
      </c>
      <c r="D29" s="412" t="s">
        <v>289</v>
      </c>
      <c r="E29" s="412" t="s">
        <v>300</v>
      </c>
      <c r="F29" s="413">
        <v>132</v>
      </c>
      <c r="G29" s="131">
        <f t="shared" si="0"/>
        <v>51.126</v>
      </c>
      <c r="H29" s="414">
        <v>39855.364583333336</v>
      </c>
      <c r="I29" s="153">
        <v>39855.70625</v>
      </c>
      <c r="J29" s="415">
        <f t="shared" si="1"/>
        <v>8.200000000011642</v>
      </c>
      <c r="K29" s="416">
        <f t="shared" si="2"/>
        <v>492</v>
      </c>
      <c r="L29" s="234" t="s">
        <v>241</v>
      </c>
      <c r="M29" s="155" t="str">
        <f t="shared" si="3"/>
        <v>--</v>
      </c>
      <c r="N29" s="417">
        <f t="shared" si="4"/>
        <v>40</v>
      </c>
      <c r="O29" s="418">
        <f t="shared" si="5"/>
        <v>1676.9327999999998</v>
      </c>
      <c r="P29" s="419" t="str">
        <f t="shared" si="6"/>
        <v>--</v>
      </c>
      <c r="Q29" s="420" t="str">
        <f t="shared" si="7"/>
        <v>--</v>
      </c>
      <c r="R29" s="162" t="str">
        <f t="shared" si="8"/>
        <v>--</v>
      </c>
      <c r="S29" s="155" t="str">
        <f t="shared" si="9"/>
        <v>SI</v>
      </c>
      <c r="T29" s="421">
        <f t="shared" si="10"/>
        <v>1676.9327999999998</v>
      </c>
      <c r="U29" s="6"/>
    </row>
    <row r="30" spans="2:21" s="5" customFormat="1" ht="16.5" customHeight="1">
      <c r="B30" s="50"/>
      <c r="C30" s="157">
        <v>37</v>
      </c>
      <c r="D30" s="412" t="s">
        <v>301</v>
      </c>
      <c r="E30" s="412" t="s">
        <v>302</v>
      </c>
      <c r="F30" s="413">
        <v>500</v>
      </c>
      <c r="G30" s="131">
        <f t="shared" si="0"/>
        <v>63.904</v>
      </c>
      <c r="H30" s="414">
        <v>39855.50833333333</v>
      </c>
      <c r="I30" s="153">
        <v>39855.57152777778</v>
      </c>
      <c r="J30" s="415">
        <f t="shared" si="1"/>
        <v>1.5166666667209938</v>
      </c>
      <c r="K30" s="416">
        <f t="shared" si="2"/>
        <v>91</v>
      </c>
      <c r="L30" s="234" t="s">
        <v>241</v>
      </c>
      <c r="M30" s="155" t="str">
        <f t="shared" si="3"/>
        <v>--</v>
      </c>
      <c r="N30" s="417">
        <f t="shared" si="4"/>
        <v>200</v>
      </c>
      <c r="O30" s="418">
        <f t="shared" si="5"/>
        <v>1942.6816000000003</v>
      </c>
      <c r="P30" s="419" t="str">
        <f t="shared" si="6"/>
        <v>--</v>
      </c>
      <c r="Q30" s="420" t="str">
        <f t="shared" si="7"/>
        <v>--</v>
      </c>
      <c r="R30" s="162" t="str">
        <f t="shared" si="8"/>
        <v>--</v>
      </c>
      <c r="S30" s="155" t="str">
        <f t="shared" si="9"/>
        <v>SI</v>
      </c>
      <c r="T30" s="421">
        <f t="shared" si="10"/>
        <v>1942.6816000000003</v>
      </c>
      <c r="U30" s="6"/>
    </row>
    <row r="31" spans="2:21" s="5" customFormat="1" ht="16.5" customHeight="1">
      <c r="B31" s="50"/>
      <c r="C31" s="289">
        <v>38</v>
      </c>
      <c r="D31" s="412" t="s">
        <v>289</v>
      </c>
      <c r="E31" s="412" t="s">
        <v>300</v>
      </c>
      <c r="F31" s="413">
        <v>132</v>
      </c>
      <c r="G31" s="131">
        <f t="shared" si="0"/>
        <v>51.126</v>
      </c>
      <c r="H31" s="414">
        <v>39856.38680555556</v>
      </c>
      <c r="I31" s="153">
        <v>39856.697222222225</v>
      </c>
      <c r="J31" s="415">
        <f t="shared" si="1"/>
        <v>7.4500000000116415</v>
      </c>
      <c r="K31" s="416">
        <f t="shared" si="2"/>
        <v>447</v>
      </c>
      <c r="L31" s="234" t="s">
        <v>241</v>
      </c>
      <c r="M31" s="155" t="str">
        <f t="shared" si="3"/>
        <v>--</v>
      </c>
      <c r="N31" s="417">
        <f t="shared" si="4"/>
        <v>40</v>
      </c>
      <c r="O31" s="418">
        <f t="shared" si="5"/>
        <v>1523.5548000000001</v>
      </c>
      <c r="P31" s="419" t="str">
        <f t="shared" si="6"/>
        <v>--</v>
      </c>
      <c r="Q31" s="420" t="str">
        <f t="shared" si="7"/>
        <v>--</v>
      </c>
      <c r="R31" s="162" t="str">
        <f t="shared" si="8"/>
        <v>--</v>
      </c>
      <c r="S31" s="155" t="str">
        <f t="shared" si="9"/>
        <v>SI</v>
      </c>
      <c r="T31" s="421">
        <f t="shared" si="10"/>
        <v>1523.5548000000001</v>
      </c>
      <c r="U31" s="6"/>
    </row>
    <row r="32" spans="2:21" s="5" customFormat="1" ht="16.5" customHeight="1">
      <c r="B32" s="50"/>
      <c r="C32" s="157">
        <v>39</v>
      </c>
      <c r="D32" s="412" t="s">
        <v>303</v>
      </c>
      <c r="E32" s="412" t="s">
        <v>304</v>
      </c>
      <c r="F32" s="413">
        <v>132</v>
      </c>
      <c r="G32" s="131">
        <f t="shared" si="0"/>
        <v>51.126</v>
      </c>
      <c r="H32" s="414">
        <v>39858.336805555555</v>
      </c>
      <c r="I32" s="153">
        <v>39858.79861111111</v>
      </c>
      <c r="J32" s="415">
        <f t="shared" si="1"/>
        <v>11.08333333331393</v>
      </c>
      <c r="K32" s="416">
        <f t="shared" si="2"/>
        <v>665</v>
      </c>
      <c r="L32" s="234" t="s">
        <v>241</v>
      </c>
      <c r="M32" s="155" t="str">
        <f t="shared" si="3"/>
        <v>--</v>
      </c>
      <c r="N32" s="417">
        <f t="shared" si="4"/>
        <v>40</v>
      </c>
      <c r="O32" s="418">
        <f t="shared" si="5"/>
        <v>2265.90432</v>
      </c>
      <c r="P32" s="419" t="str">
        <f t="shared" si="6"/>
        <v>--</v>
      </c>
      <c r="Q32" s="420" t="str">
        <f t="shared" si="7"/>
        <v>--</v>
      </c>
      <c r="R32" s="162" t="str">
        <f t="shared" si="8"/>
        <v>--</v>
      </c>
      <c r="S32" s="155" t="str">
        <f t="shared" si="9"/>
        <v>SI</v>
      </c>
      <c r="T32" s="421">
        <v>0</v>
      </c>
      <c r="U32" s="6"/>
    </row>
    <row r="33" spans="2:21" s="5" customFormat="1" ht="16.5" customHeight="1">
      <c r="B33" s="50"/>
      <c r="C33" s="289">
        <v>40</v>
      </c>
      <c r="D33" s="412" t="s">
        <v>305</v>
      </c>
      <c r="E33" s="412" t="s">
        <v>302</v>
      </c>
      <c r="F33" s="413">
        <v>500</v>
      </c>
      <c r="G33" s="131">
        <f t="shared" si="0"/>
        <v>63.904</v>
      </c>
      <c r="H33" s="414">
        <v>39858.663194444445</v>
      </c>
      <c r="I33" s="153">
        <v>39858.69375</v>
      </c>
      <c r="J33" s="415">
        <f t="shared" si="1"/>
        <v>0.7333333332790062</v>
      </c>
      <c r="K33" s="416">
        <f t="shared" si="2"/>
        <v>44</v>
      </c>
      <c r="L33" s="234" t="s">
        <v>241</v>
      </c>
      <c r="M33" s="155" t="str">
        <f t="shared" si="3"/>
        <v>--</v>
      </c>
      <c r="N33" s="417">
        <f t="shared" si="4"/>
        <v>200</v>
      </c>
      <c r="O33" s="418">
        <f t="shared" si="5"/>
        <v>932.9984000000001</v>
      </c>
      <c r="P33" s="419" t="str">
        <f t="shared" si="6"/>
        <v>--</v>
      </c>
      <c r="Q33" s="420" t="str">
        <f t="shared" si="7"/>
        <v>--</v>
      </c>
      <c r="R33" s="162" t="str">
        <f t="shared" si="8"/>
        <v>--</v>
      </c>
      <c r="S33" s="155" t="str">
        <f t="shared" si="9"/>
        <v>SI</v>
      </c>
      <c r="T33" s="421">
        <f t="shared" si="10"/>
        <v>932.9984000000001</v>
      </c>
      <c r="U33" s="6"/>
    </row>
    <row r="34" spans="2:21" s="5" customFormat="1" ht="16.5" customHeight="1">
      <c r="B34" s="50"/>
      <c r="C34" s="157">
        <v>41</v>
      </c>
      <c r="D34" s="412" t="s">
        <v>306</v>
      </c>
      <c r="E34" s="412" t="s">
        <v>307</v>
      </c>
      <c r="F34" s="413">
        <v>500</v>
      </c>
      <c r="G34" s="131">
        <f t="shared" si="0"/>
        <v>63.904</v>
      </c>
      <c r="H34" s="414">
        <v>39859.345138888886</v>
      </c>
      <c r="I34" s="153">
        <v>39859.77569444444</v>
      </c>
      <c r="J34" s="415">
        <f t="shared" si="1"/>
        <v>10.33333333331393</v>
      </c>
      <c r="K34" s="416">
        <f t="shared" si="2"/>
        <v>620</v>
      </c>
      <c r="L34" s="234" t="s">
        <v>241</v>
      </c>
      <c r="M34" s="155" t="str">
        <f t="shared" si="3"/>
        <v>--</v>
      </c>
      <c r="N34" s="417">
        <f t="shared" si="4"/>
        <v>200</v>
      </c>
      <c r="O34" s="418">
        <f t="shared" si="5"/>
        <v>13202.566400000003</v>
      </c>
      <c r="P34" s="419" t="str">
        <f t="shared" si="6"/>
        <v>--</v>
      </c>
      <c r="Q34" s="420" t="str">
        <f t="shared" si="7"/>
        <v>--</v>
      </c>
      <c r="R34" s="162" t="str">
        <f t="shared" si="8"/>
        <v>--</v>
      </c>
      <c r="S34" s="155" t="str">
        <f t="shared" si="9"/>
        <v>SI</v>
      </c>
      <c r="T34" s="421">
        <v>0</v>
      </c>
      <c r="U34" s="6"/>
    </row>
    <row r="35" spans="2:21" s="5" customFormat="1" ht="16.5" customHeight="1">
      <c r="B35" s="50"/>
      <c r="C35" s="289">
        <v>42</v>
      </c>
      <c r="D35" s="412" t="s">
        <v>308</v>
      </c>
      <c r="E35" s="412" t="s">
        <v>309</v>
      </c>
      <c r="F35" s="413">
        <v>132</v>
      </c>
      <c r="G35" s="131">
        <f t="shared" si="0"/>
        <v>51.126</v>
      </c>
      <c r="H35" s="414">
        <v>39859.46944444445</v>
      </c>
      <c r="I35" s="153">
        <v>39859.53472222222</v>
      </c>
      <c r="J35" s="415">
        <f t="shared" si="1"/>
        <v>1.5666666665347293</v>
      </c>
      <c r="K35" s="416">
        <f t="shared" si="2"/>
        <v>94</v>
      </c>
      <c r="L35" s="234" t="s">
        <v>241</v>
      </c>
      <c r="M35" s="155" t="str">
        <f t="shared" si="3"/>
        <v>--</v>
      </c>
      <c r="N35" s="417">
        <f t="shared" si="4"/>
        <v>40</v>
      </c>
      <c r="O35" s="418">
        <f t="shared" si="5"/>
        <v>321.07128000000006</v>
      </c>
      <c r="P35" s="419" t="str">
        <f t="shared" si="6"/>
        <v>--</v>
      </c>
      <c r="Q35" s="420" t="str">
        <f t="shared" si="7"/>
        <v>--</v>
      </c>
      <c r="R35" s="162" t="str">
        <f t="shared" si="8"/>
        <v>--</v>
      </c>
      <c r="S35" s="155" t="str">
        <f t="shared" si="9"/>
        <v>SI</v>
      </c>
      <c r="T35" s="421">
        <v>0</v>
      </c>
      <c r="U35" s="6"/>
    </row>
    <row r="36" spans="2:21" s="5" customFormat="1" ht="16.5" customHeight="1">
      <c r="B36" s="50"/>
      <c r="C36" s="157">
        <v>43</v>
      </c>
      <c r="D36" s="412" t="s">
        <v>338</v>
      </c>
      <c r="E36" s="412" t="s">
        <v>339</v>
      </c>
      <c r="F36" s="413">
        <v>500</v>
      </c>
      <c r="G36" s="131">
        <f t="shared" si="0"/>
        <v>63.904</v>
      </c>
      <c r="H36" s="414">
        <v>39863.373611111114</v>
      </c>
      <c r="I36" s="153">
        <v>39863.79027777778</v>
      </c>
      <c r="J36" s="415">
        <f t="shared" si="1"/>
        <v>9.999999999941792</v>
      </c>
      <c r="K36" s="416">
        <f t="shared" si="2"/>
        <v>600</v>
      </c>
      <c r="L36" s="234" t="s">
        <v>241</v>
      </c>
      <c r="M36" s="155" t="str">
        <f t="shared" si="3"/>
        <v>--</v>
      </c>
      <c r="N36" s="417">
        <f t="shared" si="4"/>
        <v>200</v>
      </c>
      <c r="O36" s="418">
        <f t="shared" si="5"/>
        <v>12780.800000000003</v>
      </c>
      <c r="P36" s="419" t="str">
        <f t="shared" si="6"/>
        <v>--</v>
      </c>
      <c r="Q36" s="420" t="str">
        <f t="shared" si="7"/>
        <v>--</v>
      </c>
      <c r="R36" s="162" t="str">
        <f t="shared" si="8"/>
        <v>--</v>
      </c>
      <c r="S36" s="155" t="str">
        <f t="shared" si="9"/>
        <v>SI</v>
      </c>
      <c r="T36" s="421">
        <v>0</v>
      </c>
      <c r="U36" s="6"/>
    </row>
    <row r="37" spans="2:21" s="5" customFormat="1" ht="16.5" customHeight="1">
      <c r="B37" s="50"/>
      <c r="C37" s="289">
        <v>44</v>
      </c>
      <c r="D37" s="412" t="s">
        <v>287</v>
      </c>
      <c r="E37" s="412" t="s">
        <v>310</v>
      </c>
      <c r="F37" s="413">
        <v>132</v>
      </c>
      <c r="G37" s="131">
        <f t="shared" si="0"/>
        <v>51.126</v>
      </c>
      <c r="H37" s="414">
        <v>39864.325694444444</v>
      </c>
      <c r="I37" s="153">
        <v>39864.35486111111</v>
      </c>
      <c r="J37" s="415">
        <f t="shared" si="1"/>
        <v>0.7000000000116415</v>
      </c>
      <c r="K37" s="416">
        <f t="shared" si="2"/>
        <v>42</v>
      </c>
      <c r="L37" s="234" t="s">
        <v>241</v>
      </c>
      <c r="M37" s="155" t="str">
        <f t="shared" si="3"/>
        <v>--</v>
      </c>
      <c r="N37" s="417">
        <f t="shared" si="4"/>
        <v>40</v>
      </c>
      <c r="O37" s="418">
        <f t="shared" si="5"/>
        <v>143.15279999999998</v>
      </c>
      <c r="P37" s="419" t="str">
        <f t="shared" si="6"/>
        <v>--</v>
      </c>
      <c r="Q37" s="420" t="str">
        <f t="shared" si="7"/>
        <v>--</v>
      </c>
      <c r="R37" s="162" t="str">
        <f t="shared" si="8"/>
        <v>--</v>
      </c>
      <c r="S37" s="155" t="str">
        <f t="shared" si="9"/>
        <v>SI</v>
      </c>
      <c r="T37" s="421">
        <f t="shared" si="10"/>
        <v>143.15279999999998</v>
      </c>
      <c r="U37" s="6"/>
    </row>
    <row r="38" spans="2:21" s="5" customFormat="1" ht="16.5" customHeight="1">
      <c r="B38" s="50"/>
      <c r="C38" s="157">
        <v>45</v>
      </c>
      <c r="D38" s="412" t="s">
        <v>287</v>
      </c>
      <c r="E38" s="412" t="s">
        <v>294</v>
      </c>
      <c r="F38" s="413">
        <v>132</v>
      </c>
      <c r="G38" s="131">
        <f t="shared" si="0"/>
        <v>51.126</v>
      </c>
      <c r="H38" s="414">
        <v>39865.43263888889</v>
      </c>
      <c r="I38" s="153">
        <v>39865.75555555556</v>
      </c>
      <c r="J38" s="415">
        <f t="shared" si="1"/>
        <v>7.750000000116415</v>
      </c>
      <c r="K38" s="416">
        <f t="shared" si="2"/>
        <v>465</v>
      </c>
      <c r="L38" s="234" t="s">
        <v>241</v>
      </c>
      <c r="M38" s="155" t="str">
        <f t="shared" si="3"/>
        <v>--</v>
      </c>
      <c r="N38" s="417">
        <f t="shared" si="4"/>
        <v>40</v>
      </c>
      <c r="O38" s="418">
        <f t="shared" si="5"/>
        <v>1584.906</v>
      </c>
      <c r="P38" s="419" t="str">
        <f t="shared" si="6"/>
        <v>--</v>
      </c>
      <c r="Q38" s="420" t="str">
        <f t="shared" si="7"/>
        <v>--</v>
      </c>
      <c r="R38" s="162" t="str">
        <f t="shared" si="8"/>
        <v>--</v>
      </c>
      <c r="S38" s="155" t="str">
        <f t="shared" si="9"/>
        <v>SI</v>
      </c>
      <c r="T38" s="421">
        <v>0</v>
      </c>
      <c r="U38" s="6"/>
    </row>
    <row r="39" spans="2:21" s="5" customFormat="1" ht="16.5" customHeight="1">
      <c r="B39" s="50"/>
      <c r="C39" s="289">
        <v>46</v>
      </c>
      <c r="D39" s="412" t="s">
        <v>301</v>
      </c>
      <c r="E39" s="412" t="s">
        <v>302</v>
      </c>
      <c r="F39" s="413">
        <v>500</v>
      </c>
      <c r="G39" s="131">
        <f t="shared" si="0"/>
        <v>63.904</v>
      </c>
      <c r="H39" s="414">
        <v>39865.995833333334</v>
      </c>
      <c r="I39" s="153">
        <v>39866.34027777778</v>
      </c>
      <c r="J39" s="415">
        <f t="shared" si="1"/>
        <v>8.266666666720994</v>
      </c>
      <c r="K39" s="416">
        <f t="shared" si="2"/>
        <v>496</v>
      </c>
      <c r="L39" s="234" t="s">
        <v>241</v>
      </c>
      <c r="M39" s="155" t="str">
        <f t="shared" si="3"/>
        <v>--</v>
      </c>
      <c r="N39" s="417">
        <f t="shared" si="4"/>
        <v>200</v>
      </c>
      <c r="O39" s="418">
        <f t="shared" si="5"/>
        <v>10569.7216</v>
      </c>
      <c r="P39" s="419" t="str">
        <f t="shared" si="6"/>
        <v>--</v>
      </c>
      <c r="Q39" s="420" t="str">
        <f t="shared" si="7"/>
        <v>--</v>
      </c>
      <c r="R39" s="162" t="str">
        <f t="shared" si="8"/>
        <v>--</v>
      </c>
      <c r="S39" s="155" t="str">
        <f t="shared" si="9"/>
        <v>SI</v>
      </c>
      <c r="T39" s="421">
        <f t="shared" si="10"/>
        <v>10569.7216</v>
      </c>
      <c r="U39" s="6"/>
    </row>
    <row r="40" spans="2:21" s="5" customFormat="1" ht="16.5" customHeight="1">
      <c r="B40" s="50"/>
      <c r="C40" s="157">
        <v>47</v>
      </c>
      <c r="D40" s="412" t="s">
        <v>301</v>
      </c>
      <c r="E40" s="412" t="s">
        <v>302</v>
      </c>
      <c r="F40" s="413">
        <v>500</v>
      </c>
      <c r="G40" s="131">
        <f t="shared" si="0"/>
        <v>63.904</v>
      </c>
      <c r="H40" s="414">
        <v>39867.004166666666</v>
      </c>
      <c r="I40" s="153">
        <v>39867.277083333334</v>
      </c>
      <c r="J40" s="415">
        <f t="shared" si="1"/>
        <v>6.550000000046566</v>
      </c>
      <c r="K40" s="416">
        <f t="shared" si="2"/>
        <v>393</v>
      </c>
      <c r="L40" s="234" t="s">
        <v>241</v>
      </c>
      <c r="M40" s="155" t="str">
        <f t="shared" si="3"/>
        <v>--</v>
      </c>
      <c r="N40" s="417">
        <f t="shared" si="4"/>
        <v>200</v>
      </c>
      <c r="O40" s="418">
        <f t="shared" si="5"/>
        <v>8371.424</v>
      </c>
      <c r="P40" s="419" t="str">
        <f t="shared" si="6"/>
        <v>--</v>
      </c>
      <c r="Q40" s="420" t="str">
        <f t="shared" si="7"/>
        <v>--</v>
      </c>
      <c r="R40" s="162" t="str">
        <f t="shared" si="8"/>
        <v>--</v>
      </c>
      <c r="S40" s="155" t="str">
        <f t="shared" si="9"/>
        <v>SI</v>
      </c>
      <c r="T40" s="421">
        <f t="shared" si="10"/>
        <v>8371.424</v>
      </c>
      <c r="U40" s="6"/>
    </row>
    <row r="41" spans="2:21" s="5" customFormat="1" ht="16.5" customHeight="1">
      <c r="B41" s="50"/>
      <c r="C41" s="289">
        <v>48</v>
      </c>
      <c r="D41" s="412" t="s">
        <v>287</v>
      </c>
      <c r="E41" s="412" t="s">
        <v>310</v>
      </c>
      <c r="F41" s="413">
        <v>132</v>
      </c>
      <c r="G41" s="131">
        <f t="shared" si="0"/>
        <v>51.126</v>
      </c>
      <c r="H41" s="414">
        <v>39868.399305555555</v>
      </c>
      <c r="I41" s="153">
        <v>39868.70138888889</v>
      </c>
      <c r="J41" s="415">
        <f t="shared" si="1"/>
        <v>7.250000000058208</v>
      </c>
      <c r="K41" s="416">
        <f t="shared" si="2"/>
        <v>435</v>
      </c>
      <c r="L41" s="234" t="s">
        <v>241</v>
      </c>
      <c r="M41" s="155" t="str">
        <f t="shared" si="3"/>
        <v>--</v>
      </c>
      <c r="N41" s="417">
        <f t="shared" si="4"/>
        <v>40</v>
      </c>
      <c r="O41" s="418">
        <f t="shared" si="5"/>
        <v>1482.654</v>
      </c>
      <c r="P41" s="419" t="str">
        <f t="shared" si="6"/>
        <v>--</v>
      </c>
      <c r="Q41" s="420" t="str">
        <f t="shared" si="7"/>
        <v>--</v>
      </c>
      <c r="R41" s="162" t="str">
        <f t="shared" si="8"/>
        <v>--</v>
      </c>
      <c r="S41" s="155" t="str">
        <f t="shared" si="9"/>
        <v>SI</v>
      </c>
      <c r="T41" s="421">
        <f t="shared" si="10"/>
        <v>1482.654</v>
      </c>
      <c r="U41" s="6"/>
    </row>
    <row r="42" spans="2:21" s="5" customFormat="1" ht="16.5" customHeight="1">
      <c r="B42" s="50"/>
      <c r="C42" s="157">
        <v>49</v>
      </c>
      <c r="D42" s="412" t="s">
        <v>311</v>
      </c>
      <c r="E42" s="412" t="s">
        <v>312</v>
      </c>
      <c r="F42" s="413">
        <v>220</v>
      </c>
      <c r="G42" s="131">
        <f t="shared" si="0"/>
        <v>57.511</v>
      </c>
      <c r="H42" s="414">
        <v>39869.48819444444</v>
      </c>
      <c r="I42" s="153">
        <v>39869.72361111111</v>
      </c>
      <c r="J42" s="415">
        <f t="shared" si="1"/>
        <v>5.650000000081491</v>
      </c>
      <c r="K42" s="416">
        <f t="shared" si="2"/>
        <v>339</v>
      </c>
      <c r="L42" s="234" t="s">
        <v>241</v>
      </c>
      <c r="M42" s="155" t="str">
        <f t="shared" si="3"/>
        <v>--</v>
      </c>
      <c r="N42" s="417">
        <f t="shared" si="4"/>
        <v>100</v>
      </c>
      <c r="O42" s="418">
        <f t="shared" si="5"/>
        <v>3249.3715000000007</v>
      </c>
      <c r="P42" s="419" t="str">
        <f t="shared" si="6"/>
        <v>--</v>
      </c>
      <c r="Q42" s="420" t="str">
        <f t="shared" si="7"/>
        <v>--</v>
      </c>
      <c r="R42" s="162" t="str">
        <f t="shared" si="8"/>
        <v>--</v>
      </c>
      <c r="S42" s="155" t="str">
        <f t="shared" si="9"/>
        <v>SI</v>
      </c>
      <c r="T42" s="421">
        <v>0</v>
      </c>
      <c r="U42" s="6"/>
    </row>
    <row r="43" spans="2:21" s="5" customFormat="1" ht="16.5" customHeight="1">
      <c r="B43" s="50"/>
      <c r="C43" s="289"/>
      <c r="D43" s="412"/>
      <c r="E43" s="412"/>
      <c r="F43" s="413"/>
      <c r="G43" s="131">
        <f t="shared" si="0"/>
        <v>51.126</v>
      </c>
      <c r="H43" s="414"/>
      <c r="I43" s="153"/>
      <c r="J43" s="415">
        <f t="shared" si="1"/>
      </c>
      <c r="K43" s="416">
        <f t="shared" si="2"/>
      </c>
      <c r="L43" s="234"/>
      <c r="M43" s="155">
        <f t="shared" si="3"/>
      </c>
      <c r="N43" s="417">
        <f t="shared" si="4"/>
        <v>40</v>
      </c>
      <c r="O43" s="418" t="str">
        <f t="shared" si="5"/>
        <v>--</v>
      </c>
      <c r="P43" s="419" t="str">
        <f t="shared" si="6"/>
        <v>--</v>
      </c>
      <c r="Q43" s="420" t="str">
        <f t="shared" si="7"/>
        <v>--</v>
      </c>
      <c r="R43" s="162" t="str">
        <f t="shared" si="8"/>
        <v>--</v>
      </c>
      <c r="S43" s="155">
        <f t="shared" si="9"/>
      </c>
      <c r="T43" s="421">
        <f t="shared" si="10"/>
      </c>
      <c r="U43" s="6"/>
    </row>
    <row r="44" spans="2:21" s="5" customFormat="1" ht="16.5" customHeight="1" thickBot="1">
      <c r="B44" s="50"/>
      <c r="C44" s="157"/>
      <c r="D44" s="149"/>
      <c r="E44" s="149"/>
      <c r="F44" s="243"/>
      <c r="G44" s="132"/>
      <c r="H44" s="422"/>
      <c r="I44" s="422"/>
      <c r="J44" s="423"/>
      <c r="K44" s="423"/>
      <c r="L44" s="422"/>
      <c r="M44" s="154"/>
      <c r="N44" s="424"/>
      <c r="O44" s="425"/>
      <c r="P44" s="426"/>
      <c r="Q44" s="427"/>
      <c r="R44" s="164"/>
      <c r="S44" s="154"/>
      <c r="T44" s="428"/>
      <c r="U44" s="6"/>
    </row>
    <row r="45" spans="2:21" s="5" customFormat="1" ht="16.5" customHeight="1" thickBot="1" thickTop="1">
      <c r="B45" s="50"/>
      <c r="C45" s="128" t="s">
        <v>25</v>
      </c>
      <c r="D45" s="129" t="s">
        <v>330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29">
        <f>SUM(O22:O44)</f>
        <v>73235.83286000001</v>
      </c>
      <c r="P45" s="430">
        <f>SUM(P22:P44)</f>
        <v>0</v>
      </c>
      <c r="Q45" s="431">
        <f>SUM(Q22:Q44)</f>
        <v>0</v>
      </c>
      <c r="R45" s="432">
        <f>SUM(R22:R44)</f>
        <v>0</v>
      </c>
      <c r="S45" s="433"/>
      <c r="T45" s="101">
        <f>ROUND(SUM(T22:T44),2)</f>
        <v>30015.39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79"/>
      <c r="V47" s="179"/>
      <c r="W47" s="179"/>
    </row>
    <row r="48" spans="21:23" ht="16.5" customHeight="1">
      <c r="U48" s="179"/>
      <c r="V48" s="179"/>
      <c r="W48" s="179"/>
    </row>
    <row r="49" spans="21:23" ht="16.5" customHeight="1">
      <c r="U49" s="179"/>
      <c r="V49" s="179"/>
      <c r="W49" s="179"/>
    </row>
    <row r="50" spans="21:23" ht="16.5" customHeight="1">
      <c r="U50" s="179"/>
      <c r="V50" s="179"/>
      <c r="W50" s="179"/>
    </row>
    <row r="51" spans="21:23" ht="16.5" customHeight="1">
      <c r="U51" s="179"/>
      <c r="V51" s="179"/>
      <c r="W51" s="179"/>
    </row>
    <row r="52" spans="4:23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</row>
    <row r="53" spans="4:23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4:23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4:23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4:23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</row>
    <row r="57" spans="4:23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</row>
    <row r="58" spans="4:23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4:23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4:23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</row>
    <row r="61" spans="4:23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4:23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</row>
    <row r="63" spans="4:23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spans="4:23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</row>
    <row r="65" spans="4:23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</row>
    <row r="66" spans="4:23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4:23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</row>
    <row r="68" spans="4:23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4:23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4:23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4:23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</row>
    <row r="73" spans="4:23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4:23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4:23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4:23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4:23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  <row r="78" spans="4:23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</row>
    <row r="79" spans="4:23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</row>
    <row r="80" spans="4:23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</row>
    <row r="81" spans="4:23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</row>
    <row r="82" spans="4:23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4:23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</row>
    <row r="84" spans="4:23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</row>
    <row r="85" spans="4:23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</row>
    <row r="86" spans="4:23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4:23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</row>
    <row r="88" spans="4:23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</row>
    <row r="89" spans="4:23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</row>
    <row r="90" spans="4:23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4:23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</row>
    <row r="92" spans="4:23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</row>
    <row r="93" spans="4:23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</row>
    <row r="94" spans="4:23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</row>
    <row r="95" spans="4:23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</row>
    <row r="96" spans="4:23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</row>
    <row r="97" spans="4:23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</row>
    <row r="98" spans="4:23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</row>
    <row r="99" spans="4:23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</row>
    <row r="100" spans="4:23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</row>
    <row r="101" spans="4:23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</row>
    <row r="102" spans="4:23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</row>
    <row r="103" spans="4:23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</row>
    <row r="104" spans="4:23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4:23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4:23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4:23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</row>
    <row r="108" spans="4:23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</row>
    <row r="109" spans="4:23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</row>
    <row r="110" spans="4:23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4:23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4:23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</row>
    <row r="113" spans="4:23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</row>
    <row r="114" spans="4:23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</row>
    <row r="115" spans="4:23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</row>
    <row r="116" spans="4:23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</row>
    <row r="117" spans="4:23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</row>
    <row r="118" spans="4:23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4:23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4:23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</row>
    <row r="121" spans="4:23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4:23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</row>
    <row r="123" spans="4:23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</row>
    <row r="124" spans="4:23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</row>
    <row r="125" spans="4:23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</row>
    <row r="126" spans="4:23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</row>
    <row r="127" spans="4:23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</row>
    <row r="128" spans="4:23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</row>
    <row r="129" spans="4:23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</row>
    <row r="130" spans="4:23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</row>
    <row r="131" spans="4:23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</row>
    <row r="132" spans="4:23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</row>
    <row r="133" spans="4:23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</row>
    <row r="134" spans="4:23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4:23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</row>
    <row r="136" spans="4:23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</row>
    <row r="137" spans="4:23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</row>
    <row r="138" spans="4:23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</row>
    <row r="139" spans="4:23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</row>
    <row r="140" spans="4:23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</row>
    <row r="141" spans="4:23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</row>
    <row r="142" spans="4:23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</row>
    <row r="143" spans="4:23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</row>
    <row r="144" spans="4:23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</row>
    <row r="145" spans="4:23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</row>
    <row r="146" spans="4:23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</row>
    <row r="147" spans="4:23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</row>
    <row r="148" spans="4:23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</row>
    <row r="149" spans="4:23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</row>
    <row r="150" spans="4:23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</row>
    <row r="151" spans="4:23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</row>
    <row r="152" spans="4:23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</row>
    <row r="153" spans="4:23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</row>
    <row r="154" spans="4:23" ht="16.5" customHeight="1"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</row>
    <row r="155" spans="4:23" ht="16.5" customHeight="1"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</row>
    <row r="156" spans="4:23" ht="16.5" customHeight="1"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</row>
    <row r="157" spans="4:23" ht="16.5" customHeight="1"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</row>
    <row r="158" spans="4:23" ht="16.5" customHeight="1"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</row>
    <row r="159" spans="4:23" ht="16.5" customHeight="1"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W159"/>
  <sheetViews>
    <sheetView zoomScale="75" zoomScaleNormal="75" workbookViewId="0" topLeftCell="C13">
      <selection activeCell="L29" sqref="L29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+'TOT-0209'!B2</f>
        <v>ANEXO III al Memorandum 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252</v>
      </c>
      <c r="E10" s="369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370"/>
      <c r="E11" s="370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84</v>
      </c>
      <c r="E12" s="369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370"/>
      <c r="E13" s="370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'TOT-0209'!B14</f>
        <v>Desde el 01 al 28 de febrero de 2009</v>
      </c>
      <c r="C14" s="40"/>
      <c r="D14" s="40"/>
      <c r="E14" s="40"/>
      <c r="F14" s="40"/>
      <c r="G14" s="371"/>
      <c r="H14" s="371"/>
      <c r="I14" s="371"/>
      <c r="J14" s="371"/>
      <c r="K14" s="371"/>
      <c r="L14" s="371"/>
      <c r="M14" s="371"/>
      <c r="N14" s="371"/>
      <c r="O14" s="40"/>
      <c r="P14" s="40"/>
      <c r="Q14" s="40"/>
      <c r="R14" s="40"/>
      <c r="S14" s="40"/>
      <c r="T14" s="40"/>
      <c r="U14" s="372"/>
    </row>
    <row r="15" spans="2:21" s="5" customFormat="1" ht="14.25" thickBot="1">
      <c r="B15" s="373"/>
      <c r="C15" s="374"/>
      <c r="D15" s="374"/>
      <c r="E15" s="374"/>
      <c r="F15" s="374"/>
      <c r="G15" s="375"/>
      <c r="H15" s="375"/>
      <c r="I15" s="375"/>
      <c r="J15" s="375"/>
      <c r="K15" s="375"/>
      <c r="L15" s="375"/>
      <c r="M15" s="375"/>
      <c r="N15" s="375"/>
      <c r="O15" s="374"/>
      <c r="P15" s="374"/>
      <c r="Q15" s="374"/>
      <c r="R15" s="374"/>
      <c r="S15" s="374"/>
      <c r="T15" s="374"/>
      <c r="U15" s="376"/>
    </row>
    <row r="16" spans="2:21" s="5" customFormat="1" ht="15" thickBot="1" thickTop="1">
      <c r="B16" s="50"/>
      <c r="C16" s="4"/>
      <c r="D16" s="377"/>
      <c r="E16" s="377"/>
      <c r="F16" s="118" t="s">
        <v>85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378" t="s">
        <v>86</v>
      </c>
      <c r="E17" s="379">
        <v>63.904</v>
      </c>
      <c r="F17" s="380">
        <v>200</v>
      </c>
      <c r="T17" s="116"/>
      <c r="U17" s="6"/>
    </row>
    <row r="18" spans="2:21" s="5" customFormat="1" ht="16.5" customHeight="1" thickBot="1" thickTop="1">
      <c r="B18" s="50"/>
      <c r="C18" s="4"/>
      <c r="D18" s="381" t="s">
        <v>87</v>
      </c>
      <c r="E18" s="382">
        <v>57.511</v>
      </c>
      <c r="F18" s="380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383" t="s">
        <v>88</v>
      </c>
      <c r="E19" s="382">
        <v>51.126</v>
      </c>
      <c r="F19" s="380">
        <v>40</v>
      </c>
      <c r="I19" s="214"/>
      <c r="J19" s="215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384"/>
      <c r="D20" s="385"/>
      <c r="E20" s="385"/>
      <c r="F20" s="386"/>
      <c r="G20" s="387"/>
      <c r="H20" s="387"/>
      <c r="I20" s="387"/>
      <c r="J20" s="387"/>
      <c r="K20" s="387"/>
      <c r="L20" s="387"/>
      <c r="M20" s="387"/>
      <c r="N20" s="388"/>
      <c r="O20" s="389"/>
      <c r="P20" s="390"/>
      <c r="Q20" s="390"/>
      <c r="R20" s="390"/>
      <c r="S20" s="391"/>
      <c r="T20" s="392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393" t="s">
        <v>28</v>
      </c>
      <c r="F21" s="394" t="s">
        <v>14</v>
      </c>
      <c r="G21" s="130" t="s">
        <v>16</v>
      </c>
      <c r="H21" s="85" t="s">
        <v>17</v>
      </c>
      <c r="I21" s="393" t="s">
        <v>18</v>
      </c>
      <c r="J21" s="395" t="s">
        <v>36</v>
      </c>
      <c r="K21" s="395" t="s">
        <v>31</v>
      </c>
      <c r="L21" s="88" t="s">
        <v>19</v>
      </c>
      <c r="M21" s="183" t="s">
        <v>32</v>
      </c>
      <c r="N21" s="136" t="s">
        <v>37</v>
      </c>
      <c r="O21" s="396" t="s">
        <v>70</v>
      </c>
      <c r="P21" s="184" t="s">
        <v>35</v>
      </c>
      <c r="Q21" s="397"/>
      <c r="R21" s="135" t="s">
        <v>22</v>
      </c>
      <c r="S21" s="133" t="s">
        <v>79</v>
      </c>
      <c r="T21" s="122" t="s">
        <v>24</v>
      </c>
      <c r="U21" s="6"/>
    </row>
    <row r="22" spans="2:21" s="5" customFormat="1" ht="16.5" customHeight="1" thickTop="1">
      <c r="B22" s="50"/>
      <c r="C22" s="7"/>
      <c r="D22" s="398"/>
      <c r="E22" s="398"/>
      <c r="F22" s="398"/>
      <c r="G22" s="232"/>
      <c r="H22" s="398"/>
      <c r="I22" s="398"/>
      <c r="J22" s="398"/>
      <c r="K22" s="398"/>
      <c r="L22" s="398"/>
      <c r="M22" s="398"/>
      <c r="N22" s="399"/>
      <c r="O22" s="400"/>
      <c r="P22" s="401"/>
      <c r="Q22" s="402"/>
      <c r="R22" s="403"/>
      <c r="S22" s="398"/>
      <c r="T22" s="404">
        <f>'SA-02 (1)'!T45</f>
        <v>30015.39</v>
      </c>
      <c r="U22" s="6"/>
    </row>
    <row r="23" spans="2:21" s="5" customFormat="1" ht="16.5" customHeight="1">
      <c r="B23" s="50"/>
      <c r="C23" s="289"/>
      <c r="D23" s="405"/>
      <c r="E23" s="405"/>
      <c r="F23" s="405"/>
      <c r="G23" s="406"/>
      <c r="H23" s="405"/>
      <c r="I23" s="405"/>
      <c r="J23" s="405"/>
      <c r="K23" s="405"/>
      <c r="L23" s="405"/>
      <c r="M23" s="405"/>
      <c r="N23" s="407"/>
      <c r="O23" s="408"/>
      <c r="P23" s="196"/>
      <c r="Q23" s="409"/>
      <c r="R23" s="410"/>
      <c r="S23" s="405"/>
      <c r="T23" s="411"/>
      <c r="U23" s="6"/>
    </row>
    <row r="24" spans="2:21" s="5" customFormat="1" ht="16.5" customHeight="1">
      <c r="B24" s="50"/>
      <c r="C24" s="157">
        <v>50</v>
      </c>
      <c r="D24" s="412" t="s">
        <v>287</v>
      </c>
      <c r="E24" s="412" t="s">
        <v>313</v>
      </c>
      <c r="F24" s="413">
        <v>132</v>
      </c>
      <c r="G24" s="131">
        <f aca="true" t="shared" si="0" ref="G24:G43">IF(F24=500,$E$17,IF(F24=220,$E$18,$E$19))</f>
        <v>51.126</v>
      </c>
      <c r="H24" s="414">
        <v>39871.34375</v>
      </c>
      <c r="I24" s="153">
        <v>39871.46527777778</v>
      </c>
      <c r="J24" s="415">
        <f aca="true" t="shared" si="1" ref="J24:J43">IF(D24="","",(I24-H24)*24)</f>
        <v>2.916666666744277</v>
      </c>
      <c r="K24" s="416">
        <f aca="true" t="shared" si="2" ref="K24:K43">IF(D24="","",ROUND((I24-H24)*24*60,0))</f>
        <v>175</v>
      </c>
      <c r="L24" s="234" t="s">
        <v>241</v>
      </c>
      <c r="M24" s="155" t="str">
        <f aca="true" t="shared" si="3" ref="M24:M43">IF(D24="","",IF(L24="P","--","NO"))</f>
        <v>--</v>
      </c>
      <c r="N24" s="417">
        <f aca="true" t="shared" si="4" ref="N24:N43">IF(F24=500,$F$17,IF(F24=220,$F$18,$F$19))</f>
        <v>40</v>
      </c>
      <c r="O24" s="418">
        <f aca="true" t="shared" si="5" ref="O24:O43">IF(L24="P",G24*N24*ROUND(K24/60,2)*0.1,"--")</f>
        <v>597.1516799999999</v>
      </c>
      <c r="P24" s="419" t="str">
        <f aca="true" t="shared" si="6" ref="P24:P43">IF(AND(L24="F",M24="NO"),G24*N24,"--")</f>
        <v>--</v>
      </c>
      <c r="Q24" s="420" t="str">
        <f aca="true" t="shared" si="7" ref="Q24:Q43">IF(L24="F",G24*N24*ROUND(K24/60,2),"--")</f>
        <v>--</v>
      </c>
      <c r="R24" s="162" t="str">
        <f aca="true" t="shared" si="8" ref="R24:R43">IF(L24="RF",G24*N24*ROUND(K24/60,2),"--")</f>
        <v>--</v>
      </c>
      <c r="S24" s="155" t="str">
        <f aca="true" t="shared" si="9" ref="S24:S43">IF(D24="","","SI")</f>
        <v>SI</v>
      </c>
      <c r="T24" s="421">
        <v>0</v>
      </c>
      <c r="U24" s="6"/>
    </row>
    <row r="25" spans="2:21" s="5" customFormat="1" ht="16.5" customHeight="1">
      <c r="B25" s="50"/>
      <c r="C25" s="289">
        <v>51</v>
      </c>
      <c r="D25" s="412" t="s">
        <v>287</v>
      </c>
      <c r="E25" s="412" t="s">
        <v>294</v>
      </c>
      <c r="F25" s="413">
        <v>132</v>
      </c>
      <c r="G25" s="131">
        <f t="shared" si="0"/>
        <v>51.126</v>
      </c>
      <c r="H25" s="414">
        <v>39872.30069444444</v>
      </c>
      <c r="I25" s="153">
        <v>39872.799305555556</v>
      </c>
      <c r="J25" s="415">
        <f t="shared" si="1"/>
        <v>11.966666666732635</v>
      </c>
      <c r="K25" s="416">
        <f t="shared" si="2"/>
        <v>718</v>
      </c>
      <c r="L25" s="234" t="s">
        <v>241</v>
      </c>
      <c r="M25" s="155" t="str">
        <f t="shared" si="3"/>
        <v>--</v>
      </c>
      <c r="N25" s="417">
        <f t="shared" si="4"/>
        <v>40</v>
      </c>
      <c r="O25" s="418">
        <f t="shared" si="5"/>
        <v>2447.9128800000003</v>
      </c>
      <c r="P25" s="419" t="str">
        <f t="shared" si="6"/>
        <v>--</v>
      </c>
      <c r="Q25" s="420" t="str">
        <f t="shared" si="7"/>
        <v>--</v>
      </c>
      <c r="R25" s="162" t="str">
        <f t="shared" si="8"/>
        <v>--</v>
      </c>
      <c r="S25" s="155" t="str">
        <f t="shared" si="9"/>
        <v>SI</v>
      </c>
      <c r="T25" s="421">
        <v>0</v>
      </c>
      <c r="U25" s="6"/>
    </row>
    <row r="26" spans="2:21" s="5" customFormat="1" ht="16.5" customHeight="1">
      <c r="B26" s="50"/>
      <c r="C26" s="157"/>
      <c r="D26" s="412"/>
      <c r="E26" s="412"/>
      <c r="F26" s="413"/>
      <c r="G26" s="131">
        <f t="shared" si="0"/>
        <v>51.126</v>
      </c>
      <c r="H26" s="414"/>
      <c r="I26" s="153"/>
      <c r="J26" s="415">
        <f t="shared" si="1"/>
      </c>
      <c r="K26" s="416">
        <f t="shared" si="2"/>
      </c>
      <c r="L26" s="234"/>
      <c r="M26" s="155">
        <f t="shared" si="3"/>
      </c>
      <c r="N26" s="417">
        <f t="shared" si="4"/>
        <v>40</v>
      </c>
      <c r="O26" s="418" t="str">
        <f t="shared" si="5"/>
        <v>--</v>
      </c>
      <c r="P26" s="419" t="str">
        <f t="shared" si="6"/>
        <v>--</v>
      </c>
      <c r="Q26" s="420" t="str">
        <f t="shared" si="7"/>
        <v>--</v>
      </c>
      <c r="R26" s="162" t="str">
        <f t="shared" si="8"/>
        <v>--</v>
      </c>
      <c r="S26" s="155">
        <f t="shared" si="9"/>
      </c>
      <c r="T26" s="421">
        <f aca="true" t="shared" si="10" ref="T26:T43">IF(D26="","",SUM(O26:R26)*IF(S26="SI",1,2))</f>
      </c>
      <c r="U26" s="6"/>
    </row>
    <row r="27" spans="2:21" s="5" customFormat="1" ht="16.5" customHeight="1">
      <c r="B27" s="50"/>
      <c r="C27" s="289"/>
      <c r="D27" s="412"/>
      <c r="E27" s="412"/>
      <c r="F27" s="413"/>
      <c r="G27" s="131">
        <f t="shared" si="0"/>
        <v>51.126</v>
      </c>
      <c r="H27" s="414"/>
      <c r="I27" s="153"/>
      <c r="J27" s="415">
        <f t="shared" si="1"/>
      </c>
      <c r="K27" s="416">
        <f t="shared" si="2"/>
      </c>
      <c r="L27" s="234"/>
      <c r="M27" s="155">
        <f t="shared" si="3"/>
      </c>
      <c r="N27" s="417">
        <f t="shared" si="4"/>
        <v>40</v>
      </c>
      <c r="O27" s="418" t="str">
        <f t="shared" si="5"/>
        <v>--</v>
      </c>
      <c r="P27" s="419" t="str">
        <f t="shared" si="6"/>
        <v>--</v>
      </c>
      <c r="Q27" s="420" t="str">
        <f t="shared" si="7"/>
        <v>--</v>
      </c>
      <c r="R27" s="162" t="str">
        <f t="shared" si="8"/>
        <v>--</v>
      </c>
      <c r="S27" s="155">
        <f t="shared" si="9"/>
      </c>
      <c r="T27" s="421">
        <f t="shared" si="10"/>
      </c>
      <c r="U27" s="6"/>
    </row>
    <row r="28" spans="2:21" s="5" customFormat="1" ht="16.5" customHeight="1">
      <c r="B28" s="50"/>
      <c r="C28" s="157"/>
      <c r="D28" s="412"/>
      <c r="E28" s="412"/>
      <c r="F28" s="413"/>
      <c r="G28" s="131">
        <f t="shared" si="0"/>
        <v>51.126</v>
      </c>
      <c r="H28" s="414"/>
      <c r="I28" s="153"/>
      <c r="J28" s="415">
        <f t="shared" si="1"/>
      </c>
      <c r="K28" s="416">
        <f t="shared" si="2"/>
      </c>
      <c r="L28" s="234"/>
      <c r="M28" s="155">
        <f t="shared" si="3"/>
      </c>
      <c r="N28" s="417">
        <f t="shared" si="4"/>
        <v>40</v>
      </c>
      <c r="O28" s="418" t="str">
        <f t="shared" si="5"/>
        <v>--</v>
      </c>
      <c r="P28" s="419" t="str">
        <f t="shared" si="6"/>
        <v>--</v>
      </c>
      <c r="Q28" s="420" t="str">
        <f t="shared" si="7"/>
        <v>--</v>
      </c>
      <c r="R28" s="162" t="str">
        <f t="shared" si="8"/>
        <v>--</v>
      </c>
      <c r="S28" s="155">
        <f t="shared" si="9"/>
      </c>
      <c r="T28" s="421">
        <f t="shared" si="10"/>
      </c>
      <c r="U28" s="6"/>
    </row>
    <row r="29" spans="2:21" s="5" customFormat="1" ht="16.5" customHeight="1">
      <c r="B29" s="50"/>
      <c r="C29" s="289"/>
      <c r="D29" s="412"/>
      <c r="E29" s="412"/>
      <c r="F29" s="413"/>
      <c r="G29" s="131">
        <f t="shared" si="0"/>
        <v>51.126</v>
      </c>
      <c r="H29" s="414"/>
      <c r="I29" s="153"/>
      <c r="J29" s="415">
        <f t="shared" si="1"/>
      </c>
      <c r="K29" s="416">
        <f t="shared" si="2"/>
      </c>
      <c r="L29" s="234"/>
      <c r="M29" s="155">
        <f t="shared" si="3"/>
      </c>
      <c r="N29" s="417">
        <f t="shared" si="4"/>
        <v>40</v>
      </c>
      <c r="O29" s="418" t="str">
        <f t="shared" si="5"/>
        <v>--</v>
      </c>
      <c r="P29" s="419" t="str">
        <f t="shared" si="6"/>
        <v>--</v>
      </c>
      <c r="Q29" s="420" t="str">
        <f t="shared" si="7"/>
        <v>--</v>
      </c>
      <c r="R29" s="162" t="str">
        <f t="shared" si="8"/>
        <v>--</v>
      </c>
      <c r="S29" s="155">
        <f t="shared" si="9"/>
      </c>
      <c r="T29" s="421">
        <f t="shared" si="10"/>
      </c>
      <c r="U29" s="6"/>
    </row>
    <row r="30" spans="2:21" s="5" customFormat="1" ht="16.5" customHeight="1">
      <c r="B30" s="50"/>
      <c r="C30" s="157"/>
      <c r="D30" s="412"/>
      <c r="E30" s="412"/>
      <c r="F30" s="413"/>
      <c r="G30" s="131">
        <f t="shared" si="0"/>
        <v>51.126</v>
      </c>
      <c r="H30" s="414"/>
      <c r="I30" s="153"/>
      <c r="J30" s="415">
        <f t="shared" si="1"/>
      </c>
      <c r="K30" s="416">
        <f t="shared" si="2"/>
      </c>
      <c r="L30" s="234"/>
      <c r="M30" s="155">
        <f t="shared" si="3"/>
      </c>
      <c r="N30" s="417">
        <f t="shared" si="4"/>
        <v>40</v>
      </c>
      <c r="O30" s="418" t="str">
        <f t="shared" si="5"/>
        <v>--</v>
      </c>
      <c r="P30" s="419" t="str">
        <f t="shared" si="6"/>
        <v>--</v>
      </c>
      <c r="Q30" s="420" t="str">
        <f t="shared" si="7"/>
        <v>--</v>
      </c>
      <c r="R30" s="162" t="str">
        <f t="shared" si="8"/>
        <v>--</v>
      </c>
      <c r="S30" s="155">
        <f t="shared" si="9"/>
      </c>
      <c r="T30" s="421">
        <f t="shared" si="10"/>
      </c>
      <c r="U30" s="6"/>
    </row>
    <row r="31" spans="2:21" s="5" customFormat="1" ht="16.5" customHeight="1">
      <c r="B31" s="50"/>
      <c r="C31" s="289"/>
      <c r="D31" s="412"/>
      <c r="E31" s="412"/>
      <c r="F31" s="413"/>
      <c r="G31" s="131">
        <f t="shared" si="0"/>
        <v>51.126</v>
      </c>
      <c r="H31" s="414"/>
      <c r="I31" s="153"/>
      <c r="J31" s="415">
        <f t="shared" si="1"/>
      </c>
      <c r="K31" s="416">
        <f t="shared" si="2"/>
      </c>
      <c r="L31" s="234"/>
      <c r="M31" s="155">
        <f t="shared" si="3"/>
      </c>
      <c r="N31" s="417">
        <f t="shared" si="4"/>
        <v>40</v>
      </c>
      <c r="O31" s="418" t="str">
        <f t="shared" si="5"/>
        <v>--</v>
      </c>
      <c r="P31" s="419" t="str">
        <f t="shared" si="6"/>
        <v>--</v>
      </c>
      <c r="Q31" s="420" t="str">
        <f t="shared" si="7"/>
        <v>--</v>
      </c>
      <c r="R31" s="162" t="str">
        <f t="shared" si="8"/>
        <v>--</v>
      </c>
      <c r="S31" s="155">
        <f t="shared" si="9"/>
      </c>
      <c r="T31" s="421">
        <f t="shared" si="10"/>
      </c>
      <c r="U31" s="6"/>
    </row>
    <row r="32" spans="2:21" s="5" customFormat="1" ht="16.5" customHeight="1">
      <c r="B32" s="50"/>
      <c r="C32" s="157"/>
      <c r="D32" s="412"/>
      <c r="E32" s="412"/>
      <c r="F32" s="413"/>
      <c r="G32" s="131">
        <f t="shared" si="0"/>
        <v>51.126</v>
      </c>
      <c r="H32" s="414"/>
      <c r="I32" s="153"/>
      <c r="J32" s="415">
        <f t="shared" si="1"/>
      </c>
      <c r="K32" s="416">
        <f t="shared" si="2"/>
      </c>
      <c r="L32" s="234"/>
      <c r="M32" s="155">
        <f t="shared" si="3"/>
      </c>
      <c r="N32" s="417">
        <f t="shared" si="4"/>
        <v>40</v>
      </c>
      <c r="O32" s="418" t="str">
        <f t="shared" si="5"/>
        <v>--</v>
      </c>
      <c r="P32" s="419" t="str">
        <f t="shared" si="6"/>
        <v>--</v>
      </c>
      <c r="Q32" s="420" t="str">
        <f t="shared" si="7"/>
        <v>--</v>
      </c>
      <c r="R32" s="162" t="str">
        <f t="shared" si="8"/>
        <v>--</v>
      </c>
      <c r="S32" s="155">
        <f t="shared" si="9"/>
      </c>
      <c r="T32" s="421">
        <f t="shared" si="10"/>
      </c>
      <c r="U32" s="6"/>
    </row>
    <row r="33" spans="2:21" s="5" customFormat="1" ht="16.5" customHeight="1">
      <c r="B33" s="50"/>
      <c r="C33" s="289"/>
      <c r="D33" s="412"/>
      <c r="E33" s="412"/>
      <c r="F33" s="413"/>
      <c r="G33" s="131">
        <f t="shared" si="0"/>
        <v>51.126</v>
      </c>
      <c r="H33" s="414"/>
      <c r="I33" s="153"/>
      <c r="J33" s="415">
        <f t="shared" si="1"/>
      </c>
      <c r="K33" s="416">
        <f t="shared" si="2"/>
      </c>
      <c r="L33" s="234"/>
      <c r="M33" s="155">
        <f t="shared" si="3"/>
      </c>
      <c r="N33" s="417">
        <f t="shared" si="4"/>
        <v>40</v>
      </c>
      <c r="O33" s="418" t="str">
        <f t="shared" si="5"/>
        <v>--</v>
      </c>
      <c r="P33" s="419" t="str">
        <f t="shared" si="6"/>
        <v>--</v>
      </c>
      <c r="Q33" s="420" t="str">
        <f t="shared" si="7"/>
        <v>--</v>
      </c>
      <c r="R33" s="162" t="str">
        <f t="shared" si="8"/>
        <v>--</v>
      </c>
      <c r="S33" s="155">
        <f t="shared" si="9"/>
      </c>
      <c r="T33" s="421">
        <f t="shared" si="10"/>
      </c>
      <c r="U33" s="6"/>
    </row>
    <row r="34" spans="2:21" s="5" customFormat="1" ht="16.5" customHeight="1">
      <c r="B34" s="50"/>
      <c r="C34" s="157"/>
      <c r="D34" s="412"/>
      <c r="E34" s="412"/>
      <c r="F34" s="413"/>
      <c r="G34" s="131">
        <f t="shared" si="0"/>
        <v>51.126</v>
      </c>
      <c r="H34" s="414"/>
      <c r="I34" s="153"/>
      <c r="J34" s="415">
        <f t="shared" si="1"/>
      </c>
      <c r="K34" s="416">
        <f t="shared" si="2"/>
      </c>
      <c r="L34" s="234"/>
      <c r="M34" s="155">
        <f t="shared" si="3"/>
      </c>
      <c r="N34" s="417">
        <f t="shared" si="4"/>
        <v>40</v>
      </c>
      <c r="O34" s="418" t="str">
        <f t="shared" si="5"/>
        <v>--</v>
      </c>
      <c r="P34" s="419" t="str">
        <f t="shared" si="6"/>
        <v>--</v>
      </c>
      <c r="Q34" s="420" t="str">
        <f t="shared" si="7"/>
        <v>--</v>
      </c>
      <c r="R34" s="162" t="str">
        <f t="shared" si="8"/>
        <v>--</v>
      </c>
      <c r="S34" s="155">
        <f t="shared" si="9"/>
      </c>
      <c r="T34" s="421">
        <f t="shared" si="10"/>
      </c>
      <c r="U34" s="6"/>
    </row>
    <row r="35" spans="2:21" s="5" customFormat="1" ht="16.5" customHeight="1">
      <c r="B35" s="50"/>
      <c r="C35" s="289"/>
      <c r="D35" s="412"/>
      <c r="E35" s="412"/>
      <c r="F35" s="413"/>
      <c r="G35" s="131">
        <f t="shared" si="0"/>
        <v>51.126</v>
      </c>
      <c r="H35" s="414"/>
      <c r="I35" s="153"/>
      <c r="J35" s="415">
        <f t="shared" si="1"/>
      </c>
      <c r="K35" s="416">
        <f t="shared" si="2"/>
      </c>
      <c r="L35" s="234"/>
      <c r="M35" s="155">
        <f t="shared" si="3"/>
      </c>
      <c r="N35" s="417">
        <f t="shared" si="4"/>
        <v>40</v>
      </c>
      <c r="O35" s="418" t="str">
        <f t="shared" si="5"/>
        <v>--</v>
      </c>
      <c r="P35" s="419" t="str">
        <f t="shared" si="6"/>
        <v>--</v>
      </c>
      <c r="Q35" s="420" t="str">
        <f t="shared" si="7"/>
        <v>--</v>
      </c>
      <c r="R35" s="162" t="str">
        <f t="shared" si="8"/>
        <v>--</v>
      </c>
      <c r="S35" s="155">
        <f t="shared" si="9"/>
      </c>
      <c r="T35" s="421">
        <f t="shared" si="10"/>
      </c>
      <c r="U35" s="6"/>
    </row>
    <row r="36" spans="2:21" s="5" customFormat="1" ht="16.5" customHeight="1">
      <c r="B36" s="50"/>
      <c r="C36" s="157"/>
      <c r="D36" s="412"/>
      <c r="E36" s="412"/>
      <c r="F36" s="413"/>
      <c r="G36" s="131">
        <f t="shared" si="0"/>
        <v>51.126</v>
      </c>
      <c r="H36" s="414"/>
      <c r="I36" s="153"/>
      <c r="J36" s="415">
        <f t="shared" si="1"/>
      </c>
      <c r="K36" s="416">
        <f t="shared" si="2"/>
      </c>
      <c r="L36" s="234"/>
      <c r="M36" s="155">
        <f t="shared" si="3"/>
      </c>
      <c r="N36" s="417">
        <f t="shared" si="4"/>
        <v>40</v>
      </c>
      <c r="O36" s="418" t="str">
        <f t="shared" si="5"/>
        <v>--</v>
      </c>
      <c r="P36" s="419" t="str">
        <f t="shared" si="6"/>
        <v>--</v>
      </c>
      <c r="Q36" s="420" t="str">
        <f t="shared" si="7"/>
        <v>--</v>
      </c>
      <c r="R36" s="162" t="str">
        <f t="shared" si="8"/>
        <v>--</v>
      </c>
      <c r="S36" s="155">
        <f t="shared" si="9"/>
      </c>
      <c r="T36" s="421">
        <f t="shared" si="10"/>
      </c>
      <c r="U36" s="6"/>
    </row>
    <row r="37" spans="2:21" s="5" customFormat="1" ht="16.5" customHeight="1">
      <c r="B37" s="50"/>
      <c r="C37" s="289"/>
      <c r="D37" s="412"/>
      <c r="E37" s="412"/>
      <c r="F37" s="413"/>
      <c r="G37" s="131">
        <f t="shared" si="0"/>
        <v>51.126</v>
      </c>
      <c r="H37" s="414"/>
      <c r="I37" s="153"/>
      <c r="J37" s="415">
        <f t="shared" si="1"/>
      </c>
      <c r="K37" s="416">
        <f t="shared" si="2"/>
      </c>
      <c r="L37" s="234"/>
      <c r="M37" s="155">
        <f t="shared" si="3"/>
      </c>
      <c r="N37" s="417">
        <f t="shared" si="4"/>
        <v>40</v>
      </c>
      <c r="O37" s="418" t="str">
        <f t="shared" si="5"/>
        <v>--</v>
      </c>
      <c r="P37" s="419" t="str">
        <f t="shared" si="6"/>
        <v>--</v>
      </c>
      <c r="Q37" s="420" t="str">
        <f t="shared" si="7"/>
        <v>--</v>
      </c>
      <c r="R37" s="162" t="str">
        <f t="shared" si="8"/>
        <v>--</v>
      </c>
      <c r="S37" s="155">
        <f t="shared" si="9"/>
      </c>
      <c r="T37" s="421">
        <f t="shared" si="10"/>
      </c>
      <c r="U37" s="6"/>
    </row>
    <row r="38" spans="2:21" s="5" customFormat="1" ht="16.5" customHeight="1">
      <c r="B38" s="50"/>
      <c r="C38" s="157"/>
      <c r="D38" s="412"/>
      <c r="E38" s="412"/>
      <c r="F38" s="413"/>
      <c r="G38" s="131">
        <f t="shared" si="0"/>
        <v>51.126</v>
      </c>
      <c r="H38" s="414"/>
      <c r="I38" s="153"/>
      <c r="J38" s="415">
        <f t="shared" si="1"/>
      </c>
      <c r="K38" s="416">
        <f t="shared" si="2"/>
      </c>
      <c r="L38" s="234"/>
      <c r="M38" s="155">
        <f t="shared" si="3"/>
      </c>
      <c r="N38" s="417">
        <f t="shared" si="4"/>
        <v>40</v>
      </c>
      <c r="O38" s="418" t="str">
        <f t="shared" si="5"/>
        <v>--</v>
      </c>
      <c r="P38" s="419" t="str">
        <f t="shared" si="6"/>
        <v>--</v>
      </c>
      <c r="Q38" s="420" t="str">
        <f t="shared" si="7"/>
        <v>--</v>
      </c>
      <c r="R38" s="162" t="str">
        <f t="shared" si="8"/>
        <v>--</v>
      </c>
      <c r="S38" s="155">
        <f t="shared" si="9"/>
      </c>
      <c r="T38" s="421">
        <f t="shared" si="10"/>
      </c>
      <c r="U38" s="6"/>
    </row>
    <row r="39" spans="2:21" s="5" customFormat="1" ht="16.5" customHeight="1">
      <c r="B39" s="50"/>
      <c r="C39" s="289"/>
      <c r="D39" s="412"/>
      <c r="E39" s="412"/>
      <c r="F39" s="413"/>
      <c r="G39" s="131">
        <f t="shared" si="0"/>
        <v>51.126</v>
      </c>
      <c r="H39" s="414"/>
      <c r="I39" s="153"/>
      <c r="J39" s="415">
        <f t="shared" si="1"/>
      </c>
      <c r="K39" s="416">
        <f t="shared" si="2"/>
      </c>
      <c r="L39" s="234"/>
      <c r="M39" s="155">
        <f t="shared" si="3"/>
      </c>
      <c r="N39" s="417">
        <f t="shared" si="4"/>
        <v>40</v>
      </c>
      <c r="O39" s="418" t="str">
        <f t="shared" si="5"/>
        <v>--</v>
      </c>
      <c r="P39" s="419" t="str">
        <f t="shared" si="6"/>
        <v>--</v>
      </c>
      <c r="Q39" s="420" t="str">
        <f t="shared" si="7"/>
        <v>--</v>
      </c>
      <c r="R39" s="162" t="str">
        <f t="shared" si="8"/>
        <v>--</v>
      </c>
      <c r="S39" s="155">
        <f t="shared" si="9"/>
      </c>
      <c r="T39" s="421">
        <f t="shared" si="10"/>
      </c>
      <c r="U39" s="6"/>
    </row>
    <row r="40" spans="2:21" s="5" customFormat="1" ht="16.5" customHeight="1">
      <c r="B40" s="50"/>
      <c r="C40" s="157"/>
      <c r="D40" s="412"/>
      <c r="E40" s="412"/>
      <c r="F40" s="413"/>
      <c r="G40" s="131">
        <f t="shared" si="0"/>
        <v>51.126</v>
      </c>
      <c r="H40" s="414"/>
      <c r="I40" s="153"/>
      <c r="J40" s="415">
        <f t="shared" si="1"/>
      </c>
      <c r="K40" s="416">
        <f t="shared" si="2"/>
      </c>
      <c r="L40" s="234"/>
      <c r="M40" s="155">
        <f t="shared" si="3"/>
      </c>
      <c r="N40" s="417">
        <f t="shared" si="4"/>
        <v>40</v>
      </c>
      <c r="O40" s="418" t="str">
        <f t="shared" si="5"/>
        <v>--</v>
      </c>
      <c r="P40" s="419" t="str">
        <f t="shared" si="6"/>
        <v>--</v>
      </c>
      <c r="Q40" s="420" t="str">
        <f t="shared" si="7"/>
        <v>--</v>
      </c>
      <c r="R40" s="162" t="str">
        <f t="shared" si="8"/>
        <v>--</v>
      </c>
      <c r="S40" s="155">
        <f t="shared" si="9"/>
      </c>
      <c r="T40" s="421">
        <f t="shared" si="10"/>
      </c>
      <c r="U40" s="6"/>
    </row>
    <row r="41" spans="2:21" s="5" customFormat="1" ht="16.5" customHeight="1">
      <c r="B41" s="50"/>
      <c r="C41" s="289"/>
      <c r="D41" s="412"/>
      <c r="E41" s="412"/>
      <c r="F41" s="413"/>
      <c r="G41" s="131">
        <f t="shared" si="0"/>
        <v>51.126</v>
      </c>
      <c r="H41" s="414"/>
      <c r="I41" s="153"/>
      <c r="J41" s="415">
        <f t="shared" si="1"/>
      </c>
      <c r="K41" s="416">
        <f t="shared" si="2"/>
      </c>
      <c r="L41" s="234"/>
      <c r="M41" s="155">
        <f t="shared" si="3"/>
      </c>
      <c r="N41" s="417">
        <f t="shared" si="4"/>
        <v>40</v>
      </c>
      <c r="O41" s="418" t="str">
        <f t="shared" si="5"/>
        <v>--</v>
      </c>
      <c r="P41" s="419" t="str">
        <f t="shared" si="6"/>
        <v>--</v>
      </c>
      <c r="Q41" s="420" t="str">
        <f t="shared" si="7"/>
        <v>--</v>
      </c>
      <c r="R41" s="162" t="str">
        <f t="shared" si="8"/>
        <v>--</v>
      </c>
      <c r="S41" s="155">
        <f t="shared" si="9"/>
      </c>
      <c r="T41" s="421">
        <f t="shared" si="10"/>
      </c>
      <c r="U41" s="6"/>
    </row>
    <row r="42" spans="2:21" s="5" customFormat="1" ht="16.5" customHeight="1">
      <c r="B42" s="50"/>
      <c r="C42" s="157"/>
      <c r="D42" s="412"/>
      <c r="E42" s="412"/>
      <c r="F42" s="413"/>
      <c r="G42" s="131">
        <f t="shared" si="0"/>
        <v>51.126</v>
      </c>
      <c r="H42" s="414"/>
      <c r="I42" s="153"/>
      <c r="J42" s="415">
        <f t="shared" si="1"/>
      </c>
      <c r="K42" s="416">
        <f t="shared" si="2"/>
      </c>
      <c r="L42" s="234"/>
      <c r="M42" s="155">
        <f t="shared" si="3"/>
      </c>
      <c r="N42" s="417">
        <f t="shared" si="4"/>
        <v>40</v>
      </c>
      <c r="O42" s="418" t="str">
        <f t="shared" si="5"/>
        <v>--</v>
      </c>
      <c r="P42" s="419" t="str">
        <f t="shared" si="6"/>
        <v>--</v>
      </c>
      <c r="Q42" s="420" t="str">
        <f t="shared" si="7"/>
        <v>--</v>
      </c>
      <c r="R42" s="162" t="str">
        <f t="shared" si="8"/>
        <v>--</v>
      </c>
      <c r="S42" s="155">
        <f t="shared" si="9"/>
      </c>
      <c r="T42" s="421">
        <f t="shared" si="10"/>
      </c>
      <c r="U42" s="6"/>
    </row>
    <row r="43" spans="2:21" s="5" customFormat="1" ht="16.5" customHeight="1">
      <c r="B43" s="50"/>
      <c r="C43" s="289"/>
      <c r="D43" s="412"/>
      <c r="E43" s="412"/>
      <c r="F43" s="413"/>
      <c r="G43" s="131">
        <f t="shared" si="0"/>
        <v>51.126</v>
      </c>
      <c r="H43" s="414"/>
      <c r="I43" s="153"/>
      <c r="J43" s="415">
        <f t="shared" si="1"/>
      </c>
      <c r="K43" s="416">
        <f t="shared" si="2"/>
      </c>
      <c r="L43" s="234"/>
      <c r="M43" s="155">
        <f t="shared" si="3"/>
      </c>
      <c r="N43" s="417">
        <f t="shared" si="4"/>
        <v>40</v>
      </c>
      <c r="O43" s="418" t="str">
        <f t="shared" si="5"/>
        <v>--</v>
      </c>
      <c r="P43" s="419" t="str">
        <f t="shared" si="6"/>
        <v>--</v>
      </c>
      <c r="Q43" s="420" t="str">
        <f t="shared" si="7"/>
        <v>--</v>
      </c>
      <c r="R43" s="162" t="str">
        <f t="shared" si="8"/>
        <v>--</v>
      </c>
      <c r="S43" s="155">
        <f t="shared" si="9"/>
      </c>
      <c r="T43" s="421">
        <f t="shared" si="10"/>
      </c>
      <c r="U43" s="6"/>
    </row>
    <row r="44" spans="2:21" s="5" customFormat="1" ht="16.5" customHeight="1" thickBot="1">
      <c r="B44" s="50"/>
      <c r="C44" s="157"/>
      <c r="D44" s="149"/>
      <c r="E44" s="149"/>
      <c r="F44" s="243"/>
      <c r="G44" s="132"/>
      <c r="H44" s="422"/>
      <c r="I44" s="422"/>
      <c r="J44" s="423"/>
      <c r="K44" s="423"/>
      <c r="L44" s="422"/>
      <c r="M44" s="154"/>
      <c r="N44" s="424"/>
      <c r="O44" s="425"/>
      <c r="P44" s="426"/>
      <c r="Q44" s="427"/>
      <c r="R44" s="164"/>
      <c r="S44" s="154"/>
      <c r="T44" s="428"/>
      <c r="U44" s="6"/>
    </row>
    <row r="45" spans="2:21" s="5" customFormat="1" ht="16.5" customHeight="1" thickBot="1" thickTop="1">
      <c r="B45" s="50"/>
      <c r="C45" s="128" t="s">
        <v>25</v>
      </c>
      <c r="D45" s="129" t="s">
        <v>330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29">
        <f>SUM(O22:O44)</f>
        <v>3045.0645600000003</v>
      </c>
      <c r="P45" s="430">
        <f>SUM(P22:P44)</f>
        <v>0</v>
      </c>
      <c r="Q45" s="431">
        <f>SUM(Q22:Q44)</f>
        <v>0</v>
      </c>
      <c r="R45" s="432">
        <f>SUM(R22:R44)</f>
        <v>0</v>
      </c>
      <c r="S45" s="433"/>
      <c r="T45" s="101">
        <f>ROUND(SUM(T22:T44),2)</f>
        <v>30015.39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79"/>
      <c r="V47" s="179"/>
      <c r="W47" s="179"/>
    </row>
    <row r="48" spans="21:23" ht="16.5" customHeight="1">
      <c r="U48" s="179"/>
      <c r="V48" s="179"/>
      <c r="W48" s="179"/>
    </row>
    <row r="49" spans="21:23" ht="16.5" customHeight="1">
      <c r="U49" s="179"/>
      <c r="V49" s="179"/>
      <c r="W49" s="179"/>
    </row>
    <row r="50" spans="21:23" ht="16.5" customHeight="1">
      <c r="U50" s="179"/>
      <c r="V50" s="179"/>
      <c r="W50" s="179"/>
    </row>
    <row r="51" spans="21:23" ht="16.5" customHeight="1">
      <c r="U51" s="179"/>
      <c r="V51" s="179"/>
      <c r="W51" s="179"/>
    </row>
    <row r="52" spans="4:23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</row>
    <row r="53" spans="4:23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4:23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spans="4:23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4:23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</row>
    <row r="57" spans="4:23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</row>
    <row r="58" spans="4:23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4:23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4:23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</row>
    <row r="61" spans="4:23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</row>
    <row r="62" spans="4:23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</row>
    <row r="63" spans="4:23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</row>
    <row r="64" spans="4:23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</row>
    <row r="65" spans="4:23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</row>
    <row r="66" spans="4:23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4:23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</row>
    <row r="68" spans="4:23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</row>
    <row r="69" spans="4:23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4:23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</row>
    <row r="71" spans="4:23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4:23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</row>
    <row r="73" spans="4:23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</row>
    <row r="74" spans="4:23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4:23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</row>
    <row r="76" spans="4:23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</row>
    <row r="77" spans="4:23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</row>
    <row r="78" spans="4:23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</row>
    <row r="79" spans="4:23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</row>
    <row r="80" spans="4:23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</row>
    <row r="81" spans="4:23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</row>
    <row r="82" spans="4:23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4:23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</row>
    <row r="84" spans="4:23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</row>
    <row r="85" spans="4:23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</row>
    <row r="86" spans="4:23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</row>
    <row r="87" spans="4:23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</row>
    <row r="88" spans="4:23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</row>
    <row r="89" spans="4:23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</row>
    <row r="90" spans="4:23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4:23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</row>
    <row r="92" spans="4:23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</row>
    <row r="93" spans="4:23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</row>
    <row r="94" spans="4:23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</row>
    <row r="95" spans="4:23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</row>
    <row r="96" spans="4:23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</row>
    <row r="97" spans="4:23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</row>
    <row r="98" spans="4:23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</row>
    <row r="99" spans="4:23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</row>
    <row r="100" spans="4:23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</row>
    <row r="101" spans="4:23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</row>
    <row r="102" spans="4:23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</row>
    <row r="103" spans="4:23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</row>
    <row r="104" spans="4:23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4:23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4:23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4:23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</row>
    <row r="108" spans="4:23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</row>
    <row r="109" spans="4:23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</row>
    <row r="110" spans="4:23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4:23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4:23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</row>
    <row r="113" spans="4:23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</row>
    <row r="114" spans="4:23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</row>
    <row r="115" spans="4:23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</row>
    <row r="116" spans="4:23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</row>
    <row r="117" spans="4:23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</row>
    <row r="118" spans="4:23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4:23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4:23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</row>
    <row r="121" spans="4:23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4:23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</row>
    <row r="123" spans="4:23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</row>
    <row r="124" spans="4:23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</row>
    <row r="125" spans="4:23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</row>
    <row r="126" spans="4:23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</row>
    <row r="127" spans="4:23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</row>
    <row r="128" spans="4:23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</row>
    <row r="129" spans="4:23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</row>
    <row r="130" spans="4:23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</row>
    <row r="131" spans="4:23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</row>
    <row r="132" spans="4:23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</row>
    <row r="133" spans="4:23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</row>
    <row r="134" spans="4:23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4:23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</row>
    <row r="136" spans="4:23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</row>
    <row r="137" spans="4:23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</row>
    <row r="138" spans="4:23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</row>
    <row r="139" spans="4:23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</row>
    <row r="140" spans="4:23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</row>
    <row r="141" spans="4:23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</row>
    <row r="142" spans="4:23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</row>
    <row r="143" spans="4:23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</row>
    <row r="144" spans="4:23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</row>
    <row r="145" spans="4:23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</row>
    <row r="146" spans="4:23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</row>
    <row r="147" spans="4:23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</row>
    <row r="148" spans="4:23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</row>
    <row r="149" spans="4:23" ht="16.5" customHeight="1"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</row>
    <row r="150" spans="4:23" ht="16.5" customHeight="1"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</row>
    <row r="151" spans="4:23" ht="16.5" customHeight="1"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</row>
    <row r="152" spans="4:23" ht="16.5" customHeight="1"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</row>
    <row r="153" spans="4:23" ht="16.5" customHeight="1"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</row>
    <row r="154" spans="4:23" ht="16.5" customHeight="1"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</row>
    <row r="155" spans="4:23" ht="16.5" customHeight="1"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</row>
    <row r="156" spans="4:23" ht="16.5" customHeight="1"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</row>
    <row r="157" spans="4:23" ht="16.5" customHeight="1"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</row>
    <row r="158" spans="4:23" ht="16.5" customHeight="1"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</row>
    <row r="159" spans="4:23" ht="16.5" customHeight="1"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A154"/>
  <sheetViews>
    <sheetView zoomScale="75" zoomScaleNormal="75" workbookViewId="0" topLeftCell="C13">
      <selection activeCell="L29" sqref="L29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6"/>
    </row>
    <row r="2" spans="1:25" s="18" customFormat="1" ht="26.25">
      <c r="A2" s="91"/>
      <c r="B2" s="435" t="str">
        <f>+'TOT-0209'!B2</f>
        <v>ANEXO III al Memorandum  D.T.E.E. N°  770        /2010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178" t="s">
        <v>89</v>
      </c>
      <c r="E8" s="436"/>
      <c r="F8" s="175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437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90</v>
      </c>
      <c r="F10" s="438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91</v>
      </c>
      <c r="F12" s="438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'TOT-0209'!B14</f>
        <v>Desde el 01 al 28 de febrero de 2009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39"/>
      <c r="Q14" s="439"/>
      <c r="R14" s="439"/>
      <c r="S14" s="439"/>
      <c r="T14" s="439"/>
      <c r="U14" s="439"/>
      <c r="V14" s="439"/>
      <c r="W14" s="439"/>
      <c r="X14" s="439"/>
      <c r="Y14" s="441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7" t="s">
        <v>81</v>
      </c>
      <c r="E16" s="442"/>
      <c r="F16" s="918">
        <v>0.319</v>
      </c>
      <c r="G16" s="37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443" t="s">
        <v>26</v>
      </c>
      <c r="E17" s="444"/>
      <c r="F17" s="919">
        <v>20</v>
      </c>
      <c r="G17" s="377"/>
      <c r="H17"/>
      <c r="I17" s="214"/>
      <c r="J17" s="215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116"/>
      <c r="Y17" s="6"/>
    </row>
    <row r="18" spans="2:25" s="5" customFormat="1" ht="16.5" customHeight="1" thickBot="1" thickTop="1">
      <c r="B18" s="50"/>
      <c r="C18" s="66"/>
      <c r="D18" s="445"/>
      <c r="E18" s="446"/>
      <c r="F18" s="446"/>
      <c r="G18" s="198"/>
      <c r="H18" s="198"/>
      <c r="I18" s="198"/>
      <c r="J18" s="198"/>
      <c r="K18" s="198"/>
      <c r="L18" s="198"/>
      <c r="M18" s="198"/>
      <c r="N18" s="198"/>
      <c r="O18" s="447"/>
      <c r="P18" s="448"/>
      <c r="Q18" s="449"/>
      <c r="R18" s="449"/>
      <c r="S18" s="449"/>
      <c r="T18" s="449"/>
      <c r="U18" s="449"/>
      <c r="V18" s="449"/>
      <c r="W18" s="450"/>
      <c r="X18" s="451"/>
      <c r="Y18" s="6"/>
    </row>
    <row r="19" spans="2:25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452" t="s">
        <v>29</v>
      </c>
      <c r="G19" s="130" t="s">
        <v>16</v>
      </c>
      <c r="H19" s="85" t="s">
        <v>17</v>
      </c>
      <c r="I19" s="85" t="s">
        <v>18</v>
      </c>
      <c r="J19" s="86" t="s">
        <v>36</v>
      </c>
      <c r="K19" s="86" t="s">
        <v>31</v>
      </c>
      <c r="L19" s="88" t="s">
        <v>19</v>
      </c>
      <c r="M19" s="88" t="s">
        <v>58</v>
      </c>
      <c r="N19" s="85" t="s">
        <v>32</v>
      </c>
      <c r="O19" s="130" t="s">
        <v>37</v>
      </c>
      <c r="P19" s="453" t="s">
        <v>70</v>
      </c>
      <c r="Q19" s="454" t="s">
        <v>264</v>
      </c>
      <c r="R19" s="455"/>
      <c r="S19" s="271" t="s">
        <v>265</v>
      </c>
      <c r="T19" s="272"/>
      <c r="U19" s="456" t="s">
        <v>22</v>
      </c>
      <c r="V19" s="270" t="s">
        <v>21</v>
      </c>
      <c r="W19" s="133" t="s">
        <v>79</v>
      </c>
      <c r="X19" s="457" t="s">
        <v>24</v>
      </c>
      <c r="Y19" s="6"/>
    </row>
    <row r="20" spans="2:25" s="5" customFormat="1" ht="16.5" customHeight="1" thickTop="1">
      <c r="B20" s="50"/>
      <c r="C20" s="458"/>
      <c r="D20" s="459"/>
      <c r="E20" s="459"/>
      <c r="F20" s="459"/>
      <c r="G20" s="347"/>
      <c r="H20" s="460"/>
      <c r="I20" s="460"/>
      <c r="J20" s="458"/>
      <c r="K20" s="458"/>
      <c r="L20" s="459"/>
      <c r="M20" s="187"/>
      <c r="N20" s="458"/>
      <c r="O20" s="461"/>
      <c r="P20" s="462"/>
      <c r="Q20" s="463"/>
      <c r="R20" s="464"/>
      <c r="S20" s="284"/>
      <c r="T20" s="285"/>
      <c r="U20" s="465"/>
      <c r="V20" s="465"/>
      <c r="W20" s="466"/>
      <c r="X20" s="467"/>
      <c r="Y20" s="6"/>
    </row>
    <row r="21" spans="2:25" s="5" customFormat="1" ht="16.5" customHeight="1">
      <c r="B21" s="50"/>
      <c r="C21" s="289"/>
      <c r="D21" s="468"/>
      <c r="E21" s="469"/>
      <c r="F21" s="470"/>
      <c r="G21" s="471"/>
      <c r="H21" s="472"/>
      <c r="I21" s="473"/>
      <c r="J21" s="474"/>
      <c r="K21" s="475"/>
      <c r="L21" s="476"/>
      <c r="M21" s="188"/>
      <c r="N21" s="477"/>
      <c r="O21" s="478"/>
      <c r="P21" s="479"/>
      <c r="Q21" s="480"/>
      <c r="R21" s="481"/>
      <c r="S21" s="298"/>
      <c r="T21" s="299"/>
      <c r="U21" s="482"/>
      <c r="V21" s="482"/>
      <c r="W21" s="477"/>
      <c r="X21" s="483"/>
      <c r="Y21" s="6"/>
    </row>
    <row r="22" spans="2:25" s="5" customFormat="1" ht="16.5" customHeight="1">
      <c r="B22" s="50"/>
      <c r="C22" s="157">
        <v>52</v>
      </c>
      <c r="D22" s="484" t="s">
        <v>314</v>
      </c>
      <c r="E22" s="412" t="s">
        <v>315</v>
      </c>
      <c r="F22" s="485">
        <v>245</v>
      </c>
      <c r="G22" s="306">
        <f aca="true" t="shared" si="0" ref="G22:G38">F22*$F$16</f>
        <v>78.155</v>
      </c>
      <c r="H22" s="414">
        <v>39847.254166666666</v>
      </c>
      <c r="I22" s="192">
        <v>39847.67847222222</v>
      </c>
      <c r="J22" s="415">
        <f aca="true" t="shared" si="1" ref="J22:J38">IF(D22="","",(I22-H22)*24)</f>
        <v>10.183333333348855</v>
      </c>
      <c r="K22" s="416">
        <f aca="true" t="shared" si="2" ref="K22:K38">IF(D22="","",ROUND((I22-H22)*24*60,0))</f>
        <v>611</v>
      </c>
      <c r="L22" s="234" t="s">
        <v>241</v>
      </c>
      <c r="M22" s="235" t="str">
        <f aca="true" t="shared" si="3" ref="M22:M38">IF(D22="","","--")</f>
        <v>--</v>
      </c>
      <c r="N22" s="155" t="str">
        <f aca="true" t="shared" si="4" ref="N22:N38">IF(D22="","",IF(OR(L22="P",L22="RP"),"--","NO"))</f>
        <v>--</v>
      </c>
      <c r="O22" s="486">
        <f aca="true" t="shared" si="5" ref="O22:O38">IF(OR(L22="P",L22="RP"),$F$17/10,$F$17)</f>
        <v>2</v>
      </c>
      <c r="P22" s="487">
        <f aca="true" t="shared" si="6" ref="P22:P38">IF(L22="P",G22*O22*ROUND(K22/60,2),"--")</f>
        <v>1591.2358</v>
      </c>
      <c r="Q22" s="488" t="str">
        <f aca="true" t="shared" si="7" ref="Q22:Q38">IF(AND(L22="F",N22="NO"),G22*O22,"--")</f>
        <v>--</v>
      </c>
      <c r="R22" s="489" t="str">
        <f aca="true" t="shared" si="8" ref="R22:R38">IF(L22="F",G22*O22*ROUND(K22/60,2),"--")</f>
        <v>--</v>
      </c>
      <c r="S22" s="313" t="str">
        <f aca="true" t="shared" si="9" ref="S22:S38">IF(AND(L22="R",N22="NO"),G22*O22*M22/100,"--")</f>
        <v>--</v>
      </c>
      <c r="T22" s="982" t="s">
        <v>238</v>
      </c>
      <c r="U22" s="490" t="str">
        <f aca="true" t="shared" si="10" ref="U22:U38">IF(L22="RF",G22*O22*ROUND(K22/60,2),"--")</f>
        <v>--</v>
      </c>
      <c r="V22" s="310" t="str">
        <f aca="true" t="shared" si="11" ref="V22:V38">IF(L22="RP",G22*O22*M22/100*ROUND(K22/60,2),"--")</f>
        <v>--</v>
      </c>
      <c r="W22" s="155" t="str">
        <f aca="true" t="shared" si="12" ref="W22:W38">IF(D22="","","SI")</f>
        <v>SI</v>
      </c>
      <c r="X22" s="421">
        <f aca="true" t="shared" si="13" ref="X22:X38">IF(D22="","",SUM(P22:V22)*IF(W22="SI",1,2)*IF(AND(M22&lt;&gt;"--",L22="RF"),M22/100,1))</f>
        <v>1591.2358</v>
      </c>
      <c r="Y22" s="6"/>
    </row>
    <row r="23" spans="2:25" s="5" customFormat="1" ht="16.5" customHeight="1">
      <c r="B23" s="50"/>
      <c r="C23" s="157">
        <v>53</v>
      </c>
      <c r="D23" s="484" t="s">
        <v>314</v>
      </c>
      <c r="E23" s="412" t="s">
        <v>316</v>
      </c>
      <c r="F23" s="485">
        <v>245</v>
      </c>
      <c r="G23" s="306">
        <f t="shared" si="0"/>
        <v>78.155</v>
      </c>
      <c r="H23" s="414">
        <v>39849.245833333334</v>
      </c>
      <c r="I23" s="192">
        <v>39849.675</v>
      </c>
      <c r="J23" s="415">
        <f t="shared" si="1"/>
        <v>10.300000000046566</v>
      </c>
      <c r="K23" s="416">
        <f t="shared" si="2"/>
        <v>618</v>
      </c>
      <c r="L23" s="234" t="s">
        <v>241</v>
      </c>
      <c r="M23" s="235" t="str">
        <f t="shared" si="3"/>
        <v>--</v>
      </c>
      <c r="N23" s="155" t="str">
        <f t="shared" si="4"/>
        <v>--</v>
      </c>
      <c r="O23" s="486">
        <f t="shared" si="5"/>
        <v>2</v>
      </c>
      <c r="P23" s="487">
        <f t="shared" si="6"/>
        <v>1609.9930000000002</v>
      </c>
      <c r="Q23" s="488" t="str">
        <f t="shared" si="7"/>
        <v>--</v>
      </c>
      <c r="R23" s="489" t="str">
        <f t="shared" si="8"/>
        <v>--</v>
      </c>
      <c r="S23" s="313" t="str">
        <f t="shared" si="9"/>
        <v>--</v>
      </c>
      <c r="T23" s="982" t="s">
        <v>238</v>
      </c>
      <c r="U23" s="490" t="str">
        <f t="shared" si="10"/>
        <v>--</v>
      </c>
      <c r="V23" s="310" t="str">
        <f t="shared" si="11"/>
        <v>--</v>
      </c>
      <c r="W23" s="155" t="str">
        <f t="shared" si="12"/>
        <v>SI</v>
      </c>
      <c r="X23" s="421">
        <f t="shared" si="13"/>
        <v>1609.9930000000002</v>
      </c>
      <c r="Y23" s="6"/>
    </row>
    <row r="24" spans="2:25" s="5" customFormat="1" ht="16.5" customHeight="1">
      <c r="B24" s="50"/>
      <c r="C24" s="289">
        <v>54</v>
      </c>
      <c r="D24" s="484" t="s">
        <v>295</v>
      </c>
      <c r="E24" s="412" t="s">
        <v>317</v>
      </c>
      <c r="F24" s="485">
        <v>50</v>
      </c>
      <c r="G24" s="306">
        <f t="shared" si="0"/>
        <v>15.950000000000001</v>
      </c>
      <c r="H24" s="414">
        <v>39853.43263888889</v>
      </c>
      <c r="I24" s="192">
        <v>39853.52222222222</v>
      </c>
      <c r="J24" s="415">
        <f t="shared" si="1"/>
        <v>2.150000000023283</v>
      </c>
      <c r="K24" s="416">
        <f t="shared" si="2"/>
        <v>129</v>
      </c>
      <c r="L24" s="234" t="s">
        <v>241</v>
      </c>
      <c r="M24" s="235" t="str">
        <f t="shared" si="3"/>
        <v>--</v>
      </c>
      <c r="N24" s="155" t="str">
        <f t="shared" si="4"/>
        <v>--</v>
      </c>
      <c r="O24" s="486">
        <f t="shared" si="5"/>
        <v>2</v>
      </c>
      <c r="P24" s="487">
        <f t="shared" si="6"/>
        <v>68.58500000000001</v>
      </c>
      <c r="Q24" s="488" t="str">
        <f t="shared" si="7"/>
        <v>--</v>
      </c>
      <c r="R24" s="489" t="str">
        <f t="shared" si="8"/>
        <v>--</v>
      </c>
      <c r="S24" s="313" t="str">
        <f t="shared" si="9"/>
        <v>--</v>
      </c>
      <c r="T24" s="982" t="s">
        <v>238</v>
      </c>
      <c r="U24" s="490" t="str">
        <f t="shared" si="10"/>
        <v>--</v>
      </c>
      <c r="V24" s="310" t="str">
        <f t="shared" si="11"/>
        <v>--</v>
      </c>
      <c r="W24" s="155" t="str">
        <f t="shared" si="12"/>
        <v>SI</v>
      </c>
      <c r="X24" s="421">
        <f t="shared" si="13"/>
        <v>68.58500000000001</v>
      </c>
      <c r="Y24" s="491"/>
    </row>
    <row r="25" spans="2:25" s="5" customFormat="1" ht="16.5" customHeight="1">
      <c r="B25" s="50"/>
      <c r="C25" s="157"/>
      <c r="D25" s="484"/>
      <c r="E25" s="412"/>
      <c r="F25" s="485"/>
      <c r="G25" s="306">
        <f t="shared" si="0"/>
        <v>0</v>
      </c>
      <c r="H25" s="414"/>
      <c r="I25" s="192"/>
      <c r="J25" s="415">
        <f t="shared" si="1"/>
      </c>
      <c r="K25" s="416">
        <f t="shared" si="2"/>
      </c>
      <c r="L25" s="234"/>
      <c r="M25" s="235">
        <f t="shared" si="3"/>
      </c>
      <c r="N25" s="155">
        <f t="shared" si="4"/>
      </c>
      <c r="O25" s="486">
        <f t="shared" si="5"/>
        <v>20</v>
      </c>
      <c r="P25" s="487" t="str">
        <f t="shared" si="6"/>
        <v>--</v>
      </c>
      <c r="Q25" s="488" t="str">
        <f t="shared" si="7"/>
        <v>--</v>
      </c>
      <c r="R25" s="489" t="str">
        <f t="shared" si="8"/>
        <v>--</v>
      </c>
      <c r="S25" s="313" t="str">
        <f t="shared" si="9"/>
        <v>--</v>
      </c>
      <c r="T25" s="314" t="str">
        <f aca="true" t="shared" si="14" ref="T25:T38">IF(L25="R",G25*O25*M25/100*ROUND(K25/60,2),"--")</f>
        <v>--</v>
      </c>
      <c r="U25" s="490" t="str">
        <f t="shared" si="10"/>
        <v>--</v>
      </c>
      <c r="V25" s="310" t="str">
        <f t="shared" si="11"/>
        <v>--</v>
      </c>
      <c r="W25" s="155">
        <f t="shared" si="12"/>
      </c>
      <c r="X25" s="421">
        <f t="shared" si="13"/>
      </c>
      <c r="Y25" s="491"/>
    </row>
    <row r="26" spans="2:25" s="5" customFormat="1" ht="16.5" customHeight="1">
      <c r="B26" s="50"/>
      <c r="C26" s="289"/>
      <c r="D26" s="484"/>
      <c r="E26" s="412"/>
      <c r="F26" s="485"/>
      <c r="G26" s="306">
        <f t="shared" si="0"/>
        <v>0</v>
      </c>
      <c r="H26" s="414"/>
      <c r="I26" s="192"/>
      <c r="J26" s="415">
        <f t="shared" si="1"/>
      </c>
      <c r="K26" s="416">
        <f t="shared" si="2"/>
      </c>
      <c r="L26" s="234"/>
      <c r="M26" s="235">
        <f t="shared" si="3"/>
      </c>
      <c r="N26" s="155">
        <f t="shared" si="4"/>
      </c>
      <c r="O26" s="486">
        <f t="shared" si="5"/>
        <v>20</v>
      </c>
      <c r="P26" s="487" t="str">
        <f t="shared" si="6"/>
        <v>--</v>
      </c>
      <c r="Q26" s="488" t="str">
        <f t="shared" si="7"/>
        <v>--</v>
      </c>
      <c r="R26" s="489" t="str">
        <f t="shared" si="8"/>
        <v>--</v>
      </c>
      <c r="S26" s="313" t="str">
        <f t="shared" si="9"/>
        <v>--</v>
      </c>
      <c r="T26" s="314" t="str">
        <f t="shared" si="14"/>
        <v>--</v>
      </c>
      <c r="U26" s="490" t="str">
        <f t="shared" si="10"/>
        <v>--</v>
      </c>
      <c r="V26" s="310" t="str">
        <f t="shared" si="11"/>
        <v>--</v>
      </c>
      <c r="W26" s="155">
        <f t="shared" si="12"/>
      </c>
      <c r="X26" s="421">
        <f t="shared" si="13"/>
      </c>
      <c r="Y26" s="491"/>
    </row>
    <row r="27" spans="2:25" s="5" customFormat="1" ht="16.5" customHeight="1">
      <c r="B27" s="50"/>
      <c r="C27" s="157"/>
      <c r="D27" s="484"/>
      <c r="E27" s="412"/>
      <c r="F27" s="485"/>
      <c r="G27" s="306">
        <f t="shared" si="0"/>
        <v>0</v>
      </c>
      <c r="H27" s="414"/>
      <c r="I27" s="192"/>
      <c r="J27" s="415">
        <f t="shared" si="1"/>
      </c>
      <c r="K27" s="416">
        <f t="shared" si="2"/>
      </c>
      <c r="L27" s="234"/>
      <c r="M27" s="235">
        <f t="shared" si="3"/>
      </c>
      <c r="N27" s="155">
        <f t="shared" si="4"/>
      </c>
      <c r="O27" s="486">
        <f t="shared" si="5"/>
        <v>20</v>
      </c>
      <c r="P27" s="487" t="str">
        <f t="shared" si="6"/>
        <v>--</v>
      </c>
      <c r="Q27" s="488" t="str">
        <f t="shared" si="7"/>
        <v>--</v>
      </c>
      <c r="R27" s="489" t="str">
        <f t="shared" si="8"/>
        <v>--</v>
      </c>
      <c r="S27" s="313" t="str">
        <f t="shared" si="9"/>
        <v>--</v>
      </c>
      <c r="T27" s="314" t="str">
        <f t="shared" si="14"/>
        <v>--</v>
      </c>
      <c r="U27" s="490" t="str">
        <f t="shared" si="10"/>
        <v>--</v>
      </c>
      <c r="V27" s="310" t="str">
        <f t="shared" si="11"/>
        <v>--</v>
      </c>
      <c r="W27" s="155">
        <f t="shared" si="12"/>
      </c>
      <c r="X27" s="421">
        <f t="shared" si="13"/>
      </c>
      <c r="Y27" s="491"/>
    </row>
    <row r="28" spans="2:25" s="5" customFormat="1" ht="16.5" customHeight="1">
      <c r="B28" s="50"/>
      <c r="C28" s="289"/>
      <c r="D28" s="484"/>
      <c r="E28" s="412"/>
      <c r="F28" s="485"/>
      <c r="G28" s="306">
        <f t="shared" si="0"/>
        <v>0</v>
      </c>
      <c r="H28" s="414"/>
      <c r="I28" s="192"/>
      <c r="J28" s="415">
        <f t="shared" si="1"/>
      </c>
      <c r="K28" s="416">
        <f t="shared" si="2"/>
      </c>
      <c r="L28" s="234"/>
      <c r="M28" s="235">
        <f t="shared" si="3"/>
      </c>
      <c r="N28" s="155">
        <f t="shared" si="4"/>
      </c>
      <c r="O28" s="486">
        <f t="shared" si="5"/>
        <v>20</v>
      </c>
      <c r="P28" s="487" t="str">
        <f t="shared" si="6"/>
        <v>--</v>
      </c>
      <c r="Q28" s="488" t="str">
        <f t="shared" si="7"/>
        <v>--</v>
      </c>
      <c r="R28" s="489" t="str">
        <f t="shared" si="8"/>
        <v>--</v>
      </c>
      <c r="S28" s="313" t="str">
        <f t="shared" si="9"/>
        <v>--</v>
      </c>
      <c r="T28" s="314" t="str">
        <f t="shared" si="14"/>
        <v>--</v>
      </c>
      <c r="U28" s="490" t="str">
        <f t="shared" si="10"/>
        <v>--</v>
      </c>
      <c r="V28" s="310" t="str">
        <f t="shared" si="11"/>
        <v>--</v>
      </c>
      <c r="W28" s="155">
        <f t="shared" si="12"/>
      </c>
      <c r="X28" s="421">
        <f t="shared" si="13"/>
      </c>
      <c r="Y28" s="6"/>
    </row>
    <row r="29" spans="2:25" s="5" customFormat="1" ht="16.5" customHeight="1">
      <c r="B29" s="50"/>
      <c r="C29" s="157"/>
      <c r="D29" s="484"/>
      <c r="E29" s="412"/>
      <c r="F29" s="485"/>
      <c r="G29" s="306">
        <f t="shared" si="0"/>
        <v>0</v>
      </c>
      <c r="H29" s="414"/>
      <c r="I29" s="192"/>
      <c r="J29" s="415">
        <f t="shared" si="1"/>
      </c>
      <c r="K29" s="416">
        <f t="shared" si="2"/>
      </c>
      <c r="L29" s="234"/>
      <c r="M29" s="235">
        <f t="shared" si="3"/>
      </c>
      <c r="N29" s="155">
        <f t="shared" si="4"/>
      </c>
      <c r="O29" s="486">
        <f t="shared" si="5"/>
        <v>20</v>
      </c>
      <c r="P29" s="487" t="str">
        <f t="shared" si="6"/>
        <v>--</v>
      </c>
      <c r="Q29" s="488" t="str">
        <f t="shared" si="7"/>
        <v>--</v>
      </c>
      <c r="R29" s="489" t="str">
        <f t="shared" si="8"/>
        <v>--</v>
      </c>
      <c r="S29" s="313" t="str">
        <f t="shared" si="9"/>
        <v>--</v>
      </c>
      <c r="T29" s="314" t="str">
        <f t="shared" si="14"/>
        <v>--</v>
      </c>
      <c r="U29" s="490" t="str">
        <f t="shared" si="10"/>
        <v>--</v>
      </c>
      <c r="V29" s="310" t="str">
        <f t="shared" si="11"/>
        <v>--</v>
      </c>
      <c r="W29" s="155">
        <f t="shared" si="12"/>
      </c>
      <c r="X29" s="421">
        <f t="shared" si="13"/>
      </c>
      <c r="Y29" s="6"/>
    </row>
    <row r="30" spans="2:25" s="5" customFormat="1" ht="16.5" customHeight="1">
      <c r="B30" s="50"/>
      <c r="C30" s="289"/>
      <c r="D30" s="484"/>
      <c r="E30" s="412"/>
      <c r="F30" s="485"/>
      <c r="G30" s="306">
        <f t="shared" si="0"/>
        <v>0</v>
      </c>
      <c r="H30" s="414"/>
      <c r="I30" s="192"/>
      <c r="J30" s="415">
        <f t="shared" si="1"/>
      </c>
      <c r="K30" s="416">
        <f t="shared" si="2"/>
      </c>
      <c r="L30" s="234"/>
      <c r="M30" s="235">
        <f t="shared" si="3"/>
      </c>
      <c r="N30" s="155">
        <f t="shared" si="4"/>
      </c>
      <c r="O30" s="486">
        <f t="shared" si="5"/>
        <v>20</v>
      </c>
      <c r="P30" s="487" t="str">
        <f t="shared" si="6"/>
        <v>--</v>
      </c>
      <c r="Q30" s="488" t="str">
        <f t="shared" si="7"/>
        <v>--</v>
      </c>
      <c r="R30" s="489" t="str">
        <f t="shared" si="8"/>
        <v>--</v>
      </c>
      <c r="S30" s="313" t="str">
        <f t="shared" si="9"/>
        <v>--</v>
      </c>
      <c r="T30" s="314" t="str">
        <f t="shared" si="14"/>
        <v>--</v>
      </c>
      <c r="U30" s="490" t="str">
        <f t="shared" si="10"/>
        <v>--</v>
      </c>
      <c r="V30" s="310" t="str">
        <f t="shared" si="11"/>
        <v>--</v>
      </c>
      <c r="W30" s="155">
        <f t="shared" si="12"/>
      </c>
      <c r="X30" s="421">
        <f t="shared" si="13"/>
      </c>
      <c r="Y30" s="6"/>
    </row>
    <row r="31" spans="2:25" s="5" customFormat="1" ht="16.5" customHeight="1">
      <c r="B31" s="50"/>
      <c r="C31" s="157"/>
      <c r="D31" s="484"/>
      <c r="E31" s="412"/>
      <c r="F31" s="485"/>
      <c r="G31" s="306">
        <f t="shared" si="0"/>
        <v>0</v>
      </c>
      <c r="H31" s="414"/>
      <c r="I31" s="192"/>
      <c r="J31" s="415">
        <f t="shared" si="1"/>
      </c>
      <c r="K31" s="416">
        <f t="shared" si="2"/>
      </c>
      <c r="L31" s="234"/>
      <c r="M31" s="235">
        <f t="shared" si="3"/>
      </c>
      <c r="N31" s="155">
        <f t="shared" si="4"/>
      </c>
      <c r="O31" s="486">
        <f t="shared" si="5"/>
        <v>20</v>
      </c>
      <c r="P31" s="487" t="str">
        <f t="shared" si="6"/>
        <v>--</v>
      </c>
      <c r="Q31" s="488" t="str">
        <f t="shared" si="7"/>
        <v>--</v>
      </c>
      <c r="R31" s="489" t="str">
        <f t="shared" si="8"/>
        <v>--</v>
      </c>
      <c r="S31" s="313" t="str">
        <f t="shared" si="9"/>
        <v>--</v>
      </c>
      <c r="T31" s="314" t="str">
        <f t="shared" si="14"/>
        <v>--</v>
      </c>
      <c r="U31" s="490" t="str">
        <f t="shared" si="10"/>
        <v>--</v>
      </c>
      <c r="V31" s="310" t="str">
        <f t="shared" si="11"/>
        <v>--</v>
      </c>
      <c r="W31" s="155">
        <f t="shared" si="12"/>
      </c>
      <c r="X31" s="421">
        <f t="shared" si="13"/>
      </c>
      <c r="Y31" s="6"/>
    </row>
    <row r="32" spans="2:25" s="5" customFormat="1" ht="16.5" customHeight="1">
      <c r="B32" s="50"/>
      <c r="C32" s="289"/>
      <c r="D32" s="484"/>
      <c r="E32" s="412"/>
      <c r="F32" s="485"/>
      <c r="G32" s="306">
        <f t="shared" si="0"/>
        <v>0</v>
      </c>
      <c r="H32" s="414"/>
      <c r="I32" s="192"/>
      <c r="J32" s="415">
        <f t="shared" si="1"/>
      </c>
      <c r="K32" s="416">
        <f t="shared" si="2"/>
      </c>
      <c r="L32" s="234"/>
      <c r="M32" s="235">
        <f t="shared" si="3"/>
      </c>
      <c r="N32" s="155">
        <f t="shared" si="4"/>
      </c>
      <c r="O32" s="486">
        <f t="shared" si="5"/>
        <v>20</v>
      </c>
      <c r="P32" s="487" t="str">
        <f t="shared" si="6"/>
        <v>--</v>
      </c>
      <c r="Q32" s="488" t="str">
        <f t="shared" si="7"/>
        <v>--</v>
      </c>
      <c r="R32" s="489" t="str">
        <f t="shared" si="8"/>
        <v>--</v>
      </c>
      <c r="S32" s="313" t="str">
        <f t="shared" si="9"/>
        <v>--</v>
      </c>
      <c r="T32" s="314" t="str">
        <f t="shared" si="14"/>
        <v>--</v>
      </c>
      <c r="U32" s="490" t="str">
        <f t="shared" si="10"/>
        <v>--</v>
      </c>
      <c r="V32" s="310" t="str">
        <f t="shared" si="11"/>
        <v>--</v>
      </c>
      <c r="W32" s="155">
        <f t="shared" si="12"/>
      </c>
      <c r="X32" s="421">
        <f t="shared" si="13"/>
      </c>
      <c r="Y32" s="6"/>
    </row>
    <row r="33" spans="2:25" s="5" customFormat="1" ht="16.5" customHeight="1">
      <c r="B33" s="50"/>
      <c r="C33" s="157"/>
      <c r="D33" s="484"/>
      <c r="E33" s="412"/>
      <c r="F33" s="485"/>
      <c r="G33" s="306">
        <f t="shared" si="0"/>
        <v>0</v>
      </c>
      <c r="H33" s="414"/>
      <c r="I33" s="192"/>
      <c r="J33" s="415">
        <f t="shared" si="1"/>
      </c>
      <c r="K33" s="416">
        <f t="shared" si="2"/>
      </c>
      <c r="L33" s="234"/>
      <c r="M33" s="235">
        <f t="shared" si="3"/>
      </c>
      <c r="N33" s="155">
        <f t="shared" si="4"/>
      </c>
      <c r="O33" s="486">
        <f t="shared" si="5"/>
        <v>20</v>
      </c>
      <c r="P33" s="487" t="str">
        <f t="shared" si="6"/>
        <v>--</v>
      </c>
      <c r="Q33" s="488" t="str">
        <f t="shared" si="7"/>
        <v>--</v>
      </c>
      <c r="R33" s="489" t="str">
        <f t="shared" si="8"/>
        <v>--</v>
      </c>
      <c r="S33" s="313" t="str">
        <f t="shared" si="9"/>
        <v>--</v>
      </c>
      <c r="T33" s="314" t="str">
        <f t="shared" si="14"/>
        <v>--</v>
      </c>
      <c r="U33" s="490" t="str">
        <f t="shared" si="10"/>
        <v>--</v>
      </c>
      <c r="V33" s="310" t="str">
        <f t="shared" si="11"/>
        <v>--</v>
      </c>
      <c r="W33" s="155">
        <f t="shared" si="12"/>
      </c>
      <c r="X33" s="421">
        <f t="shared" si="13"/>
      </c>
      <c r="Y33" s="6"/>
    </row>
    <row r="34" spans="2:25" s="5" customFormat="1" ht="16.5" customHeight="1">
      <c r="B34" s="50"/>
      <c r="C34" s="289"/>
      <c r="D34" s="484"/>
      <c r="E34" s="412"/>
      <c r="F34" s="485"/>
      <c r="G34" s="306">
        <f t="shared" si="0"/>
        <v>0</v>
      </c>
      <c r="H34" s="414"/>
      <c r="I34" s="192"/>
      <c r="J34" s="415">
        <f t="shared" si="1"/>
      </c>
      <c r="K34" s="416">
        <f t="shared" si="2"/>
      </c>
      <c r="L34" s="234"/>
      <c r="M34" s="235">
        <f t="shared" si="3"/>
      </c>
      <c r="N34" s="155">
        <f t="shared" si="4"/>
      </c>
      <c r="O34" s="486">
        <f t="shared" si="5"/>
        <v>20</v>
      </c>
      <c r="P34" s="487" t="str">
        <f t="shared" si="6"/>
        <v>--</v>
      </c>
      <c r="Q34" s="488" t="str">
        <f t="shared" si="7"/>
        <v>--</v>
      </c>
      <c r="R34" s="489" t="str">
        <f t="shared" si="8"/>
        <v>--</v>
      </c>
      <c r="S34" s="313" t="str">
        <f t="shared" si="9"/>
        <v>--</v>
      </c>
      <c r="T34" s="314" t="str">
        <f t="shared" si="14"/>
        <v>--</v>
      </c>
      <c r="U34" s="490" t="str">
        <f t="shared" si="10"/>
        <v>--</v>
      </c>
      <c r="V34" s="310" t="str">
        <f t="shared" si="11"/>
        <v>--</v>
      </c>
      <c r="W34" s="155">
        <f t="shared" si="12"/>
      </c>
      <c r="X34" s="421">
        <f t="shared" si="13"/>
      </c>
      <c r="Y34" s="6"/>
    </row>
    <row r="35" spans="2:25" s="5" customFormat="1" ht="16.5" customHeight="1">
      <c r="B35" s="50"/>
      <c r="C35" s="157"/>
      <c r="D35" s="484"/>
      <c r="E35" s="412"/>
      <c r="F35" s="485"/>
      <c r="G35" s="306">
        <f t="shared" si="0"/>
        <v>0</v>
      </c>
      <c r="H35" s="414"/>
      <c r="I35" s="192"/>
      <c r="J35" s="415">
        <f t="shared" si="1"/>
      </c>
      <c r="K35" s="416">
        <f t="shared" si="2"/>
      </c>
      <c r="L35" s="234"/>
      <c r="M35" s="235">
        <f t="shared" si="3"/>
      </c>
      <c r="N35" s="155">
        <f t="shared" si="4"/>
      </c>
      <c r="O35" s="486">
        <f t="shared" si="5"/>
        <v>20</v>
      </c>
      <c r="P35" s="487" t="str">
        <f t="shared" si="6"/>
        <v>--</v>
      </c>
      <c r="Q35" s="488" t="str">
        <f t="shared" si="7"/>
        <v>--</v>
      </c>
      <c r="R35" s="489" t="str">
        <f t="shared" si="8"/>
        <v>--</v>
      </c>
      <c r="S35" s="313" t="str">
        <f t="shared" si="9"/>
        <v>--</v>
      </c>
      <c r="T35" s="314" t="str">
        <f t="shared" si="14"/>
        <v>--</v>
      </c>
      <c r="U35" s="490" t="str">
        <f t="shared" si="10"/>
        <v>--</v>
      </c>
      <c r="V35" s="310" t="str">
        <f t="shared" si="11"/>
        <v>--</v>
      </c>
      <c r="W35" s="155">
        <f t="shared" si="12"/>
      </c>
      <c r="X35" s="421">
        <f t="shared" si="13"/>
      </c>
      <c r="Y35" s="6"/>
    </row>
    <row r="36" spans="2:25" s="5" customFormat="1" ht="16.5" customHeight="1">
      <c r="B36" s="50"/>
      <c r="C36" s="289"/>
      <c r="D36" s="484"/>
      <c r="E36" s="412"/>
      <c r="F36" s="485"/>
      <c r="G36" s="306">
        <f t="shared" si="0"/>
        <v>0</v>
      </c>
      <c r="H36" s="414"/>
      <c r="I36" s="192"/>
      <c r="J36" s="415">
        <f t="shared" si="1"/>
      </c>
      <c r="K36" s="416">
        <f t="shared" si="2"/>
      </c>
      <c r="L36" s="234"/>
      <c r="M36" s="235">
        <f t="shared" si="3"/>
      </c>
      <c r="N36" s="155">
        <f t="shared" si="4"/>
      </c>
      <c r="O36" s="486">
        <f t="shared" si="5"/>
        <v>20</v>
      </c>
      <c r="P36" s="487" t="str">
        <f t="shared" si="6"/>
        <v>--</v>
      </c>
      <c r="Q36" s="488" t="str">
        <f t="shared" si="7"/>
        <v>--</v>
      </c>
      <c r="R36" s="489" t="str">
        <f t="shared" si="8"/>
        <v>--</v>
      </c>
      <c r="S36" s="313" t="str">
        <f t="shared" si="9"/>
        <v>--</v>
      </c>
      <c r="T36" s="314" t="str">
        <f t="shared" si="14"/>
        <v>--</v>
      </c>
      <c r="U36" s="490" t="str">
        <f t="shared" si="10"/>
        <v>--</v>
      </c>
      <c r="V36" s="310" t="str">
        <f t="shared" si="11"/>
        <v>--</v>
      </c>
      <c r="W36" s="155">
        <f t="shared" si="12"/>
      </c>
      <c r="X36" s="421">
        <f t="shared" si="13"/>
      </c>
      <c r="Y36" s="6"/>
    </row>
    <row r="37" spans="2:25" s="5" customFormat="1" ht="16.5" customHeight="1">
      <c r="B37" s="50"/>
      <c r="C37" s="157"/>
      <c r="D37" s="484"/>
      <c r="E37" s="412"/>
      <c r="F37" s="485"/>
      <c r="G37" s="306">
        <f t="shared" si="0"/>
        <v>0</v>
      </c>
      <c r="H37" s="414"/>
      <c r="I37" s="192"/>
      <c r="J37" s="415">
        <f t="shared" si="1"/>
      </c>
      <c r="K37" s="416">
        <f t="shared" si="2"/>
      </c>
      <c r="L37" s="234"/>
      <c r="M37" s="235">
        <f t="shared" si="3"/>
      </c>
      <c r="N37" s="155">
        <f t="shared" si="4"/>
      </c>
      <c r="O37" s="486">
        <f t="shared" si="5"/>
        <v>20</v>
      </c>
      <c r="P37" s="487" t="str">
        <f t="shared" si="6"/>
        <v>--</v>
      </c>
      <c r="Q37" s="488" t="str">
        <f t="shared" si="7"/>
        <v>--</v>
      </c>
      <c r="R37" s="489" t="str">
        <f t="shared" si="8"/>
        <v>--</v>
      </c>
      <c r="S37" s="313" t="str">
        <f t="shared" si="9"/>
        <v>--</v>
      </c>
      <c r="T37" s="314" t="str">
        <f t="shared" si="14"/>
        <v>--</v>
      </c>
      <c r="U37" s="490" t="str">
        <f t="shared" si="10"/>
        <v>--</v>
      </c>
      <c r="V37" s="310" t="str">
        <f t="shared" si="11"/>
        <v>--</v>
      </c>
      <c r="W37" s="155">
        <f t="shared" si="12"/>
      </c>
      <c r="X37" s="421">
        <f t="shared" si="13"/>
      </c>
      <c r="Y37" s="6"/>
    </row>
    <row r="38" spans="2:25" s="5" customFormat="1" ht="16.5" customHeight="1">
      <c r="B38" s="50"/>
      <c r="C38" s="289"/>
      <c r="D38" s="484"/>
      <c r="E38" s="412"/>
      <c r="F38" s="485"/>
      <c r="G38" s="306">
        <f t="shared" si="0"/>
        <v>0</v>
      </c>
      <c r="H38" s="414"/>
      <c r="I38" s="192"/>
      <c r="J38" s="415">
        <f t="shared" si="1"/>
      </c>
      <c r="K38" s="416">
        <f t="shared" si="2"/>
      </c>
      <c r="L38" s="234"/>
      <c r="M38" s="235">
        <f t="shared" si="3"/>
      </c>
      <c r="N38" s="155">
        <f t="shared" si="4"/>
      </c>
      <c r="O38" s="486">
        <f t="shared" si="5"/>
        <v>20</v>
      </c>
      <c r="P38" s="487" t="str">
        <f t="shared" si="6"/>
        <v>--</v>
      </c>
      <c r="Q38" s="488" t="str">
        <f t="shared" si="7"/>
        <v>--</v>
      </c>
      <c r="R38" s="489" t="str">
        <f t="shared" si="8"/>
        <v>--</v>
      </c>
      <c r="S38" s="313" t="str">
        <f t="shared" si="9"/>
        <v>--</v>
      </c>
      <c r="T38" s="314" t="str">
        <f t="shared" si="14"/>
        <v>--</v>
      </c>
      <c r="U38" s="490" t="str">
        <f t="shared" si="10"/>
        <v>--</v>
      </c>
      <c r="V38" s="310" t="str">
        <f t="shared" si="11"/>
        <v>--</v>
      </c>
      <c r="W38" s="155">
        <f t="shared" si="12"/>
      </c>
      <c r="X38" s="421">
        <f t="shared" si="13"/>
      </c>
      <c r="Y38" s="6"/>
    </row>
    <row r="39" spans="2:25" s="5" customFormat="1" ht="16.5" customHeight="1" thickBot="1">
      <c r="B39" s="50"/>
      <c r="C39" s="157"/>
      <c r="D39" s="492"/>
      <c r="E39" s="149"/>
      <c r="F39" s="493"/>
      <c r="G39" s="132"/>
      <c r="H39" s="422"/>
      <c r="I39" s="422"/>
      <c r="J39" s="423"/>
      <c r="K39" s="423"/>
      <c r="L39" s="422"/>
      <c r="M39" s="197"/>
      <c r="N39" s="154"/>
      <c r="O39" s="494"/>
      <c r="P39" s="495"/>
      <c r="Q39" s="496"/>
      <c r="R39" s="497"/>
      <c r="S39" s="331"/>
      <c r="T39" s="332"/>
      <c r="U39" s="498"/>
      <c r="V39" s="498"/>
      <c r="W39" s="154"/>
      <c r="X39" s="499"/>
      <c r="Y39" s="6"/>
    </row>
    <row r="40" spans="2:25" s="5" customFormat="1" ht="16.5" customHeight="1" thickBot="1" thickTop="1">
      <c r="B40" s="50"/>
      <c r="C40" s="128" t="s">
        <v>25</v>
      </c>
      <c r="D40" s="129" t="s">
        <v>328</v>
      </c>
      <c r="G40" s="4"/>
      <c r="H40" s="4"/>
      <c r="I40" s="4"/>
      <c r="J40" s="4"/>
      <c r="K40" s="4"/>
      <c r="L40" s="4"/>
      <c r="M40" s="4"/>
      <c r="N40" s="4"/>
      <c r="O40" s="4"/>
      <c r="P40" s="500">
        <f aca="true" t="shared" si="15" ref="P40:V40">SUM(P20:P39)</f>
        <v>3269.8138</v>
      </c>
      <c r="Q40" s="501">
        <f t="shared" si="15"/>
        <v>0</v>
      </c>
      <c r="R40" s="502">
        <f t="shared" si="15"/>
        <v>0</v>
      </c>
      <c r="S40" s="341">
        <f t="shared" si="15"/>
        <v>0</v>
      </c>
      <c r="T40" s="342">
        <f t="shared" si="15"/>
        <v>0</v>
      </c>
      <c r="U40" s="503">
        <f t="shared" si="15"/>
        <v>0</v>
      </c>
      <c r="V40" s="503">
        <f t="shared" si="15"/>
        <v>0</v>
      </c>
      <c r="X40" s="101">
        <f>ROUND(SUM(X20:X39),2)</f>
        <v>3269.81</v>
      </c>
      <c r="Y40" s="504"/>
    </row>
    <row r="41" spans="2:25" s="5" customFormat="1" ht="16.5" customHeight="1" thickBot="1" thickTop="1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6"/>
    </row>
    <row r="42" spans="4:27" ht="16.5" customHeight="1" thickTop="1">
      <c r="D42" s="181"/>
      <c r="E42" s="181"/>
      <c r="F42" s="181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</row>
    <row r="43" spans="4:27" ht="16.5" customHeight="1">
      <c r="D43" s="181"/>
      <c r="E43" s="181"/>
      <c r="F43" s="181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</row>
    <row r="44" spans="4:27" ht="16.5" customHeight="1">
      <c r="D44" s="181"/>
      <c r="E44" s="181"/>
      <c r="F44" s="181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4:27" ht="16.5" customHeight="1">
      <c r="D45" s="181"/>
      <c r="E45" s="181"/>
      <c r="F45" s="181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4:27" ht="16.5" customHeight="1">
      <c r="D46" s="181"/>
      <c r="E46" s="181"/>
      <c r="F46" s="181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</row>
    <row r="47" spans="4:27" ht="16.5" customHeight="1">
      <c r="D47" s="181"/>
      <c r="E47" s="181"/>
      <c r="F47" s="181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</row>
    <row r="48" spans="4:27" ht="16.5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</row>
    <row r="49" spans="4:27" ht="16.5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</row>
    <row r="50" spans="4:27" ht="16.5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4:27" ht="16.5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</row>
    <row r="52" spans="4:27" ht="16.5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</row>
    <row r="53" spans="4:27" ht="16.5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</row>
    <row r="54" spans="4:27" ht="16.5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4:27" ht="16.5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</row>
    <row r="56" spans="4:27" ht="16.5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</row>
    <row r="57" spans="4:27" ht="16.5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</row>
    <row r="58" spans="4:27" ht="16.5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</row>
    <row r="59" spans="4:27" ht="16.5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</row>
    <row r="60" spans="4:27" ht="16.5" customHeight="1"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</row>
    <row r="61" spans="4:27" ht="16.5" customHeight="1"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</row>
    <row r="62" spans="4:27" ht="16.5" customHeight="1"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4:27" ht="16.5" customHeight="1"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4:27" ht="16.5" customHeight="1"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4:27" ht="16.5" customHeight="1"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4:27" ht="16.5" customHeight="1"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4:27" ht="16.5" customHeight="1"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4:27" ht="16.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4:27" ht="16.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4:27" ht="16.5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4:27" ht="16.5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4:27" ht="16.5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 spans="4:27" ht="16.5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4:27" ht="16.5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 spans="4:27" ht="16.5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 spans="4:27" ht="16.5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 spans="4:27" ht="16.5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 spans="4:27" ht="16.5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 spans="4:27" ht="16.5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 spans="4:27" ht="16.5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 spans="4:27" ht="16.5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 spans="4:27" ht="16.5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 spans="4:27" ht="16.5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 spans="4:27" ht="16.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</row>
    <row r="85" spans="4:27" ht="16.5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</row>
    <row r="86" spans="4:27" ht="16.5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</row>
    <row r="87" spans="4:27" ht="16.5" customHeight="1"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</row>
    <row r="88" spans="4:27" ht="16.5" customHeight="1"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</row>
    <row r="89" spans="4:27" ht="16.5" customHeight="1"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</row>
    <row r="90" spans="4:27" ht="16.5" customHeight="1"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</row>
    <row r="91" spans="4:27" ht="16.5" customHeight="1"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</row>
    <row r="92" spans="4:27" ht="16.5" customHeight="1"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</row>
    <row r="93" spans="4:27" ht="16.5" customHeight="1"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</row>
    <row r="94" spans="4:27" ht="16.5" customHeight="1"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</row>
    <row r="95" spans="4:27" ht="16.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</row>
    <row r="96" spans="4:27" ht="16.5" customHeight="1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</row>
    <row r="97" spans="4:27" ht="16.5" customHeight="1"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</row>
    <row r="98" spans="4:27" ht="16.5" customHeight="1"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</row>
    <row r="99" spans="4:27" ht="16.5" customHeight="1"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</row>
    <row r="100" spans="4:27" ht="16.5" customHeight="1"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</row>
    <row r="101" spans="4:27" ht="16.5" customHeight="1"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 spans="4:27" ht="16.5" customHeight="1"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</row>
    <row r="103" spans="4:27" ht="16.5" customHeight="1"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 spans="4:27" ht="16.5" customHeight="1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4:27" ht="16.5" customHeight="1"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4:27" ht="16.5" customHeight="1"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4:27" ht="16.5" customHeight="1"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 spans="4:27" ht="16.5" customHeight="1"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4:27" ht="16.5" customHeight="1"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4:27" ht="16.5" customHeight="1"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4:27" ht="16.5" customHeight="1"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4:27" ht="16.5" customHeight="1"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4:27" ht="16.5" customHeight="1"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 spans="4:27" ht="16.5" customHeight="1"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4:27" ht="16.5" customHeight="1"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4:27" ht="16.5" customHeight="1"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 spans="4:27" ht="16.5" customHeight="1"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 spans="4:27" ht="16.5" customHeight="1"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 spans="4:27" ht="16.5" customHeight="1"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 spans="4:27" ht="16.5" customHeight="1"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 spans="4:27" ht="16.5" customHeight="1"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 spans="4:27" ht="16.5" customHeight="1"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 spans="4:27" ht="16.5" customHeight="1"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 spans="4:27" ht="16.5" customHeight="1"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 spans="4:27" ht="16.5" customHeight="1"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 spans="4:27" ht="16.5" customHeight="1"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 spans="4:27" ht="16.5" customHeight="1"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 spans="4:27" ht="16.5" customHeight="1"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 spans="4:27" ht="16.5" customHeight="1"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 spans="4:27" ht="16.5" customHeight="1"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4:27" ht="16.5" customHeight="1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 spans="4:27" ht="16.5" customHeight="1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 spans="4:27" ht="16.5" customHeight="1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 spans="4:27" ht="16.5" customHeight="1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 spans="4:27" ht="16.5" customHeight="1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 spans="4:27" ht="16.5" customHeight="1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 spans="4:27" ht="16.5" customHeight="1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 spans="4:27" ht="16.5" customHeight="1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 spans="4:27" ht="16.5" customHeight="1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 spans="4:27" ht="16.5" customHeight="1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 spans="4:27" ht="16.5" customHeight="1"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 spans="4:27" ht="16.5" customHeight="1"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 spans="4:27" ht="16.5" customHeight="1"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 spans="4:27" ht="16.5" customHeight="1"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 spans="4:27" ht="16.5" customHeight="1"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 spans="4:27" ht="16.5" customHeight="1"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 spans="4:27" ht="16.5" customHeight="1"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 spans="4:27" ht="16.5" customHeight="1"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 spans="4:27" ht="16.5" customHeight="1">
      <c r="D149" s="179"/>
      <c r="E149" s="179"/>
      <c r="F149" s="179"/>
      <c r="Z149" s="179"/>
      <c r="AA149" s="179"/>
    </row>
    <row r="150" spans="4:6" ht="16.5" customHeight="1">
      <c r="D150" s="179"/>
      <c r="E150" s="179"/>
      <c r="F150" s="179"/>
    </row>
    <row r="151" spans="4:6" ht="16.5" customHeight="1">
      <c r="D151" s="179"/>
      <c r="E151" s="179"/>
      <c r="F151" s="179"/>
    </row>
    <row r="152" spans="4:6" ht="16.5" customHeight="1">
      <c r="D152" s="179"/>
      <c r="E152" s="179"/>
      <c r="F152" s="179"/>
    </row>
    <row r="153" spans="4:6" ht="16.5" customHeight="1">
      <c r="D153" s="179"/>
      <c r="E153" s="179"/>
      <c r="F153" s="179"/>
    </row>
    <row r="154" spans="4:6" ht="16.5" customHeight="1">
      <c r="D154" s="179"/>
      <c r="E154" s="179"/>
      <c r="F154" s="179"/>
    </row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2010-08-12T15:47:33Z</cp:lastPrinted>
  <dcterms:created xsi:type="dcterms:W3CDTF">1998-04-21T14:04:37Z</dcterms:created>
  <dcterms:modified xsi:type="dcterms:W3CDTF">2010-12-06T12:58:28Z</dcterms:modified>
  <cp:category/>
  <cp:version/>
  <cp:contentType/>
  <cp:contentStatus/>
</cp:coreProperties>
</file>