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45" yWindow="65461" windowWidth="5895" windowHeight="7065" tabRatio="940" activeTab="0"/>
  </bookViews>
  <sheets>
    <sheet name="TOT-0510" sheetId="1" r:id="rId1"/>
    <sheet name="LI-05 (1)" sheetId="2" r:id="rId2"/>
    <sheet name="LI-05 (2)" sheetId="3" r:id="rId3"/>
    <sheet name="LI-05 (3)" sheetId="4" r:id="rId4"/>
    <sheet name="T-05 (1)" sheetId="5" r:id="rId5"/>
    <sheet name="SA-05 (1)" sheetId="6" r:id="rId6"/>
    <sheet name="TASA FALLA" sheetId="7" r:id="rId7"/>
    <sheet name="DATO" sheetId="8" r:id="rId8"/>
  </sheets>
  <externalReferences>
    <externalReference r:id="rId11"/>
  </externalReferences>
  <definedNames>
    <definedName name="_xlnm.Print_Area" localSheetId="1">'LI-05 (1)'!$A$1:$AE$41</definedName>
    <definedName name="_xlnm.Print_Area" localSheetId="2">'LI-05 (2)'!$A$1:$AE$42</definedName>
    <definedName name="_xlnm.Print_Area" localSheetId="3">'LI-05 (3)'!$A$1:$AE$46</definedName>
    <definedName name="_xlnm.Print_Area" localSheetId="5">'SA-05 (1)'!$A$1:$W$46</definedName>
    <definedName name="_xlnm.Print_Area" localSheetId="4">'T-05 (1)'!$A$1:$AD$46</definedName>
    <definedName name="_xlnm.Print_Area" localSheetId="6">'TASA FALLA'!$A$1:$W$126</definedName>
    <definedName name="DD" localSheetId="6">'TASA FALLA'!DD</definedName>
    <definedName name="DD">[0]!DD</definedName>
    <definedName name="DDD" localSheetId="6">'TASA FALLA'!DDD</definedName>
    <definedName name="DDD">[0]!DDD</definedName>
    <definedName name="DISTROCUYO" localSheetId="6">'TASA FALLA'!DISTROCUYO</definedName>
    <definedName name="DISTROCUYO">[0]!DISTROCUYO</definedName>
    <definedName name="INICIO" localSheetId="6">'TASA FALLA'!INICIO</definedName>
    <definedName name="INICIO">[0]!INICIO</definedName>
    <definedName name="INICIOTI" localSheetId="6">'TASA FALLA'!INICIOTI</definedName>
    <definedName name="INICIOTI">[0]!INICIOTI</definedName>
    <definedName name="LINEAASTI2" localSheetId="6">'TASA FALLA'!LINEAASTI2</definedName>
    <definedName name="LINEAASTI2">[0]!LINEAASTI2</definedName>
    <definedName name="LINEAS" localSheetId="6">'TASA FALLA'!LINEAS</definedName>
    <definedName name="LINEAS">[0]!LINEAS</definedName>
    <definedName name="LINEASTI" localSheetId="6">'TASA FALLA'!LINEASTI</definedName>
    <definedName name="LINEASTI">[0]!LINEASTI</definedName>
    <definedName name="NAME_L" localSheetId="6">'TASA FALLA'!NAME_L</definedName>
    <definedName name="NAME_L">[0]!NAME_L</definedName>
    <definedName name="NAME_L_TI" localSheetId="6">'TASA FALLA'!NAME_L_TI</definedName>
    <definedName name="NAME_L_TI">[0]!NAME_L_TI</definedName>
    <definedName name="QINOR">#REF!</definedName>
    <definedName name="QISUR" localSheetId="6">#REF!</definedName>
    <definedName name="TRANSNOA" localSheetId="6">'TASA FALLA'!TRANSNOA</definedName>
    <definedName name="TRANSNOA">[0]!TRANSNOA</definedName>
    <definedName name="TRANSPA" localSheetId="6">'TASA FALLA'!TRANSPA</definedName>
    <definedName name="TRANSPA">[0]!TRANSPA</definedName>
  </definedNames>
  <calcPr fullCalcOnLoad="1"/>
</workbook>
</file>

<file path=xl/sharedStrings.xml><?xml version="1.0" encoding="utf-8"?>
<sst xmlns="http://schemas.openxmlformats.org/spreadsheetml/2006/main" count="468" uniqueCount="200">
  <si>
    <t>PRESTADOR DE LA FUNCIÓN TÉCNICA DE TRANSPORTE DE ENERGÍA ELÉCTRICA</t>
  </si>
  <si>
    <t>TIPO</t>
  </si>
  <si>
    <t xml:space="preserve">ENTE NACIONAL REGULADOR </t>
  </si>
  <si>
    <t>DE LA ELECTRICIDAD</t>
  </si>
  <si>
    <t>1.-</t>
  </si>
  <si>
    <t>LÍNEAS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</si>
  <si>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</si>
  <si>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</si>
  <si>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</si>
  <si>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</si>
  <si>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</si>
  <si>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</si>
  <si>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</si>
  <si>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1.- LÍNEAS</t>
  </si>
  <si>
    <t xml:space="preserve">$/100 km-h : LÍNEAS 220 kV </t>
  </si>
  <si>
    <r>
      <t xml:space="preserve">$/100 km-h : LÍNEAS  </t>
    </r>
    <r>
      <rPr>
        <sz val="10"/>
        <rFont val="Symbol"/>
        <family val="1"/>
      </rPr>
      <t>£</t>
    </r>
    <r>
      <rPr>
        <sz val="10"/>
        <rFont val="MS Sans Serif"/>
        <family val="2"/>
      </rPr>
      <t xml:space="preserve"> 132 kV </t>
    </r>
  </si>
  <si>
    <t xml:space="preserve">$/100 km-h : CABLES 220 kV </t>
  </si>
  <si>
    <t>FACTOR DE PENALIZACIÓN  K =</t>
  </si>
  <si>
    <r>
      <t xml:space="preserve">$/100 km-h : CABLES  </t>
    </r>
    <r>
      <rPr>
        <sz val="10"/>
        <rFont val="Symbol"/>
        <family val="1"/>
      </rPr>
      <t>£</t>
    </r>
    <r>
      <rPr>
        <sz val="10"/>
        <rFont val="MS Sans Serif"/>
        <family val="2"/>
      </rPr>
      <t xml:space="preserve"> 132 kV </t>
    </r>
  </si>
  <si>
    <t>N°</t>
  </si>
  <si>
    <t>U
[kV]</t>
  </si>
  <si>
    <t>Long.
[km]</t>
  </si>
  <si>
    <t>$/h</t>
  </si>
  <si>
    <t>Salida</t>
  </si>
  <si>
    <t>Entrada</t>
  </si>
  <si>
    <t>Minutos
Indisp.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</si>
  <si>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</si>
  <si>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t>PENALIZ.
PROGRAM.</t>
  </si>
  <si>
    <t>REDUCC.
PROGRAM.</t>
  </si>
  <si>
    <t>RESTANTE
FORZADA</t>
  </si>
  <si>
    <t>REDUCC.
RESTANTE</t>
  </si>
  <si>
    <t>Informó
en Térm.</t>
  </si>
  <si>
    <t>TOTAL
PENALIZAC.</t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</si>
  <si>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</si>
  <si>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</si>
  <si>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</si>
  <si>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</si>
  <si>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</si>
  <si>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</si>
  <si>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</si>
  <si>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</si>
  <si>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</si>
  <si>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</si>
  <si>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</si>
  <si>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</si>
  <si>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</si>
  <si>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EDESUR</t>
  </si>
  <si>
    <t>EDELAP</t>
  </si>
  <si>
    <t>%
Línea</t>
  </si>
  <si>
    <t>Hs. 
Indisp</t>
  </si>
  <si>
    <t>C.R.
%</t>
  </si>
  <si>
    <t>PENALIZAC.
PROGRAM.</t>
  </si>
  <si>
    <t>PENALIZACIÓN FORZADA
Por Salida    1ras. 3 hs.   Hs. Restantes</t>
  </si>
  <si>
    <t>REDUCC. FORZADA
Por Salida    1ras. 3 hs.   Hs. Restantes</t>
  </si>
  <si>
    <t>2.- CONEXIÓN</t>
  </si>
  <si>
    <t>2.1.- Transformación</t>
  </si>
  <si>
    <t xml:space="preserve">Por Transformador por MVA    $ </t>
  </si>
  <si>
    <t xml:space="preserve">Coeficiente de penalización por salida forzada   </t>
  </si>
  <si>
    <t>ESTACIÓN 
TRANSFORMADORA</t>
  </si>
  <si>
    <t>EQUIPO</t>
  </si>
  <si>
    <t>POT.
[MVA]</t>
  </si>
  <si>
    <t>Hs
Indisp.</t>
  </si>
  <si>
    <t>Minutos.
Indisp.</t>
  </si>
  <si>
    <t>AUT.</t>
  </si>
  <si>
    <t>C.R
%</t>
  </si>
  <si>
    <t>E.N.S.</t>
  </si>
  <si>
    <t>K (P;ENS)</t>
  </si>
  <si>
    <t>PENALIZACIÓN FORZADA
Por Salida     Hs. Restantes</t>
  </si>
  <si>
    <t>REDUCC. FORZADA
Por Salida     Hs. Restantes</t>
  </si>
  <si>
    <t>2.2.- Salidas</t>
  </si>
  <si>
    <t>Salida en 220 kV</t>
  </si>
  <si>
    <t xml:space="preserve">Salida en 132 kV o 66 kV </t>
  </si>
  <si>
    <t xml:space="preserve">Salida en 33 kV </t>
  </si>
  <si>
    <t>Salida en 13,2 kV</t>
  </si>
  <si>
    <t>K</t>
  </si>
  <si>
    <t>Valores remuneratorios según Res. ENRE N° 618/01</t>
  </si>
  <si>
    <t>PAFTT</t>
  </si>
  <si>
    <t>EDENOR</t>
  </si>
  <si>
    <t>INDISP</t>
  </si>
  <si>
    <t>ID EQUIPO</t>
  </si>
  <si>
    <t>Mes</t>
  </si>
  <si>
    <t>Dia</t>
  </si>
  <si>
    <t>Año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</si>
  <si>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</si>
  <si>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</si>
  <si>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</si>
  <si>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</si>
  <si>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</si>
  <si>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</si>
  <si>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</si>
  <si>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</si>
  <si>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</si>
  <si>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</si>
  <si>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</si>
  <si>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</si>
  <si>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Total</t>
  </si>
  <si>
    <t>B14</t>
  </si>
  <si>
    <t>Hoja</t>
  </si>
  <si>
    <t>FilaInicio</t>
  </si>
  <si>
    <t>FilasPlantilla</t>
  </si>
  <si>
    <t>Columnas</t>
  </si>
  <si>
    <t>NombreHoja</t>
  </si>
  <si>
    <t>OrigenDeDatos</t>
  </si>
  <si>
    <t>Col00</t>
  </si>
  <si>
    <t>Col01</t>
  </si>
  <si>
    <t>Col02</t>
  </si>
  <si>
    <t>Col03</t>
  </si>
  <si>
    <t>Col04</t>
  </si>
  <si>
    <t>Col05</t>
  </si>
  <si>
    <t>Col06</t>
  </si>
  <si>
    <t>Col07</t>
  </si>
  <si>
    <t>Col08</t>
  </si>
  <si>
    <t>Col09</t>
  </si>
  <si>
    <t>Col10</t>
  </si>
  <si>
    <t>Col11</t>
  </si>
  <si>
    <t>Col12</t>
  </si>
  <si>
    <t>Col13</t>
  </si>
  <si>
    <t>Col14</t>
  </si>
  <si>
    <t>Col15</t>
  </si>
  <si>
    <t>FILHTOTAL</t>
  </si>
  <si>
    <t>COLHTOTAL</t>
  </si>
  <si>
    <t>FILHCALC</t>
  </si>
  <si>
    <t>COLHCALC</t>
  </si>
  <si>
    <t>FILTRANSP</t>
  </si>
  <si>
    <t>COLTRANSP</t>
  </si>
  <si>
    <t>COL TSAL</t>
  </si>
  <si>
    <t>MODELO VST</t>
  </si>
  <si>
    <t>MODELO T</t>
  </si>
  <si>
    <t>MODELO L</t>
  </si>
  <si>
    <t>MODELO S</t>
  </si>
  <si>
    <t>CCP</t>
  </si>
  <si>
    <t>NUM</t>
  </si>
  <si>
    <t>Desde el 01 al 31 de mayo de 2010</t>
  </si>
  <si>
    <t>COSTANERA AZOPARDO</t>
  </si>
  <si>
    <t>C</t>
  </si>
  <si>
    <t>P</t>
  </si>
  <si>
    <t>SI</t>
  </si>
  <si>
    <t>F</t>
  </si>
  <si>
    <t>LC</t>
  </si>
  <si>
    <t>DOCK SUD  QUILMES   LC 2</t>
  </si>
  <si>
    <t>BOSQUES  QUILMES 1</t>
  </si>
  <si>
    <t xml:space="preserve">BOSQUES          ABASTO           </t>
  </si>
  <si>
    <t>L</t>
  </si>
  <si>
    <t>DOCK SUD  SOBRAL    LC 1</t>
  </si>
  <si>
    <t xml:space="preserve">DOCK SUD         CITY BELL       </t>
  </si>
  <si>
    <t xml:space="preserve">COSTANERA        DOCK SUD          </t>
  </si>
  <si>
    <t>EZEIZA    MORENO</t>
  </si>
  <si>
    <t>AZOPARDO PUERTO NUEVO C 2</t>
  </si>
  <si>
    <t xml:space="preserve">DOCK SUD         CORINA          </t>
  </si>
  <si>
    <t>ESCALADA         ALTE. BROWN     CA 2</t>
  </si>
  <si>
    <t>COSTANERA   P. MORENO   1</t>
  </si>
  <si>
    <t>AZOPARDO         COSTANERA         1</t>
  </si>
  <si>
    <t>BOSQUES          MTE. CHINGOLO     1</t>
  </si>
  <si>
    <t xml:space="preserve">COSTANERA        DOCK SUD         </t>
  </si>
  <si>
    <t xml:space="preserve">AZOPARDO         PUERTO NUEVO 2    </t>
  </si>
  <si>
    <t>A. BROWN - TRANSRADIO 2</t>
  </si>
  <si>
    <t>BOSQUES          SOBRAL      2</t>
  </si>
  <si>
    <t>DOCK SUD  SOBRAL    LC 2</t>
  </si>
  <si>
    <t>A. BROWN - TRANSRADIO 1</t>
  </si>
  <si>
    <t>COSTANERA   P. MORENO   2</t>
  </si>
  <si>
    <t>NUEVO PUERTO AZCUENAGA 1</t>
  </si>
  <si>
    <t xml:space="preserve">PERITO MORENO    NUEVA POMPEYA </t>
  </si>
  <si>
    <t xml:space="preserve">ABASTO          </t>
  </si>
  <si>
    <t xml:space="preserve">  TR2</t>
  </si>
  <si>
    <t>0,000</t>
  </si>
  <si>
    <t xml:space="preserve">ABASTO </t>
  </si>
  <si>
    <t>LA PLATA 56</t>
  </si>
  <si>
    <t>(ANGELETTI) ALTE. BROWN - GLEW</t>
  </si>
  <si>
    <t>DOCK SUD     DON BOSCO 2 (MACIEL)</t>
  </si>
  <si>
    <t>BOSQUES  QUILMES 2</t>
  </si>
  <si>
    <t>ALTE. BROWN -GLEW (ANGELETTI)</t>
  </si>
  <si>
    <t>(RECONQUISTA) AZOPARDO NUEVO PUERTO   1</t>
  </si>
  <si>
    <t>(RECONQUISTA) AZOPARDO NUEVO PUERTO   3</t>
  </si>
  <si>
    <t>N. PUERTO - AZCUENAGA 2</t>
  </si>
  <si>
    <t>N.PUERTO - AZCUENAGA 2</t>
  </si>
  <si>
    <t xml:space="preserve">PMORENO LURO.GBA 1 </t>
  </si>
  <si>
    <t>COSTANERA   P. MORENO   1 (CONSTITUCIÓN)</t>
  </si>
  <si>
    <t>P. MORENO        MATANZA      1 (AUTODROMO)</t>
  </si>
  <si>
    <t>BOSQUES          MTE. CHINGOLO     2</t>
  </si>
  <si>
    <t>EZEIZA    MORENO (PI.TRANSRADIO - TRANSRADIO)</t>
  </si>
  <si>
    <t>EZEIZA    MORENO (EMP.P.MORENO - TRANSRADIO)</t>
  </si>
  <si>
    <t>COSTANERA - GURMENDI</t>
  </si>
  <si>
    <t>NUEVO PUERTO AZCUENAGA 2</t>
  </si>
  <si>
    <t xml:space="preserve"> 500/220/132</t>
  </si>
  <si>
    <t>222088 / 222089</t>
  </si>
  <si>
    <t>P - PROGRAMADA  ;  F - FORZADA</t>
  </si>
  <si>
    <t>P - PROGRAMADA</t>
  </si>
  <si>
    <t>EDESUR S.A.</t>
  </si>
  <si>
    <t>INDISPONIBILIDADES FORZADAS DE LÍNEAS - TASA DE FALLA</t>
  </si>
  <si>
    <t>Correspondiente al mes de mayo de 2010 (provisoria)</t>
  </si>
  <si>
    <t>%</t>
  </si>
  <si>
    <t xml:space="preserve">Longitud Total </t>
  </si>
  <si>
    <t xml:space="preserve">Indisponibilidades Forzadas </t>
  </si>
  <si>
    <t xml:space="preserve">TASA DE FALLA </t>
  </si>
  <si>
    <t xml:space="preserve"> Valores Provisorios</t>
  </si>
  <si>
    <t>TASA DE FALLA</t>
  </si>
  <si>
    <t>SALIDAS x AÑO / 100 km</t>
  </si>
  <si>
    <t>TOTAL DE PENALIZACIONES</t>
  </si>
  <si>
    <t>RF</t>
  </si>
  <si>
    <t>ANEXO III a la Resolución AAANR Nº  51 / 2011</t>
  </si>
</sst>
</file>

<file path=xl/styles.xml><?xml version="1.0" encoding="utf-8"?>
<styleSheet xmlns="http://schemas.openxmlformats.org/spreadsheetml/2006/main">
  <numFmts count="5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_)"/>
    <numFmt numFmtId="165" formatCode="0.0_)"/>
    <numFmt numFmtId="166" formatCode="0.0000000_)"/>
    <numFmt numFmtId="167" formatCode="#,##0.0000"/>
    <numFmt numFmtId="168" formatCode="0.00_)"/>
    <numFmt numFmtId="169" formatCode="0.0"/>
    <numFmt numFmtId="170" formatCode="&quot;$&quot;\ #,##0.000;&quot;$&quot;\ \-#,##0.000"/>
    <numFmt numFmtId="171" formatCode="#,##0.0"/>
    <numFmt numFmtId="172" formatCode="0.000"/>
    <numFmt numFmtId="173" formatCode="0.00\ &quot;km&quot;"/>
    <numFmt numFmtId="174" formatCode="dd/mm/yy"/>
    <numFmt numFmtId="175" formatCode="mmm\-yyyy"/>
    <numFmt numFmtId="176" formatCode="dd\-mm\-yy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&quot;$&quot;#,##0.00\ ;&quot;$&quot;\-#,##0.00\ "/>
    <numFmt numFmtId="186" formatCode="0.0\ \k\V"/>
    <numFmt numFmtId="187" formatCode="0.00\ &quot;MVA&quot;"/>
    <numFmt numFmtId="188" formatCode="mmmm\ d\,\ yyyy"/>
    <numFmt numFmtId="189" formatCode="#,##0\ &quot;€&quot;;\-#,##0\ &quot;€&quot;"/>
    <numFmt numFmtId="190" formatCode="#,##0\ &quot;€&quot;;[Red]\-#,##0\ &quot;€&quot;"/>
    <numFmt numFmtId="191" formatCode="#,##0.00\ &quot;€&quot;;\-#,##0.00\ &quot;€&quot;"/>
    <numFmt numFmtId="192" formatCode="#,##0.00\ &quot;€&quot;;[Red]\-#,##0.00\ &quot;€&quot;"/>
    <numFmt numFmtId="193" formatCode="_-* #,##0\ &quot;€&quot;_-;\-* #,##0\ &quot;€&quot;_-;_-* &quot;-&quot;\ &quot;€&quot;_-;_-@_-"/>
    <numFmt numFmtId="194" formatCode="_-* #,##0\ _€_-;\-* #,##0\ _€_-;_-* &quot;-&quot;\ _€_-;_-@_-"/>
    <numFmt numFmtId="195" formatCode="_-* #,##0.00\ &quot;€&quot;_-;\-* #,##0.00\ &quot;€&quot;_-;_-* &quot;-&quot;??\ &quot;€&quot;_-;_-@_-"/>
    <numFmt numFmtId="196" formatCode="_-* #,##0.00\ _€_-;\-* #,##0.00\ _€_-;_-* &quot;-&quot;??\ _€_-;_-@_-"/>
    <numFmt numFmtId="197" formatCode="0.0%"/>
    <numFmt numFmtId="198" formatCode="0.0000"/>
    <numFmt numFmtId="199" formatCode="0.000_)"/>
    <numFmt numFmtId="200" formatCode="#,##0.00000"/>
    <numFmt numFmtId="201" formatCode="#,##0.0_);[Red]\(#,##0.0\)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&quot;$&quot;\ #,##0.0000;[Red]&quot;$&quot;\ \-#,##0.0000"/>
  </numFmts>
  <fonts count="8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u val="single"/>
      <sz val="16"/>
      <name val="Times New Roman"/>
      <family val="1"/>
    </font>
    <font>
      <sz val="16"/>
      <name val="Times New Roman"/>
      <family val="1"/>
    </font>
    <font>
      <b/>
      <u val="double"/>
      <sz val="16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name val="MS Sans Serif"/>
      <family val="2"/>
    </font>
    <font>
      <sz val="20"/>
      <name val="MS Sans Serif"/>
      <family val="0"/>
    </font>
    <font>
      <b/>
      <sz val="20"/>
      <name val="Times New Roman"/>
      <family val="1"/>
    </font>
    <font>
      <sz val="16"/>
      <name val="MS Sans Serif"/>
      <family val="0"/>
    </font>
    <font>
      <sz val="12"/>
      <name val="Times New Roman"/>
      <family val="1"/>
    </font>
    <font>
      <sz val="10"/>
      <name val="Symbol"/>
      <family val="1"/>
    </font>
    <font>
      <sz val="7"/>
      <name val="Times New Roman"/>
      <family val="1"/>
    </font>
    <font>
      <sz val="7"/>
      <name val="Wingdings"/>
      <family val="0"/>
    </font>
    <font>
      <sz val="7"/>
      <name val="Courier New"/>
      <family val="3"/>
    </font>
    <font>
      <sz val="7"/>
      <color indexed="12"/>
      <name val="Times New Roman"/>
      <family val="1"/>
    </font>
    <font>
      <sz val="7"/>
      <color indexed="10"/>
      <name val="Times New Roman"/>
      <family val="1"/>
    </font>
    <font>
      <sz val="10"/>
      <name val="Wingdings"/>
      <family val="0"/>
    </font>
    <font>
      <b/>
      <u val="single"/>
      <sz val="14"/>
      <name val="Times New Roman"/>
      <family val="1"/>
    </font>
    <font>
      <sz val="11"/>
      <color indexed="48"/>
      <name val="MS Sans Serif"/>
      <family val="2"/>
    </font>
    <font>
      <sz val="10"/>
      <color indexed="48"/>
      <name val="Times New Roman"/>
      <family val="1"/>
    </font>
    <font>
      <b/>
      <sz val="10"/>
      <color indexed="12"/>
      <name val="Times New Roman"/>
      <family val="0"/>
    </font>
    <font>
      <b/>
      <sz val="10"/>
      <color indexed="10"/>
      <name val="Times New Roman"/>
      <family val="0"/>
    </font>
    <font>
      <sz val="11"/>
      <color indexed="10"/>
      <name val="MS Sans Serif"/>
      <family val="2"/>
    </font>
    <font>
      <sz val="10"/>
      <color indexed="10"/>
      <name val="MS Sans Serif"/>
      <family val="2"/>
    </font>
    <font>
      <b/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1"/>
      <color indexed="9"/>
      <name val="MS Sans Serif"/>
      <family val="2"/>
    </font>
    <font>
      <b/>
      <i/>
      <sz val="10"/>
      <name val="Times New Roman"/>
      <family val="1"/>
    </font>
    <font>
      <sz val="10"/>
      <name val="Arial"/>
      <family val="0"/>
    </font>
    <font>
      <sz val="10"/>
      <color indexed="18"/>
      <name val="Times New Roman"/>
      <family val="1"/>
    </font>
    <font>
      <b/>
      <sz val="12"/>
      <name val="MS Sans Serif"/>
      <family val="0"/>
    </font>
    <font>
      <b/>
      <u val="double"/>
      <sz val="14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sz val="11"/>
      <color indexed="12"/>
      <name val="MS Sans Serif"/>
      <family val="2"/>
    </font>
    <font>
      <sz val="11"/>
      <color indexed="16"/>
      <name val="MS Sans Serif"/>
      <family val="2"/>
    </font>
    <font>
      <sz val="10"/>
      <color indexed="16"/>
      <name val="MS Sans Serif"/>
      <family val="0"/>
    </font>
    <font>
      <b/>
      <sz val="10"/>
      <color indexed="16"/>
      <name val="Times New Roman"/>
      <family val="0"/>
    </font>
    <font>
      <sz val="8.5"/>
      <name val="Times New Roman"/>
      <family val="1"/>
    </font>
    <font>
      <b/>
      <sz val="12"/>
      <name val="Times New Roman"/>
      <family val="0"/>
    </font>
    <font>
      <sz val="7"/>
      <name val="MS Sans Serif"/>
      <family val="0"/>
    </font>
    <font>
      <b/>
      <sz val="7"/>
      <name val="Times New Roman"/>
      <family val="0"/>
    </font>
    <font>
      <b/>
      <sz val="16"/>
      <name val="Times New Roman"/>
      <family val="1"/>
    </font>
    <font>
      <b/>
      <i/>
      <u val="single"/>
      <sz val="12"/>
      <name val="Times New Roman"/>
      <family val="1"/>
    </font>
    <font>
      <sz val="11"/>
      <color indexed="58"/>
      <name val="MS Sans Serif"/>
      <family val="2"/>
    </font>
    <font>
      <b/>
      <sz val="10"/>
      <color indexed="58"/>
      <name val="Times New Roman"/>
      <family val="0"/>
    </font>
    <font>
      <b/>
      <sz val="10"/>
      <color indexed="48"/>
      <name val="Times New Roman"/>
      <family val="0"/>
    </font>
    <font>
      <sz val="7"/>
      <name val="Arial"/>
      <family val="0"/>
    </font>
    <font>
      <b/>
      <u val="single"/>
      <sz val="10"/>
      <name val="Arial"/>
      <family val="0"/>
    </font>
    <font>
      <sz val="11"/>
      <color indexed="56"/>
      <name val="MS Sans Serif"/>
      <family val="2"/>
    </font>
    <font>
      <sz val="11"/>
      <color indexed="26"/>
      <name val="MS Sans Serif"/>
      <family val="2"/>
    </font>
    <font>
      <b/>
      <sz val="10"/>
      <color indexed="56"/>
      <name val="Times New Roman"/>
      <family val="0"/>
    </font>
    <font>
      <b/>
      <sz val="10"/>
      <color indexed="26"/>
      <name val="Times New Roman"/>
      <family val="0"/>
    </font>
    <font>
      <i/>
      <sz val="10"/>
      <name val="Times New Roman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MS Sans Serif"/>
      <family val="2"/>
    </font>
    <font>
      <sz val="10"/>
      <color indexed="50"/>
      <name val="MS Sans Serif"/>
      <family val="2"/>
    </font>
    <font>
      <sz val="10"/>
      <color indexed="9"/>
      <name val="MS Sans Serif"/>
      <family val="0"/>
    </font>
    <font>
      <b/>
      <sz val="12"/>
      <name val="Arial"/>
      <family val="0"/>
    </font>
    <font>
      <sz val="11"/>
      <name val="Arial Narrow"/>
      <family val="2"/>
    </font>
    <font>
      <b/>
      <sz val="10"/>
      <name val="Arial"/>
      <family val="0"/>
    </font>
    <font>
      <b/>
      <sz val="14"/>
      <name val="Arial"/>
      <family val="2"/>
    </font>
    <font>
      <b/>
      <i/>
      <sz val="12"/>
      <name val="Times New Roman"/>
      <family val="1"/>
    </font>
    <font>
      <sz val="10"/>
      <color indexed="10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gray0625"/>
    </fill>
  </fills>
  <borders count="39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 style="double"/>
      <right style="double"/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9" fontId="0" fillId="0" borderId="0" applyFont="0" applyFill="0" applyBorder="0" applyAlignment="0" applyProtection="0"/>
  </cellStyleXfs>
  <cellXfs count="530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7" fontId="7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13" fillId="0" borderId="0" xfId="0" applyFont="1" applyBorder="1" applyAlignment="1">
      <alignment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8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15" fillId="0" borderId="0" xfId="0" applyFont="1" applyAlignment="1">
      <alignment/>
    </xf>
    <xf numFmtId="0" fontId="16" fillId="0" borderId="0" xfId="0" applyFont="1" applyAlignment="1">
      <alignment horizontal="centerContinuous"/>
    </xf>
    <xf numFmtId="0" fontId="20" fillId="0" borderId="0" xfId="0" applyFont="1" applyAlignment="1">
      <alignment/>
    </xf>
    <xf numFmtId="0" fontId="15" fillId="0" borderId="0" xfId="0" applyFont="1" applyAlignment="1">
      <alignment horizontal="centerContinuous"/>
    </xf>
    <xf numFmtId="0" fontId="13" fillId="0" borderId="0" xfId="0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8" fillId="0" borderId="1" xfId="0" applyFont="1" applyBorder="1" applyAlignment="1">
      <alignment/>
    </xf>
    <xf numFmtId="0" fontId="19" fillId="0" borderId="0" xfId="0" applyFont="1" applyFill="1" applyBorder="1" applyAlignment="1" applyProtection="1">
      <alignment horizontal="centerContinuous"/>
      <protection/>
    </xf>
    <xf numFmtId="0" fontId="22" fillId="0" borderId="0" xfId="0" applyFont="1" applyAlignment="1">
      <alignment horizontal="centerContinuous"/>
    </xf>
    <xf numFmtId="0" fontId="20" fillId="0" borderId="0" xfId="0" applyNumberFormat="1" applyFont="1" applyAlignment="1">
      <alignment horizontal="left"/>
    </xf>
    <xf numFmtId="0" fontId="20" fillId="0" borderId="0" xfId="0" applyFont="1" applyBorder="1" applyAlignment="1">
      <alignment/>
    </xf>
    <xf numFmtId="0" fontId="23" fillId="0" borderId="0" xfId="0" applyFont="1" applyFill="1" applyBorder="1" applyAlignment="1" applyProtection="1">
      <alignment horizontal="left"/>
      <protection/>
    </xf>
    <xf numFmtId="0" fontId="15" fillId="0" borderId="0" xfId="0" applyFont="1" applyBorder="1" applyAlignment="1">
      <alignment/>
    </xf>
    <xf numFmtId="0" fontId="24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3" fillId="0" borderId="0" xfId="0" applyFont="1" applyBorder="1" applyAlignment="1">
      <alignment horizontal="centerContinuous"/>
    </xf>
    <xf numFmtId="0" fontId="12" fillId="0" borderId="0" xfId="0" applyFont="1" applyAlignment="1">
      <alignment horizontal="centerContinuous"/>
    </xf>
    <xf numFmtId="0" fontId="17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3" xfId="0" applyFont="1" applyBorder="1" applyAlignment="1">
      <alignment/>
    </xf>
    <xf numFmtId="0" fontId="25" fillId="0" borderId="4" xfId="0" applyFont="1" applyBorder="1" applyAlignment="1">
      <alignment/>
    </xf>
    <xf numFmtId="0" fontId="9" fillId="0" borderId="2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8" fillId="0" borderId="0" xfId="0" applyNumberFormat="1" applyFont="1" applyAlignment="1">
      <alignment horizontal="centerContinuous"/>
    </xf>
    <xf numFmtId="0" fontId="8" fillId="0" borderId="1" xfId="0" applyFont="1" applyBorder="1" applyAlignment="1">
      <alignment horizontal="centerContinuous"/>
    </xf>
    <xf numFmtId="0" fontId="7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0" fontId="7" fillId="0" borderId="5" xfId="0" applyFont="1" applyBorder="1" applyAlignment="1">
      <alignment horizontal="center"/>
    </xf>
    <xf numFmtId="7" fontId="7" fillId="0" borderId="6" xfId="0" applyNumberFormat="1" applyFont="1" applyBorder="1" applyAlignment="1">
      <alignment horizontal="center"/>
    </xf>
    <xf numFmtId="0" fontId="25" fillId="0" borderId="7" xfId="0" applyFont="1" applyBorder="1" applyAlignment="1">
      <alignment/>
    </xf>
    <xf numFmtId="0" fontId="25" fillId="0" borderId="8" xfId="0" applyFont="1" applyBorder="1" applyAlignment="1">
      <alignment/>
    </xf>
    <xf numFmtId="0" fontId="25" fillId="0" borderId="9" xfId="0" applyFont="1" applyBorder="1" applyAlignment="1">
      <alignment/>
    </xf>
    <xf numFmtId="0" fontId="33" fillId="0" borderId="0" xfId="0" applyFont="1" applyBorder="1" applyAlignment="1">
      <alignment horizontal="centerContinuous"/>
    </xf>
    <xf numFmtId="0" fontId="7" fillId="0" borderId="0" xfId="0" applyNumberFormat="1" applyFont="1" applyBorder="1" applyAlignment="1">
      <alignment horizontal="centerContinuous"/>
    </xf>
    <xf numFmtId="0" fontId="41" fillId="0" borderId="10" xfId="0" applyFont="1" applyBorder="1" applyAlignment="1">
      <alignment/>
    </xf>
    <xf numFmtId="0" fontId="43" fillId="0" borderId="0" xfId="0" applyFont="1" applyAlignment="1">
      <alignment horizontal="right" vertical="top"/>
    </xf>
    <xf numFmtId="0" fontId="6" fillId="0" borderId="0" xfId="22" applyFont="1" applyBorder="1" applyAlignment="1" applyProtection="1">
      <alignment horizontal="center"/>
      <protection/>
    </xf>
    <xf numFmtId="2" fontId="6" fillId="0" borderId="0" xfId="22" applyNumberFormat="1" applyFont="1" applyBorder="1" applyAlignment="1" applyProtection="1">
      <alignment horizontal="center"/>
      <protection/>
    </xf>
    <xf numFmtId="0" fontId="41" fillId="0" borderId="3" xfId="22" applyFont="1" applyBorder="1">
      <alignment/>
      <protection/>
    </xf>
    <xf numFmtId="0" fontId="19" fillId="0" borderId="0" xfId="22" applyFont="1" applyBorder="1" applyAlignment="1" applyProtection="1">
      <alignment horizontal="centerContinuous"/>
      <protection/>
    </xf>
    <xf numFmtId="0" fontId="13" fillId="0" borderId="0" xfId="22" applyFont="1" applyBorder="1" applyProtection="1">
      <alignment/>
      <protection/>
    </xf>
    <xf numFmtId="0" fontId="0" fillId="0" borderId="0" xfId="22" applyBorder="1" applyProtection="1">
      <alignment/>
      <protection/>
    </xf>
    <xf numFmtId="0" fontId="8" fillId="0" borderId="0" xfId="22" applyFont="1" applyBorder="1" applyAlignment="1" applyProtection="1">
      <alignment horizontal="centerContinuous"/>
      <protection/>
    </xf>
    <xf numFmtId="0" fontId="46" fillId="0" borderId="0" xfId="22" applyFont="1" applyBorder="1" applyProtection="1">
      <alignment/>
      <protection/>
    </xf>
    <xf numFmtId="0" fontId="0" fillId="0" borderId="0" xfId="22" applyBorder="1" applyAlignment="1" applyProtection="1">
      <alignment horizontal="center"/>
      <protection/>
    </xf>
    <xf numFmtId="0" fontId="0" fillId="0" borderId="0" xfId="22" applyFont="1" applyAlignment="1" applyProtection="1">
      <alignment/>
      <protection/>
    </xf>
    <xf numFmtId="0" fontId="21" fillId="0" borderId="11" xfId="22" applyFont="1" applyBorder="1" applyAlignment="1" applyProtection="1">
      <alignment horizontal="center" vertical="center"/>
      <protection/>
    </xf>
    <xf numFmtId="0" fontId="21" fillId="0" borderId="11" xfId="22" applyFont="1" applyBorder="1" applyAlignment="1" applyProtection="1">
      <alignment horizontal="center" vertical="center" wrapText="1"/>
      <protection/>
    </xf>
    <xf numFmtId="0" fontId="34" fillId="2" borderId="11" xfId="22" applyFont="1" applyFill="1" applyBorder="1" applyAlignment="1" applyProtection="1">
      <alignment horizontal="center" vertical="center"/>
      <protection/>
    </xf>
    <xf numFmtId="0" fontId="38" fillId="3" borderId="5" xfId="22" applyFont="1" applyFill="1" applyBorder="1" applyAlignment="1" applyProtection="1">
      <alignment horizontal="centerContinuous" vertical="center" wrapText="1"/>
      <protection/>
    </xf>
    <xf numFmtId="0" fontId="51" fillId="4" borderId="5" xfId="22" applyFont="1" applyFill="1" applyBorder="1" applyAlignment="1" applyProtection="1">
      <alignment horizontal="centerContinuous" vertical="center" wrapText="1"/>
      <protection/>
    </xf>
    <xf numFmtId="2" fontId="6" fillId="0" borderId="12" xfId="22" applyNumberFormat="1" applyFont="1" applyBorder="1" applyAlignment="1" applyProtection="1">
      <alignment horizontal="center"/>
      <protection/>
    </xf>
    <xf numFmtId="1" fontId="6" fillId="0" borderId="12" xfId="22" applyNumberFormat="1" applyFont="1" applyBorder="1" applyAlignment="1" applyProtection="1">
      <alignment horizontal="center"/>
      <protection/>
    </xf>
    <xf numFmtId="168" fontId="6" fillId="0" borderId="12" xfId="22" applyNumberFormat="1" applyFont="1" applyBorder="1" applyAlignment="1" applyProtection="1">
      <alignment horizontal="center"/>
      <protection locked="0"/>
    </xf>
    <xf numFmtId="168" fontId="6" fillId="0" borderId="12" xfId="22" applyNumberFormat="1" applyFont="1" applyBorder="1" applyAlignment="1" applyProtection="1" quotePrefix="1">
      <alignment horizontal="center"/>
      <protection locked="0"/>
    </xf>
    <xf numFmtId="2" fontId="36" fillId="5" borderId="12" xfId="22" applyNumberFormat="1" applyFont="1" applyFill="1" applyBorder="1" applyAlignment="1" applyProtection="1">
      <alignment horizontal="center"/>
      <protection locked="0"/>
    </xf>
    <xf numFmtId="2" fontId="40" fillId="6" borderId="12" xfId="22" applyNumberFormat="1" applyFont="1" applyFill="1" applyBorder="1" applyAlignment="1" applyProtection="1">
      <alignment horizontal="center"/>
      <protection locked="0"/>
    </xf>
    <xf numFmtId="168" fontId="37" fillId="3" borderId="13" xfId="22" applyNumberFormat="1" applyFont="1" applyFill="1" applyBorder="1" applyAlignment="1" applyProtection="1" quotePrefix="1">
      <alignment horizontal="center"/>
      <protection locked="0"/>
    </xf>
    <xf numFmtId="168" fontId="37" fillId="3" borderId="14" xfId="22" applyNumberFormat="1" applyFont="1" applyFill="1" applyBorder="1" applyAlignment="1" applyProtection="1" quotePrefix="1">
      <alignment horizontal="center"/>
      <protection locked="0"/>
    </xf>
    <xf numFmtId="4" fontId="37" fillId="3" borderId="15" xfId="22" applyNumberFormat="1" applyFont="1" applyFill="1" applyBorder="1" applyAlignment="1" applyProtection="1">
      <alignment horizontal="center"/>
      <protection locked="0"/>
    </xf>
    <xf numFmtId="168" fontId="53" fillId="4" borderId="13" xfId="22" applyNumberFormat="1" applyFont="1" applyFill="1" applyBorder="1" applyAlignment="1" applyProtection="1" quotePrefix="1">
      <alignment horizontal="center"/>
      <protection locked="0"/>
    </xf>
    <xf numFmtId="168" fontId="53" fillId="4" borderId="14" xfId="22" applyNumberFormat="1" applyFont="1" applyFill="1" applyBorder="1" applyAlignment="1" applyProtection="1" quotePrefix="1">
      <alignment horizontal="center"/>
      <protection locked="0"/>
    </xf>
    <xf numFmtId="4" fontId="53" fillId="4" borderId="15" xfId="22" applyNumberFormat="1" applyFont="1" applyFill="1" applyBorder="1" applyAlignment="1" applyProtection="1">
      <alignment horizontal="center"/>
      <protection locked="0"/>
    </xf>
    <xf numFmtId="4" fontId="40" fillId="7" borderId="12" xfId="22" applyNumberFormat="1" applyFont="1" applyFill="1" applyBorder="1" applyAlignment="1" applyProtection="1">
      <alignment horizontal="center"/>
      <protection locked="0"/>
    </xf>
    <xf numFmtId="4" fontId="40" fillId="8" borderId="12" xfId="22" applyNumberFormat="1" applyFont="1" applyFill="1" applyBorder="1" applyAlignment="1" applyProtection="1">
      <alignment horizontal="center"/>
      <protection locked="0"/>
    </xf>
    <xf numFmtId="168" fontId="35" fillId="2" borderId="16" xfId="22" applyNumberFormat="1" applyFont="1" applyFill="1" applyBorder="1" applyAlignment="1" applyProtection="1">
      <alignment horizontal="center"/>
      <protection/>
    </xf>
    <xf numFmtId="168" fontId="6" fillId="0" borderId="16" xfId="22" applyNumberFormat="1" applyFont="1" applyBorder="1" applyAlignment="1" applyProtection="1">
      <alignment horizontal="center"/>
      <protection/>
    </xf>
    <xf numFmtId="0" fontId="29" fillId="0" borderId="0" xfId="22" applyFont="1" applyBorder="1" applyAlignment="1" applyProtection="1">
      <alignment horizontal="left"/>
      <protection/>
    </xf>
    <xf numFmtId="168" fontId="54" fillId="0" borderId="0" xfId="22" applyNumberFormat="1" applyFont="1" applyBorder="1" applyAlignment="1" applyProtection="1">
      <alignment horizontal="center"/>
      <protection/>
    </xf>
    <xf numFmtId="168" fontId="6" fillId="0" borderId="0" xfId="22" applyNumberFormat="1" applyFont="1" applyBorder="1" applyAlignment="1" applyProtection="1">
      <alignment horizontal="center"/>
      <protection/>
    </xf>
    <xf numFmtId="168" fontId="6" fillId="0" borderId="0" xfId="22" applyNumberFormat="1" applyFont="1" applyBorder="1" applyAlignment="1" applyProtection="1" quotePrefix="1">
      <alignment horizontal="center"/>
      <protection/>
    </xf>
    <xf numFmtId="168" fontId="37" fillId="3" borderId="11" xfId="22" applyNumberFormat="1" applyFont="1" applyFill="1" applyBorder="1" applyAlignment="1" applyProtection="1" quotePrefix="1">
      <alignment horizontal="center"/>
      <protection/>
    </xf>
    <xf numFmtId="168" fontId="53" fillId="4" borderId="11" xfId="22" applyNumberFormat="1" applyFont="1" applyFill="1" applyBorder="1" applyAlignment="1" applyProtection="1" quotePrefix="1">
      <alignment horizontal="center"/>
      <protection/>
    </xf>
    <xf numFmtId="0" fontId="29" fillId="0" borderId="0" xfId="22" applyFont="1" applyBorder="1" applyAlignment="1" applyProtection="1">
      <alignment horizontal="left" vertical="top"/>
      <protection/>
    </xf>
    <xf numFmtId="0" fontId="27" fillId="0" borderId="0" xfId="22" applyFont="1" applyBorder="1" applyAlignment="1" applyProtection="1">
      <alignment horizontal="center"/>
      <protection/>
    </xf>
    <xf numFmtId="2" fontId="27" fillId="0" borderId="0" xfId="22" applyNumberFormat="1" applyFont="1" applyBorder="1" applyAlignment="1" applyProtection="1">
      <alignment horizontal="center"/>
      <protection/>
    </xf>
    <xf numFmtId="168" fontId="27" fillId="0" borderId="0" xfId="22" applyNumberFormat="1" applyFont="1" applyBorder="1" applyAlignment="1" applyProtection="1">
      <alignment horizontal="center"/>
      <protection/>
    </xf>
    <xf numFmtId="168" fontId="27" fillId="0" borderId="0" xfId="22" applyNumberFormat="1" applyFont="1" applyBorder="1" applyAlignment="1" applyProtection="1" quotePrefix="1">
      <alignment horizontal="center"/>
      <protection/>
    </xf>
    <xf numFmtId="168" fontId="31" fillId="0" borderId="0" xfId="22" applyNumberFormat="1" applyFont="1" applyBorder="1" applyAlignment="1" applyProtection="1" quotePrefix="1">
      <alignment horizontal="center"/>
      <protection/>
    </xf>
    <xf numFmtId="0" fontId="19" fillId="0" borderId="0" xfId="22" applyFont="1" applyFill="1" applyBorder="1" applyAlignment="1" applyProtection="1">
      <alignment horizontal="centerContinuous"/>
      <protection/>
    </xf>
    <xf numFmtId="0" fontId="13" fillId="0" borderId="0" xfId="22" applyFont="1" applyFill="1" applyBorder="1" applyProtection="1">
      <alignment/>
      <protection/>
    </xf>
    <xf numFmtId="0" fontId="13" fillId="0" borderId="0" xfId="22" applyFont="1" applyFill="1" applyBorder="1" applyAlignment="1" applyProtection="1">
      <alignment horizontal="left"/>
      <protection/>
    </xf>
    <xf numFmtId="164" fontId="13" fillId="0" borderId="0" xfId="22" applyNumberFormat="1" applyFont="1" applyFill="1" applyBorder="1" applyProtection="1">
      <alignment/>
      <protection/>
    </xf>
    <xf numFmtId="0" fontId="8" fillId="0" borderId="0" xfId="22" applyFont="1" applyFill="1" applyBorder="1" applyAlignment="1" applyProtection="1">
      <alignment horizontal="centerContinuous"/>
      <protection/>
    </xf>
    <xf numFmtId="164" fontId="8" fillId="0" borderId="0" xfId="22" applyNumberFormat="1" applyFont="1" applyFill="1" applyBorder="1" applyAlignment="1" applyProtection="1">
      <alignment horizontal="centerContinuous"/>
      <protection/>
    </xf>
    <xf numFmtId="0" fontId="0" fillId="0" borderId="5" xfId="22" applyFont="1" applyFill="1" applyBorder="1" applyAlignment="1" applyProtection="1">
      <alignment horizontal="left"/>
      <protection/>
    </xf>
    <xf numFmtId="0" fontId="0" fillId="0" borderId="17" xfId="22" applyFont="1" applyFill="1" applyBorder="1" applyAlignment="1" applyProtection="1">
      <alignment horizontal="center"/>
      <protection/>
    </xf>
    <xf numFmtId="0" fontId="0" fillId="0" borderId="5" xfId="22" applyFont="1" applyFill="1" applyBorder="1" applyAlignment="1" applyProtection="1" quotePrefix="1">
      <alignment horizontal="left"/>
      <protection/>
    </xf>
    <xf numFmtId="0" fontId="0" fillId="0" borderId="18" xfId="22" applyFont="1" applyFill="1" applyBorder="1" applyAlignment="1" applyProtection="1">
      <alignment horizontal="center"/>
      <protection/>
    </xf>
    <xf numFmtId="0" fontId="44" fillId="0" borderId="0" xfId="22" applyFont="1" applyFill="1" applyBorder="1" applyAlignment="1" applyProtection="1">
      <alignment horizontal="center"/>
      <protection/>
    </xf>
    <xf numFmtId="0" fontId="21" fillId="0" borderId="11" xfId="22" applyFont="1" applyFill="1" applyBorder="1" applyAlignment="1" applyProtection="1">
      <alignment horizontal="center" vertical="center" wrapText="1"/>
      <protection/>
    </xf>
    <xf numFmtId="0" fontId="21" fillId="0" borderId="11" xfId="22" applyFont="1" applyFill="1" applyBorder="1" applyAlignment="1" applyProtection="1">
      <alignment horizontal="center" vertical="center"/>
      <protection/>
    </xf>
    <xf numFmtId="0" fontId="21" fillId="0" borderId="11" xfId="22" applyFont="1" applyFill="1" applyBorder="1" applyAlignment="1" applyProtection="1" quotePrefix="1">
      <alignment horizontal="center" vertical="center" wrapText="1"/>
      <protection/>
    </xf>
    <xf numFmtId="0" fontId="50" fillId="2" borderId="11" xfId="22" applyFont="1" applyFill="1" applyBorder="1" applyAlignment="1" applyProtection="1">
      <alignment horizontal="center" vertical="center"/>
      <protection/>
    </xf>
    <xf numFmtId="0" fontId="60" fillId="9" borderId="5" xfId="22" applyFont="1" applyFill="1" applyBorder="1" applyAlignment="1" applyProtection="1">
      <alignment horizontal="centerContinuous" vertical="center" wrapText="1"/>
      <protection/>
    </xf>
    <xf numFmtId="0" fontId="42" fillId="10" borderId="5" xfId="22" applyFont="1" applyFill="1" applyBorder="1" applyAlignment="1" applyProtection="1">
      <alignment horizontal="centerContinuous" vertical="center" wrapText="1"/>
      <protection/>
    </xf>
    <xf numFmtId="2" fontId="6" fillId="0" borderId="12" xfId="22" applyNumberFormat="1" applyFont="1" applyFill="1" applyBorder="1" applyAlignment="1" applyProtection="1">
      <alignment horizontal="center"/>
      <protection/>
    </xf>
    <xf numFmtId="3" fontId="6" fillId="0" borderId="12" xfId="22" applyNumberFormat="1" applyFont="1" applyFill="1" applyBorder="1" applyAlignment="1" applyProtection="1">
      <alignment horizontal="center"/>
      <protection/>
    </xf>
    <xf numFmtId="168" fontId="6" fillId="0" borderId="12" xfId="22" applyNumberFormat="1" applyFont="1" applyFill="1" applyBorder="1" applyAlignment="1" applyProtection="1">
      <alignment horizontal="center"/>
      <protection locked="0"/>
    </xf>
    <xf numFmtId="168" fontId="6" fillId="0" borderId="12" xfId="22" applyNumberFormat="1" applyFont="1" applyFill="1" applyBorder="1" applyAlignment="1" applyProtection="1" quotePrefix="1">
      <alignment horizontal="center"/>
      <protection locked="0"/>
    </xf>
    <xf numFmtId="4" fontId="36" fillId="2" borderId="12" xfId="22" applyNumberFormat="1" applyFont="1" applyFill="1" applyBorder="1" applyAlignment="1" applyProtection="1">
      <alignment horizontal="center"/>
      <protection locked="0"/>
    </xf>
    <xf numFmtId="2" fontId="40" fillId="3" borderId="12" xfId="22" applyNumberFormat="1" applyFont="1" applyFill="1" applyBorder="1" applyAlignment="1" applyProtection="1">
      <alignment horizontal="center"/>
      <protection locked="0"/>
    </xf>
    <xf numFmtId="2" fontId="40" fillId="11" borderId="12" xfId="22" applyNumberFormat="1" applyFont="1" applyFill="1" applyBorder="1" applyAlignment="1" applyProtection="1">
      <alignment horizontal="center"/>
      <protection locked="0"/>
    </xf>
    <xf numFmtId="168" fontId="61" fillId="9" borderId="13" xfId="22" applyNumberFormat="1" applyFont="1" applyFill="1" applyBorder="1" applyAlignment="1" applyProtection="1" quotePrefix="1">
      <alignment horizontal="center"/>
      <protection locked="0"/>
    </xf>
    <xf numFmtId="168" fontId="61" fillId="9" borderId="15" xfId="22" applyNumberFormat="1" applyFont="1" applyFill="1" applyBorder="1" applyAlignment="1" applyProtection="1" quotePrefix="1">
      <alignment horizontal="center"/>
      <protection locked="0"/>
    </xf>
    <xf numFmtId="168" fontId="40" fillId="10" borderId="13" xfId="22" applyNumberFormat="1" applyFont="1" applyFill="1" applyBorder="1" applyAlignment="1" applyProtection="1" quotePrefix="1">
      <alignment horizontal="center"/>
      <protection locked="0"/>
    </xf>
    <xf numFmtId="168" fontId="40" fillId="10" borderId="15" xfId="22" applyNumberFormat="1" applyFont="1" applyFill="1" applyBorder="1" applyAlignment="1" applyProtection="1" quotePrefix="1">
      <alignment horizontal="center"/>
      <protection locked="0"/>
    </xf>
    <xf numFmtId="168" fontId="61" fillId="4" borderId="12" xfId="22" applyNumberFormat="1" applyFont="1" applyFill="1" applyBorder="1" applyAlignment="1" applyProtection="1" quotePrefix="1">
      <alignment horizontal="center"/>
      <protection locked="0"/>
    </xf>
    <xf numFmtId="168" fontId="40" fillId="3" borderId="12" xfId="22" applyNumberFormat="1" applyFont="1" applyFill="1" applyBorder="1" applyAlignment="1" applyProtection="1" quotePrefix="1">
      <alignment horizontal="center"/>
      <protection locked="0"/>
    </xf>
    <xf numFmtId="0" fontId="44" fillId="0" borderId="0" xfId="22" applyFont="1" applyBorder="1" applyProtection="1">
      <alignment/>
      <protection/>
    </xf>
    <xf numFmtId="0" fontId="44" fillId="0" borderId="5" xfId="22" applyFont="1" applyBorder="1" applyAlignment="1" applyProtection="1">
      <alignment horizontal="left"/>
      <protection/>
    </xf>
    <xf numFmtId="170" fontId="44" fillId="0" borderId="19" xfId="22" applyNumberFormat="1" applyFont="1" applyBorder="1" applyAlignment="1" applyProtection="1">
      <alignment horizontal="center"/>
      <protection/>
    </xf>
    <xf numFmtId="0" fontId="44" fillId="0" borderId="0" xfId="22" applyFont="1" applyBorder="1" applyAlignment="1" applyProtection="1">
      <alignment horizontal="left"/>
      <protection/>
    </xf>
    <xf numFmtId="0" fontId="21" fillId="0" borderId="11" xfId="22" applyFont="1" applyFill="1" applyBorder="1" applyAlignment="1" applyProtection="1">
      <alignment horizontal="centerContinuous" vertical="center" wrapText="1"/>
      <protection/>
    </xf>
    <xf numFmtId="0" fontId="21" fillId="0" borderId="11" xfId="22" applyFont="1" applyFill="1" applyBorder="1" applyAlignment="1" applyProtection="1">
      <alignment horizontal="centerContinuous" vertical="center"/>
      <protection/>
    </xf>
    <xf numFmtId="0" fontId="34" fillId="2" borderId="11" xfId="22" applyFont="1" applyFill="1" applyBorder="1" applyAlignment="1" applyProtection="1">
      <alignment horizontal="centerContinuous" vertical="center"/>
      <protection/>
    </xf>
    <xf numFmtId="0" fontId="65" fillId="12" borderId="11" xfId="22" applyFont="1" applyFill="1" applyBorder="1" applyAlignment="1" applyProtection="1">
      <alignment horizontal="centerContinuous" vertical="center"/>
      <protection/>
    </xf>
    <xf numFmtId="0" fontId="38" fillId="9" borderId="20" xfId="22" applyFont="1" applyFill="1" applyBorder="1" applyAlignment="1" applyProtection="1">
      <alignment horizontal="centerContinuous" vertical="center" wrapText="1"/>
      <protection/>
    </xf>
    <xf numFmtId="164" fontId="6" fillId="0" borderId="12" xfId="22" applyNumberFormat="1" applyFont="1" applyFill="1" applyBorder="1" applyAlignment="1" applyProtection="1" quotePrefix="1">
      <alignment horizontal="center"/>
      <protection/>
    </xf>
    <xf numFmtId="164" fontId="67" fillId="12" borderId="12" xfId="22" applyNumberFormat="1" applyFont="1" applyFill="1" applyBorder="1" applyAlignment="1" applyProtection="1">
      <alignment horizontal="center"/>
      <protection locked="0"/>
    </xf>
    <xf numFmtId="2" fontId="40" fillId="13" borderId="12" xfId="22" applyNumberFormat="1" applyFont="1" applyFill="1" applyBorder="1" applyAlignment="1" applyProtection="1">
      <alignment horizontal="center"/>
      <protection locked="0"/>
    </xf>
    <xf numFmtId="168" fontId="37" fillId="9" borderId="13" xfId="22" applyNumberFormat="1" applyFont="1" applyFill="1" applyBorder="1" applyAlignment="1" applyProtection="1" quotePrefix="1">
      <alignment horizontal="center"/>
      <protection locked="0"/>
    </xf>
    <xf numFmtId="168" fontId="37" fillId="9" borderId="15" xfId="22" applyNumberFormat="1" applyFont="1" applyFill="1" applyBorder="1" applyAlignment="1" applyProtection="1" quotePrefix="1">
      <alignment horizontal="center"/>
      <protection locked="0"/>
    </xf>
    <xf numFmtId="168" fontId="68" fillId="14" borderId="12" xfId="22" applyNumberFormat="1" applyFont="1" applyFill="1" applyBorder="1" applyAlignment="1" applyProtection="1" quotePrefix="1">
      <alignment horizontal="center"/>
      <protection locked="0"/>
    </xf>
    <xf numFmtId="0" fontId="0" fillId="0" borderId="0" xfId="22" applyProtection="1">
      <alignment/>
      <protection/>
    </xf>
    <xf numFmtId="0" fontId="43" fillId="0" borderId="0" xfId="22" applyFont="1" applyAlignment="1" applyProtection="1">
      <alignment horizontal="right" vertical="top"/>
      <protection/>
    </xf>
    <xf numFmtId="0" fontId="15" fillId="0" borderId="0" xfId="22" applyFont="1" applyProtection="1">
      <alignment/>
      <protection/>
    </xf>
    <xf numFmtId="0" fontId="16" fillId="0" borderId="0" xfId="22" applyFont="1" applyAlignment="1" applyProtection="1">
      <alignment horizontal="centerContinuous"/>
      <protection/>
    </xf>
    <xf numFmtId="0" fontId="15" fillId="0" borderId="0" xfId="22" applyFont="1" applyAlignment="1" applyProtection="1">
      <alignment horizontal="centerContinuous"/>
      <protection/>
    </xf>
    <xf numFmtId="0" fontId="20" fillId="0" borderId="0" xfId="22" applyFont="1" applyProtection="1">
      <alignment/>
      <protection/>
    </xf>
    <xf numFmtId="0" fontId="0" fillId="0" borderId="10" xfId="22" applyBorder="1" applyProtection="1">
      <alignment/>
      <protection/>
    </xf>
    <xf numFmtId="0" fontId="0" fillId="0" borderId="3" xfId="22" applyBorder="1" applyProtection="1">
      <alignment/>
      <protection/>
    </xf>
    <xf numFmtId="0" fontId="0" fillId="0" borderId="4" xfId="22" applyBorder="1" applyProtection="1">
      <alignment/>
      <protection/>
    </xf>
    <xf numFmtId="0" fontId="13" fillId="0" borderId="0" xfId="22" applyFont="1" applyProtection="1">
      <alignment/>
      <protection/>
    </xf>
    <xf numFmtId="0" fontId="13" fillId="0" borderId="2" xfId="22" applyFont="1" applyBorder="1" applyProtection="1">
      <alignment/>
      <protection/>
    </xf>
    <xf numFmtId="0" fontId="12" fillId="0" borderId="0" xfId="22" applyFont="1" applyBorder="1" applyProtection="1">
      <alignment/>
      <protection/>
    </xf>
    <xf numFmtId="0" fontId="13" fillId="0" borderId="1" xfId="22" applyFont="1" applyBorder="1" applyProtection="1">
      <alignment/>
      <protection/>
    </xf>
    <xf numFmtId="0" fontId="0" fillId="0" borderId="2" xfId="22" applyBorder="1" applyProtection="1">
      <alignment/>
      <protection/>
    </xf>
    <xf numFmtId="0" fontId="0" fillId="0" borderId="1" xfId="22" applyBorder="1" applyProtection="1">
      <alignment/>
      <protection/>
    </xf>
    <xf numFmtId="0" fontId="14" fillId="0" borderId="0" xfId="22" applyFont="1" applyBorder="1" applyProtection="1">
      <alignment/>
      <protection/>
    </xf>
    <xf numFmtId="0" fontId="47" fillId="0" borderId="0" xfId="22" applyFont="1" applyBorder="1" applyProtection="1">
      <alignment/>
      <protection/>
    </xf>
    <xf numFmtId="0" fontId="48" fillId="0" borderId="0" xfId="22" applyFont="1" applyBorder="1" applyProtection="1">
      <alignment/>
      <protection/>
    </xf>
    <xf numFmtId="0" fontId="8" fillId="0" borderId="0" xfId="22" applyFont="1" applyProtection="1">
      <alignment/>
      <protection/>
    </xf>
    <xf numFmtId="0" fontId="9" fillId="0" borderId="2" xfId="22" applyFont="1" applyBorder="1" applyAlignment="1" applyProtection="1">
      <alignment horizontal="centerContinuous"/>
      <protection/>
    </xf>
    <xf numFmtId="0" fontId="0" fillId="0" borderId="0" xfId="22" applyAlignment="1" applyProtection="1">
      <alignment horizontal="centerContinuous"/>
      <protection/>
    </xf>
    <xf numFmtId="0" fontId="33" fillId="0" borderId="0" xfId="22" applyFont="1" applyBorder="1" applyAlignment="1" applyProtection="1">
      <alignment horizontal="centerContinuous"/>
      <protection/>
    </xf>
    <xf numFmtId="0" fontId="8" fillId="0" borderId="0" xfId="22" applyFont="1" applyAlignment="1" applyProtection="1">
      <alignment horizontal="centerContinuous"/>
      <protection/>
    </xf>
    <xf numFmtId="0" fontId="8" fillId="0" borderId="1" xfId="22" applyFont="1" applyBorder="1" applyAlignment="1" applyProtection="1">
      <alignment horizontal="centerContinuous"/>
      <protection/>
    </xf>
    <xf numFmtId="0" fontId="49" fillId="0" borderId="0" xfId="22" applyFont="1" applyBorder="1" applyProtection="1">
      <alignment/>
      <protection/>
    </xf>
    <xf numFmtId="167" fontId="0" fillId="0" borderId="0" xfId="22" applyNumberFormat="1" applyBorder="1" applyAlignment="1" applyProtection="1">
      <alignment horizontal="center"/>
      <protection/>
    </xf>
    <xf numFmtId="0" fontId="0" fillId="0" borderId="0" xfId="22" applyBorder="1" applyAlignment="1" applyProtection="1">
      <alignment horizontal="right"/>
      <protection/>
    </xf>
    <xf numFmtId="0" fontId="0" fillId="0" borderId="0" xfId="22" applyBorder="1" applyAlignment="1" applyProtection="1">
      <alignment horizontal="left"/>
      <protection/>
    </xf>
    <xf numFmtId="0" fontId="50" fillId="5" borderId="11" xfId="22" applyFont="1" applyFill="1" applyBorder="1" applyAlignment="1" applyProtection="1">
      <alignment horizontal="center" vertical="center" wrapText="1"/>
      <protection/>
    </xf>
    <xf numFmtId="0" fontId="42" fillId="6" borderId="11" xfId="22" applyFont="1" applyFill="1" applyBorder="1" applyAlignment="1" applyProtection="1">
      <alignment horizontal="center" vertical="center" wrapText="1"/>
      <protection/>
    </xf>
    <xf numFmtId="0" fontId="39" fillId="3" borderId="18" xfId="22" applyFont="1" applyFill="1" applyBorder="1" applyAlignment="1" applyProtection="1">
      <alignment horizontal="centerContinuous"/>
      <protection/>
    </xf>
    <xf numFmtId="0" fontId="38" fillId="3" borderId="6" xfId="22" applyFont="1" applyFill="1" applyBorder="1" applyAlignment="1" applyProtection="1">
      <alignment horizontal="centerContinuous" vertical="center"/>
      <protection/>
    </xf>
    <xf numFmtId="0" fontId="52" fillId="4" borderId="18" xfId="22" applyFont="1" applyFill="1" applyBorder="1" applyAlignment="1" applyProtection="1">
      <alignment horizontal="centerContinuous"/>
      <protection/>
    </xf>
    <xf numFmtId="0" fontId="51" fillId="4" borderId="6" xfId="22" applyFont="1" applyFill="1" applyBorder="1" applyAlignment="1" applyProtection="1">
      <alignment horizontal="centerContinuous" vertical="center"/>
      <protection/>
    </xf>
    <xf numFmtId="0" fontId="42" fillId="7" borderId="11" xfId="22" applyFont="1" applyFill="1" applyBorder="1" applyAlignment="1" applyProtection="1">
      <alignment horizontal="centerContinuous" vertical="center" wrapText="1"/>
      <protection/>
    </xf>
    <xf numFmtId="0" fontId="42" fillId="8" borderId="11" xfId="22" applyFont="1" applyFill="1" applyBorder="1" applyAlignment="1" applyProtection="1">
      <alignment horizontal="centerContinuous" vertical="center" wrapText="1"/>
      <protection/>
    </xf>
    <xf numFmtId="0" fontId="6" fillId="0" borderId="21" xfId="22" applyFont="1" applyBorder="1" applyProtection="1">
      <alignment/>
      <protection/>
    </xf>
    <xf numFmtId="0" fontId="6" fillId="0" borderId="21" xfId="22" applyFont="1" applyBorder="1" applyAlignment="1" applyProtection="1">
      <alignment horizontal="center"/>
      <protection/>
    </xf>
    <xf numFmtId="164" fontId="6" fillId="0" borderId="21" xfId="22" applyNumberFormat="1" applyFont="1" applyBorder="1" applyAlignment="1" applyProtection="1">
      <alignment horizontal="center"/>
      <protection/>
    </xf>
    <xf numFmtId="0" fontId="35" fillId="2" borderId="21" xfId="22" applyFont="1" applyFill="1" applyBorder="1" applyAlignment="1" applyProtection="1">
      <alignment horizontal="center"/>
      <protection/>
    </xf>
    <xf numFmtId="0" fontId="36" fillId="5" borderId="21" xfId="22" applyFont="1" applyFill="1" applyBorder="1" applyAlignment="1" applyProtection="1">
      <alignment horizontal="center"/>
      <protection/>
    </xf>
    <xf numFmtId="0" fontId="40" fillId="6" borderId="21" xfId="22" applyFont="1" applyFill="1" applyBorder="1" applyAlignment="1" applyProtection="1">
      <alignment horizontal="center"/>
      <protection/>
    </xf>
    <xf numFmtId="0" fontId="37" fillId="3" borderId="22" xfId="22" applyFont="1" applyFill="1" applyBorder="1" applyAlignment="1" applyProtection="1">
      <alignment horizontal="center"/>
      <protection/>
    </xf>
    <xf numFmtId="0" fontId="37" fillId="3" borderId="23" xfId="22" applyFont="1" applyFill="1" applyBorder="1" applyProtection="1">
      <alignment/>
      <protection/>
    </xf>
    <xf numFmtId="0" fontId="37" fillId="3" borderId="24" xfId="22" applyFont="1" applyFill="1" applyBorder="1" applyProtection="1">
      <alignment/>
      <protection/>
    </xf>
    <xf numFmtId="0" fontId="53" fillId="4" borderId="22" xfId="22" applyFont="1" applyFill="1" applyBorder="1" applyAlignment="1" applyProtection="1">
      <alignment horizontal="center"/>
      <protection/>
    </xf>
    <xf numFmtId="0" fontId="53" fillId="4" borderId="23" xfId="22" applyFont="1" applyFill="1" applyBorder="1" applyProtection="1">
      <alignment/>
      <protection/>
    </xf>
    <xf numFmtId="0" fontId="53" fillId="4" borderId="24" xfId="22" applyFont="1" applyFill="1" applyBorder="1" applyProtection="1">
      <alignment/>
      <protection/>
    </xf>
    <xf numFmtId="0" fontId="40" fillId="7" borderId="21" xfId="22" applyFont="1" applyFill="1" applyBorder="1" applyProtection="1">
      <alignment/>
      <protection/>
    </xf>
    <xf numFmtId="0" fontId="40" fillId="8" borderId="21" xfId="22" applyFont="1" applyFill="1" applyBorder="1" applyProtection="1">
      <alignment/>
      <protection/>
    </xf>
    <xf numFmtId="0" fontId="6" fillId="0" borderId="21" xfId="22" applyFont="1" applyBorder="1" applyAlignment="1" applyProtection="1">
      <alignment horizontal="left"/>
      <protection/>
    </xf>
    <xf numFmtId="8" fontId="11" fillId="0" borderId="21" xfId="22" applyNumberFormat="1" applyFont="1" applyBorder="1" applyAlignment="1" applyProtection="1">
      <alignment/>
      <protection/>
    </xf>
    <xf numFmtId="0" fontId="6" fillId="0" borderId="25" xfId="22" applyFont="1" applyBorder="1" applyProtection="1">
      <alignment/>
      <protection/>
    </xf>
    <xf numFmtId="168" fontId="35" fillId="2" borderId="12" xfId="22" applyNumberFormat="1" applyFont="1" applyFill="1" applyBorder="1" applyAlignment="1" applyProtection="1" quotePrefix="1">
      <alignment horizontal="center"/>
      <protection/>
    </xf>
    <xf numFmtId="0" fontId="6" fillId="0" borderId="25" xfId="22" applyFont="1" applyBorder="1" applyAlignment="1" applyProtection="1">
      <alignment horizontal="center"/>
      <protection/>
    </xf>
    <xf numFmtId="0" fontId="36" fillId="5" borderId="25" xfId="22" applyFont="1" applyFill="1" applyBorder="1" applyProtection="1">
      <alignment/>
      <protection/>
    </xf>
    <xf numFmtId="0" fontId="40" fillId="6" borderId="25" xfId="22" applyFont="1" applyFill="1" applyBorder="1" applyProtection="1">
      <alignment/>
      <protection/>
    </xf>
    <xf numFmtId="0" fontId="37" fillId="3" borderId="26" xfId="22" applyFont="1" applyFill="1" applyBorder="1" applyAlignment="1" applyProtection="1">
      <alignment horizontal="center"/>
      <protection/>
    </xf>
    <xf numFmtId="0" fontId="37" fillId="3" borderId="27" xfId="22" applyFont="1" applyFill="1" applyBorder="1" applyProtection="1">
      <alignment/>
      <protection/>
    </xf>
    <xf numFmtId="0" fontId="37" fillId="3" borderId="28" xfId="22" applyFont="1" applyFill="1" applyBorder="1" applyProtection="1">
      <alignment/>
      <protection/>
    </xf>
    <xf numFmtId="0" fontId="53" fillId="4" borderId="26" xfId="22" applyFont="1" applyFill="1" applyBorder="1" applyAlignment="1" applyProtection="1">
      <alignment horizontal="center"/>
      <protection/>
    </xf>
    <xf numFmtId="0" fontId="53" fillId="4" borderId="27" xfId="22" applyFont="1" applyFill="1" applyBorder="1" applyProtection="1">
      <alignment/>
      <protection/>
    </xf>
    <xf numFmtId="0" fontId="53" fillId="4" borderId="28" xfId="22" applyFont="1" applyFill="1" applyBorder="1" applyProtection="1">
      <alignment/>
      <protection/>
    </xf>
    <xf numFmtId="0" fontId="40" fillId="7" borderId="25" xfId="22" applyFont="1" applyFill="1" applyBorder="1" applyProtection="1">
      <alignment/>
      <protection/>
    </xf>
    <xf numFmtId="0" fontId="40" fillId="8" borderId="25" xfId="22" applyFont="1" applyFill="1" applyBorder="1" applyProtection="1">
      <alignment/>
      <protection/>
    </xf>
    <xf numFmtId="0" fontId="11" fillId="0" borderId="25" xfId="22" applyFont="1" applyBorder="1" applyAlignment="1" applyProtection="1">
      <alignment/>
      <protection/>
    </xf>
    <xf numFmtId="4" fontId="11" fillId="0" borderId="12" xfId="22" applyNumberFormat="1" applyFont="1" applyBorder="1" applyAlignment="1" applyProtection="1">
      <alignment horizontal="right"/>
      <protection/>
    </xf>
    <xf numFmtId="0" fontId="0" fillId="0" borderId="2" xfId="22" applyBorder="1" applyAlignment="1" applyProtection="1">
      <alignment horizontal="center"/>
      <protection/>
    </xf>
    <xf numFmtId="4" fontId="11" fillId="0" borderId="29" xfId="22" applyNumberFormat="1" applyFont="1" applyBorder="1" applyAlignment="1" applyProtection="1">
      <alignment horizontal="right"/>
      <protection/>
    </xf>
    <xf numFmtId="0" fontId="27" fillId="0" borderId="17" xfId="22" applyFont="1" applyBorder="1" applyAlignment="1" applyProtection="1">
      <alignment horizontal="center"/>
      <protection/>
    </xf>
    <xf numFmtId="2" fontId="36" fillId="5" borderId="11" xfId="22" applyNumberFormat="1" applyFont="1" applyFill="1" applyBorder="1" applyAlignment="1" applyProtection="1">
      <alignment horizontal="center"/>
      <protection/>
    </xf>
    <xf numFmtId="2" fontId="40" fillId="6" borderId="11" xfId="22" applyNumberFormat="1" applyFont="1" applyFill="1" applyBorder="1" applyAlignment="1" applyProtection="1">
      <alignment horizontal="center"/>
      <protection/>
    </xf>
    <xf numFmtId="4" fontId="37" fillId="3" borderId="11" xfId="22" applyNumberFormat="1" applyFont="1" applyFill="1" applyBorder="1" applyAlignment="1" applyProtection="1">
      <alignment horizontal="center"/>
      <protection/>
    </xf>
    <xf numFmtId="4" fontId="53" fillId="4" borderId="11" xfId="22" applyNumberFormat="1" applyFont="1" applyFill="1" applyBorder="1" applyAlignment="1" applyProtection="1">
      <alignment horizontal="center"/>
      <protection/>
    </xf>
    <xf numFmtId="4" fontId="40" fillId="7" borderId="11" xfId="22" applyNumberFormat="1" applyFont="1" applyFill="1" applyBorder="1" applyAlignment="1" applyProtection="1">
      <alignment horizontal="center"/>
      <protection/>
    </xf>
    <xf numFmtId="4" fontId="40" fillId="8" borderId="11" xfId="22" applyNumberFormat="1" applyFont="1" applyFill="1" applyBorder="1" applyAlignment="1" applyProtection="1">
      <alignment horizontal="center"/>
      <protection/>
    </xf>
    <xf numFmtId="4" fontId="10" fillId="0" borderId="0" xfId="22" applyNumberFormat="1" applyFont="1" applyBorder="1" applyAlignment="1" applyProtection="1">
      <alignment horizontal="center"/>
      <protection/>
    </xf>
    <xf numFmtId="8" fontId="55" fillId="0" borderId="11" xfId="22" applyNumberFormat="1" applyFont="1" applyBorder="1" applyAlignment="1" applyProtection="1">
      <alignment horizontal="right"/>
      <protection/>
    </xf>
    <xf numFmtId="2" fontId="0" fillId="0" borderId="1" xfId="22" applyNumberFormat="1" applyBorder="1" applyAlignment="1" applyProtection="1">
      <alignment horizontal="center"/>
      <protection/>
    </xf>
    <xf numFmtId="0" fontId="56" fillId="0" borderId="2" xfId="22" applyFont="1" applyBorder="1" applyProtection="1">
      <alignment/>
      <protection/>
    </xf>
    <xf numFmtId="0" fontId="29" fillId="0" borderId="0" xfId="22" applyFont="1" applyBorder="1" applyAlignment="1" applyProtection="1">
      <alignment horizontal="center"/>
      <protection/>
    </xf>
    <xf numFmtId="2" fontId="30" fillId="0" borderId="0" xfId="22" applyNumberFormat="1" applyFont="1" applyBorder="1" applyAlignment="1" applyProtection="1">
      <alignment horizontal="center"/>
      <protection/>
    </xf>
    <xf numFmtId="4" fontId="31" fillId="0" borderId="0" xfId="22" applyNumberFormat="1" applyFont="1" applyBorder="1" applyAlignment="1" applyProtection="1">
      <alignment horizontal="center"/>
      <protection/>
    </xf>
    <xf numFmtId="8" fontId="57" fillId="0" borderId="0" xfId="22" applyNumberFormat="1" applyFont="1" applyBorder="1" applyAlignment="1" applyProtection="1">
      <alignment horizontal="right"/>
      <protection/>
    </xf>
    <xf numFmtId="2" fontId="56" fillId="0" borderId="1" xfId="22" applyNumberFormat="1" applyFont="1" applyBorder="1" applyAlignment="1" applyProtection="1">
      <alignment horizontal="center"/>
      <protection/>
    </xf>
    <xf numFmtId="0" fontId="56" fillId="0" borderId="0" xfId="22" applyFont="1" applyProtection="1">
      <alignment/>
      <protection/>
    </xf>
    <xf numFmtId="0" fontId="0" fillId="0" borderId="7" xfId="22" applyBorder="1" applyProtection="1">
      <alignment/>
      <protection/>
    </xf>
    <xf numFmtId="0" fontId="0" fillId="0" borderId="8" xfId="22" applyBorder="1" applyProtection="1">
      <alignment/>
      <protection/>
    </xf>
    <xf numFmtId="0" fontId="0" fillId="0" borderId="9" xfId="22" applyBorder="1" applyProtection="1">
      <alignment/>
      <protection/>
    </xf>
    <xf numFmtId="0" fontId="0" fillId="0" borderId="0" xfId="22" applyFill="1" applyProtection="1">
      <alignment/>
      <protection/>
    </xf>
    <xf numFmtId="0" fontId="43" fillId="0" borderId="0" xfId="22" applyFont="1" applyFill="1" applyAlignment="1" applyProtection="1">
      <alignment horizontal="right" vertical="top"/>
      <protection/>
    </xf>
    <xf numFmtId="0" fontId="15" fillId="0" borderId="0" xfId="22" applyFont="1" applyFill="1" applyAlignment="1" applyProtection="1">
      <alignment horizontal="centerContinuous"/>
      <protection/>
    </xf>
    <xf numFmtId="0" fontId="20" fillId="0" borderId="0" xfId="22" applyFont="1" applyFill="1" applyAlignment="1" applyProtection="1">
      <alignment horizontal="centerContinuous"/>
      <protection/>
    </xf>
    <xf numFmtId="0" fontId="20" fillId="0" borderId="0" xfId="22" applyFont="1" applyFill="1" applyProtection="1">
      <alignment/>
      <protection/>
    </xf>
    <xf numFmtId="0" fontId="44" fillId="0" borderId="0" xfId="22" applyFont="1" applyFill="1" applyProtection="1">
      <alignment/>
      <protection/>
    </xf>
    <xf numFmtId="0" fontId="0" fillId="0" borderId="10" xfId="22" applyFill="1" applyBorder="1" applyProtection="1">
      <alignment/>
      <protection/>
    </xf>
    <xf numFmtId="0" fontId="0" fillId="0" borderId="3" xfId="22" applyFill="1" applyBorder="1" applyProtection="1">
      <alignment/>
      <protection/>
    </xf>
    <xf numFmtId="0" fontId="44" fillId="0" borderId="3" xfId="22" applyFont="1" applyFill="1" applyBorder="1" applyProtection="1">
      <alignment/>
      <protection/>
    </xf>
    <xf numFmtId="0" fontId="44" fillId="0" borderId="4" xfId="22" applyFont="1" applyFill="1" applyBorder="1" applyProtection="1">
      <alignment/>
      <protection/>
    </xf>
    <xf numFmtId="0" fontId="13" fillId="0" borderId="2" xfId="22" applyFont="1" applyFill="1" applyBorder="1" applyProtection="1">
      <alignment/>
      <protection/>
    </xf>
    <xf numFmtId="0" fontId="13" fillId="0" borderId="0" xfId="22" applyFont="1" applyFill="1" applyProtection="1">
      <alignment/>
      <protection/>
    </xf>
    <xf numFmtId="0" fontId="13" fillId="0" borderId="1" xfId="22" applyFont="1" applyFill="1" applyBorder="1" applyProtection="1">
      <alignment/>
      <protection/>
    </xf>
    <xf numFmtId="0" fontId="0" fillId="0" borderId="2" xfId="22" applyFill="1" applyBorder="1" applyProtection="1">
      <alignment/>
      <protection/>
    </xf>
    <xf numFmtId="0" fontId="0" fillId="0" borderId="0" xfId="22" applyFill="1" applyBorder="1" applyProtection="1">
      <alignment/>
      <protection/>
    </xf>
    <xf numFmtId="0" fontId="44" fillId="0" borderId="0" xfId="22" applyFont="1" applyFill="1" applyBorder="1" applyProtection="1">
      <alignment/>
      <protection/>
    </xf>
    <xf numFmtId="0" fontId="44" fillId="0" borderId="1" xfId="22" applyFont="1" applyFill="1" applyBorder="1" applyProtection="1">
      <alignment/>
      <protection/>
    </xf>
    <xf numFmtId="0" fontId="12" fillId="0" borderId="0" xfId="22" applyFont="1" applyFill="1" applyBorder="1" applyProtection="1">
      <alignment/>
      <protection/>
    </xf>
    <xf numFmtId="0" fontId="58" fillId="0" borderId="0" xfId="22" applyFont="1" applyFill="1" applyBorder="1" applyProtection="1">
      <alignment/>
      <protection/>
    </xf>
    <xf numFmtId="0" fontId="12" fillId="0" borderId="0" xfId="22" applyFont="1" applyFill="1" applyProtection="1">
      <alignment/>
      <protection/>
    </xf>
    <xf numFmtId="0" fontId="9" fillId="0" borderId="2" xfId="22" applyFont="1" applyFill="1" applyBorder="1" applyAlignment="1" applyProtection="1">
      <alignment horizontal="centerContinuous"/>
      <protection/>
    </xf>
    <xf numFmtId="0" fontId="8" fillId="0" borderId="1" xfId="22" applyFont="1" applyFill="1" applyBorder="1" applyAlignment="1" applyProtection="1">
      <alignment horizontal="centerContinuous"/>
      <protection/>
    </xf>
    <xf numFmtId="0" fontId="59" fillId="0" borderId="0" xfId="22" applyFont="1" applyFill="1" applyBorder="1" applyAlignment="1" applyProtection="1">
      <alignment horizontal="left"/>
      <protection/>
    </xf>
    <xf numFmtId="0" fontId="0" fillId="0" borderId="17" xfId="22" applyFont="1" applyFill="1" applyBorder="1" applyProtection="1">
      <alignment/>
      <protection/>
    </xf>
    <xf numFmtId="172" fontId="0" fillId="0" borderId="11" xfId="22" applyNumberFormat="1" applyFont="1" applyFill="1" applyBorder="1" applyAlignment="1" applyProtection="1">
      <alignment horizontal="center"/>
      <protection/>
    </xf>
    <xf numFmtId="164" fontId="0" fillId="0" borderId="11" xfId="22" applyNumberFormat="1" applyFont="1" applyFill="1" applyBorder="1" applyAlignment="1" applyProtection="1">
      <alignment horizontal="center"/>
      <protection/>
    </xf>
    <xf numFmtId="22" fontId="44" fillId="0" borderId="0" xfId="22" applyNumberFormat="1" applyFont="1" applyFill="1" applyBorder="1" applyProtection="1">
      <alignment/>
      <protection/>
    </xf>
    <xf numFmtId="0" fontId="21" fillId="0" borderId="2" xfId="22" applyFont="1" applyFill="1" applyBorder="1" applyProtection="1">
      <alignment/>
      <protection/>
    </xf>
    <xf numFmtId="0" fontId="42" fillId="3" borderId="11" xfId="22" applyFont="1" applyFill="1" applyBorder="1" applyAlignment="1" applyProtection="1">
      <alignment horizontal="center" vertical="center" wrapText="1"/>
      <protection/>
    </xf>
    <xf numFmtId="0" fontId="42" fillId="11" borderId="11" xfId="22" applyFont="1" applyFill="1" applyBorder="1" applyAlignment="1" applyProtection="1">
      <alignment horizontal="center" vertical="center" wrapText="1"/>
      <protection/>
    </xf>
    <xf numFmtId="0" fontId="60" fillId="9" borderId="6" xfId="22" applyFont="1" applyFill="1" applyBorder="1" applyAlignment="1" applyProtection="1">
      <alignment horizontal="centerContinuous" vertical="center"/>
      <protection/>
    </xf>
    <xf numFmtId="0" fontId="42" fillId="10" borderId="6" xfId="22" applyFont="1" applyFill="1" applyBorder="1" applyAlignment="1" applyProtection="1">
      <alignment horizontal="centerContinuous" vertical="center"/>
      <protection/>
    </xf>
    <xf numFmtId="0" fontId="60" fillId="4" borderId="11" xfId="22" applyFont="1" applyFill="1" applyBorder="1" applyAlignment="1" applyProtection="1">
      <alignment horizontal="centerContinuous" vertical="center" wrapText="1"/>
      <protection/>
    </xf>
    <xf numFmtId="0" fontId="42" fillId="3" borderId="11" xfId="22" applyFont="1" applyFill="1" applyBorder="1" applyAlignment="1" applyProtection="1">
      <alignment horizontal="centerContinuous" vertical="center" wrapText="1"/>
      <protection/>
    </xf>
    <xf numFmtId="0" fontId="21" fillId="0" borderId="1" xfId="22" applyFont="1" applyFill="1" applyBorder="1" applyProtection="1">
      <alignment/>
      <protection/>
    </xf>
    <xf numFmtId="0" fontId="21" fillId="0" borderId="0" xfId="22" applyFont="1" applyProtection="1">
      <alignment/>
      <protection/>
    </xf>
    <xf numFmtId="0" fontId="6" fillId="0" borderId="12" xfId="22" applyFont="1" applyFill="1" applyBorder="1" applyAlignment="1" applyProtection="1">
      <alignment horizontal="center"/>
      <protection/>
    </xf>
    <xf numFmtId="0" fontId="6" fillId="0" borderId="21" xfId="22" applyFont="1" applyFill="1" applyBorder="1" applyAlignment="1" applyProtection="1">
      <alignment horizontal="center"/>
      <protection/>
    </xf>
    <xf numFmtId="0" fontId="6" fillId="0" borderId="21" xfId="22" applyFont="1" applyFill="1" applyBorder="1" applyProtection="1">
      <alignment/>
      <protection/>
    </xf>
    <xf numFmtId="0" fontId="35" fillId="2" borderId="21" xfId="22" applyFont="1" applyFill="1" applyBorder="1" applyProtection="1">
      <alignment/>
      <protection/>
    </xf>
    <xf numFmtId="0" fontId="36" fillId="2" borderId="21" xfId="22" applyFont="1" applyFill="1" applyBorder="1" applyProtection="1">
      <alignment/>
      <protection/>
    </xf>
    <xf numFmtId="0" fontId="40" fillId="3" borderId="21" xfId="22" applyFont="1" applyFill="1" applyBorder="1" applyProtection="1">
      <alignment/>
      <protection/>
    </xf>
    <xf numFmtId="0" fontId="40" fillId="11" borderId="21" xfId="22" applyFont="1" applyFill="1" applyBorder="1" applyProtection="1">
      <alignment/>
      <protection/>
    </xf>
    <xf numFmtId="0" fontId="61" fillId="9" borderId="22" xfId="22" applyFont="1" applyFill="1" applyBorder="1" applyAlignment="1" applyProtection="1">
      <alignment horizontal="center"/>
      <protection/>
    </xf>
    <xf numFmtId="0" fontId="61" fillId="9" borderId="24" xfId="22" applyFont="1" applyFill="1" applyBorder="1" applyProtection="1">
      <alignment/>
      <protection/>
    </xf>
    <xf numFmtId="0" fontId="40" fillId="10" borderId="22" xfId="22" applyFont="1" applyFill="1" applyBorder="1" applyAlignment="1" applyProtection="1">
      <alignment horizontal="center"/>
      <protection/>
    </xf>
    <xf numFmtId="0" fontId="40" fillId="10" borderId="24" xfId="22" applyFont="1" applyFill="1" applyBorder="1" applyProtection="1">
      <alignment/>
      <protection/>
    </xf>
    <xf numFmtId="0" fontId="61" fillId="4" borderId="21" xfId="22" applyFont="1" applyFill="1" applyBorder="1" applyProtection="1">
      <alignment/>
      <protection/>
    </xf>
    <xf numFmtId="8" fontId="11" fillId="0" borderId="12" xfId="22" applyNumberFormat="1" applyFont="1" applyBorder="1" applyAlignment="1" applyProtection="1">
      <alignment/>
      <protection/>
    </xf>
    <xf numFmtId="0" fontId="6" fillId="0" borderId="12" xfId="22" applyFont="1" applyFill="1" applyBorder="1" applyProtection="1">
      <alignment/>
      <protection/>
    </xf>
    <xf numFmtId="0" fontId="35" fillId="2" borderId="12" xfId="22" applyFont="1" applyFill="1" applyBorder="1" applyProtection="1">
      <alignment/>
      <protection/>
    </xf>
    <xf numFmtId="0" fontId="36" fillId="2" borderId="12" xfId="22" applyFont="1" applyFill="1" applyBorder="1" applyProtection="1">
      <alignment/>
      <protection/>
    </xf>
    <xf numFmtId="0" fontId="40" fillId="3" borderId="12" xfId="22" applyFont="1" applyFill="1" applyBorder="1" applyProtection="1">
      <alignment/>
      <protection/>
    </xf>
    <xf numFmtId="0" fontId="40" fillId="11" borderId="12" xfId="22" applyFont="1" applyFill="1" applyBorder="1" applyProtection="1">
      <alignment/>
      <protection/>
    </xf>
    <xf numFmtId="0" fontId="61" fillId="9" borderId="13" xfId="22" applyFont="1" applyFill="1" applyBorder="1" applyAlignment="1" applyProtection="1">
      <alignment horizontal="center"/>
      <protection/>
    </xf>
    <xf numFmtId="0" fontId="61" fillId="9" borderId="15" xfId="22" applyFont="1" applyFill="1" applyBorder="1" applyProtection="1">
      <alignment/>
      <protection/>
    </xf>
    <xf numFmtId="0" fontId="40" fillId="10" borderId="13" xfId="22" applyFont="1" applyFill="1" applyBorder="1" applyAlignment="1" applyProtection="1">
      <alignment horizontal="center"/>
      <protection/>
    </xf>
    <xf numFmtId="0" fontId="40" fillId="10" borderId="15" xfId="22" applyFont="1" applyFill="1" applyBorder="1" applyProtection="1">
      <alignment/>
      <protection/>
    </xf>
    <xf numFmtId="0" fontId="61" fillId="4" borderId="12" xfId="22" applyFont="1" applyFill="1" applyBorder="1" applyProtection="1">
      <alignment/>
      <protection/>
    </xf>
    <xf numFmtId="0" fontId="11" fillId="0" borderId="12" xfId="22" applyFont="1" applyFill="1" applyBorder="1" applyProtection="1">
      <alignment/>
      <protection/>
    </xf>
    <xf numFmtId="168" fontId="62" fillId="2" borderId="12" xfId="22" applyNumberFormat="1" applyFont="1" applyFill="1" applyBorder="1" applyAlignment="1" applyProtection="1">
      <alignment horizontal="center"/>
      <protection/>
    </xf>
    <xf numFmtId="4" fontId="11" fillId="0" borderId="12" xfId="22" applyNumberFormat="1" applyFont="1" applyFill="1" applyBorder="1" applyAlignment="1" applyProtection="1">
      <alignment horizontal="right"/>
      <protection/>
    </xf>
    <xf numFmtId="0" fontId="6" fillId="0" borderId="16" xfId="22" applyFont="1" applyFill="1" applyBorder="1" applyProtection="1">
      <alignment/>
      <protection/>
    </xf>
    <xf numFmtId="0" fontId="35" fillId="2" borderId="16" xfId="22" applyFont="1" applyFill="1" applyBorder="1" applyProtection="1">
      <alignment/>
      <protection/>
    </xf>
    <xf numFmtId="7" fontId="11" fillId="0" borderId="29" xfId="22" applyNumberFormat="1" applyFont="1" applyFill="1" applyBorder="1" applyAlignment="1" applyProtection="1">
      <alignment horizontal="right"/>
      <protection/>
    </xf>
    <xf numFmtId="0" fontId="6" fillId="0" borderId="0" xfId="22" applyFont="1" applyFill="1" applyBorder="1" applyProtection="1">
      <alignment/>
      <protection/>
    </xf>
    <xf numFmtId="0" fontId="4" fillId="0" borderId="0" xfId="22" applyFont="1" applyFill="1" applyBorder="1" applyProtection="1">
      <alignment/>
      <protection/>
    </xf>
    <xf numFmtId="7" fontId="40" fillId="3" borderId="11" xfId="22" applyNumberFormat="1" applyFont="1" applyFill="1" applyBorder="1" applyAlignment="1" applyProtection="1">
      <alignment horizontal="center"/>
      <protection/>
    </xf>
    <xf numFmtId="7" fontId="40" fillId="11" borderId="11" xfId="22" applyNumberFormat="1" applyFont="1" applyFill="1" applyBorder="1" applyAlignment="1" applyProtection="1">
      <alignment horizontal="center"/>
      <protection/>
    </xf>
    <xf numFmtId="7" fontId="61" fillId="9" borderId="11" xfId="22" applyNumberFormat="1" applyFont="1" applyFill="1" applyBorder="1" applyAlignment="1" applyProtection="1">
      <alignment horizontal="center"/>
      <protection/>
    </xf>
    <xf numFmtId="7" fontId="40" fillId="10" borderId="11" xfId="22" applyNumberFormat="1" applyFont="1" applyFill="1" applyBorder="1" applyAlignment="1" applyProtection="1">
      <alignment horizontal="center"/>
      <protection/>
    </xf>
    <xf numFmtId="7" fontId="61" fillId="4" borderId="11" xfId="22" applyNumberFormat="1" applyFont="1" applyFill="1" applyBorder="1" applyAlignment="1" applyProtection="1">
      <alignment horizontal="center"/>
      <protection/>
    </xf>
    <xf numFmtId="0" fontId="6" fillId="0" borderId="30" xfId="22" applyFont="1" applyFill="1" applyBorder="1" applyProtection="1">
      <alignment/>
      <protection/>
    </xf>
    <xf numFmtId="7" fontId="55" fillId="0" borderId="11" xfId="22" applyNumberFormat="1" applyFont="1" applyFill="1" applyBorder="1" applyAlignment="1" applyProtection="1">
      <alignment horizontal="right"/>
      <protection/>
    </xf>
    <xf numFmtId="0" fontId="56" fillId="0" borderId="2" xfId="22" applyFont="1" applyFill="1" applyBorder="1" applyProtection="1">
      <alignment/>
      <protection/>
    </xf>
    <xf numFmtId="0" fontId="27" fillId="0" borderId="0" xfId="22" applyFont="1" applyFill="1" applyBorder="1" applyProtection="1">
      <alignment/>
      <protection/>
    </xf>
    <xf numFmtId="7" fontId="27" fillId="0" borderId="0" xfId="22" applyNumberFormat="1" applyFont="1" applyFill="1" applyBorder="1" applyAlignment="1" applyProtection="1">
      <alignment horizontal="center"/>
      <protection/>
    </xf>
    <xf numFmtId="7" fontId="57" fillId="0" borderId="0" xfId="22" applyNumberFormat="1" applyFont="1" applyFill="1" applyBorder="1" applyAlignment="1" applyProtection="1">
      <alignment horizontal="right"/>
      <protection/>
    </xf>
    <xf numFmtId="0" fontId="63" fillId="0" borderId="1" xfId="22" applyFont="1" applyFill="1" applyBorder="1" applyProtection="1">
      <alignment/>
      <protection/>
    </xf>
    <xf numFmtId="0" fontId="0" fillId="0" borderId="7" xfId="22" applyFill="1" applyBorder="1" applyProtection="1">
      <alignment/>
      <protection/>
    </xf>
    <xf numFmtId="0" fontId="0" fillId="0" borderId="8" xfId="22" applyFill="1" applyBorder="1" applyProtection="1">
      <alignment/>
      <protection/>
    </xf>
    <xf numFmtId="0" fontId="44" fillId="0" borderId="9" xfId="22" applyFont="1" applyFill="1" applyBorder="1" applyProtection="1">
      <alignment/>
      <protection/>
    </xf>
    <xf numFmtId="0" fontId="0" fillId="0" borderId="0" xfId="22" applyFont="1" applyProtection="1">
      <alignment/>
      <protection/>
    </xf>
    <xf numFmtId="0" fontId="20" fillId="0" borderId="0" xfId="22" applyFont="1" applyAlignment="1" applyProtection="1">
      <alignment horizontal="centerContinuous"/>
      <protection/>
    </xf>
    <xf numFmtId="0" fontId="44" fillId="0" borderId="0" xfId="22" applyFont="1" applyProtection="1">
      <alignment/>
      <protection/>
    </xf>
    <xf numFmtId="0" fontId="0" fillId="0" borderId="10" xfId="22" applyFont="1" applyBorder="1" applyProtection="1">
      <alignment/>
      <protection/>
    </xf>
    <xf numFmtId="0" fontId="0" fillId="0" borderId="3" xfId="22" applyFont="1" applyBorder="1" applyProtection="1">
      <alignment/>
      <protection/>
    </xf>
    <xf numFmtId="0" fontId="44" fillId="0" borderId="3" xfId="22" applyFont="1" applyBorder="1" applyProtection="1">
      <alignment/>
      <protection/>
    </xf>
    <xf numFmtId="0" fontId="44" fillId="0" borderId="4" xfId="22" applyFont="1" applyBorder="1" applyProtection="1">
      <alignment/>
      <protection/>
    </xf>
    <xf numFmtId="0" fontId="0" fillId="0" borderId="2" xfId="22" applyFont="1" applyBorder="1" applyProtection="1">
      <alignment/>
      <protection/>
    </xf>
    <xf numFmtId="0" fontId="0" fillId="0" borderId="0" xfId="22" applyFont="1" applyBorder="1" applyProtection="1">
      <alignment/>
      <protection/>
    </xf>
    <xf numFmtId="0" fontId="6" fillId="0" borderId="0" xfId="22" applyFont="1" applyBorder="1" applyProtection="1">
      <alignment/>
      <protection/>
    </xf>
    <xf numFmtId="0" fontId="64" fillId="0" borderId="0" xfId="22" applyFont="1" applyBorder="1" applyProtection="1">
      <alignment/>
      <protection/>
    </xf>
    <xf numFmtId="0" fontId="44" fillId="0" borderId="1" xfId="22" applyFont="1" applyBorder="1" applyProtection="1">
      <alignment/>
      <protection/>
    </xf>
    <xf numFmtId="0" fontId="5" fillId="0" borderId="0" xfId="22" applyFont="1" applyBorder="1" applyProtection="1">
      <alignment/>
      <protection/>
    </xf>
    <xf numFmtId="0" fontId="0" fillId="0" borderId="11" xfId="22" applyFont="1" applyBorder="1" applyAlignment="1" applyProtection="1">
      <alignment horizontal="center"/>
      <protection/>
    </xf>
    <xf numFmtId="22" fontId="44" fillId="0" borderId="0" xfId="22" applyNumberFormat="1" applyFont="1" applyBorder="1" applyProtection="1">
      <alignment/>
      <protection/>
    </xf>
    <xf numFmtId="0" fontId="0" fillId="0" borderId="5" xfId="22" applyFont="1" applyBorder="1" applyProtection="1">
      <alignment/>
      <protection/>
    </xf>
    <xf numFmtId="0" fontId="44" fillId="0" borderId="16" xfId="22" applyFont="1" applyBorder="1" applyAlignment="1" applyProtection="1">
      <alignment horizontal="center"/>
      <protection/>
    </xf>
    <xf numFmtId="170" fontId="44" fillId="0" borderId="0" xfId="22" applyNumberFormat="1" applyFont="1" applyBorder="1" applyProtection="1">
      <alignment/>
      <protection/>
    </xf>
    <xf numFmtId="0" fontId="44" fillId="0" borderId="0" xfId="22" applyFont="1" applyBorder="1" applyAlignment="1" applyProtection="1" quotePrefix="1">
      <alignment horizontal="center"/>
      <protection/>
    </xf>
    <xf numFmtId="0" fontId="44" fillId="0" borderId="0" xfId="22" applyFont="1" applyBorder="1" applyAlignment="1" applyProtection="1">
      <alignment horizontal="center"/>
      <protection/>
    </xf>
    <xf numFmtId="1" fontId="44" fillId="0" borderId="16" xfId="22" applyNumberFormat="1" applyFont="1" applyBorder="1" applyAlignment="1" applyProtection="1">
      <alignment horizontal="center"/>
      <protection/>
    </xf>
    <xf numFmtId="0" fontId="21" fillId="0" borderId="2" xfId="22" applyFont="1" applyBorder="1" applyProtection="1">
      <alignment/>
      <protection/>
    </xf>
    <xf numFmtId="0" fontId="42" fillId="13" borderId="11" xfId="22" applyFont="1" applyFill="1" applyBorder="1" applyAlignment="1" applyProtection="1">
      <alignment horizontal="center" vertical="center" wrapText="1"/>
      <protection/>
    </xf>
    <xf numFmtId="0" fontId="38" fillId="9" borderId="19" xfId="22" applyFont="1" applyFill="1" applyBorder="1" applyAlignment="1" applyProtection="1">
      <alignment horizontal="centerContinuous" vertical="center"/>
      <protection/>
    </xf>
    <xf numFmtId="0" fontId="66" fillId="14" borderId="11" xfId="22" applyFont="1" applyFill="1" applyBorder="1" applyAlignment="1" applyProtection="1">
      <alignment horizontal="centerContinuous" vertical="center" wrapText="1"/>
      <protection/>
    </xf>
    <xf numFmtId="164" fontId="6" fillId="0" borderId="21" xfId="22" applyNumberFormat="1" applyFont="1" applyFill="1" applyBorder="1" applyAlignment="1" applyProtection="1">
      <alignment horizontal="center"/>
      <protection/>
    </xf>
    <xf numFmtId="0" fontId="62" fillId="2" borderId="21" xfId="22" applyFont="1" applyFill="1" applyBorder="1" applyAlignment="1" applyProtection="1">
      <alignment horizontal="center"/>
      <protection/>
    </xf>
    <xf numFmtId="0" fontId="67" fillId="12" borderId="21" xfId="22" applyFont="1" applyFill="1" applyBorder="1" applyAlignment="1" applyProtection="1">
      <alignment horizontal="center"/>
      <protection/>
    </xf>
    <xf numFmtId="0" fontId="40" fillId="13" borderId="21" xfId="22" applyFont="1" applyFill="1" applyBorder="1" applyAlignment="1" applyProtection="1">
      <alignment horizontal="center"/>
      <protection/>
    </xf>
    <xf numFmtId="0" fontId="37" fillId="9" borderId="22" xfId="22" applyFont="1" applyFill="1" applyBorder="1" applyAlignment="1" applyProtection="1">
      <alignment horizontal="center"/>
      <protection/>
    </xf>
    <xf numFmtId="0" fontId="37" fillId="9" borderId="24" xfId="22" applyFont="1" applyFill="1" applyBorder="1" applyAlignment="1" applyProtection="1">
      <alignment horizontal="left"/>
      <protection/>
    </xf>
    <xf numFmtId="0" fontId="68" fillId="14" borderId="21" xfId="22" applyFont="1" applyFill="1" applyBorder="1" applyAlignment="1" applyProtection="1">
      <alignment horizontal="left"/>
      <protection/>
    </xf>
    <xf numFmtId="0" fontId="6" fillId="0" borderId="21" xfId="22" applyFont="1" applyFill="1" applyBorder="1" applyAlignment="1" applyProtection="1">
      <alignment horizontal="left"/>
      <protection/>
    </xf>
    <xf numFmtId="164" fontId="6" fillId="0" borderId="12" xfId="22" applyNumberFormat="1" applyFont="1" applyFill="1" applyBorder="1" applyAlignment="1" applyProtection="1">
      <alignment horizontal="center"/>
      <protection/>
    </xf>
    <xf numFmtId="0" fontId="62" fillId="2" borderId="12" xfId="22" applyFont="1" applyFill="1" applyBorder="1" applyAlignment="1" applyProtection="1">
      <alignment horizontal="center"/>
      <protection/>
    </xf>
    <xf numFmtId="0" fontId="67" fillId="12" borderId="12" xfId="22" applyFont="1" applyFill="1" applyBorder="1" applyAlignment="1" applyProtection="1">
      <alignment horizontal="center"/>
      <protection/>
    </xf>
    <xf numFmtId="0" fontId="40" fillId="13" borderId="12" xfId="22" applyFont="1" applyFill="1" applyBorder="1" applyAlignment="1" applyProtection="1">
      <alignment horizontal="center"/>
      <protection/>
    </xf>
    <xf numFmtId="0" fontId="37" fillId="9" borderId="13" xfId="22" applyFont="1" applyFill="1" applyBorder="1" applyAlignment="1" applyProtection="1">
      <alignment horizontal="center"/>
      <protection/>
    </xf>
    <xf numFmtId="0" fontId="37" fillId="9" borderId="15" xfId="22" applyFont="1" applyFill="1" applyBorder="1" applyAlignment="1" applyProtection="1">
      <alignment horizontal="left"/>
      <protection/>
    </xf>
    <xf numFmtId="0" fontId="68" fillId="14" borderId="12" xfId="22" applyFont="1" applyFill="1" applyBorder="1" applyAlignment="1" applyProtection="1">
      <alignment horizontal="left"/>
      <protection/>
    </xf>
    <xf numFmtId="0" fontId="6" fillId="0" borderId="12" xfId="22" applyFont="1" applyFill="1" applyBorder="1" applyAlignment="1" applyProtection="1">
      <alignment horizontal="left"/>
      <protection/>
    </xf>
    <xf numFmtId="4" fontId="11" fillId="0" borderId="12" xfId="22" applyNumberFormat="1" applyFont="1" applyFill="1" applyBorder="1" applyAlignment="1" applyProtection="1">
      <alignment/>
      <protection/>
    </xf>
    <xf numFmtId="170" fontId="62" fillId="2" borderId="12" xfId="22" applyNumberFormat="1" applyFont="1" applyFill="1" applyBorder="1" applyAlignment="1" applyProtection="1">
      <alignment horizontal="center"/>
      <protection/>
    </xf>
    <xf numFmtId="0" fontId="62" fillId="2" borderId="16" xfId="22" applyFont="1" applyFill="1" applyBorder="1" applyProtection="1">
      <alignment/>
      <protection/>
    </xf>
    <xf numFmtId="7" fontId="6" fillId="0" borderId="29" xfId="22" applyNumberFormat="1" applyFont="1" applyFill="1" applyBorder="1" applyAlignment="1" applyProtection="1">
      <alignment horizontal="right"/>
      <protection/>
    </xf>
    <xf numFmtId="2" fontId="40" fillId="15" borderId="11" xfId="22" applyNumberFormat="1" applyFont="1" applyFill="1" applyBorder="1" applyAlignment="1" applyProtection="1">
      <alignment horizontal="center"/>
      <protection/>
    </xf>
    <xf numFmtId="2" fontId="37" fillId="9" borderId="11" xfId="22" applyNumberFormat="1" applyFont="1" applyFill="1" applyBorder="1" applyAlignment="1" applyProtection="1">
      <alignment horizontal="center"/>
      <protection/>
    </xf>
    <xf numFmtId="2" fontId="68" fillId="14" borderId="11" xfId="22" applyNumberFormat="1" applyFont="1" applyFill="1" applyBorder="1" applyAlignment="1" applyProtection="1">
      <alignment horizontal="center"/>
      <protection/>
    </xf>
    <xf numFmtId="7" fontId="6" fillId="0" borderId="0" xfId="22" applyNumberFormat="1" applyFont="1" applyFill="1" applyBorder="1" applyAlignment="1" applyProtection="1">
      <alignment horizontal="center"/>
      <protection/>
    </xf>
    <xf numFmtId="0" fontId="44" fillId="0" borderId="7" xfId="22" applyFont="1" applyFill="1" applyBorder="1" applyProtection="1">
      <alignment/>
      <protection/>
    </xf>
    <xf numFmtId="0" fontId="6" fillId="0" borderId="8" xfId="22" applyFont="1" applyFill="1" applyBorder="1" applyProtection="1">
      <alignment/>
      <protection/>
    </xf>
    <xf numFmtId="4" fontId="6" fillId="5" borderId="12" xfId="22" applyNumberFormat="1" applyFont="1" applyFill="1" applyBorder="1" applyAlignment="1" applyProtection="1">
      <alignment horizontal="center"/>
      <protection locked="0"/>
    </xf>
    <xf numFmtId="168" fontId="10" fillId="5" borderId="12" xfId="22" applyNumberFormat="1" applyFont="1" applyFill="1" applyBorder="1" applyAlignment="1" applyProtection="1">
      <alignment horizontal="center"/>
      <protection locked="0"/>
    </xf>
    <xf numFmtId="168" fontId="6" fillId="5" borderId="12" xfId="22" applyNumberFormat="1" applyFont="1" applyFill="1" applyBorder="1" applyAlignment="1" applyProtection="1">
      <alignment horizontal="center"/>
      <protection locked="0"/>
    </xf>
    <xf numFmtId="172" fontId="0" fillId="0" borderId="5" xfId="0" applyNumberFormat="1" applyFont="1" applyBorder="1" applyAlignment="1">
      <alignment horizontal="centerContinuous" vertical="center"/>
    </xf>
    <xf numFmtId="0" fontId="0" fillId="0" borderId="5" xfId="0" applyFont="1" applyBorder="1" applyAlignment="1" applyProtection="1">
      <alignment horizontal="center" vertical="center"/>
      <protection/>
    </xf>
    <xf numFmtId="0" fontId="0" fillId="0" borderId="6" xfId="22" applyBorder="1" applyAlignment="1" applyProtection="1">
      <alignment horizontal="centerContinuous" vertical="center"/>
      <protection/>
    </xf>
    <xf numFmtId="0" fontId="6" fillId="0" borderId="12" xfId="22" applyFont="1" applyBorder="1" applyAlignment="1" applyProtection="1">
      <alignment horizontal="center"/>
      <protection locked="0"/>
    </xf>
    <xf numFmtId="0" fontId="6" fillId="0" borderId="12" xfId="23" applyFont="1" applyBorder="1" applyAlignment="1" applyProtection="1">
      <alignment horizontal="center"/>
      <protection locked="0"/>
    </xf>
    <xf numFmtId="0" fontId="6" fillId="0" borderId="12" xfId="23" applyBorder="1" applyAlignment="1" applyProtection="1">
      <alignment horizontal="center"/>
      <protection locked="0"/>
    </xf>
    <xf numFmtId="0" fontId="6" fillId="0" borderId="16" xfId="22" applyFont="1" applyBorder="1" applyAlignment="1" applyProtection="1">
      <alignment horizontal="center"/>
      <protection locked="0"/>
    </xf>
    <xf numFmtId="0" fontId="6" fillId="0" borderId="31" xfId="22" applyFont="1" applyBorder="1" applyAlignment="1" applyProtection="1">
      <alignment horizontal="center"/>
      <protection locked="0"/>
    </xf>
    <xf numFmtId="169" fontId="6" fillId="0" borderId="31" xfId="22" applyNumberFormat="1" applyFont="1" applyBorder="1" applyAlignment="1" applyProtection="1">
      <alignment horizontal="center"/>
      <protection locked="0"/>
    </xf>
    <xf numFmtId="2" fontId="6" fillId="0" borderId="31" xfId="22" applyNumberFormat="1" applyFont="1" applyBorder="1" applyAlignment="1" applyProtection="1">
      <alignment horizontal="center"/>
      <protection locked="0"/>
    </xf>
    <xf numFmtId="169" fontId="6" fillId="0" borderId="12" xfId="23" applyNumberFormat="1" applyBorder="1" applyAlignment="1" applyProtection="1">
      <alignment horizontal="center"/>
      <protection locked="0"/>
    </xf>
    <xf numFmtId="168" fontId="54" fillId="0" borderId="16" xfId="22" applyNumberFormat="1" applyFont="1" applyBorder="1" applyAlignment="1" applyProtection="1">
      <alignment horizontal="center"/>
      <protection locked="0"/>
    </xf>
    <xf numFmtId="168" fontId="6" fillId="0" borderId="16" xfId="22" applyNumberFormat="1" applyFont="1" applyBorder="1" applyAlignment="1" applyProtection="1">
      <alignment horizontal="center"/>
      <protection locked="0"/>
    </xf>
    <xf numFmtId="22" fontId="6" fillId="0" borderId="16" xfId="22" applyNumberFormat="1" applyFont="1" applyBorder="1" applyAlignment="1" applyProtection="1">
      <alignment horizontal="center"/>
      <protection locked="0"/>
    </xf>
    <xf numFmtId="168" fontId="36" fillId="5" borderId="16" xfId="22" applyNumberFormat="1" applyFont="1" applyFill="1" applyBorder="1" applyAlignment="1" applyProtection="1" quotePrefix="1">
      <alignment horizontal="center"/>
      <protection locked="0"/>
    </xf>
    <xf numFmtId="168" fontId="40" fillId="6" borderId="16" xfId="22" applyNumberFormat="1" applyFont="1" applyFill="1" applyBorder="1" applyAlignment="1" applyProtection="1" quotePrefix="1">
      <alignment horizontal="center"/>
      <protection locked="0"/>
    </xf>
    <xf numFmtId="168" fontId="37" fillId="3" borderId="32" xfId="22" applyNumberFormat="1" applyFont="1" applyFill="1" applyBorder="1" applyAlignment="1" applyProtection="1" quotePrefix="1">
      <alignment horizontal="center"/>
      <protection locked="0"/>
    </xf>
    <xf numFmtId="4" fontId="37" fillId="3" borderId="33" xfId="22" applyNumberFormat="1" applyFont="1" applyFill="1" applyBorder="1" applyAlignment="1" applyProtection="1">
      <alignment horizontal="center"/>
      <protection locked="0"/>
    </xf>
    <xf numFmtId="4" fontId="37" fillId="3" borderId="34" xfId="22" applyNumberFormat="1" applyFont="1" applyFill="1" applyBorder="1" applyAlignment="1" applyProtection="1">
      <alignment horizontal="center"/>
      <protection locked="0"/>
    </xf>
    <xf numFmtId="168" fontId="53" fillId="4" borderId="32" xfId="22" applyNumberFormat="1" applyFont="1" applyFill="1" applyBorder="1" applyAlignment="1" applyProtection="1" quotePrefix="1">
      <alignment horizontal="center"/>
      <protection locked="0"/>
    </xf>
    <xf numFmtId="4" fontId="53" fillId="4" borderId="33" xfId="22" applyNumberFormat="1" applyFont="1" applyFill="1" applyBorder="1" applyAlignment="1" applyProtection="1">
      <alignment horizontal="center"/>
      <protection locked="0"/>
    </xf>
    <xf numFmtId="4" fontId="53" fillId="4" borderId="34" xfId="22" applyNumberFormat="1" applyFont="1" applyFill="1" applyBorder="1" applyAlignment="1" applyProtection="1">
      <alignment horizontal="center"/>
      <protection locked="0"/>
    </xf>
    <xf numFmtId="4" fontId="40" fillId="7" borderId="16" xfId="22" applyNumberFormat="1" applyFont="1" applyFill="1" applyBorder="1" applyAlignment="1" applyProtection="1">
      <alignment horizontal="center"/>
      <protection locked="0"/>
    </xf>
    <xf numFmtId="4" fontId="40" fillId="8" borderId="16" xfId="22" applyNumberFormat="1" applyFont="1" applyFill="1" applyBorder="1" applyAlignment="1" applyProtection="1">
      <alignment horizontal="center"/>
      <protection locked="0"/>
    </xf>
    <xf numFmtId="4" fontId="6" fillId="0" borderId="16" xfId="22" applyNumberFormat="1" applyFont="1" applyBorder="1" applyAlignment="1" applyProtection="1">
      <alignment horizontal="center"/>
      <protection locked="0"/>
    </xf>
    <xf numFmtId="0" fontId="6" fillId="0" borderId="12" xfId="22" applyFont="1" applyFill="1" applyBorder="1" applyAlignment="1" applyProtection="1">
      <alignment horizontal="center"/>
      <protection locked="0"/>
    </xf>
    <xf numFmtId="0" fontId="6" fillId="0" borderId="25" xfId="22" applyFont="1" applyBorder="1" applyAlignment="1" applyProtection="1">
      <alignment horizontal="center"/>
      <protection locked="0"/>
    </xf>
    <xf numFmtId="165" fontId="6" fillId="0" borderId="25" xfId="22" applyNumberFormat="1" applyFont="1" applyBorder="1" applyAlignment="1" applyProtection="1" quotePrefix="1">
      <alignment horizontal="center"/>
      <protection locked="0"/>
    </xf>
    <xf numFmtId="2" fontId="6" fillId="0" borderId="25" xfId="22" applyNumberFormat="1" applyFont="1" applyBorder="1" applyAlignment="1" applyProtection="1" quotePrefix="1">
      <alignment horizontal="center"/>
      <protection locked="0"/>
    </xf>
    <xf numFmtId="0" fontId="6" fillId="0" borderId="16" xfId="22" applyFont="1" applyFill="1" applyBorder="1" applyProtection="1">
      <alignment/>
      <protection locked="0"/>
    </xf>
    <xf numFmtId="0" fontId="36" fillId="2" borderId="16" xfId="22" applyFont="1" applyFill="1" applyBorder="1" applyProtection="1">
      <alignment/>
      <protection locked="0"/>
    </xf>
    <xf numFmtId="0" fontId="40" fillId="3" borderId="16" xfId="22" applyFont="1" applyFill="1" applyBorder="1" applyProtection="1">
      <alignment/>
      <protection locked="0"/>
    </xf>
    <xf numFmtId="0" fontId="40" fillId="11" borderId="16" xfId="22" applyFont="1" applyFill="1" applyBorder="1" applyProtection="1">
      <alignment/>
      <protection locked="0"/>
    </xf>
    <xf numFmtId="0" fontId="61" fillId="9" borderId="32" xfId="22" applyFont="1" applyFill="1" applyBorder="1" applyProtection="1">
      <alignment/>
      <protection locked="0"/>
    </xf>
    <xf numFmtId="0" fontId="61" fillId="9" borderId="34" xfId="22" applyFont="1" applyFill="1" applyBorder="1" applyProtection="1">
      <alignment/>
      <protection locked="0"/>
    </xf>
    <xf numFmtId="0" fontId="40" fillId="10" borderId="32" xfId="22" applyFont="1" applyFill="1" applyBorder="1" applyProtection="1">
      <alignment/>
      <protection locked="0"/>
    </xf>
    <xf numFmtId="0" fontId="40" fillId="10" borderId="34" xfId="22" applyFont="1" applyFill="1" applyBorder="1" applyProtection="1">
      <alignment/>
      <protection locked="0"/>
    </xf>
    <xf numFmtId="0" fontId="61" fillId="4" borderId="16" xfId="22" applyFont="1" applyFill="1" applyBorder="1" applyProtection="1">
      <alignment/>
      <protection locked="0"/>
    </xf>
    <xf numFmtId="0" fontId="45" fillId="0" borderId="12" xfId="22" applyFont="1" applyFill="1" applyBorder="1" applyAlignment="1" applyProtection="1">
      <alignment horizontal="center"/>
      <protection locked="0"/>
    </xf>
    <xf numFmtId="171" fontId="10" fillId="0" borderId="12" xfId="22" applyNumberFormat="1" applyFont="1" applyFill="1" applyBorder="1" applyAlignment="1" applyProtection="1">
      <alignment horizontal="center"/>
      <protection locked="0"/>
    </xf>
    <xf numFmtId="0" fontId="67" fillId="12" borderId="16" xfId="22" applyFont="1" applyFill="1" applyBorder="1" applyProtection="1">
      <alignment/>
      <protection locked="0"/>
    </xf>
    <xf numFmtId="0" fontId="40" fillId="13" borderId="16" xfId="22" applyFont="1" applyFill="1" applyBorder="1" applyProtection="1">
      <alignment/>
      <protection locked="0"/>
    </xf>
    <xf numFmtId="0" fontId="37" fillId="9" borderId="32" xfId="22" applyFont="1" applyFill="1" applyBorder="1" applyProtection="1">
      <alignment/>
      <protection locked="0"/>
    </xf>
    <xf numFmtId="0" fontId="37" fillId="9" borderId="34" xfId="22" applyFont="1" applyFill="1" applyBorder="1" applyProtection="1">
      <alignment/>
      <protection locked="0"/>
    </xf>
    <xf numFmtId="0" fontId="68" fillId="14" borderId="16" xfId="22" applyFont="1" applyFill="1" applyBorder="1" applyProtection="1">
      <alignment/>
      <protection locked="0"/>
    </xf>
    <xf numFmtId="0" fontId="7" fillId="0" borderId="0" xfId="0" applyFont="1" applyBorder="1" applyAlignment="1">
      <alignment horizontal="center"/>
    </xf>
    <xf numFmtId="7" fontId="7" fillId="0" borderId="0" xfId="0" applyNumberFormat="1" applyFont="1" applyBorder="1" applyAlignment="1">
      <alignment horizontal="center"/>
    </xf>
    <xf numFmtId="0" fontId="69" fillId="0" borderId="0" xfId="0" applyNumberFormat="1" applyFont="1" applyBorder="1" applyAlignment="1">
      <alignment horizontal="left"/>
    </xf>
    <xf numFmtId="49" fontId="6" fillId="0" borderId="21" xfId="25" applyNumberFormat="1" applyFont="1" applyFill="1" applyBorder="1" applyAlignment="1" applyProtection="1">
      <alignment horizontal="center"/>
      <protection locked="0"/>
    </xf>
    <xf numFmtId="49" fontId="6" fillId="0" borderId="21" xfId="25" applyNumberFormat="1" applyFont="1" applyFill="1" applyBorder="1" applyProtection="1">
      <alignment/>
      <protection locked="0"/>
    </xf>
    <xf numFmtId="49" fontId="6" fillId="0" borderId="12" xfId="25" applyNumberFormat="1" applyFont="1" applyFill="1" applyBorder="1" applyAlignment="1" applyProtection="1">
      <alignment horizontal="center"/>
      <protection locked="0"/>
    </xf>
    <xf numFmtId="49" fontId="6" fillId="0" borderId="12" xfId="25" applyNumberFormat="1" applyFont="1" applyFill="1" applyBorder="1" applyProtection="1">
      <alignment/>
      <protection locked="0"/>
    </xf>
    <xf numFmtId="49" fontId="6" fillId="0" borderId="16" xfId="25" applyNumberFormat="1" applyFont="1" applyFill="1" applyBorder="1" applyProtection="1">
      <alignment/>
      <protection locked="0"/>
    </xf>
    <xf numFmtId="0" fontId="21" fillId="0" borderId="11" xfId="0" applyFont="1" applyBorder="1" applyAlignment="1">
      <alignment horizontal="center" vertical="center"/>
    </xf>
    <xf numFmtId="0" fontId="0" fillId="2" borderId="27" xfId="26" applyFont="1" applyFill="1" applyBorder="1">
      <alignment/>
      <protection/>
    </xf>
    <xf numFmtId="0" fontId="0" fillId="0" borderId="0" xfId="26" applyFont="1">
      <alignment/>
      <protection/>
    </xf>
    <xf numFmtId="0" fontId="0" fillId="0" borderId="27" xfId="26" applyFont="1" applyBorder="1">
      <alignment/>
      <protection/>
    </xf>
    <xf numFmtId="0" fontId="0" fillId="0" borderId="27" xfId="26" applyFont="1" applyBorder="1" quotePrefix="1">
      <alignment/>
      <protection/>
    </xf>
    <xf numFmtId="0" fontId="72" fillId="2" borderId="27" xfId="26" applyFont="1" applyFill="1" applyBorder="1" applyAlignment="1">
      <alignment horizontal="center"/>
      <protection/>
    </xf>
    <xf numFmtId="0" fontId="0" fillId="16" borderId="0" xfId="26" applyFont="1" applyFill="1">
      <alignment/>
      <protection/>
    </xf>
    <xf numFmtId="0" fontId="0" fillId="16" borderId="0" xfId="26" applyNumberFormat="1" applyFont="1" applyFill="1">
      <alignment/>
      <protection/>
    </xf>
    <xf numFmtId="0" fontId="72" fillId="0" borderId="27" xfId="26" applyFont="1" applyFill="1" applyBorder="1" applyAlignment="1">
      <alignment horizontal="center"/>
      <protection/>
    </xf>
    <xf numFmtId="0" fontId="0" fillId="16" borderId="0" xfId="21" applyFont="1" applyFill="1" applyAlignment="1">
      <alignment/>
      <protection/>
    </xf>
    <xf numFmtId="0" fontId="0" fillId="0" borderId="0" xfId="26" applyFont="1" applyFill="1">
      <alignment/>
      <protection/>
    </xf>
    <xf numFmtId="0" fontId="39" fillId="0" borderId="27" xfId="26" applyFont="1" applyBorder="1">
      <alignment/>
      <protection/>
    </xf>
    <xf numFmtId="0" fontId="39" fillId="0" borderId="27" xfId="26" applyFont="1" applyFill="1" applyBorder="1">
      <alignment/>
      <protection/>
    </xf>
    <xf numFmtId="0" fontId="39" fillId="0" borderId="14" xfId="26" applyFont="1" applyBorder="1">
      <alignment/>
      <protection/>
    </xf>
    <xf numFmtId="0" fontId="73" fillId="0" borderId="27" xfId="26" applyFont="1" applyFill="1" applyBorder="1">
      <alignment/>
      <protection/>
    </xf>
    <xf numFmtId="0" fontId="39" fillId="0" borderId="27" xfId="0" applyFont="1" applyBorder="1" applyAlignment="1">
      <alignment/>
    </xf>
    <xf numFmtId="0" fontId="0" fillId="2" borderId="35" xfId="0" applyFill="1" applyBorder="1" applyAlignment="1">
      <alignment/>
    </xf>
    <xf numFmtId="0" fontId="0" fillId="2" borderId="36" xfId="26" applyFont="1" applyFill="1" applyBorder="1">
      <alignment/>
      <protection/>
    </xf>
    <xf numFmtId="0" fontId="0" fillId="0" borderId="35" xfId="0" applyFont="1" applyBorder="1" applyAlignment="1">
      <alignment/>
    </xf>
    <xf numFmtId="0" fontId="0" fillId="0" borderId="36" xfId="26" applyFont="1" applyBorder="1">
      <alignment/>
      <protection/>
    </xf>
    <xf numFmtId="0" fontId="0" fillId="16" borderId="0" xfId="0" applyFont="1" applyFill="1" applyAlignment="1">
      <alignment/>
    </xf>
    <xf numFmtId="0" fontId="73" fillId="0" borderId="27" xfId="0" applyFont="1" applyFill="1" applyBorder="1" applyAlignment="1">
      <alignment/>
    </xf>
    <xf numFmtId="0" fontId="73" fillId="0" borderId="14" xfId="0" applyFont="1" applyFill="1" applyBorder="1" applyAlignment="1">
      <alignment/>
    </xf>
    <xf numFmtId="0" fontId="39" fillId="0" borderId="27" xfId="0" applyFont="1" applyFill="1" applyBorder="1" applyAlignment="1">
      <alignment/>
    </xf>
    <xf numFmtId="0" fontId="74" fillId="0" borderId="0" xfId="22" applyFont="1" applyBorder="1" applyProtection="1">
      <alignment/>
      <protection/>
    </xf>
    <xf numFmtId="0" fontId="74" fillId="0" borderId="0" xfId="22" applyFont="1" applyFill="1" applyBorder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26" applyFont="1" applyBorder="1">
      <alignment/>
      <protection/>
    </xf>
    <xf numFmtId="22" fontId="6" fillId="0" borderId="12" xfId="25" applyNumberFormat="1" applyFont="1" applyFill="1" applyBorder="1" applyAlignment="1" applyProtection="1">
      <alignment horizontal="center"/>
      <protection locked="0"/>
    </xf>
    <xf numFmtId="171" fontId="6" fillId="0" borderId="12" xfId="22" applyNumberFormat="1" applyFont="1" applyFill="1" applyBorder="1" applyAlignment="1" applyProtection="1">
      <alignment horizontal="center"/>
      <protection locked="0"/>
    </xf>
    <xf numFmtId="2" fontId="6" fillId="0" borderId="25" xfId="22" applyNumberFormat="1" applyFont="1" applyBorder="1" applyAlignment="1" applyProtection="1">
      <alignment horizontal="center"/>
      <protection locked="0"/>
    </xf>
    <xf numFmtId="0" fontId="20" fillId="0" borderId="0" xfId="22" applyFont="1" applyBorder="1" applyAlignment="1" applyProtection="1">
      <alignment horizontal="left"/>
      <protection/>
    </xf>
    <xf numFmtId="0" fontId="44" fillId="0" borderId="0" xfId="24">
      <alignment/>
      <protection/>
    </xf>
    <xf numFmtId="0" fontId="43" fillId="0" borderId="0" xfId="24" applyFont="1" applyAlignment="1">
      <alignment horizontal="right" vertical="top"/>
      <protection/>
    </xf>
    <xf numFmtId="0" fontId="15" fillId="0" borderId="0" xfId="24" applyFont="1">
      <alignment/>
      <protection/>
    </xf>
    <xf numFmtId="0" fontId="16" fillId="0" borderId="0" xfId="24" applyFont="1" applyAlignment="1">
      <alignment horizontal="centerContinuous"/>
      <protection/>
    </xf>
    <xf numFmtId="0" fontId="20" fillId="0" borderId="0" xfId="24" applyFont="1">
      <alignment/>
      <protection/>
    </xf>
    <xf numFmtId="0" fontId="19" fillId="0" borderId="0" xfId="24" applyFont="1" applyFill="1" applyBorder="1" applyAlignment="1" applyProtection="1">
      <alignment horizontal="centerContinuous"/>
      <protection/>
    </xf>
    <xf numFmtId="0" fontId="4" fillId="0" borderId="0" xfId="24" applyFont="1" applyFill="1" applyBorder="1" applyAlignment="1" applyProtection="1">
      <alignment horizontal="centerContinuous"/>
      <protection/>
    </xf>
    <xf numFmtId="0" fontId="4" fillId="0" borderId="0" xfId="24" applyFont="1" applyFill="1" applyBorder="1" applyAlignment="1" applyProtection="1">
      <alignment horizontal="left"/>
      <protection/>
    </xf>
    <xf numFmtId="0" fontId="12" fillId="0" borderId="0" xfId="24" applyFont="1" applyBorder="1" applyAlignment="1">
      <alignment horizontal="centerContinuous"/>
      <protection/>
    </xf>
    <xf numFmtId="0" fontId="44" fillId="0" borderId="0" xfId="24" applyAlignment="1">
      <alignment horizontal="centerContinuous"/>
      <protection/>
    </xf>
    <xf numFmtId="0" fontId="33" fillId="0" borderId="0" xfId="24" applyFont="1" applyBorder="1" applyAlignment="1">
      <alignment horizontal="centerContinuous"/>
      <protection/>
    </xf>
    <xf numFmtId="0" fontId="12" fillId="0" borderId="0" xfId="24" applyFont="1" applyAlignment="1">
      <alignment horizontal="centerContinuous"/>
      <protection/>
    </xf>
    <xf numFmtId="0" fontId="75" fillId="0" borderId="0" xfId="24" applyFont="1" applyAlignment="1">
      <alignment horizontal="centerContinuous"/>
      <protection/>
    </xf>
    <xf numFmtId="0" fontId="44" fillId="0" borderId="10" xfId="24" applyBorder="1">
      <alignment/>
      <protection/>
    </xf>
    <xf numFmtId="0" fontId="44" fillId="0" borderId="3" xfId="24" applyBorder="1">
      <alignment/>
      <protection/>
    </xf>
    <xf numFmtId="0" fontId="44" fillId="0" borderId="4" xfId="24" applyBorder="1">
      <alignment/>
      <protection/>
    </xf>
    <xf numFmtId="0" fontId="9" fillId="0" borderId="2" xfId="24" applyFont="1" applyBorder="1" applyAlignment="1">
      <alignment horizontal="centerContinuous"/>
      <protection/>
    </xf>
    <xf numFmtId="0" fontId="44" fillId="0" borderId="0" xfId="24" applyBorder="1" applyAlignment="1">
      <alignment horizontal="centerContinuous"/>
      <protection/>
    </xf>
    <xf numFmtId="0" fontId="44" fillId="0" borderId="1" xfId="24" applyBorder="1" applyAlignment="1">
      <alignment horizontal="centerContinuous"/>
      <protection/>
    </xf>
    <xf numFmtId="0" fontId="44" fillId="0" borderId="2" xfId="24" applyBorder="1">
      <alignment/>
      <protection/>
    </xf>
    <xf numFmtId="0" fontId="44" fillId="0" borderId="0" xfId="24" applyBorder="1">
      <alignment/>
      <protection/>
    </xf>
    <xf numFmtId="0" fontId="44" fillId="0" borderId="1" xfId="24" applyBorder="1">
      <alignment/>
      <protection/>
    </xf>
    <xf numFmtId="0" fontId="21" fillId="0" borderId="2" xfId="24" applyFont="1" applyBorder="1">
      <alignment/>
      <protection/>
    </xf>
    <xf numFmtId="0" fontId="76" fillId="0" borderId="11" xfId="24" applyFont="1" applyBorder="1" applyAlignment="1">
      <alignment horizontal="centerContinuous" vertical="center"/>
      <protection/>
    </xf>
    <xf numFmtId="0" fontId="76" fillId="0" borderId="11" xfId="24" applyFont="1" applyBorder="1" applyAlignment="1">
      <alignment horizontal="center" vertical="center"/>
      <protection/>
    </xf>
    <xf numFmtId="0" fontId="76" fillId="0" borderId="11" xfId="24" applyFont="1" applyBorder="1" applyAlignment="1">
      <alignment horizontal="centerContinuous" vertical="center" wrapText="1"/>
      <protection/>
    </xf>
    <xf numFmtId="17" fontId="76" fillId="17" borderId="11" xfId="24" applyNumberFormat="1" applyFont="1" applyFill="1" applyBorder="1" applyAlignment="1">
      <alignment horizontal="centerContinuous" vertical="center"/>
      <protection/>
    </xf>
    <xf numFmtId="0" fontId="44" fillId="0" borderId="0" xfId="24" applyAlignment="1">
      <alignment vertical="center"/>
      <protection/>
    </xf>
    <xf numFmtId="0" fontId="44" fillId="0" borderId="2" xfId="24" applyBorder="1" applyAlignment="1">
      <alignment vertical="center"/>
      <protection/>
    </xf>
    <xf numFmtId="0" fontId="44" fillId="0" borderId="25" xfId="24" applyBorder="1" applyAlignment="1">
      <alignment horizontal="center" vertical="center"/>
      <protection/>
    </xf>
    <xf numFmtId="0" fontId="44" fillId="0" borderId="25" xfId="24" applyBorder="1" applyAlignment="1">
      <alignment vertical="center"/>
      <protection/>
    </xf>
    <xf numFmtId="0" fontId="44" fillId="18" borderId="37" xfId="24" applyFill="1" applyBorder="1" applyAlignment="1">
      <alignment vertical="center"/>
      <protection/>
    </xf>
    <xf numFmtId="0" fontId="44" fillId="0" borderId="29" xfId="24" applyFill="1" applyBorder="1" applyAlignment="1">
      <alignment vertical="center"/>
      <protection/>
    </xf>
    <xf numFmtId="0" fontId="44" fillId="0" borderId="1" xfId="24" applyBorder="1" applyAlignment="1">
      <alignment vertical="center"/>
      <protection/>
    </xf>
    <xf numFmtId="0" fontId="44" fillId="19" borderId="25" xfId="24" applyFill="1" applyBorder="1" applyAlignment="1">
      <alignment horizontal="center" vertical="center"/>
      <protection/>
    </xf>
    <xf numFmtId="0" fontId="6" fillId="19" borderId="25" xfId="23" applyFont="1" applyFill="1" applyBorder="1" applyAlignment="1">
      <alignment horizontal="center" vertical="center"/>
      <protection/>
    </xf>
    <xf numFmtId="0" fontId="6" fillId="19" borderId="25" xfId="23" applyFill="1" applyBorder="1" applyAlignment="1">
      <alignment horizontal="center" vertical="center"/>
      <protection/>
    </xf>
    <xf numFmtId="0" fontId="44" fillId="18" borderId="25" xfId="24" applyNumberFormat="1" applyFill="1" applyBorder="1" applyAlignment="1">
      <alignment horizontal="center" vertical="center"/>
      <protection/>
    </xf>
    <xf numFmtId="0" fontId="44" fillId="0" borderId="29" xfId="24" applyNumberFormat="1" applyFill="1" applyBorder="1" applyAlignment="1">
      <alignment horizontal="center" vertical="center"/>
      <protection/>
    </xf>
    <xf numFmtId="0" fontId="44" fillId="0" borderId="29" xfId="24" applyFill="1" applyBorder="1" applyAlignment="1">
      <alignment horizontal="center" vertical="center"/>
      <protection/>
    </xf>
    <xf numFmtId="0" fontId="44" fillId="0" borderId="31" xfId="24" applyBorder="1" applyAlignment="1">
      <alignment vertical="center"/>
      <protection/>
    </xf>
    <xf numFmtId="0" fontId="6" fillId="0" borderId="31" xfId="23" applyFont="1" applyBorder="1" applyAlignment="1">
      <alignment horizontal="center" vertical="center"/>
      <protection/>
    </xf>
    <xf numFmtId="0" fontId="6" fillId="0" borderId="31" xfId="23" applyBorder="1" applyAlignment="1">
      <alignment horizontal="center" vertical="center"/>
      <protection/>
    </xf>
    <xf numFmtId="0" fontId="44" fillId="0" borderId="0" xfId="24" applyBorder="1" applyAlignment="1">
      <alignment vertical="center"/>
      <protection/>
    </xf>
    <xf numFmtId="0" fontId="6" fillId="0" borderId="0" xfId="23" applyFont="1" applyBorder="1" applyAlignment="1">
      <alignment horizontal="center" vertical="center"/>
      <protection/>
    </xf>
    <xf numFmtId="0" fontId="6" fillId="0" borderId="0" xfId="23" applyBorder="1" applyAlignment="1">
      <alignment horizontal="center" vertical="center"/>
      <protection/>
    </xf>
    <xf numFmtId="0" fontId="4" fillId="0" borderId="0" xfId="23" applyFont="1" applyBorder="1" applyAlignment="1">
      <alignment horizontal="right" vertical="center"/>
      <protection/>
    </xf>
    <xf numFmtId="0" fontId="4" fillId="0" borderId="11" xfId="23" applyFont="1" applyBorder="1" applyAlignment="1">
      <alignment horizontal="center" vertical="center"/>
      <protection/>
    </xf>
    <xf numFmtId="0" fontId="44" fillId="17" borderId="6" xfId="24" applyFill="1" applyBorder="1" applyAlignment="1">
      <alignment horizontal="center" vertical="center"/>
      <protection/>
    </xf>
    <xf numFmtId="0" fontId="6" fillId="0" borderId="0" xfId="23" applyFont="1" applyBorder="1" applyAlignment="1">
      <alignment horizontal="right" vertical="center"/>
      <protection/>
    </xf>
    <xf numFmtId="0" fontId="77" fillId="0" borderId="0" xfId="24" applyFont="1" applyAlignment="1">
      <alignment horizontal="right"/>
      <protection/>
    </xf>
    <xf numFmtId="1" fontId="6" fillId="0" borderId="11" xfId="23" applyNumberFormat="1" applyBorder="1" applyAlignment="1">
      <alignment horizontal="center" vertical="center"/>
      <protection/>
    </xf>
    <xf numFmtId="0" fontId="6" fillId="0" borderId="16" xfId="23" applyFill="1" applyBorder="1" applyAlignment="1">
      <alignment horizontal="center" vertical="center"/>
      <protection/>
    </xf>
    <xf numFmtId="0" fontId="6" fillId="0" borderId="0" xfId="23" applyFont="1" applyBorder="1" applyAlignment="1">
      <alignment horizontal="center"/>
      <protection/>
    </xf>
    <xf numFmtId="0" fontId="6" fillId="0" borderId="0" xfId="23" applyBorder="1" applyAlignment="1">
      <alignment horizontal="center"/>
      <protection/>
    </xf>
    <xf numFmtId="0" fontId="4" fillId="0" borderId="0" xfId="23" applyFont="1" applyBorder="1" applyAlignment="1">
      <alignment horizontal="right"/>
      <protection/>
    </xf>
    <xf numFmtId="2" fontId="55" fillId="18" borderId="11" xfId="24" applyNumberFormat="1" applyFont="1" applyFill="1" applyBorder="1" applyAlignment="1">
      <alignment horizontal="center"/>
      <protection/>
    </xf>
    <xf numFmtId="0" fontId="44" fillId="18" borderId="38" xfId="24" applyFill="1" applyBorder="1">
      <alignment/>
      <protection/>
    </xf>
    <xf numFmtId="0" fontId="11" fillId="0" borderId="0" xfId="23" applyFont="1" applyBorder="1" applyAlignment="1">
      <alignment horizontal="left"/>
      <protection/>
    </xf>
    <xf numFmtId="0" fontId="44" fillId="0" borderId="5" xfId="24" applyBorder="1">
      <alignment/>
      <protection/>
    </xf>
    <xf numFmtId="0" fontId="8" fillId="0" borderId="18" xfId="23" applyFont="1" applyBorder="1" applyAlignment="1">
      <alignment horizontal="center"/>
      <protection/>
    </xf>
    <xf numFmtId="2" fontId="78" fillId="0" borderId="18" xfId="24" applyNumberFormat="1" applyFont="1" applyBorder="1">
      <alignment/>
      <protection/>
    </xf>
    <xf numFmtId="0" fontId="79" fillId="0" borderId="18" xfId="24" applyFont="1" applyBorder="1">
      <alignment/>
      <protection/>
    </xf>
    <xf numFmtId="0" fontId="44" fillId="0" borderId="18" xfId="24" applyBorder="1">
      <alignment/>
      <protection/>
    </xf>
    <xf numFmtId="0" fontId="44" fillId="0" borderId="6" xfId="24" applyBorder="1">
      <alignment/>
      <protection/>
    </xf>
    <xf numFmtId="0" fontId="80" fillId="0" borderId="0" xfId="24" applyFont="1" applyBorder="1">
      <alignment/>
      <protection/>
    </xf>
    <xf numFmtId="1" fontId="80" fillId="0" borderId="0" xfId="24" applyNumberFormat="1" applyFont="1" applyBorder="1">
      <alignment/>
      <protection/>
    </xf>
    <xf numFmtId="0" fontId="44" fillId="0" borderId="7" xfId="24" applyBorder="1">
      <alignment/>
      <protection/>
    </xf>
    <xf numFmtId="0" fontId="44" fillId="0" borderId="8" xfId="24" applyBorder="1">
      <alignment/>
      <protection/>
    </xf>
    <xf numFmtId="0" fontId="6" fillId="0" borderId="8" xfId="23" applyFont="1" applyBorder="1" applyAlignment="1">
      <alignment horizontal="center"/>
      <protection/>
    </xf>
    <xf numFmtId="0" fontId="6" fillId="0" borderId="8" xfId="23" applyBorder="1" applyAlignment="1">
      <alignment horizontal="center"/>
      <protection/>
    </xf>
    <xf numFmtId="0" fontId="44" fillId="0" borderId="9" xfId="24" applyBorder="1">
      <alignment/>
      <protection/>
    </xf>
  </cellXfs>
  <cellStyles count="14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omahue" xfId="21"/>
    <cellStyle name="Normal_EDN-EDS-ELP-SGE" xfId="22"/>
    <cellStyle name="Normal_líneas" xfId="23"/>
    <cellStyle name="Normal_T0002SUR" xfId="24"/>
    <cellStyle name="Normal_TRANSBA" xfId="25"/>
    <cellStyle name="Normal_Transba_V6" xfId="26"/>
    <cellStyle name="Percent" xfId="27"/>
  </cellStyles>
  <dxfs count="4">
    <dxf>
      <fill>
        <patternFill patternType="none">
          <bgColor indexed="65"/>
        </patternFill>
      </fill>
      <border/>
    </dxf>
    <dxf>
      <fill>
        <patternFill>
          <bgColor rgb="FFA6CAF0"/>
        </patternFill>
      </fill>
      <border/>
    </dxf>
    <dxf>
      <fill>
        <patternFill>
          <bgColor rgb="FFE3E3E3"/>
        </patternFill>
      </fill>
      <border/>
    </dxf>
    <dxf>
      <fill>
        <patternFill patternType="solid">
          <bgColor rgb="FFE3E3E3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0</xdr:row>
      <xdr:rowOff>0</xdr:rowOff>
    </xdr:from>
    <xdr:to>
      <xdr:col>0</xdr:col>
      <xdr:colOff>1028700</xdr:colOff>
      <xdr:row>3</xdr:row>
      <xdr:rowOff>276225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0"/>
          <a:ext cx="542925" cy="9048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0</xdr:row>
      <xdr:rowOff>19050</xdr:rowOff>
    </xdr:from>
    <xdr:to>
      <xdr:col>0</xdr:col>
      <xdr:colOff>1028700</xdr:colOff>
      <xdr:row>3</xdr:row>
      <xdr:rowOff>295275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9050"/>
          <a:ext cx="542925" cy="9048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0</xdr:row>
      <xdr:rowOff>0</xdr:rowOff>
    </xdr:from>
    <xdr:to>
      <xdr:col>0</xdr:col>
      <xdr:colOff>1028700</xdr:colOff>
      <xdr:row>3</xdr:row>
      <xdr:rowOff>276225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0"/>
          <a:ext cx="542925" cy="9048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428625</xdr:colOff>
      <xdr:row>0</xdr:row>
      <xdr:rowOff>0</xdr:rowOff>
    </xdr:from>
    <xdr:to>
      <xdr:col>0</xdr:col>
      <xdr:colOff>1009650</xdr:colOff>
      <xdr:row>3</xdr:row>
      <xdr:rowOff>323850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0"/>
          <a:ext cx="581025" cy="9525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0</xdr:row>
      <xdr:rowOff>38100</xdr:rowOff>
    </xdr:from>
    <xdr:to>
      <xdr:col>0</xdr:col>
      <xdr:colOff>819150</xdr:colOff>
      <xdr:row>3</xdr:row>
      <xdr:rowOff>238125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8100"/>
          <a:ext cx="438150" cy="8286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0</xdr:row>
      <xdr:rowOff>0</xdr:rowOff>
    </xdr:from>
    <xdr:to>
      <xdr:col>3</xdr:col>
      <xdr:colOff>38100</xdr:colOff>
      <xdr:row>2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0"/>
          <a:ext cx="447675" cy="7905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les\transporte\Transporte\ARCHIVOS.XLS\P-EDESUR\TBASESU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tasa"/>
    </sheetNames>
    <sheetDataSet>
      <sheetData sheetId="0">
        <row r="15">
          <cell r="FY15">
            <v>39934</v>
          </cell>
          <cell r="FZ15">
            <v>39965</v>
          </cell>
          <cell r="GA15">
            <v>39995</v>
          </cell>
          <cell r="GB15">
            <v>40026</v>
          </cell>
          <cell r="GC15">
            <v>40057</v>
          </cell>
          <cell r="GD15">
            <v>40087</v>
          </cell>
          <cell r="GE15">
            <v>40118</v>
          </cell>
          <cell r="GF15">
            <v>40148</v>
          </cell>
          <cell r="GG15">
            <v>40179</v>
          </cell>
          <cell r="GH15">
            <v>40210</v>
          </cell>
          <cell r="GI15">
            <v>40238</v>
          </cell>
          <cell r="GJ15">
            <v>40269</v>
          </cell>
          <cell r="GK15">
            <v>40299</v>
          </cell>
        </row>
        <row r="17">
          <cell r="C17">
            <v>1</v>
          </cell>
          <cell r="D17" t="str">
            <v>GALDOS - P. DE MENDOZA 1</v>
          </cell>
          <cell r="E17">
            <v>1</v>
          </cell>
          <cell r="F17" t="str">
            <v>C</v>
          </cell>
          <cell r="G17">
            <v>0</v>
          </cell>
          <cell r="H17">
            <v>13.2</v>
          </cell>
          <cell r="I17">
            <v>1</v>
          </cell>
          <cell r="FY17" t="str">
            <v>XXXX</v>
          </cell>
          <cell r="FZ17" t="str">
            <v>XXXX</v>
          </cell>
          <cell r="GA17" t="str">
            <v>XXXX</v>
          </cell>
          <cell r="GB17" t="str">
            <v>XXXX</v>
          </cell>
          <cell r="GC17" t="str">
            <v>XXXX</v>
          </cell>
          <cell r="GD17" t="str">
            <v>XXXX</v>
          </cell>
          <cell r="GE17" t="str">
            <v>XXXX</v>
          </cell>
          <cell r="GF17" t="str">
            <v>XXXX</v>
          </cell>
          <cell r="GG17" t="str">
            <v>XXXX</v>
          </cell>
          <cell r="GH17" t="str">
            <v>XXXX</v>
          </cell>
          <cell r="GI17" t="str">
            <v>XXXX</v>
          </cell>
          <cell r="GJ17" t="str">
            <v>XXXX</v>
          </cell>
        </row>
        <row r="18">
          <cell r="C18">
            <v>2</v>
          </cell>
          <cell r="D18" t="str">
            <v>GALDOS - P. DE MENDOZA 2</v>
          </cell>
          <cell r="E18">
            <v>2</v>
          </cell>
          <cell r="F18" t="str">
            <v>C</v>
          </cell>
          <cell r="G18">
            <v>0</v>
          </cell>
          <cell r="H18">
            <v>13.2</v>
          </cell>
          <cell r="I18">
            <v>1</v>
          </cell>
          <cell r="FY18" t="str">
            <v>XXXX</v>
          </cell>
          <cell r="FZ18" t="str">
            <v>XXXX</v>
          </cell>
          <cell r="GA18" t="str">
            <v>XXXX</v>
          </cell>
          <cell r="GB18" t="str">
            <v>XXXX</v>
          </cell>
          <cell r="GC18" t="str">
            <v>XXXX</v>
          </cell>
          <cell r="GD18" t="str">
            <v>XXXX</v>
          </cell>
          <cell r="GE18" t="str">
            <v>XXXX</v>
          </cell>
          <cell r="GF18" t="str">
            <v>XXXX</v>
          </cell>
          <cell r="GG18" t="str">
            <v>XXXX</v>
          </cell>
          <cell r="GH18" t="str">
            <v>XXXX</v>
          </cell>
          <cell r="GI18" t="str">
            <v>XXXX</v>
          </cell>
          <cell r="GJ18" t="str">
            <v>XXXX</v>
          </cell>
        </row>
        <row r="19">
          <cell r="C19">
            <v>3</v>
          </cell>
          <cell r="D19" t="str">
            <v>EZEIZA - ALTE. BROWN 1 </v>
          </cell>
          <cell r="E19">
            <v>33</v>
          </cell>
          <cell r="F19" t="str">
            <v>L</v>
          </cell>
          <cell r="G19">
            <v>100</v>
          </cell>
          <cell r="H19">
            <v>220</v>
          </cell>
          <cell r="I19">
            <v>36.6</v>
          </cell>
        </row>
        <row r="20">
          <cell r="C20">
            <v>4</v>
          </cell>
          <cell r="D20" t="str">
            <v>EZEIZA - ALTE. BROWN 2 </v>
          </cell>
          <cell r="E20">
            <v>34</v>
          </cell>
          <cell r="F20" t="str">
            <v>L</v>
          </cell>
          <cell r="G20">
            <v>100</v>
          </cell>
          <cell r="H20">
            <v>220</v>
          </cell>
          <cell r="I20">
            <v>36.6</v>
          </cell>
          <cell r="FZ20">
            <v>1</v>
          </cell>
        </row>
        <row r="21">
          <cell r="C21">
            <v>5</v>
          </cell>
          <cell r="D21" t="str">
            <v>BOSQUES - COSTANERA 1</v>
          </cell>
          <cell r="E21">
            <v>50</v>
          </cell>
          <cell r="F21" t="str">
            <v>L</v>
          </cell>
          <cell r="G21">
            <v>100</v>
          </cell>
          <cell r="H21">
            <v>220</v>
          </cell>
          <cell r="I21">
            <v>32.6</v>
          </cell>
        </row>
        <row r="22">
          <cell r="C22">
            <v>6</v>
          </cell>
          <cell r="D22" t="str">
            <v>BOSQUES - COSTANERA 2</v>
          </cell>
          <cell r="E22">
            <v>51</v>
          </cell>
          <cell r="F22" t="str">
            <v>L</v>
          </cell>
          <cell r="G22">
            <v>100</v>
          </cell>
          <cell r="H22">
            <v>220</v>
          </cell>
          <cell r="I22">
            <v>32.6</v>
          </cell>
          <cell r="FY22">
            <v>1</v>
          </cell>
          <cell r="GD22">
            <v>2</v>
          </cell>
        </row>
        <row r="23">
          <cell r="C23">
            <v>7</v>
          </cell>
          <cell r="D23" t="str">
            <v>COSTANERA - AZOPARDO II 1</v>
          </cell>
          <cell r="E23">
            <v>52</v>
          </cell>
          <cell r="F23" t="str">
            <v>C</v>
          </cell>
          <cell r="G23">
            <v>0</v>
          </cell>
          <cell r="H23">
            <v>220</v>
          </cell>
          <cell r="I23">
            <v>4.2</v>
          </cell>
          <cell r="GB23">
            <v>1</v>
          </cell>
        </row>
        <row r="24">
          <cell r="C24">
            <v>8</v>
          </cell>
          <cell r="D24" t="str">
            <v>COSTANERA - AZOPARDO II 2</v>
          </cell>
          <cell r="E24">
            <v>53</v>
          </cell>
          <cell r="F24" t="str">
            <v>C</v>
          </cell>
          <cell r="G24">
            <v>0</v>
          </cell>
          <cell r="H24">
            <v>220</v>
          </cell>
          <cell r="I24">
            <v>4.2</v>
          </cell>
        </row>
        <row r="25">
          <cell r="C25">
            <v>9</v>
          </cell>
          <cell r="D25" t="str">
            <v>BOSQUES - ABASTO 1 </v>
          </cell>
          <cell r="E25">
            <v>58</v>
          </cell>
          <cell r="F25" t="str">
            <v>L</v>
          </cell>
          <cell r="G25">
            <v>100</v>
          </cell>
          <cell r="H25">
            <v>220</v>
          </cell>
          <cell r="I25">
            <v>16.3</v>
          </cell>
          <cell r="FY25">
            <v>3</v>
          </cell>
          <cell r="GA25">
            <v>1</v>
          </cell>
          <cell r="GB25">
            <v>1</v>
          </cell>
          <cell r="GE25">
            <v>1</v>
          </cell>
        </row>
        <row r="26">
          <cell r="C26">
            <v>10</v>
          </cell>
          <cell r="D26" t="str">
            <v>BOSQUES - ABASTO 2 </v>
          </cell>
          <cell r="E26">
            <v>59</v>
          </cell>
          <cell r="F26" t="str">
            <v>L</v>
          </cell>
          <cell r="G26">
            <v>100</v>
          </cell>
          <cell r="H26">
            <v>220</v>
          </cell>
          <cell r="I26">
            <v>16.3</v>
          </cell>
          <cell r="FY26">
            <v>1</v>
          </cell>
          <cell r="GA26">
            <v>1</v>
          </cell>
          <cell r="GD26">
            <v>1</v>
          </cell>
        </row>
        <row r="27">
          <cell r="C27">
            <v>11</v>
          </cell>
          <cell r="D27" t="str">
            <v>EZEIZA - PERITO MORENO 1</v>
          </cell>
          <cell r="E27">
            <v>61</v>
          </cell>
          <cell r="F27" t="str">
            <v>LC</v>
          </cell>
          <cell r="G27">
            <v>89.96415770609319</v>
          </cell>
          <cell r="H27">
            <v>220</v>
          </cell>
          <cell r="I27">
            <v>55.8</v>
          </cell>
          <cell r="GF27">
            <v>1</v>
          </cell>
          <cell r="GG27">
            <v>3</v>
          </cell>
        </row>
        <row r="28">
          <cell r="C28">
            <v>12</v>
          </cell>
          <cell r="D28" t="str">
            <v>EZEIZA - PERITO MORENO 2 </v>
          </cell>
          <cell r="E28">
            <v>62</v>
          </cell>
          <cell r="F28" t="str">
            <v>LC</v>
          </cell>
          <cell r="G28">
            <v>89.48306595365419</v>
          </cell>
          <cell r="H28">
            <v>220</v>
          </cell>
          <cell r="I28">
            <v>56.1</v>
          </cell>
          <cell r="GF28">
            <v>1</v>
          </cell>
          <cell r="GG28">
            <v>2</v>
          </cell>
          <cell r="GI28">
            <v>1</v>
          </cell>
        </row>
        <row r="29">
          <cell r="C29">
            <v>13</v>
          </cell>
          <cell r="D29" t="str">
            <v>NUEVO PUERTO - RIVADAVIA 1</v>
          </cell>
          <cell r="E29">
            <v>103</v>
          </cell>
          <cell r="F29" t="str">
            <v>C</v>
          </cell>
          <cell r="G29">
            <v>0</v>
          </cell>
          <cell r="H29">
            <v>132</v>
          </cell>
          <cell r="I29">
            <v>5.2</v>
          </cell>
          <cell r="FY29" t="str">
            <v>XXXX</v>
          </cell>
          <cell r="FZ29" t="str">
            <v>XXXX</v>
          </cell>
          <cell r="GA29" t="str">
            <v>XXXX</v>
          </cell>
          <cell r="GB29" t="str">
            <v>XXXX</v>
          </cell>
          <cell r="GC29" t="str">
            <v>XXXX</v>
          </cell>
          <cell r="GD29" t="str">
            <v>XXXX</v>
          </cell>
          <cell r="GE29" t="str">
            <v>XXXX</v>
          </cell>
          <cell r="GF29" t="str">
            <v>XXXX</v>
          </cell>
          <cell r="GG29" t="str">
            <v>XXXX</v>
          </cell>
          <cell r="GH29" t="str">
            <v>XXXX</v>
          </cell>
          <cell r="GI29" t="str">
            <v>XXXX</v>
          </cell>
          <cell r="GJ29" t="str">
            <v>XXXX</v>
          </cell>
        </row>
        <row r="30">
          <cell r="C30">
            <v>79</v>
          </cell>
          <cell r="D30" t="str">
            <v>NUEVO PUERTO - AZOPARDO 1</v>
          </cell>
          <cell r="E30">
            <v>103</v>
          </cell>
          <cell r="F30" t="str">
            <v>C</v>
          </cell>
          <cell r="G30">
            <v>0</v>
          </cell>
          <cell r="H30">
            <v>132</v>
          </cell>
          <cell r="I30">
            <v>6.7</v>
          </cell>
        </row>
        <row r="31">
          <cell r="C31">
            <v>14</v>
          </cell>
          <cell r="D31" t="str">
            <v>NUEVO PUERTO - PELLEGRINI 2 </v>
          </cell>
          <cell r="E31">
            <v>104</v>
          </cell>
          <cell r="F31" t="str">
            <v>C</v>
          </cell>
          <cell r="G31">
            <v>0</v>
          </cell>
          <cell r="H31">
            <v>132</v>
          </cell>
          <cell r="I31">
            <v>5.8</v>
          </cell>
          <cell r="FY31" t="str">
            <v>XXXX</v>
          </cell>
          <cell r="FZ31" t="str">
            <v>XXXX</v>
          </cell>
          <cell r="GA31" t="str">
            <v>XXXX</v>
          </cell>
          <cell r="GB31" t="str">
            <v>XXXX</v>
          </cell>
          <cell r="GC31" t="str">
            <v>XXXX</v>
          </cell>
          <cell r="GD31" t="str">
            <v>XXXX</v>
          </cell>
          <cell r="GE31" t="str">
            <v>XXXX</v>
          </cell>
          <cell r="GF31" t="str">
            <v>XXXX</v>
          </cell>
          <cell r="GG31" t="str">
            <v>XXXX</v>
          </cell>
          <cell r="GH31" t="str">
            <v>XXXX</v>
          </cell>
          <cell r="GI31" t="str">
            <v>XXXX</v>
          </cell>
          <cell r="GJ31" t="str">
            <v>XXXX</v>
          </cell>
        </row>
        <row r="32">
          <cell r="C32">
            <v>80</v>
          </cell>
          <cell r="D32" t="str">
            <v>NUEVO PUERTO - AZOPARDO 2</v>
          </cell>
          <cell r="E32">
            <v>104</v>
          </cell>
          <cell r="F32" t="str">
            <v>C</v>
          </cell>
          <cell r="G32">
            <v>0</v>
          </cell>
          <cell r="H32">
            <v>132</v>
          </cell>
          <cell r="I32">
            <v>7.3</v>
          </cell>
          <cell r="FY32">
            <v>1</v>
          </cell>
          <cell r="GC32">
            <v>1</v>
          </cell>
          <cell r="GI32">
            <v>1</v>
          </cell>
        </row>
        <row r="33">
          <cell r="C33">
            <v>15</v>
          </cell>
          <cell r="D33" t="str">
            <v>NUEVO PUERTO - PELLEGRINI 3</v>
          </cell>
          <cell r="E33">
            <v>105</v>
          </cell>
          <cell r="F33" t="str">
            <v>C</v>
          </cell>
          <cell r="G33">
            <v>0</v>
          </cell>
          <cell r="H33">
            <v>132</v>
          </cell>
          <cell r="I33">
            <v>5.8</v>
          </cell>
          <cell r="FY33" t="str">
            <v>XXXX</v>
          </cell>
          <cell r="FZ33" t="str">
            <v>XXXX</v>
          </cell>
          <cell r="GA33" t="str">
            <v>XXXX</v>
          </cell>
          <cell r="GB33" t="str">
            <v>XXXX</v>
          </cell>
          <cell r="GC33" t="str">
            <v>XXXX</v>
          </cell>
          <cell r="GD33" t="str">
            <v>XXXX</v>
          </cell>
          <cell r="GE33" t="str">
            <v>XXXX</v>
          </cell>
          <cell r="GF33" t="str">
            <v>XXXX</v>
          </cell>
          <cell r="GG33" t="str">
            <v>XXXX</v>
          </cell>
          <cell r="GH33" t="str">
            <v>XXXX</v>
          </cell>
          <cell r="GI33" t="str">
            <v>XXXX</v>
          </cell>
          <cell r="GJ33" t="str">
            <v>XXXX</v>
          </cell>
        </row>
        <row r="34">
          <cell r="C34">
            <v>81</v>
          </cell>
          <cell r="D34" t="str">
            <v>NUEVO PUERTO - AZOPARDO 3</v>
          </cell>
          <cell r="E34">
            <v>105</v>
          </cell>
          <cell r="F34" t="str">
            <v>C</v>
          </cell>
          <cell r="G34">
            <v>0</v>
          </cell>
          <cell r="H34">
            <v>132</v>
          </cell>
          <cell r="I34">
            <v>7.3</v>
          </cell>
        </row>
        <row r="35">
          <cell r="C35">
            <v>16</v>
          </cell>
          <cell r="D35" t="str">
            <v>NUEVO PUERTO - AZCUENAGA 1</v>
          </cell>
          <cell r="E35">
            <v>106</v>
          </cell>
          <cell r="F35" t="str">
            <v>C</v>
          </cell>
          <cell r="G35">
            <v>0</v>
          </cell>
          <cell r="H35">
            <v>132</v>
          </cell>
          <cell r="I35">
            <v>5</v>
          </cell>
        </row>
        <row r="36">
          <cell r="C36">
            <v>17</v>
          </cell>
          <cell r="D36" t="str">
            <v>NUEVO PUERTO - AZCUENAGA 2 </v>
          </cell>
          <cell r="E36">
            <v>107</v>
          </cell>
          <cell r="F36" t="str">
            <v>C</v>
          </cell>
          <cell r="G36">
            <v>0</v>
          </cell>
          <cell r="H36">
            <v>132</v>
          </cell>
          <cell r="I36">
            <v>5</v>
          </cell>
          <cell r="GF36">
            <v>1</v>
          </cell>
        </row>
        <row r="37">
          <cell r="C37">
            <v>18</v>
          </cell>
          <cell r="D37" t="str">
            <v>PUERTO NUEVO - COSTANERA </v>
          </cell>
          <cell r="E37">
            <v>111</v>
          </cell>
          <cell r="F37" t="str">
            <v>C</v>
          </cell>
          <cell r="G37">
            <v>0</v>
          </cell>
          <cell r="H37">
            <v>132</v>
          </cell>
          <cell r="I37">
            <v>5.78</v>
          </cell>
          <cell r="FZ37">
            <v>1</v>
          </cell>
        </row>
        <row r="38">
          <cell r="C38">
            <v>19</v>
          </cell>
          <cell r="D38" t="str">
            <v>PUERTO NUEVO - COSTANERA 2 </v>
          </cell>
          <cell r="E38">
            <v>112</v>
          </cell>
          <cell r="F38" t="str">
            <v>C</v>
          </cell>
          <cell r="G38">
            <v>0</v>
          </cell>
          <cell r="H38">
            <v>132</v>
          </cell>
          <cell r="I38">
            <v>7.4</v>
          </cell>
          <cell r="FY38" t="str">
            <v>XXXX</v>
          </cell>
          <cell r="FZ38" t="str">
            <v>XXXX</v>
          </cell>
          <cell r="GA38" t="str">
            <v>XXXX</v>
          </cell>
          <cell r="GB38" t="str">
            <v>XXXX</v>
          </cell>
          <cell r="GC38" t="str">
            <v>XXXX</v>
          </cell>
          <cell r="GD38" t="str">
            <v>XXXX</v>
          </cell>
          <cell r="GE38" t="str">
            <v>XXXX</v>
          </cell>
          <cell r="GF38" t="str">
            <v>XXXX</v>
          </cell>
          <cell r="GG38" t="str">
            <v>XXXX</v>
          </cell>
          <cell r="GH38" t="str">
            <v>XXXX</v>
          </cell>
          <cell r="GI38" t="str">
            <v>XXXX</v>
          </cell>
          <cell r="GJ38" t="str">
            <v>XXXX</v>
          </cell>
        </row>
        <row r="39">
          <cell r="C39">
            <v>72</v>
          </cell>
          <cell r="D39" t="str">
            <v>AZOPARDO - PUERTO NUEVO 2</v>
          </cell>
          <cell r="E39">
            <v>112</v>
          </cell>
          <cell r="F39" t="str">
            <v>C</v>
          </cell>
          <cell r="G39">
            <v>0</v>
          </cell>
          <cell r="H39">
            <v>132</v>
          </cell>
          <cell r="I39">
            <v>5.8</v>
          </cell>
          <cell r="FZ39">
            <v>1</v>
          </cell>
        </row>
        <row r="40">
          <cell r="C40">
            <v>20</v>
          </cell>
          <cell r="D40" t="str">
            <v>PUERTO NUEVO - COSTANERA 3 </v>
          </cell>
          <cell r="E40">
            <v>113</v>
          </cell>
          <cell r="F40" t="str">
            <v>C</v>
          </cell>
          <cell r="G40">
            <v>0</v>
          </cell>
          <cell r="H40">
            <v>132</v>
          </cell>
          <cell r="I40">
            <v>5.8</v>
          </cell>
          <cell r="FZ40">
            <v>1</v>
          </cell>
        </row>
        <row r="41">
          <cell r="C41">
            <v>21</v>
          </cell>
          <cell r="D41" t="str">
            <v>PUERTO NUEVO - AZOPARDO 1</v>
          </cell>
          <cell r="E41">
            <v>135</v>
          </cell>
          <cell r="F41" t="str">
            <v>C</v>
          </cell>
          <cell r="G41">
            <v>0</v>
          </cell>
          <cell r="H41">
            <v>132</v>
          </cell>
          <cell r="I41">
            <v>16.7</v>
          </cell>
        </row>
        <row r="42">
          <cell r="C42">
            <v>22</v>
          </cell>
          <cell r="D42" t="str">
            <v>PUERTO NUEVO - AZOPARDO 2 </v>
          </cell>
          <cell r="E42">
            <v>136</v>
          </cell>
          <cell r="F42" t="str">
            <v>C</v>
          </cell>
          <cell r="G42">
            <v>0</v>
          </cell>
          <cell r="H42">
            <v>132</v>
          </cell>
          <cell r="I42">
            <v>16.7</v>
          </cell>
          <cell r="GF42">
            <v>1</v>
          </cell>
        </row>
        <row r="43">
          <cell r="C43">
            <v>86</v>
          </cell>
          <cell r="D43" t="str">
            <v>DOCK SUD - SOBRAL 1</v>
          </cell>
          <cell r="E43">
            <v>201</v>
          </cell>
          <cell r="F43" t="str">
            <v>L/C</v>
          </cell>
          <cell r="G43">
            <v>79.44</v>
          </cell>
          <cell r="H43">
            <v>132</v>
          </cell>
          <cell r="I43">
            <v>18</v>
          </cell>
          <cell r="FZ43">
            <v>1</v>
          </cell>
          <cell r="GJ43">
            <v>1</v>
          </cell>
        </row>
        <row r="44">
          <cell r="C44">
            <v>87</v>
          </cell>
          <cell r="D44" t="str">
            <v>DOCK SUD - SOBRAL 2</v>
          </cell>
          <cell r="E44">
            <v>202</v>
          </cell>
          <cell r="F44" t="str">
            <v>L/C</v>
          </cell>
          <cell r="G44">
            <v>79.44</v>
          </cell>
          <cell r="H44">
            <v>132</v>
          </cell>
          <cell r="I44">
            <v>18</v>
          </cell>
        </row>
        <row r="45">
          <cell r="C45">
            <v>88</v>
          </cell>
          <cell r="D45" t="str">
            <v>DOCK SUD - QUILMES 1</v>
          </cell>
          <cell r="E45">
            <v>203</v>
          </cell>
          <cell r="F45" t="str">
            <v>L/C</v>
          </cell>
          <cell r="G45">
            <v>85.89</v>
          </cell>
          <cell r="H45">
            <v>132</v>
          </cell>
          <cell r="I45">
            <v>15.6</v>
          </cell>
          <cell r="GA45">
            <v>1</v>
          </cell>
          <cell r="GB45">
            <v>1</v>
          </cell>
        </row>
        <row r="46">
          <cell r="C46">
            <v>89</v>
          </cell>
          <cell r="D46" t="str">
            <v>DOCK SUD - QUILMES 2</v>
          </cell>
          <cell r="E46">
            <v>204</v>
          </cell>
          <cell r="F46" t="str">
            <v>L/C</v>
          </cell>
          <cell r="G46">
            <v>85.89</v>
          </cell>
          <cell r="H46">
            <v>132</v>
          </cell>
          <cell r="I46">
            <v>15.6</v>
          </cell>
          <cell r="GB46">
            <v>1</v>
          </cell>
          <cell r="GG46">
            <v>1</v>
          </cell>
        </row>
        <row r="47">
          <cell r="C47">
            <v>23</v>
          </cell>
          <cell r="D47" t="str">
            <v>DOCK SUD - ESCALADA </v>
          </cell>
          <cell r="E47">
            <v>225</v>
          </cell>
          <cell r="F47" t="str">
            <v>C</v>
          </cell>
          <cell r="G47">
            <v>0</v>
          </cell>
          <cell r="H47">
            <v>132</v>
          </cell>
          <cell r="I47">
            <v>10</v>
          </cell>
        </row>
        <row r="48">
          <cell r="C48">
            <v>24</v>
          </cell>
          <cell r="D48" t="str">
            <v>DOCK SUD - CORINA </v>
          </cell>
          <cell r="E48">
            <v>226</v>
          </cell>
          <cell r="F48" t="str">
            <v>C</v>
          </cell>
          <cell r="G48">
            <v>0</v>
          </cell>
          <cell r="H48">
            <v>132</v>
          </cell>
          <cell r="I48">
            <v>6.5</v>
          </cell>
        </row>
        <row r="49">
          <cell r="C49">
            <v>25</v>
          </cell>
          <cell r="D49" t="str">
            <v>DOCK SUD - CITY BELL </v>
          </cell>
          <cell r="E49">
            <v>230</v>
          </cell>
          <cell r="F49" t="str">
            <v>C</v>
          </cell>
          <cell r="G49">
            <v>0</v>
          </cell>
          <cell r="H49">
            <v>132</v>
          </cell>
          <cell r="I49">
            <v>42.2</v>
          </cell>
          <cell r="GE49">
            <v>1</v>
          </cell>
          <cell r="GF49">
            <v>1</v>
          </cell>
        </row>
        <row r="50">
          <cell r="C50">
            <v>26</v>
          </cell>
          <cell r="D50" t="str">
            <v>DOCK SUD - DON BOSCO 1</v>
          </cell>
          <cell r="E50">
            <v>231</v>
          </cell>
          <cell r="F50" t="str">
            <v>LC</v>
          </cell>
          <cell r="G50">
            <v>64.08</v>
          </cell>
          <cell r="H50">
            <v>132</v>
          </cell>
          <cell r="I50">
            <v>10.3</v>
          </cell>
          <cell r="FZ50">
            <v>1</v>
          </cell>
        </row>
        <row r="51">
          <cell r="C51">
            <v>27</v>
          </cell>
          <cell r="D51" t="str">
            <v>DOCK SUD - DON BOSCO 2 </v>
          </cell>
          <cell r="E51">
            <v>232</v>
          </cell>
          <cell r="F51" t="str">
            <v>LC</v>
          </cell>
          <cell r="G51">
            <v>64.08</v>
          </cell>
          <cell r="H51">
            <v>132</v>
          </cell>
          <cell r="I51">
            <v>10.3</v>
          </cell>
          <cell r="GH51">
            <v>1</v>
          </cell>
          <cell r="GJ51">
            <v>2</v>
          </cell>
        </row>
        <row r="52">
          <cell r="C52">
            <v>28</v>
          </cell>
          <cell r="D52" t="str">
            <v>DOCK SUD - 9 DE JULIO </v>
          </cell>
          <cell r="E52">
            <v>233</v>
          </cell>
          <cell r="F52" t="str">
            <v>C</v>
          </cell>
          <cell r="G52">
            <v>0</v>
          </cell>
          <cell r="H52">
            <v>132</v>
          </cell>
          <cell r="I52">
            <v>3.5</v>
          </cell>
          <cell r="GC52">
            <v>1</v>
          </cell>
        </row>
        <row r="53">
          <cell r="C53">
            <v>29</v>
          </cell>
          <cell r="D53" t="str">
            <v>COSTANERA - DOCK SUD 1</v>
          </cell>
          <cell r="E53">
            <v>321</v>
          </cell>
          <cell r="F53" t="str">
            <v>C</v>
          </cell>
          <cell r="G53">
            <v>0</v>
          </cell>
          <cell r="H53">
            <v>132</v>
          </cell>
          <cell r="I53">
            <v>5.3</v>
          </cell>
          <cell r="GF53">
            <v>1</v>
          </cell>
          <cell r="GG53">
            <v>1</v>
          </cell>
        </row>
        <row r="54">
          <cell r="C54">
            <v>30</v>
          </cell>
          <cell r="D54" t="str">
            <v>COSTANERA - DOCK SUD 2 </v>
          </cell>
          <cell r="E54">
            <v>322</v>
          </cell>
          <cell r="F54" t="str">
            <v>C</v>
          </cell>
          <cell r="G54">
            <v>0</v>
          </cell>
          <cell r="H54">
            <v>132</v>
          </cell>
          <cell r="I54">
            <v>5.3</v>
          </cell>
          <cell r="GH54">
            <v>1</v>
          </cell>
        </row>
        <row r="55">
          <cell r="C55">
            <v>31</v>
          </cell>
          <cell r="D55" t="str">
            <v>COSTANERA - DOCK SUD 3</v>
          </cell>
          <cell r="E55">
            <v>323</v>
          </cell>
          <cell r="F55" t="str">
            <v>C</v>
          </cell>
          <cell r="G55">
            <v>0</v>
          </cell>
          <cell r="H55">
            <v>132</v>
          </cell>
          <cell r="I55">
            <v>5.4</v>
          </cell>
          <cell r="GC55">
            <v>1</v>
          </cell>
        </row>
        <row r="56">
          <cell r="C56">
            <v>32</v>
          </cell>
          <cell r="D56" t="str">
            <v>COSTANERA - DOCK SUD 4</v>
          </cell>
          <cell r="E56">
            <v>324</v>
          </cell>
          <cell r="F56" t="str">
            <v>C</v>
          </cell>
          <cell r="G56">
            <v>0</v>
          </cell>
          <cell r="H56">
            <v>132</v>
          </cell>
          <cell r="I56">
            <v>5.4</v>
          </cell>
        </row>
        <row r="57">
          <cell r="C57">
            <v>33</v>
          </cell>
          <cell r="D57" t="str">
            <v>COSTANERA - PERITO MORENO 1</v>
          </cell>
          <cell r="E57">
            <v>333</v>
          </cell>
          <cell r="F57" t="str">
            <v>C</v>
          </cell>
          <cell r="G57">
            <v>0</v>
          </cell>
          <cell r="H57">
            <v>132</v>
          </cell>
          <cell r="I57">
            <v>14.9</v>
          </cell>
          <cell r="FY57">
            <v>1</v>
          </cell>
          <cell r="GA57">
            <v>1</v>
          </cell>
        </row>
        <row r="58">
          <cell r="C58">
            <v>90</v>
          </cell>
          <cell r="D58" t="str">
            <v>COSTANERA - PERITO MORENO 2</v>
          </cell>
          <cell r="E58">
            <v>333</v>
          </cell>
          <cell r="F58" t="str">
            <v>C</v>
          </cell>
          <cell r="G58">
            <v>0</v>
          </cell>
          <cell r="H58">
            <v>132</v>
          </cell>
          <cell r="I58">
            <v>14.9</v>
          </cell>
          <cell r="GF58">
            <v>3</v>
          </cell>
          <cell r="GG58">
            <v>1</v>
          </cell>
        </row>
        <row r="59">
          <cell r="C59">
            <v>34</v>
          </cell>
          <cell r="D59" t="str">
            <v>COSTANERA - CONSTITUCIÓN 2 </v>
          </cell>
          <cell r="E59">
            <v>334</v>
          </cell>
          <cell r="F59" t="str">
            <v>C</v>
          </cell>
          <cell r="G59">
            <v>0</v>
          </cell>
          <cell r="H59">
            <v>132</v>
          </cell>
          <cell r="I59">
            <v>14.9</v>
          </cell>
          <cell r="FY59">
            <v>1</v>
          </cell>
        </row>
        <row r="60">
          <cell r="C60">
            <v>35</v>
          </cell>
          <cell r="D60" t="str">
            <v>COSTANERA - P. PATRICIOS </v>
          </cell>
          <cell r="E60">
            <v>335</v>
          </cell>
          <cell r="F60" t="str">
            <v>C</v>
          </cell>
          <cell r="G60">
            <v>0</v>
          </cell>
          <cell r="H60">
            <v>132</v>
          </cell>
          <cell r="I60">
            <v>8.5</v>
          </cell>
          <cell r="GF60">
            <v>2</v>
          </cell>
        </row>
        <row r="61">
          <cell r="C61">
            <v>36</v>
          </cell>
          <cell r="D61" t="str">
            <v>COSTANERA - GURMENDI 1</v>
          </cell>
          <cell r="E61">
            <v>338</v>
          </cell>
          <cell r="F61" t="str">
            <v>C</v>
          </cell>
          <cell r="G61">
            <v>0</v>
          </cell>
          <cell r="H61">
            <v>132</v>
          </cell>
          <cell r="I61">
            <v>10</v>
          </cell>
          <cell r="GC61">
            <v>1</v>
          </cell>
        </row>
        <row r="62">
          <cell r="C62">
            <v>37</v>
          </cell>
          <cell r="D62" t="str">
            <v>COSTANERA - HERNANDARIAS 2 </v>
          </cell>
          <cell r="E62">
            <v>339</v>
          </cell>
          <cell r="F62" t="str">
            <v>C</v>
          </cell>
          <cell r="G62">
            <v>0</v>
          </cell>
          <cell r="H62">
            <v>132</v>
          </cell>
          <cell r="I62">
            <v>11</v>
          </cell>
        </row>
        <row r="63">
          <cell r="C63">
            <v>73</v>
          </cell>
          <cell r="D63" t="str">
            <v>AZOPARDO - COSTANERA 1</v>
          </cell>
          <cell r="E63">
            <v>341</v>
          </cell>
          <cell r="F63" t="str">
            <v>C</v>
          </cell>
          <cell r="G63">
            <v>0</v>
          </cell>
          <cell r="H63">
            <v>132</v>
          </cell>
          <cell r="I63">
            <v>3.6</v>
          </cell>
        </row>
        <row r="64">
          <cell r="C64">
            <v>82</v>
          </cell>
          <cell r="D64" t="str">
            <v>AZOPARDO - COSTANERA 2</v>
          </cell>
          <cell r="E64">
            <v>342</v>
          </cell>
          <cell r="F64" t="str">
            <v>C</v>
          </cell>
          <cell r="G64">
            <v>0</v>
          </cell>
          <cell r="H64">
            <v>132</v>
          </cell>
          <cell r="I64">
            <v>3.6</v>
          </cell>
          <cell r="GG64">
            <v>1</v>
          </cell>
        </row>
        <row r="65">
          <cell r="C65">
            <v>83</v>
          </cell>
          <cell r="D65" t="str">
            <v>AZOPARDO - COSTANERA 3</v>
          </cell>
          <cell r="E65">
            <v>343</v>
          </cell>
          <cell r="F65" t="str">
            <v>C</v>
          </cell>
          <cell r="G65">
            <v>0</v>
          </cell>
          <cell r="H65">
            <v>132</v>
          </cell>
          <cell r="I65">
            <v>3.6</v>
          </cell>
        </row>
        <row r="66">
          <cell r="C66">
            <v>84</v>
          </cell>
          <cell r="D66" t="str">
            <v>AZOPARDO - COSTANERA</v>
          </cell>
          <cell r="E66">
            <v>351</v>
          </cell>
          <cell r="F66" t="str">
            <v>C</v>
          </cell>
          <cell r="G66">
            <v>0</v>
          </cell>
          <cell r="H66">
            <v>132</v>
          </cell>
          <cell r="I66">
            <v>4.2</v>
          </cell>
        </row>
        <row r="67">
          <cell r="C67">
            <v>85</v>
          </cell>
          <cell r="D67" t="str">
            <v>AZOPARDO - COSTANERA</v>
          </cell>
          <cell r="E67">
            <v>352</v>
          </cell>
          <cell r="F67" t="str">
            <v>C</v>
          </cell>
          <cell r="G67">
            <v>0</v>
          </cell>
          <cell r="H67">
            <v>132</v>
          </cell>
          <cell r="I67">
            <v>4.2</v>
          </cell>
        </row>
        <row r="68">
          <cell r="C68">
            <v>78</v>
          </cell>
          <cell r="D68" t="str">
            <v>PERITO MORENO - LURO GBA 2</v>
          </cell>
          <cell r="E68">
            <v>412</v>
          </cell>
          <cell r="F68" t="str">
            <v>C</v>
          </cell>
          <cell r="G68">
            <v>0</v>
          </cell>
          <cell r="H68">
            <v>132</v>
          </cell>
          <cell r="I68">
            <v>5.3</v>
          </cell>
        </row>
        <row r="69">
          <cell r="C69">
            <v>91</v>
          </cell>
          <cell r="D69" t="str">
            <v>PERITO MORENO - LURO GBA 1</v>
          </cell>
          <cell r="E69">
            <v>411</v>
          </cell>
          <cell r="F69" t="str">
            <v>C</v>
          </cell>
          <cell r="G69">
            <v>0</v>
          </cell>
          <cell r="H69">
            <v>132</v>
          </cell>
          <cell r="I69">
            <v>5.3</v>
          </cell>
        </row>
        <row r="70">
          <cell r="C70">
            <v>38</v>
          </cell>
          <cell r="D70" t="str">
            <v>CENTENARIO COLEGIALES</v>
          </cell>
          <cell r="E70">
            <v>433</v>
          </cell>
          <cell r="F70" t="str">
            <v>C</v>
          </cell>
          <cell r="G70">
            <v>0</v>
          </cell>
          <cell r="H70">
            <v>132</v>
          </cell>
          <cell r="I70">
            <v>4.8</v>
          </cell>
        </row>
        <row r="71">
          <cell r="C71">
            <v>39</v>
          </cell>
          <cell r="D71" t="str">
            <v>CENTENARIO COLEGIALES</v>
          </cell>
          <cell r="E71">
            <v>434</v>
          </cell>
          <cell r="F71" t="str">
            <v>C</v>
          </cell>
          <cell r="G71">
            <v>0</v>
          </cell>
          <cell r="H71">
            <v>132</v>
          </cell>
          <cell r="I71">
            <v>4.9</v>
          </cell>
          <cell r="GC71">
            <v>1</v>
          </cell>
        </row>
        <row r="72">
          <cell r="C72">
            <v>40</v>
          </cell>
          <cell r="D72" t="str">
            <v>PERITO MORENO - POMPEYA </v>
          </cell>
          <cell r="E72">
            <v>441</v>
          </cell>
          <cell r="F72" t="str">
            <v>C</v>
          </cell>
          <cell r="G72">
            <v>0</v>
          </cell>
          <cell r="H72">
            <v>132</v>
          </cell>
          <cell r="I72">
            <v>4.7</v>
          </cell>
          <cell r="GE72">
            <v>1</v>
          </cell>
        </row>
        <row r="73">
          <cell r="C73">
            <v>41</v>
          </cell>
          <cell r="D73" t="str">
            <v>POMPEYA - P. PATRICIOS </v>
          </cell>
          <cell r="E73">
            <v>442</v>
          </cell>
          <cell r="F73" t="str">
            <v>C</v>
          </cell>
          <cell r="G73">
            <v>0</v>
          </cell>
          <cell r="H73">
            <v>132</v>
          </cell>
          <cell r="I73">
            <v>3.9</v>
          </cell>
          <cell r="GG73">
            <v>1</v>
          </cell>
        </row>
        <row r="74">
          <cell r="C74">
            <v>42</v>
          </cell>
          <cell r="D74" t="str">
            <v>PERITO MORENO - CABALLITO 1 </v>
          </cell>
          <cell r="E74">
            <v>445</v>
          </cell>
          <cell r="F74" t="str">
            <v>C</v>
          </cell>
          <cell r="G74">
            <v>0</v>
          </cell>
          <cell r="H74">
            <v>132</v>
          </cell>
          <cell r="I74">
            <v>6.3</v>
          </cell>
        </row>
        <row r="75">
          <cell r="C75">
            <v>43</v>
          </cell>
          <cell r="D75" t="str">
            <v>PERITO MORENO - CABALLITO 2 </v>
          </cell>
          <cell r="E75">
            <v>446</v>
          </cell>
          <cell r="F75" t="str">
            <v>C</v>
          </cell>
          <cell r="G75">
            <v>0</v>
          </cell>
          <cell r="H75">
            <v>132</v>
          </cell>
          <cell r="I75">
            <v>6.3</v>
          </cell>
        </row>
        <row r="76">
          <cell r="C76">
            <v>44</v>
          </cell>
          <cell r="D76" t="str">
            <v>PERITO MORENO - LINIERS 1</v>
          </cell>
          <cell r="E76">
            <v>447</v>
          </cell>
          <cell r="F76" t="str">
            <v>C</v>
          </cell>
          <cell r="G76">
            <v>0</v>
          </cell>
          <cell r="H76">
            <v>132</v>
          </cell>
          <cell r="I76">
            <v>2.8</v>
          </cell>
        </row>
        <row r="77">
          <cell r="C77">
            <v>45</v>
          </cell>
          <cell r="D77" t="str">
            <v>PERITO MORENO - LINIERS 2</v>
          </cell>
          <cell r="E77">
            <v>448</v>
          </cell>
          <cell r="F77" t="str">
            <v>C</v>
          </cell>
          <cell r="G77">
            <v>0</v>
          </cell>
          <cell r="H77">
            <v>132</v>
          </cell>
          <cell r="I77">
            <v>2.8</v>
          </cell>
        </row>
        <row r="78">
          <cell r="C78">
            <v>76</v>
          </cell>
          <cell r="D78" t="str">
            <v>AZOPARDO II CHARCAS </v>
          </cell>
          <cell r="E78">
            <v>451</v>
          </cell>
          <cell r="F78" t="str">
            <v>C</v>
          </cell>
          <cell r="G78">
            <v>0</v>
          </cell>
          <cell r="H78">
            <v>132</v>
          </cell>
          <cell r="I78">
            <v>2.4</v>
          </cell>
        </row>
        <row r="79">
          <cell r="C79">
            <v>77</v>
          </cell>
          <cell r="D79" t="str">
            <v>AZOPARDO II CHARCAS </v>
          </cell>
          <cell r="E79">
            <v>452</v>
          </cell>
          <cell r="F79" t="str">
            <v>C</v>
          </cell>
          <cell r="G79">
            <v>0</v>
          </cell>
          <cell r="H79">
            <v>132</v>
          </cell>
          <cell r="I79">
            <v>2.4</v>
          </cell>
        </row>
        <row r="80">
          <cell r="C80">
            <v>46</v>
          </cell>
          <cell r="D80" t="str">
            <v>AZOPARDO II - PELLEGRINI 1</v>
          </cell>
          <cell r="E80">
            <v>457</v>
          </cell>
          <cell r="F80" t="str">
            <v>C</v>
          </cell>
          <cell r="G80">
            <v>0</v>
          </cell>
          <cell r="H80">
            <v>132</v>
          </cell>
          <cell r="I80">
            <v>2</v>
          </cell>
        </row>
        <row r="81">
          <cell r="C81">
            <v>47</v>
          </cell>
          <cell r="D81" t="str">
            <v>AZOPARDO II - PELLEGRINI 2</v>
          </cell>
          <cell r="E81">
            <v>458</v>
          </cell>
          <cell r="F81" t="str">
            <v>C</v>
          </cell>
          <cell r="G81">
            <v>0</v>
          </cell>
          <cell r="H81">
            <v>132</v>
          </cell>
          <cell r="I81">
            <v>2</v>
          </cell>
        </row>
        <row r="82">
          <cell r="C82">
            <v>48</v>
          </cell>
          <cell r="D82" t="str">
            <v>SANTA RITA - AGRONOMIA 1</v>
          </cell>
          <cell r="E82">
            <v>461</v>
          </cell>
          <cell r="F82" t="str">
            <v>C</v>
          </cell>
          <cell r="G82">
            <v>0</v>
          </cell>
          <cell r="H82">
            <v>132</v>
          </cell>
          <cell r="I82">
            <v>2.4</v>
          </cell>
        </row>
        <row r="83">
          <cell r="C83">
            <v>49</v>
          </cell>
          <cell r="D83" t="str">
            <v>SANTA RITA - AGRONOMIA 2 </v>
          </cell>
          <cell r="E83">
            <v>462</v>
          </cell>
          <cell r="F83" t="str">
            <v>C</v>
          </cell>
          <cell r="G83">
            <v>0</v>
          </cell>
          <cell r="H83">
            <v>132</v>
          </cell>
          <cell r="I83">
            <v>2.4</v>
          </cell>
        </row>
        <row r="84">
          <cell r="C84">
            <v>50</v>
          </cell>
          <cell r="D84" t="str">
            <v>BOSQUES - QUILMES 1 </v>
          </cell>
          <cell r="E84">
            <v>511</v>
          </cell>
          <cell r="F84" t="str">
            <v>L</v>
          </cell>
          <cell r="G84">
            <v>100</v>
          </cell>
          <cell r="H84">
            <v>132</v>
          </cell>
          <cell r="I84">
            <v>29.2</v>
          </cell>
          <cell r="FY84" t="str">
            <v>XXXX</v>
          </cell>
          <cell r="FZ84" t="str">
            <v>XXXX</v>
          </cell>
          <cell r="GA84" t="str">
            <v>XXXX</v>
          </cell>
          <cell r="GB84" t="str">
            <v>XXXX</v>
          </cell>
          <cell r="GC84" t="str">
            <v>XXXX</v>
          </cell>
          <cell r="GD84" t="str">
            <v>XXXX</v>
          </cell>
          <cell r="GE84" t="str">
            <v>XXXX</v>
          </cell>
          <cell r="GF84" t="str">
            <v>XXXX</v>
          </cell>
          <cell r="GG84" t="str">
            <v>XXXX</v>
          </cell>
          <cell r="GH84" t="str">
            <v>XXXX</v>
          </cell>
          <cell r="GI84" t="str">
            <v>XXXX</v>
          </cell>
          <cell r="GJ84" t="str">
            <v>XXXX</v>
          </cell>
        </row>
        <row r="85">
          <cell r="C85">
            <v>51</v>
          </cell>
          <cell r="D85" t="str">
            <v>BOSQUES - QUILMES 2 </v>
          </cell>
          <cell r="E85">
            <v>512</v>
          </cell>
          <cell r="F85" t="str">
            <v>L</v>
          </cell>
          <cell r="G85">
            <v>100</v>
          </cell>
          <cell r="H85">
            <v>132</v>
          </cell>
          <cell r="I85">
            <v>28.6</v>
          </cell>
          <cell r="FY85" t="str">
            <v>XXXX</v>
          </cell>
          <cell r="FZ85" t="str">
            <v>XXXX</v>
          </cell>
          <cell r="GA85" t="str">
            <v>XXXX</v>
          </cell>
          <cell r="GB85" t="str">
            <v>XXXX</v>
          </cell>
          <cell r="GC85" t="str">
            <v>XXXX</v>
          </cell>
          <cell r="GD85" t="str">
            <v>XXXX</v>
          </cell>
          <cell r="GE85" t="str">
            <v>XXXX</v>
          </cell>
          <cell r="GF85" t="str">
            <v>XXXX</v>
          </cell>
          <cell r="GG85" t="str">
            <v>XXXX</v>
          </cell>
          <cell r="GH85" t="str">
            <v>XXXX</v>
          </cell>
          <cell r="GI85" t="str">
            <v>XXXX</v>
          </cell>
          <cell r="GJ85" t="str">
            <v>XXXX</v>
          </cell>
        </row>
        <row r="86">
          <cell r="C86">
            <v>92</v>
          </cell>
          <cell r="D86" t="str">
            <v>BOSQUES - QUILMES 1 </v>
          </cell>
          <cell r="E86">
            <v>511</v>
          </cell>
          <cell r="F86" t="str">
            <v>L</v>
          </cell>
          <cell r="G86">
            <v>100</v>
          </cell>
          <cell r="H86">
            <v>132</v>
          </cell>
          <cell r="I86">
            <v>17.4</v>
          </cell>
          <cell r="GA86">
            <v>1</v>
          </cell>
          <cell r="GB86">
            <v>1</v>
          </cell>
        </row>
        <row r="87">
          <cell r="C87">
            <v>93</v>
          </cell>
          <cell r="D87" t="str">
            <v>BOSQUES - QUILMES 2 </v>
          </cell>
          <cell r="E87">
            <v>512</v>
          </cell>
          <cell r="F87" t="str">
            <v>L</v>
          </cell>
          <cell r="G87">
            <v>100</v>
          </cell>
          <cell r="H87">
            <v>132</v>
          </cell>
          <cell r="I87">
            <v>16.8</v>
          </cell>
          <cell r="GB87">
            <v>1</v>
          </cell>
          <cell r="GG87">
            <v>1</v>
          </cell>
        </row>
        <row r="88">
          <cell r="C88">
            <v>74</v>
          </cell>
          <cell r="D88" t="str">
            <v>EZEIZA - SPEGAZZINI 1</v>
          </cell>
          <cell r="E88">
            <v>545</v>
          </cell>
          <cell r="F88" t="str">
            <v>L</v>
          </cell>
          <cell r="G88">
            <v>100</v>
          </cell>
          <cell r="H88">
            <v>132</v>
          </cell>
          <cell r="I88">
            <v>12.6</v>
          </cell>
        </row>
        <row r="89">
          <cell r="C89">
            <v>75</v>
          </cell>
          <cell r="D89" t="str">
            <v>EZEIZA - SPEGAZZINI 2</v>
          </cell>
          <cell r="E89">
            <v>546</v>
          </cell>
          <cell r="F89" t="str">
            <v>L</v>
          </cell>
          <cell r="G89">
            <v>100</v>
          </cell>
          <cell r="H89">
            <v>132</v>
          </cell>
          <cell r="I89">
            <v>12.6</v>
          </cell>
          <cell r="FZ89">
            <v>1</v>
          </cell>
          <cell r="GB89">
            <v>2</v>
          </cell>
          <cell r="GD89">
            <v>3</v>
          </cell>
        </row>
        <row r="90">
          <cell r="C90">
            <v>94</v>
          </cell>
          <cell r="D90" t="str">
            <v>ALTE. BROWN - GLEW 1 </v>
          </cell>
          <cell r="E90">
            <v>547</v>
          </cell>
          <cell r="F90" t="str">
            <v>C</v>
          </cell>
          <cell r="G90">
            <v>0</v>
          </cell>
          <cell r="H90">
            <v>132</v>
          </cell>
          <cell r="I90">
            <v>7.5</v>
          </cell>
        </row>
        <row r="91">
          <cell r="C91">
            <v>95</v>
          </cell>
          <cell r="D91" t="str">
            <v>ALTE. BROWN - GLEW 2 </v>
          </cell>
          <cell r="E91">
            <v>548</v>
          </cell>
          <cell r="F91" t="str">
            <v>C</v>
          </cell>
          <cell r="G91">
            <v>0</v>
          </cell>
          <cell r="H91">
            <v>132</v>
          </cell>
          <cell r="I91">
            <v>7.5</v>
          </cell>
        </row>
        <row r="92">
          <cell r="C92">
            <v>52</v>
          </cell>
          <cell r="D92" t="str">
            <v>BOSQUES - MONTE CHINGOLO 1 </v>
          </cell>
          <cell r="E92">
            <v>553</v>
          </cell>
          <cell r="F92" t="str">
            <v>L</v>
          </cell>
          <cell r="G92">
            <v>100</v>
          </cell>
          <cell r="H92">
            <v>132</v>
          </cell>
          <cell r="I92">
            <v>20.6</v>
          </cell>
        </row>
        <row r="93">
          <cell r="C93">
            <v>53</v>
          </cell>
          <cell r="D93" t="str">
            <v>BOSQUES - MONTE CHINGOLO 2 </v>
          </cell>
          <cell r="E93">
            <v>554</v>
          </cell>
          <cell r="F93" t="str">
            <v>L</v>
          </cell>
          <cell r="G93">
            <v>100</v>
          </cell>
          <cell r="H93">
            <v>132</v>
          </cell>
          <cell r="I93">
            <v>20.4</v>
          </cell>
          <cell r="GF93">
            <v>1</v>
          </cell>
        </row>
        <row r="94">
          <cell r="C94">
            <v>54</v>
          </cell>
          <cell r="D94" t="str">
            <v>ESCALADA - GERLI 1</v>
          </cell>
          <cell r="E94">
            <v>555</v>
          </cell>
          <cell r="F94" t="str">
            <v>C</v>
          </cell>
          <cell r="G94">
            <v>0</v>
          </cell>
          <cell r="H94">
            <v>132</v>
          </cell>
          <cell r="I94">
            <v>4.8</v>
          </cell>
        </row>
        <row r="95">
          <cell r="C95">
            <v>55</v>
          </cell>
          <cell r="D95" t="str">
            <v>ESCALADA - GERLI 2 </v>
          </cell>
          <cell r="E95">
            <v>556</v>
          </cell>
          <cell r="F95" t="str">
            <v>C</v>
          </cell>
          <cell r="G95">
            <v>0</v>
          </cell>
          <cell r="H95">
            <v>132</v>
          </cell>
          <cell r="I95">
            <v>4.8</v>
          </cell>
        </row>
        <row r="96">
          <cell r="C96">
            <v>56</v>
          </cell>
          <cell r="D96" t="str">
            <v>CORINA - ESCALADA </v>
          </cell>
          <cell r="E96">
            <v>574</v>
          </cell>
          <cell r="F96" t="str">
            <v>C</v>
          </cell>
          <cell r="G96">
            <v>0</v>
          </cell>
          <cell r="H96">
            <v>132</v>
          </cell>
          <cell r="I96">
            <v>3.6</v>
          </cell>
        </row>
        <row r="97">
          <cell r="C97">
            <v>57</v>
          </cell>
          <cell r="D97" t="str">
            <v>V. ALSINA - 9 DE JULIO </v>
          </cell>
          <cell r="E97">
            <v>577</v>
          </cell>
          <cell r="F97" t="str">
            <v>C</v>
          </cell>
          <cell r="G97">
            <v>0</v>
          </cell>
          <cell r="H97">
            <v>132</v>
          </cell>
          <cell r="I97">
            <v>8.1</v>
          </cell>
        </row>
        <row r="98">
          <cell r="C98">
            <v>58</v>
          </cell>
          <cell r="D98" t="str">
            <v>V. ALSINA - ESCALADA </v>
          </cell>
          <cell r="E98">
            <v>578</v>
          </cell>
          <cell r="F98" t="str">
            <v>C</v>
          </cell>
          <cell r="G98">
            <v>0</v>
          </cell>
          <cell r="H98">
            <v>132</v>
          </cell>
          <cell r="I98">
            <v>6.6</v>
          </cell>
        </row>
        <row r="99">
          <cell r="C99">
            <v>59</v>
          </cell>
          <cell r="D99" t="str">
            <v>ALTE. BROWN - ESCALADA 1 </v>
          </cell>
          <cell r="E99">
            <v>579</v>
          </cell>
          <cell r="F99" t="str">
            <v>C</v>
          </cell>
          <cell r="G99">
            <v>0</v>
          </cell>
          <cell r="H99">
            <v>132</v>
          </cell>
          <cell r="I99">
            <v>16.7</v>
          </cell>
          <cell r="FZ99">
            <v>1</v>
          </cell>
          <cell r="GD99">
            <v>1</v>
          </cell>
        </row>
        <row r="100">
          <cell r="C100">
            <v>60</v>
          </cell>
          <cell r="D100" t="str">
            <v>ALTE. BROWN - ESCALADA 2 </v>
          </cell>
          <cell r="E100">
            <v>580</v>
          </cell>
          <cell r="F100" t="str">
            <v>C</v>
          </cell>
          <cell r="G100">
            <v>0</v>
          </cell>
          <cell r="H100">
            <v>132</v>
          </cell>
          <cell r="I100">
            <v>16.6</v>
          </cell>
          <cell r="FZ100">
            <v>1</v>
          </cell>
          <cell r="GI100">
            <v>1</v>
          </cell>
        </row>
        <row r="101">
          <cell r="C101">
            <v>61</v>
          </cell>
          <cell r="D101" t="str">
            <v>ALTE. BROWN - ECHEVERRÍA 1 </v>
          </cell>
          <cell r="E101">
            <v>581</v>
          </cell>
          <cell r="F101" t="str">
            <v>LC</v>
          </cell>
          <cell r="G101">
            <v>70.23</v>
          </cell>
          <cell r="H101">
            <v>132</v>
          </cell>
          <cell r="I101">
            <v>8.4</v>
          </cell>
          <cell r="FY101" t="str">
            <v>XXXX</v>
          </cell>
          <cell r="FZ101" t="str">
            <v>XXXX</v>
          </cell>
          <cell r="GA101" t="str">
            <v>XXXX</v>
          </cell>
          <cell r="GB101" t="str">
            <v>XXXX</v>
          </cell>
          <cell r="GC101" t="str">
            <v>XXXX</v>
          </cell>
          <cell r="GD101" t="str">
            <v>XXXX</v>
          </cell>
          <cell r="GE101" t="str">
            <v>XXXX</v>
          </cell>
          <cell r="GF101" t="str">
            <v>XXXX</v>
          </cell>
          <cell r="GG101" t="str">
            <v>XXXX</v>
          </cell>
          <cell r="GH101" t="str">
            <v>XXXX</v>
          </cell>
          <cell r="GI101" t="str">
            <v>XXXX</v>
          </cell>
          <cell r="GJ101" t="str">
            <v>XXXX</v>
          </cell>
        </row>
        <row r="102">
          <cell r="C102">
            <v>62</v>
          </cell>
          <cell r="D102" t="str">
            <v>ALTE. BROWN - ECHEVERRÍA 2 </v>
          </cell>
          <cell r="E102">
            <v>582</v>
          </cell>
          <cell r="F102" t="str">
            <v>LC</v>
          </cell>
          <cell r="G102">
            <v>88.46153846153845</v>
          </cell>
          <cell r="H102">
            <v>132</v>
          </cell>
          <cell r="I102">
            <v>7.800000000000001</v>
          </cell>
          <cell r="FY102" t="str">
            <v>XXXX</v>
          </cell>
          <cell r="FZ102" t="str">
            <v>XXXX</v>
          </cell>
          <cell r="GA102" t="str">
            <v>XXXX</v>
          </cell>
          <cell r="GB102" t="str">
            <v>XXXX</v>
          </cell>
          <cell r="GC102" t="str">
            <v>XXXX</v>
          </cell>
          <cell r="GD102" t="str">
            <v>XXXX</v>
          </cell>
          <cell r="GE102" t="str">
            <v>XXXX</v>
          </cell>
          <cell r="GF102" t="str">
            <v>XXXX</v>
          </cell>
          <cell r="GG102" t="str">
            <v>XXXX</v>
          </cell>
          <cell r="GH102" t="str">
            <v>XXXX</v>
          </cell>
          <cell r="GI102" t="str">
            <v>XXXX</v>
          </cell>
          <cell r="GJ102" t="str">
            <v>XXXX</v>
          </cell>
        </row>
        <row r="103">
          <cell r="C103">
            <v>98</v>
          </cell>
          <cell r="D103" t="str">
            <v>CALZADA - ALTE BROWN 1</v>
          </cell>
          <cell r="E103">
            <v>581</v>
          </cell>
          <cell r="F103" t="str">
            <v>LC</v>
          </cell>
          <cell r="G103">
            <v>84.52</v>
          </cell>
          <cell r="H103">
            <v>132</v>
          </cell>
          <cell r="I103">
            <v>8.4</v>
          </cell>
        </row>
        <row r="104">
          <cell r="C104">
            <v>99</v>
          </cell>
          <cell r="D104" t="str">
            <v>CALZADA - ALTE BROWN 2</v>
          </cell>
          <cell r="E104">
            <v>582</v>
          </cell>
          <cell r="F104" t="str">
            <v>LC</v>
          </cell>
          <cell r="G104">
            <v>88.46</v>
          </cell>
          <cell r="H104">
            <v>132</v>
          </cell>
          <cell r="I104">
            <v>7.8</v>
          </cell>
        </row>
        <row r="105">
          <cell r="C105">
            <v>63</v>
          </cell>
          <cell r="D105" t="str">
            <v>ALTE. BROWN - SANTA CATALINA 1 </v>
          </cell>
          <cell r="E105">
            <v>585</v>
          </cell>
          <cell r="F105" t="str">
            <v>L</v>
          </cell>
          <cell r="G105">
            <v>100</v>
          </cell>
          <cell r="H105">
            <v>132</v>
          </cell>
          <cell r="I105">
            <v>19.5</v>
          </cell>
          <cell r="FY105" t="str">
            <v>XXXX</v>
          </cell>
          <cell r="FZ105" t="str">
            <v>XXXX</v>
          </cell>
          <cell r="GA105" t="str">
            <v>XXXX</v>
          </cell>
          <cell r="GB105" t="str">
            <v>XXXX</v>
          </cell>
          <cell r="GC105" t="str">
            <v>XXXX</v>
          </cell>
          <cell r="GD105" t="str">
            <v>XXXX</v>
          </cell>
          <cell r="GE105" t="str">
            <v>XXXX</v>
          </cell>
          <cell r="GF105" t="str">
            <v>XXXX</v>
          </cell>
          <cell r="GG105" t="str">
            <v>XXXX</v>
          </cell>
          <cell r="GH105" t="str">
            <v>XXXX</v>
          </cell>
          <cell r="GI105" t="str">
            <v>XXXX</v>
          </cell>
          <cell r="GJ105" t="str">
            <v>XXXX</v>
          </cell>
        </row>
        <row r="106">
          <cell r="C106">
            <v>64</v>
          </cell>
          <cell r="D106" t="str">
            <v>ALTE. BROWN - SANTA CATALINA 2 </v>
          </cell>
          <cell r="E106">
            <v>586</v>
          </cell>
          <cell r="F106" t="str">
            <v>L</v>
          </cell>
          <cell r="G106">
            <v>100</v>
          </cell>
          <cell r="H106">
            <v>132</v>
          </cell>
          <cell r="I106">
            <v>20.6</v>
          </cell>
          <cell r="FY106" t="str">
            <v>XXXX</v>
          </cell>
          <cell r="FZ106" t="str">
            <v>XXXX</v>
          </cell>
          <cell r="GA106" t="str">
            <v>XXXX</v>
          </cell>
          <cell r="GB106" t="str">
            <v>XXXX</v>
          </cell>
          <cell r="GC106" t="str">
            <v>XXXX</v>
          </cell>
          <cell r="GD106" t="str">
            <v>XXXX</v>
          </cell>
          <cell r="GE106" t="str">
            <v>XXXX</v>
          </cell>
          <cell r="GF106" t="str">
            <v>XXXX</v>
          </cell>
          <cell r="GG106" t="str">
            <v>XXXX</v>
          </cell>
          <cell r="GH106" t="str">
            <v>XXXX</v>
          </cell>
          <cell r="GI106" t="str">
            <v>XXXX</v>
          </cell>
          <cell r="GJ106" t="str">
            <v>XXXX</v>
          </cell>
        </row>
        <row r="107">
          <cell r="C107">
            <v>96</v>
          </cell>
          <cell r="D107" t="str">
            <v>ALTE. BROWN - TRANSRADIO 1 </v>
          </cell>
          <cell r="E107">
            <v>585</v>
          </cell>
          <cell r="F107" t="str">
            <v>LC</v>
          </cell>
          <cell r="G107">
            <v>79.59183673469387</v>
          </cell>
          <cell r="H107">
            <v>132</v>
          </cell>
          <cell r="I107">
            <v>24.5</v>
          </cell>
          <cell r="GA107">
            <v>1</v>
          </cell>
        </row>
        <row r="108">
          <cell r="C108">
            <v>97</v>
          </cell>
          <cell r="D108" t="str">
            <v>ALTE. BROWN - TRANSRADIO 2 </v>
          </cell>
          <cell r="E108">
            <v>586</v>
          </cell>
          <cell r="F108" t="str">
            <v>LC</v>
          </cell>
          <cell r="G108">
            <v>80.47</v>
          </cell>
          <cell r="H108">
            <v>132</v>
          </cell>
          <cell r="I108">
            <v>25.6</v>
          </cell>
          <cell r="GB108">
            <v>1</v>
          </cell>
          <cell r="GE108">
            <v>1</v>
          </cell>
          <cell r="GH108">
            <v>1</v>
          </cell>
        </row>
        <row r="109">
          <cell r="C109">
            <v>65</v>
          </cell>
          <cell r="D109" t="str">
            <v>BOSQUES - SOBRAL 1 </v>
          </cell>
          <cell r="E109">
            <v>587</v>
          </cell>
          <cell r="F109" t="str">
            <v>L</v>
          </cell>
          <cell r="G109">
            <v>100</v>
          </cell>
          <cell r="H109">
            <v>132</v>
          </cell>
          <cell r="I109">
            <v>17.4</v>
          </cell>
          <cell r="FZ109">
            <v>1</v>
          </cell>
          <cell r="GG109" t="str">
            <v>XXXX</v>
          </cell>
          <cell r="GH109" t="str">
            <v>XXXX</v>
          </cell>
          <cell r="GI109" t="str">
            <v>XXXX</v>
          </cell>
          <cell r="GJ109" t="str">
            <v>XXXX</v>
          </cell>
        </row>
        <row r="110">
          <cell r="C110">
            <v>66</v>
          </cell>
          <cell r="D110" t="str">
            <v>BOSQUES - SOBRAL 2 </v>
          </cell>
          <cell r="E110">
            <v>588</v>
          </cell>
          <cell r="F110" t="str">
            <v>L</v>
          </cell>
          <cell r="G110">
            <v>100</v>
          </cell>
          <cell r="H110">
            <v>132</v>
          </cell>
          <cell r="I110">
            <v>17.4</v>
          </cell>
          <cell r="GG110" t="str">
            <v>XXXX</v>
          </cell>
          <cell r="GH110" t="str">
            <v>XXXX</v>
          </cell>
          <cell r="GI110" t="str">
            <v>XXXX</v>
          </cell>
          <cell r="GJ110" t="str">
            <v>XXXX</v>
          </cell>
        </row>
        <row r="111">
          <cell r="C111">
            <v>67</v>
          </cell>
          <cell r="D111" t="str">
            <v>PERITO MORENO - AUTODROMO 1</v>
          </cell>
          <cell r="E111">
            <v>648</v>
          </cell>
          <cell r="F111" t="str">
            <v>C</v>
          </cell>
          <cell r="G111">
            <v>0</v>
          </cell>
          <cell r="H111">
            <v>132</v>
          </cell>
          <cell r="I111">
            <v>5.4</v>
          </cell>
          <cell r="FY111" t="str">
            <v>XXXX</v>
          </cell>
          <cell r="FZ111" t="str">
            <v>XXXX</v>
          </cell>
          <cell r="GA111" t="str">
            <v>XXXX</v>
          </cell>
          <cell r="GB111" t="str">
            <v>XXXX</v>
          </cell>
          <cell r="GC111" t="str">
            <v>XXXX</v>
          </cell>
          <cell r="GD111" t="str">
            <v>XXXX</v>
          </cell>
          <cell r="GE111" t="str">
            <v>XXXX</v>
          </cell>
          <cell r="GF111" t="str">
            <v>XXXX</v>
          </cell>
          <cell r="GG111" t="str">
            <v>XXXX</v>
          </cell>
          <cell r="GH111" t="str">
            <v>XXXX</v>
          </cell>
          <cell r="GI111" t="str">
            <v>XXXX</v>
          </cell>
          <cell r="GJ111" t="str">
            <v>XXXX</v>
          </cell>
        </row>
        <row r="112">
          <cell r="C112">
            <v>68</v>
          </cell>
          <cell r="D112" t="str">
            <v>PERITO MORENO - AUTODROMO 2 </v>
          </cell>
          <cell r="E112">
            <v>649</v>
          </cell>
          <cell r="F112" t="str">
            <v>C</v>
          </cell>
          <cell r="G112">
            <v>0</v>
          </cell>
          <cell r="H112">
            <v>132</v>
          </cell>
          <cell r="I112">
            <v>5.5</v>
          </cell>
          <cell r="FY112" t="str">
            <v>XXXX</v>
          </cell>
          <cell r="FZ112" t="str">
            <v>XXXX</v>
          </cell>
          <cell r="GA112" t="str">
            <v>XXXX</v>
          </cell>
          <cell r="GB112" t="str">
            <v>XXXX</v>
          </cell>
          <cell r="GC112" t="str">
            <v>XXXX</v>
          </cell>
          <cell r="GD112" t="str">
            <v>XXXX</v>
          </cell>
          <cell r="GE112" t="str">
            <v>XXXX</v>
          </cell>
          <cell r="GF112" t="str">
            <v>XXXX</v>
          </cell>
          <cell r="GG112" t="str">
            <v>XXXX</v>
          </cell>
          <cell r="GH112" t="str">
            <v>XXXX</v>
          </cell>
          <cell r="GI112" t="str">
            <v>XXXX</v>
          </cell>
          <cell r="GJ112" t="str">
            <v>XXXX</v>
          </cell>
        </row>
        <row r="113">
          <cell r="C113">
            <v>100</v>
          </cell>
          <cell r="D113" t="str">
            <v>PERITO MORENO - MATANZA 1</v>
          </cell>
          <cell r="E113">
            <v>648</v>
          </cell>
          <cell r="F113" t="str">
            <v>C</v>
          </cell>
          <cell r="G113">
            <v>0</v>
          </cell>
          <cell r="H113">
            <v>132</v>
          </cell>
          <cell r="I113">
            <v>10.2</v>
          </cell>
          <cell r="GA113">
            <v>1</v>
          </cell>
        </row>
        <row r="114">
          <cell r="C114">
            <v>101</v>
          </cell>
          <cell r="D114" t="str">
            <v>PERITO MORENO - MATANZA 2 </v>
          </cell>
          <cell r="E114">
            <v>649</v>
          </cell>
          <cell r="F114" t="str">
            <v>C</v>
          </cell>
          <cell r="G114">
            <v>0</v>
          </cell>
          <cell r="H114">
            <v>132</v>
          </cell>
          <cell r="I114">
            <v>10.32</v>
          </cell>
        </row>
        <row r="115">
          <cell r="C115">
            <v>69</v>
          </cell>
          <cell r="D115" t="str">
            <v>NUEVO PUERTO - GALDOS 1</v>
          </cell>
          <cell r="E115">
            <v>727</v>
          </cell>
          <cell r="F115" t="str">
            <v>C</v>
          </cell>
          <cell r="G115">
            <v>0</v>
          </cell>
          <cell r="H115">
            <v>28</v>
          </cell>
          <cell r="I115">
            <v>7.7</v>
          </cell>
          <cell r="FY115" t="str">
            <v>XXXX</v>
          </cell>
          <cell r="FZ115" t="str">
            <v>XXXX</v>
          </cell>
          <cell r="GA115" t="str">
            <v>XXXX</v>
          </cell>
          <cell r="GB115" t="str">
            <v>XXXX</v>
          </cell>
          <cell r="GC115" t="str">
            <v>XXXX</v>
          </cell>
          <cell r="GD115" t="str">
            <v>XXXX</v>
          </cell>
          <cell r="GE115" t="str">
            <v>XXXX</v>
          </cell>
          <cell r="GF115" t="str">
            <v>XXXX</v>
          </cell>
          <cell r="GG115" t="str">
            <v>XXXX</v>
          </cell>
          <cell r="GH115" t="str">
            <v>XXXX</v>
          </cell>
          <cell r="GI115" t="str">
            <v>XXXX</v>
          </cell>
          <cell r="GJ115" t="str">
            <v>XXXX</v>
          </cell>
        </row>
        <row r="116">
          <cell r="C116">
            <v>70</v>
          </cell>
          <cell r="D116" t="str">
            <v>NUEVO PUERTO - GALDOS 2 </v>
          </cell>
          <cell r="E116">
            <v>729</v>
          </cell>
          <cell r="F116" t="str">
            <v>C</v>
          </cell>
          <cell r="G116">
            <v>0</v>
          </cell>
          <cell r="H116">
            <v>28</v>
          </cell>
          <cell r="I116">
            <v>7.8</v>
          </cell>
          <cell r="FY116" t="str">
            <v>XXXX</v>
          </cell>
          <cell r="FZ116" t="str">
            <v>XXXX</v>
          </cell>
          <cell r="GA116" t="str">
            <v>XXXX</v>
          </cell>
          <cell r="GB116" t="str">
            <v>XXXX</v>
          </cell>
          <cell r="GC116" t="str">
            <v>XXXX</v>
          </cell>
          <cell r="GD116" t="str">
            <v>XXXX</v>
          </cell>
          <cell r="GE116" t="str">
            <v>XXXX</v>
          </cell>
          <cell r="GF116" t="str">
            <v>XXXX</v>
          </cell>
          <cell r="GG116" t="str">
            <v>XXXX</v>
          </cell>
          <cell r="GH116" t="str">
            <v>XXXX</v>
          </cell>
          <cell r="GI116" t="str">
            <v>XXXX</v>
          </cell>
          <cell r="GJ116" t="str">
            <v>XXXX</v>
          </cell>
        </row>
        <row r="117">
          <cell r="C117">
            <v>71</v>
          </cell>
          <cell r="D117" t="str">
            <v>NUEVO PUERTO - GALDOS 3 </v>
          </cell>
          <cell r="E117">
            <v>731</v>
          </cell>
          <cell r="F117" t="str">
            <v>C</v>
          </cell>
          <cell r="G117">
            <v>0</v>
          </cell>
          <cell r="H117">
            <v>37.4</v>
          </cell>
          <cell r="I117">
            <v>7.4</v>
          </cell>
          <cell r="FY117" t="str">
            <v>XXXX</v>
          </cell>
          <cell r="FZ117" t="str">
            <v>XXXX</v>
          </cell>
          <cell r="GA117" t="str">
            <v>XXXX</v>
          </cell>
          <cell r="GB117" t="str">
            <v>XXXX</v>
          </cell>
          <cell r="GC117" t="str">
            <v>XXXX</v>
          </cell>
          <cell r="GD117" t="str">
            <v>XXXX</v>
          </cell>
          <cell r="GE117" t="str">
            <v>XXXX</v>
          </cell>
          <cell r="GF117" t="str">
            <v>XXXX</v>
          </cell>
          <cell r="GG117" t="str">
            <v>XXXX</v>
          </cell>
          <cell r="GH117" t="str">
            <v>XXXX</v>
          </cell>
          <cell r="GI117" t="str">
            <v>XXXX</v>
          </cell>
          <cell r="GJ117" t="str">
            <v>XXXX</v>
          </cell>
        </row>
        <row r="118">
          <cell r="C118">
            <v>102</v>
          </cell>
          <cell r="D118" t="str">
            <v>BOSQUES - SOBRAL 1 </v>
          </cell>
          <cell r="E118">
            <v>587</v>
          </cell>
          <cell r="F118" t="str">
            <v>LC</v>
          </cell>
          <cell r="G118">
            <v>88.16</v>
          </cell>
          <cell r="H118">
            <v>132</v>
          </cell>
          <cell r="I118">
            <v>16.9</v>
          </cell>
          <cell r="FY118" t="str">
            <v>XXXX</v>
          </cell>
          <cell r="FZ118" t="str">
            <v>XXXX</v>
          </cell>
          <cell r="GA118" t="str">
            <v>XXXX</v>
          </cell>
          <cell r="GB118" t="str">
            <v>XXXX</v>
          </cell>
          <cell r="GC118" t="str">
            <v>XXXX</v>
          </cell>
          <cell r="GD118" t="str">
            <v>XXXX</v>
          </cell>
          <cell r="GE118" t="str">
            <v>XXXX</v>
          </cell>
          <cell r="GF118" t="str">
            <v>XXXX</v>
          </cell>
          <cell r="GJ118">
            <v>1</v>
          </cell>
        </row>
        <row r="119">
          <cell r="C119">
            <v>103</v>
          </cell>
          <cell r="D119" t="str">
            <v>BOSQUES - SOBRAL 2 </v>
          </cell>
          <cell r="E119">
            <v>588</v>
          </cell>
          <cell r="F119" t="str">
            <v>LC</v>
          </cell>
          <cell r="G119">
            <v>88.16</v>
          </cell>
          <cell r="H119">
            <v>132</v>
          </cell>
          <cell r="I119">
            <v>16.9</v>
          </cell>
          <cell r="FY119" t="str">
            <v>XXXX</v>
          </cell>
          <cell r="FZ119" t="str">
            <v>XXXX</v>
          </cell>
          <cell r="GA119" t="str">
            <v>XXXX</v>
          </cell>
          <cell r="GB119" t="str">
            <v>XXXX</v>
          </cell>
          <cell r="GC119" t="str">
            <v>XXXX</v>
          </cell>
          <cell r="GD119" t="str">
            <v>XXXX</v>
          </cell>
          <cell r="GE119" t="str">
            <v>XXXX</v>
          </cell>
          <cell r="GF119" t="str">
            <v>XXXX</v>
          </cell>
        </row>
        <row r="123">
          <cell r="FY123">
            <v>7.220940728111526</v>
          </cell>
          <cell r="FZ123">
            <v>7.421522415003512</v>
          </cell>
          <cell r="GA123">
            <v>7.421522415003512</v>
          </cell>
          <cell r="GB123">
            <v>7.220940728111526</v>
          </cell>
          <cell r="GC123">
            <v>7.421522415003512</v>
          </cell>
          <cell r="GD123">
            <v>7.521813258449505</v>
          </cell>
          <cell r="GE123">
            <v>7.822685788787487</v>
          </cell>
          <cell r="GF123">
            <v>7.822685788787487</v>
          </cell>
          <cell r="GG123">
            <v>7.822685788787487</v>
          </cell>
          <cell r="GH123">
            <v>8.934845899006126</v>
          </cell>
          <cell r="GI123">
            <v>8.734062845095877</v>
          </cell>
          <cell r="GJ123">
            <v>8.633671318140753</v>
          </cell>
          <cell r="GK123">
            <v>8.332496737275378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file://C:\Documents%20and%20Settings\hantunez\AA%20PROCESO%20AUT\EXCEL\DISTROCUYO\FABIAN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L31"/>
  <sheetViews>
    <sheetView tabSelected="1" zoomScale="50" zoomScaleNormal="50" workbookViewId="0" topLeftCell="A1">
      <selection activeCell="B3" sqref="B3"/>
    </sheetView>
  </sheetViews>
  <sheetFormatPr defaultColWidth="11.421875" defaultRowHeight="12.75"/>
  <cols>
    <col min="1" max="1" width="25.7109375" style="4" customWidth="1"/>
    <col min="2" max="2" width="7.7109375" style="4" customWidth="1"/>
    <col min="3" max="3" width="10.8515625" style="4" customWidth="1"/>
    <col min="4" max="4" width="6.7109375" style="4" customWidth="1"/>
    <col min="5" max="5" width="11.28125" style="4" customWidth="1"/>
    <col min="6" max="6" width="6.00390625" style="4" customWidth="1"/>
    <col min="7" max="7" width="16.7109375" style="4" customWidth="1"/>
    <col min="8" max="8" width="19.00390625" style="4" customWidth="1"/>
    <col min="9" max="9" width="6.28125" style="4" customWidth="1"/>
    <col min="10" max="10" width="19.8515625" style="4" customWidth="1"/>
    <col min="11" max="11" width="14.28125" style="4" customWidth="1"/>
    <col min="12" max="12" width="15.7109375" style="4" customWidth="1"/>
    <col min="13" max="16384" width="11.421875" style="4" customWidth="1"/>
  </cols>
  <sheetData>
    <row r="1" spans="2:12" s="17" customFormat="1" ht="26.25">
      <c r="B1" s="18"/>
      <c r="L1" s="59"/>
    </row>
    <row r="2" spans="2:11" s="17" customFormat="1" ht="26.25">
      <c r="B2" s="18" t="s">
        <v>199</v>
      </c>
      <c r="C2" s="26"/>
      <c r="D2" s="20"/>
      <c r="E2" s="20"/>
      <c r="F2" s="20"/>
      <c r="G2" s="20"/>
      <c r="H2" s="20"/>
      <c r="I2" s="20"/>
      <c r="J2" s="20"/>
      <c r="K2" s="20"/>
    </row>
    <row r="3" spans="3:11" ht="12.75">
      <c r="C3"/>
      <c r="D3" s="12"/>
      <c r="E3" s="12"/>
      <c r="F3" s="12"/>
      <c r="G3" s="12"/>
      <c r="H3" s="12"/>
      <c r="I3" s="12"/>
      <c r="J3" s="12"/>
      <c r="K3" s="12"/>
    </row>
    <row r="4" spans="1:12" s="19" customFormat="1" ht="11.25">
      <c r="A4" s="25" t="s">
        <v>2</v>
      </c>
      <c r="B4" s="27"/>
      <c r="D4" s="28"/>
      <c r="E4" s="28"/>
      <c r="F4" s="28"/>
      <c r="G4" s="28"/>
      <c r="H4" s="28"/>
      <c r="I4" s="28"/>
      <c r="J4" s="28"/>
      <c r="K4" s="28"/>
      <c r="L4" s="28"/>
    </row>
    <row r="5" spans="1:12" s="19" customFormat="1" ht="11.25">
      <c r="A5" s="25" t="s">
        <v>3</v>
      </c>
      <c r="B5" s="27"/>
      <c r="D5" s="28"/>
      <c r="E5" s="28"/>
      <c r="F5" s="28"/>
      <c r="G5" s="28"/>
      <c r="H5" s="28"/>
      <c r="I5" s="28"/>
      <c r="J5" s="28"/>
      <c r="K5" s="28"/>
      <c r="L5" s="28"/>
    </row>
    <row r="6" spans="2:12" s="17" customFormat="1" ht="11.25" customHeight="1">
      <c r="B6" s="29"/>
      <c r="D6" s="30"/>
      <c r="E6" s="30"/>
      <c r="F6" s="30"/>
      <c r="G6" s="30"/>
      <c r="H6" s="30"/>
      <c r="I6" s="30"/>
      <c r="J6" s="30"/>
      <c r="K6" s="30"/>
      <c r="L6" s="30"/>
    </row>
    <row r="7" spans="2:12" s="21" customFormat="1" ht="21">
      <c r="B7" s="56" t="s">
        <v>0</v>
      </c>
      <c r="C7" s="31"/>
      <c r="D7" s="32"/>
      <c r="E7" s="32"/>
      <c r="F7" s="32"/>
      <c r="G7" s="32"/>
      <c r="H7" s="33"/>
      <c r="I7" s="33"/>
      <c r="J7" s="33"/>
      <c r="K7" s="33"/>
      <c r="L7" s="11"/>
    </row>
    <row r="8" spans="10:12" ht="12.75">
      <c r="J8" s="2"/>
      <c r="K8" s="2"/>
      <c r="L8" s="2"/>
    </row>
    <row r="9" spans="2:12" s="21" customFormat="1" ht="21">
      <c r="B9" s="56" t="str">
        <f>DATO!F5</f>
        <v>EDESUR S.A.</v>
      </c>
      <c r="C9" s="31"/>
      <c r="D9" s="32"/>
      <c r="E9" s="32"/>
      <c r="F9" s="32"/>
      <c r="G9" s="32"/>
      <c r="H9" s="32"/>
      <c r="I9" s="32"/>
      <c r="J9" s="33"/>
      <c r="K9" s="33"/>
      <c r="L9" s="11"/>
    </row>
    <row r="10" spans="4:12" ht="12.75">
      <c r="D10" s="35"/>
      <c r="E10" s="35"/>
      <c r="F10" s="35"/>
      <c r="G10" s="35"/>
      <c r="J10" s="2"/>
      <c r="K10" s="2"/>
      <c r="L10" s="2"/>
    </row>
    <row r="11" spans="2:12" s="21" customFormat="1" ht="20.25">
      <c r="B11" s="56" t="s">
        <v>197</v>
      </c>
      <c r="C11" s="34"/>
      <c r="D11" s="34"/>
      <c r="E11" s="34"/>
      <c r="F11" s="34"/>
      <c r="G11" s="34"/>
      <c r="H11" s="32"/>
      <c r="I11" s="32"/>
      <c r="J11" s="33"/>
      <c r="K11" s="33"/>
      <c r="L11" s="11"/>
    </row>
    <row r="12" spans="4:12" s="36" customFormat="1" ht="16.5" thickBot="1">
      <c r="D12" s="1"/>
      <c r="E12" s="1"/>
      <c r="F12" s="1"/>
      <c r="G12" s="1"/>
      <c r="J12" s="37"/>
      <c r="K12" s="37"/>
      <c r="L12" s="37"/>
    </row>
    <row r="13" spans="2:12" s="36" customFormat="1" ht="16.5" thickTop="1">
      <c r="B13" s="58">
        <v>2</v>
      </c>
      <c r="C13" s="62"/>
      <c r="D13" s="38"/>
      <c r="E13" s="38"/>
      <c r="F13" s="38"/>
      <c r="G13" s="38"/>
      <c r="H13" s="38"/>
      <c r="I13" s="38"/>
      <c r="J13" s="38"/>
      <c r="K13" s="39"/>
      <c r="L13" s="37"/>
    </row>
    <row r="14" spans="2:12" s="15" customFormat="1" ht="19.5">
      <c r="B14" s="40" t="s">
        <v>132</v>
      </c>
      <c r="C14" s="41"/>
      <c r="D14" s="42"/>
      <c r="E14" s="14"/>
      <c r="F14" s="14"/>
      <c r="G14" s="14"/>
      <c r="H14" s="14"/>
      <c r="I14" s="14"/>
      <c r="J14" s="23"/>
      <c r="K14" s="43"/>
      <c r="L14" s="7"/>
    </row>
    <row r="15" spans="2:12" s="15" customFormat="1" ht="19.5">
      <c r="B15" s="22"/>
      <c r="C15" s="44"/>
      <c r="D15" s="44"/>
      <c r="E15" s="7"/>
      <c r="F15" s="7"/>
      <c r="G15" s="7"/>
      <c r="H15" s="8"/>
      <c r="I15" s="8"/>
      <c r="J15" s="7"/>
      <c r="K15" s="24"/>
      <c r="L15" s="7"/>
    </row>
    <row r="16" spans="2:12" s="15" customFormat="1" ht="19.5">
      <c r="B16" s="40" t="str">
        <f>IF(B13=2,"Sanciones duplicadas por tasa de falla &gt; 4 Sal. x año/100km.","")</f>
        <v>Sanciones duplicadas por tasa de falla &gt; 4 Sal. x año/100km.</v>
      </c>
      <c r="C16" s="57"/>
      <c r="D16" s="57"/>
      <c r="E16" s="23"/>
      <c r="F16" s="23"/>
      <c r="G16" s="14"/>
      <c r="H16" s="14"/>
      <c r="I16" s="23"/>
      <c r="J16" s="13"/>
      <c r="K16" s="43"/>
      <c r="L16" s="7"/>
    </row>
    <row r="17" spans="2:12" s="15" customFormat="1" ht="19.5">
      <c r="B17" s="22"/>
      <c r="C17" s="44"/>
      <c r="D17" s="44"/>
      <c r="E17" s="7"/>
      <c r="F17" s="7"/>
      <c r="G17" s="8"/>
      <c r="H17" s="8"/>
      <c r="I17" s="7"/>
      <c r="J17"/>
      <c r="K17" s="24"/>
      <c r="L17" s="7"/>
    </row>
    <row r="18" spans="2:12" s="15" customFormat="1" ht="19.5">
      <c r="B18" s="22"/>
      <c r="C18" s="45" t="s">
        <v>4</v>
      </c>
      <c r="D18" s="46" t="s">
        <v>5</v>
      </c>
      <c r="E18" s="7"/>
      <c r="F18" s="7"/>
      <c r="G18" s="7"/>
      <c r="H18" s="8"/>
      <c r="I18" s="8"/>
      <c r="J18" s="9">
        <f>'LI-05 (3)'!AD44</f>
        <v>93017.13646733515</v>
      </c>
      <c r="K18" s="24"/>
      <c r="L18" s="7"/>
    </row>
    <row r="19" spans="2:12" ht="13.5">
      <c r="B19" s="6"/>
      <c r="C19" s="47"/>
      <c r="D19" s="48"/>
      <c r="E19" s="2"/>
      <c r="F19" s="2"/>
      <c r="G19" s="2"/>
      <c r="H19" s="49"/>
      <c r="I19" s="49"/>
      <c r="J19" s="50"/>
      <c r="K19" s="5"/>
      <c r="L19" s="2"/>
    </row>
    <row r="20" spans="2:12" s="15" customFormat="1" ht="19.5">
      <c r="B20" s="22"/>
      <c r="C20" s="45" t="s">
        <v>6</v>
      </c>
      <c r="D20" s="46" t="s">
        <v>7</v>
      </c>
      <c r="E20" s="7"/>
      <c r="F20" s="7"/>
      <c r="G20" s="7"/>
      <c r="H20" s="8"/>
      <c r="I20" s="8"/>
      <c r="J20" s="9"/>
      <c r="K20" s="24"/>
      <c r="L20" s="7"/>
    </row>
    <row r="21" spans="2:12" ht="13.5">
      <c r="B21" s="6"/>
      <c r="C21" s="47"/>
      <c r="D21" s="47"/>
      <c r="E21" s="2"/>
      <c r="F21" s="2"/>
      <c r="G21" s="2"/>
      <c r="H21" s="49"/>
      <c r="I21" s="49"/>
      <c r="J21" s="16"/>
      <c r="K21" s="5"/>
      <c r="L21" s="2"/>
    </row>
    <row r="22" spans="2:12" s="15" customFormat="1" ht="19.5">
      <c r="B22" s="22"/>
      <c r="C22" s="45"/>
      <c r="D22" s="45" t="s">
        <v>8</v>
      </c>
      <c r="E22" s="3" t="s">
        <v>9</v>
      </c>
      <c r="F22" s="3"/>
      <c r="G22" s="3"/>
      <c r="H22" s="8"/>
      <c r="I22" s="8"/>
      <c r="J22" s="9">
        <f>'T-05 (1)'!AC44</f>
        <v>797.6160000000002</v>
      </c>
      <c r="K22" s="24"/>
      <c r="L22" s="7"/>
    </row>
    <row r="23" spans="2:12" ht="13.5">
      <c r="B23" s="6"/>
      <c r="C23" s="47"/>
      <c r="D23" s="47"/>
      <c r="E23" s="2"/>
      <c r="F23" s="2"/>
      <c r="G23" s="2"/>
      <c r="H23" s="49"/>
      <c r="I23" s="49"/>
      <c r="J23" s="16"/>
      <c r="K23" s="5"/>
      <c r="L23" s="2"/>
    </row>
    <row r="24" spans="2:12" s="15" customFormat="1" ht="19.5">
      <c r="B24" s="22"/>
      <c r="C24" s="45"/>
      <c r="D24" s="45" t="s">
        <v>10</v>
      </c>
      <c r="E24" s="3" t="s">
        <v>11</v>
      </c>
      <c r="F24" s="3"/>
      <c r="G24" s="3"/>
      <c r="H24" s="8"/>
      <c r="I24" s="8"/>
      <c r="J24" s="9">
        <f>'SA-05 (1)'!V44</f>
        <v>608.1889199999999</v>
      </c>
      <c r="K24" s="24"/>
      <c r="L24" s="7"/>
    </row>
    <row r="25" spans="2:12" s="15" customFormat="1" ht="19.5">
      <c r="B25" s="22"/>
      <c r="C25" s="44"/>
      <c r="D25" s="44"/>
      <c r="E25" s="3"/>
      <c r="F25" s="3"/>
      <c r="G25" s="3"/>
      <c r="H25" s="8"/>
      <c r="I25" s="8"/>
      <c r="J25" s="9"/>
      <c r="K25" s="24"/>
      <c r="L25" s="7"/>
    </row>
    <row r="26" spans="2:12" s="15" customFormat="1" ht="19.5">
      <c r="B26" s="22"/>
      <c r="C26" s="44"/>
      <c r="D26" s="44"/>
      <c r="E26" s="7"/>
      <c r="F26" s="7"/>
      <c r="G26" s="7"/>
      <c r="H26" s="8"/>
      <c r="I26" s="8"/>
      <c r="J26" s="10"/>
      <c r="K26" s="24"/>
      <c r="L26" s="7"/>
    </row>
    <row r="27" spans="2:12" s="15" customFormat="1" ht="20.25" thickBot="1">
      <c r="B27" s="22"/>
      <c r="C27" s="44"/>
      <c r="D27" s="44"/>
      <c r="E27" s="7"/>
      <c r="F27" s="7"/>
      <c r="G27" s="7"/>
      <c r="H27" s="8"/>
      <c r="I27" s="8"/>
      <c r="J27" s="7"/>
      <c r="K27" s="24"/>
      <c r="L27" s="7"/>
    </row>
    <row r="28" spans="2:12" s="15" customFormat="1" ht="20.25" thickBot="1" thickTop="1">
      <c r="B28" s="22"/>
      <c r="C28" s="45"/>
      <c r="D28" s="45"/>
      <c r="E28"/>
      <c r="F28"/>
      <c r="G28" s="51" t="s">
        <v>12</v>
      </c>
      <c r="H28" s="52">
        <f>ROUND(SUM(J18:J26),2)</f>
        <v>94422.94</v>
      </c>
      <c r="I28"/>
      <c r="K28" s="24"/>
      <c r="L28" s="7"/>
    </row>
    <row r="29" spans="2:12" s="15" customFormat="1" ht="9" customHeight="1" thickTop="1">
      <c r="B29" s="22"/>
      <c r="C29" s="45"/>
      <c r="D29" s="45"/>
      <c r="E29"/>
      <c r="F29"/>
      <c r="G29" s="418"/>
      <c r="H29" s="419"/>
      <c r="I29"/>
      <c r="K29" s="24"/>
      <c r="L29" s="7"/>
    </row>
    <row r="30" spans="2:12" s="15" customFormat="1" ht="18.75">
      <c r="B30" s="22"/>
      <c r="C30" s="420" t="s">
        <v>75</v>
      </c>
      <c r="D30" s="45"/>
      <c r="E30"/>
      <c r="F30"/>
      <c r="G30" s="418"/>
      <c r="H30" s="419"/>
      <c r="I30"/>
      <c r="K30" s="24"/>
      <c r="L30" s="7"/>
    </row>
    <row r="31" spans="2:12" s="36" customFormat="1" ht="9" customHeight="1" thickBot="1">
      <c r="B31" s="53"/>
      <c r="C31" s="54"/>
      <c r="D31" s="54"/>
      <c r="E31" s="54"/>
      <c r="F31" s="54"/>
      <c r="G31" s="54"/>
      <c r="H31" s="54"/>
      <c r="I31" s="54"/>
      <c r="J31" s="54"/>
      <c r="K31" s="55"/>
      <c r="L31" s="37"/>
    </row>
    <row r="32" ht="13.5" thickTop="1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91" r:id="rId2"/>
  <headerFooter alignWithMargins="0">
    <oddFooter>&amp;L&amp;"Times New Roman,Normal"&amp;6&amp;Z&amp;F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AE41"/>
  <sheetViews>
    <sheetView tabSelected="1" zoomScale="55" zoomScaleNormal="55" workbookViewId="0" topLeftCell="A1">
      <selection activeCell="B3" sqref="B3"/>
    </sheetView>
  </sheetViews>
  <sheetFormatPr defaultColWidth="11.421875" defaultRowHeight="12.75"/>
  <cols>
    <col min="1" max="1" width="18.7109375" style="148" customWidth="1"/>
    <col min="2" max="2" width="4.00390625" style="148" customWidth="1"/>
    <col min="3" max="3" width="4.7109375" style="148" customWidth="1"/>
    <col min="4" max="5" width="13.8515625" style="148" customWidth="1"/>
    <col min="6" max="6" width="45.7109375" style="148" customWidth="1"/>
    <col min="7" max="8" width="7.7109375" style="148" customWidth="1"/>
    <col min="9" max="9" width="6.57421875" style="148" customWidth="1"/>
    <col min="10" max="11" width="8.7109375" style="148" customWidth="1"/>
    <col min="12" max="12" width="13.7109375" style="148" hidden="1" customWidth="1"/>
    <col min="13" max="14" width="15.7109375" style="148" customWidth="1"/>
    <col min="15" max="17" width="9.7109375" style="148" customWidth="1"/>
    <col min="18" max="18" width="8.57421875" style="148" customWidth="1"/>
    <col min="19" max="20" width="16.00390625" style="148" hidden="1" customWidth="1"/>
    <col min="21" max="21" width="12.7109375" style="148" hidden="1" customWidth="1"/>
    <col min="22" max="22" width="15.421875" style="148" hidden="1" customWidth="1"/>
    <col min="23" max="28" width="14.28125" style="148" hidden="1" customWidth="1"/>
    <col min="29" max="29" width="9.7109375" style="148" customWidth="1"/>
    <col min="30" max="30" width="19.140625" style="148" customWidth="1"/>
    <col min="31" max="31" width="4.00390625" style="148" customWidth="1"/>
    <col min="32" max="16384" width="11.421875" style="148" customWidth="1"/>
  </cols>
  <sheetData>
    <row r="1" ht="16.5" customHeight="1">
      <c r="AE1" s="149"/>
    </row>
    <row r="2" ht="16.5" customHeight="1"/>
    <row r="3" ht="16.5" customHeight="1"/>
    <row r="4" spans="2:31" s="150" customFormat="1" ht="26.25">
      <c r="B4" s="151" t="str">
        <f>+'TOT-0510'!B2</f>
        <v>ANEXO III a la Resolución AAANR Nº  51 / 2011</v>
      </c>
      <c r="C4" s="152"/>
      <c r="D4" s="152"/>
      <c r="E4" s="152"/>
      <c r="F4" s="152"/>
      <c r="G4" s="152"/>
      <c r="H4" s="151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</row>
    <row r="5" spans="1:2" s="153" customFormat="1" ht="11.25">
      <c r="A5" s="63" t="s">
        <v>2</v>
      </c>
      <c r="B5" s="63"/>
    </row>
    <row r="6" spans="1:2" s="153" customFormat="1" ht="11.25">
      <c r="A6" s="63" t="s">
        <v>3</v>
      </c>
      <c r="B6" s="63"/>
    </row>
    <row r="7" ht="16.5" customHeight="1" thickBot="1"/>
    <row r="8" spans="2:31" ht="16.5" customHeight="1" thickTop="1">
      <c r="B8" s="154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6"/>
    </row>
    <row r="9" spans="2:31" s="157" customFormat="1" ht="20.25">
      <c r="B9" s="158"/>
      <c r="C9" s="64"/>
      <c r="D9" s="64"/>
      <c r="E9" s="64"/>
      <c r="F9" s="159" t="str">
        <f>CONCATENATE("FUNCIÓN TÉCNICA DE TRANSPORTE DE ENERGÍA ELÉCTRICA - ",'TOT-0510'!B9)</f>
        <v>FUNCIÓN TÉCNICA DE TRANSPORTE DE ENERGÍA ELÉCTRICA - EDESUR S.A.</v>
      </c>
      <c r="G9" s="159"/>
      <c r="H9" s="159"/>
      <c r="I9" s="159"/>
      <c r="J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160"/>
    </row>
    <row r="10" spans="2:31" ht="16.5" customHeight="1">
      <c r="B10" s="161"/>
      <c r="C10" s="65"/>
      <c r="D10" s="65"/>
      <c r="E10" s="65"/>
      <c r="F10" s="67"/>
      <c r="G10" s="67"/>
      <c r="H10" s="67"/>
      <c r="I10" s="67"/>
      <c r="J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162"/>
    </row>
    <row r="11" spans="2:31" s="157" customFormat="1" ht="20.25">
      <c r="B11" s="158"/>
      <c r="C11" s="64"/>
      <c r="D11" s="64"/>
      <c r="E11" s="64"/>
      <c r="F11" s="159" t="s">
        <v>13</v>
      </c>
      <c r="G11" s="163"/>
      <c r="H11" s="163"/>
      <c r="I11" s="163"/>
      <c r="J11" s="159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160"/>
    </row>
    <row r="12" spans="2:31" ht="16.5" customHeight="1">
      <c r="B12" s="161"/>
      <c r="C12" s="65"/>
      <c r="D12" s="65"/>
      <c r="E12" s="65"/>
      <c r="F12" s="164"/>
      <c r="G12" s="164"/>
      <c r="H12" s="164"/>
      <c r="I12" s="164"/>
      <c r="J12" s="1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162"/>
    </row>
    <row r="13" spans="2:31" s="166" customFormat="1" ht="19.5">
      <c r="B13" s="167" t="str">
        <f>+'TOT-0510'!B14</f>
        <v>Desde el 01 al 31 de mayo de 2010</v>
      </c>
      <c r="C13" s="168"/>
      <c r="D13" s="168"/>
      <c r="E13" s="168"/>
      <c r="F13" s="66"/>
      <c r="G13" s="66"/>
      <c r="H13" s="66"/>
      <c r="I13" s="66"/>
      <c r="J13" s="169"/>
      <c r="K13" s="170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171"/>
    </row>
    <row r="14" spans="2:31" ht="16.5" customHeight="1" thickBot="1">
      <c r="B14" s="161"/>
      <c r="C14" s="65"/>
      <c r="D14" s="65"/>
      <c r="E14" s="65"/>
      <c r="F14" s="65"/>
      <c r="G14" s="65"/>
      <c r="H14" s="65"/>
      <c r="I14" s="65"/>
      <c r="J14" s="172"/>
      <c r="K14" s="67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162"/>
    </row>
    <row r="15" spans="2:31" ht="16.5" customHeight="1" thickBot="1" thickTop="1">
      <c r="B15" s="161"/>
      <c r="C15" s="65"/>
      <c r="D15" s="65"/>
      <c r="E15" s="65"/>
      <c r="F15" s="374" t="s">
        <v>14</v>
      </c>
      <c r="G15" s="373">
        <v>52.166</v>
      </c>
      <c r="H15" s="375"/>
      <c r="I15" s="68"/>
      <c r="K15" s="67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162"/>
    </row>
    <row r="16" spans="2:31" ht="16.5" customHeight="1" thickBot="1" thickTop="1">
      <c r="B16" s="161"/>
      <c r="C16" s="65"/>
      <c r="D16" s="65"/>
      <c r="E16" s="65"/>
      <c r="F16" s="374" t="s">
        <v>15</v>
      </c>
      <c r="G16" s="373">
        <v>49.847</v>
      </c>
      <c r="H16" s="375"/>
      <c r="I16" s="68"/>
      <c r="K16" s="173"/>
      <c r="L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162"/>
    </row>
    <row r="17" spans="2:31" ht="16.5" customHeight="1" thickBot="1" thickTop="1">
      <c r="B17" s="161"/>
      <c r="C17" s="65"/>
      <c r="D17" s="65"/>
      <c r="E17" s="65"/>
      <c r="F17" s="374" t="s">
        <v>16</v>
      </c>
      <c r="G17" s="373">
        <v>104.331</v>
      </c>
      <c r="H17" s="375"/>
      <c r="I17" s="68"/>
      <c r="K17" s="173"/>
      <c r="L17" s="65"/>
      <c r="M17" s="174" t="s">
        <v>17</v>
      </c>
      <c r="N17" s="175">
        <f>30*'TOT-0510'!B13</f>
        <v>60</v>
      </c>
      <c r="O17" s="69" t="str">
        <f>IF(N17=30," ",IF(N17=60,"Coeficiente duplicado por tasa de falla &gt;4 Sal. x año/100 km.","REVISAR COEFICIENTE"))</f>
        <v>Coeficiente duplicado por tasa de falla &gt;4 Sal. x año/100 km.</v>
      </c>
      <c r="P17" s="17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162"/>
    </row>
    <row r="18" spans="2:31" ht="16.5" customHeight="1" thickBot="1" thickTop="1">
      <c r="B18" s="161"/>
      <c r="C18" s="65"/>
      <c r="D18" s="65"/>
      <c r="E18" s="65"/>
      <c r="F18" s="374" t="s">
        <v>18</v>
      </c>
      <c r="G18" s="373">
        <v>98.535</v>
      </c>
      <c r="H18" s="375"/>
      <c r="I18" s="68"/>
      <c r="K18" s="173"/>
      <c r="L18" s="65"/>
      <c r="M18" s="65"/>
      <c r="N18" s="65"/>
      <c r="O18" s="174"/>
      <c r="P18" s="17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162"/>
    </row>
    <row r="19" spans="2:31" ht="16.5" customHeight="1" thickBot="1" thickTop="1">
      <c r="B19" s="161"/>
      <c r="C19" s="450">
        <v>3</v>
      </c>
      <c r="D19" s="450">
        <v>4</v>
      </c>
      <c r="E19" s="450">
        <v>5</v>
      </c>
      <c r="F19" s="450">
        <v>6</v>
      </c>
      <c r="G19" s="450">
        <v>7</v>
      </c>
      <c r="H19" s="450">
        <v>8</v>
      </c>
      <c r="I19" s="450">
        <v>9</v>
      </c>
      <c r="J19" s="450">
        <v>10</v>
      </c>
      <c r="K19" s="450">
        <v>11</v>
      </c>
      <c r="L19" s="450">
        <v>12</v>
      </c>
      <c r="M19" s="450">
        <v>13</v>
      </c>
      <c r="N19" s="450">
        <v>14</v>
      </c>
      <c r="O19" s="450">
        <v>15</v>
      </c>
      <c r="P19" s="450">
        <v>16</v>
      </c>
      <c r="Q19" s="450">
        <v>17</v>
      </c>
      <c r="R19" s="450">
        <v>18</v>
      </c>
      <c r="S19" s="450">
        <v>19</v>
      </c>
      <c r="T19" s="450">
        <v>20</v>
      </c>
      <c r="U19" s="450">
        <v>21</v>
      </c>
      <c r="V19" s="450">
        <v>22</v>
      </c>
      <c r="W19" s="450">
        <v>23</v>
      </c>
      <c r="X19" s="450">
        <v>24</v>
      </c>
      <c r="Y19" s="450">
        <v>25</v>
      </c>
      <c r="Z19" s="450">
        <v>26</v>
      </c>
      <c r="AA19" s="450">
        <v>27</v>
      </c>
      <c r="AB19" s="450">
        <v>28</v>
      </c>
      <c r="AC19" s="450">
        <v>29</v>
      </c>
      <c r="AD19" s="450">
        <v>30</v>
      </c>
      <c r="AE19" s="162"/>
    </row>
    <row r="20" spans="2:31" ht="34.5" customHeight="1" thickBot="1" thickTop="1">
      <c r="B20" s="161"/>
      <c r="C20" s="426" t="s">
        <v>19</v>
      </c>
      <c r="D20" s="426" t="s">
        <v>78</v>
      </c>
      <c r="E20" s="426" t="s">
        <v>79</v>
      </c>
      <c r="F20" s="70" t="s">
        <v>5</v>
      </c>
      <c r="G20" s="70" t="s">
        <v>131</v>
      </c>
      <c r="H20" s="70" t="s">
        <v>1</v>
      </c>
      <c r="I20" s="71" t="s">
        <v>48</v>
      </c>
      <c r="J20" s="71" t="s">
        <v>20</v>
      </c>
      <c r="K20" s="71" t="s">
        <v>21</v>
      </c>
      <c r="L20" s="72" t="s">
        <v>22</v>
      </c>
      <c r="M20" s="70" t="s">
        <v>23</v>
      </c>
      <c r="N20" s="70" t="s">
        <v>24</v>
      </c>
      <c r="O20" s="71" t="s">
        <v>49</v>
      </c>
      <c r="P20" s="71" t="s">
        <v>25</v>
      </c>
      <c r="Q20" s="71" t="s">
        <v>26</v>
      </c>
      <c r="R20" s="71" t="s">
        <v>50</v>
      </c>
      <c r="S20" s="176" t="s">
        <v>51</v>
      </c>
      <c r="T20" s="177" t="s">
        <v>28</v>
      </c>
      <c r="U20" s="73" t="s">
        <v>52</v>
      </c>
      <c r="V20" s="178"/>
      <c r="W20" s="179"/>
      <c r="X20" s="74" t="s">
        <v>53</v>
      </c>
      <c r="Y20" s="180"/>
      <c r="Z20" s="181"/>
      <c r="AA20" s="182" t="s">
        <v>29</v>
      </c>
      <c r="AB20" s="183" t="s">
        <v>30</v>
      </c>
      <c r="AC20" s="71" t="s">
        <v>31</v>
      </c>
      <c r="AD20" s="71" t="s">
        <v>32</v>
      </c>
      <c r="AE20" s="162"/>
    </row>
    <row r="21" spans="2:31" ht="16.5" customHeight="1" thickTop="1">
      <c r="B21" s="161"/>
      <c r="C21" s="184"/>
      <c r="D21" s="184"/>
      <c r="E21" s="184"/>
      <c r="F21" s="185"/>
      <c r="G21" s="184"/>
      <c r="H21" s="184"/>
      <c r="I21" s="184"/>
      <c r="J21" s="186"/>
      <c r="K21" s="186"/>
      <c r="L21" s="187">
        <v>5</v>
      </c>
      <c r="M21" s="421"/>
      <c r="N21" s="422"/>
      <c r="O21" s="185"/>
      <c r="P21" s="185"/>
      <c r="Q21" s="185"/>
      <c r="R21" s="185"/>
      <c r="S21" s="188"/>
      <c r="T21" s="189"/>
      <c r="U21" s="190"/>
      <c r="V21" s="191"/>
      <c r="W21" s="192"/>
      <c r="X21" s="193"/>
      <c r="Y21" s="194"/>
      <c r="Z21" s="195"/>
      <c r="AA21" s="196"/>
      <c r="AB21" s="197"/>
      <c r="AC21" s="198"/>
      <c r="AD21" s="199"/>
      <c r="AE21" s="162"/>
    </row>
    <row r="22" spans="2:31" ht="16.5" customHeight="1">
      <c r="B22" s="161"/>
      <c r="C22" s="200"/>
      <c r="D22" s="200"/>
      <c r="E22" s="200"/>
      <c r="F22" s="200"/>
      <c r="G22" s="200"/>
      <c r="H22" s="200"/>
      <c r="I22" s="200"/>
      <c r="J22" s="200"/>
      <c r="K22" s="200"/>
      <c r="L22" s="201">
        <v>2005</v>
      </c>
      <c r="M22" s="423"/>
      <c r="N22" s="424"/>
      <c r="O22" s="202"/>
      <c r="P22" s="202"/>
      <c r="Q22" s="200"/>
      <c r="R22" s="200"/>
      <c r="S22" s="203"/>
      <c r="T22" s="204"/>
      <c r="U22" s="205"/>
      <c r="V22" s="206"/>
      <c r="W22" s="207"/>
      <c r="X22" s="208"/>
      <c r="Y22" s="209"/>
      <c r="Z22" s="210"/>
      <c r="AA22" s="211"/>
      <c r="AB22" s="212"/>
      <c r="AC22" s="200"/>
      <c r="AD22" s="213"/>
      <c r="AE22" s="162"/>
    </row>
    <row r="23" spans="2:31" ht="16.5" customHeight="1">
      <c r="B23" s="161"/>
      <c r="C23" s="376">
        <v>1</v>
      </c>
      <c r="D23" s="376">
        <v>202655</v>
      </c>
      <c r="E23" s="376">
        <v>4235</v>
      </c>
      <c r="F23" s="377" t="s">
        <v>133</v>
      </c>
      <c r="G23" s="378">
        <v>352</v>
      </c>
      <c r="H23" s="377" t="s">
        <v>134</v>
      </c>
      <c r="I23" s="378">
        <v>0</v>
      </c>
      <c r="J23" s="378">
        <v>132</v>
      </c>
      <c r="K23" s="378">
        <v>4</v>
      </c>
      <c r="L23" s="201">
        <f aca="true" t="shared" si="0" ref="L23:L37">IF(K23&gt;25,K23,25)*IF(J23=220,(I23*$G$15/100)+(100-I23)/100*$G$17,(I23*$G$16/100)+(100-I23)/100*$G$18)/100</f>
        <v>24.63375</v>
      </c>
      <c r="M23" s="454">
        <v>40299</v>
      </c>
      <c r="N23" s="454">
        <v>40329.99998842592</v>
      </c>
      <c r="O23" s="75">
        <f aca="true" t="shared" si="1" ref="O23:O37">IF(F23="","",(N23-M23)*24)</f>
        <v>743.9997222221573</v>
      </c>
      <c r="P23" s="76">
        <f aca="true" t="shared" si="2" ref="P23:P37">IF(F23="","",ROUND((N23-M23)*24*60,0))</f>
        <v>44640</v>
      </c>
      <c r="Q23" s="77" t="s">
        <v>135</v>
      </c>
      <c r="R23" s="78" t="str">
        <f aca="true" t="shared" si="3" ref="R23:R37">IF(F23="","","--")</f>
        <v>--</v>
      </c>
      <c r="S23" s="79">
        <f aca="true" t="shared" si="4" ref="S23:S37">IF(Q23="P",ROUND(P23/60,2)*L23*$N$17*0.01,"--")</f>
        <v>10996.506</v>
      </c>
      <c r="T23" s="80" t="str">
        <f aca="true" t="shared" si="5" ref="T23:T37">IF(Q23="RP",$N$17*L23*R23/100*ROUND(P23/60,2)*0.01,"--")</f>
        <v>--</v>
      </c>
      <c r="U23" s="81" t="str">
        <f aca="true" t="shared" si="6" ref="U23:U37">IF(Q23="F",L23*$N$17,"--")</f>
        <v>--</v>
      </c>
      <c r="V23" s="82" t="str">
        <f aca="true" t="shared" si="7" ref="V23:V37">IF(AND(P23&gt;10,Q23="F"),IF(P23&gt;180,3,ROUND(P23/60,2))*L23*$N$17,"--")</f>
        <v>--</v>
      </c>
      <c r="W23" s="83" t="str">
        <f aca="true" t="shared" si="8" ref="W23:W37">IF(AND(P23&gt;180,Q23="F"),(ROUND(P23/60,2)-3)*L23*$N$17*0.1,"--")</f>
        <v>--</v>
      </c>
      <c r="X23" s="84" t="str">
        <f aca="true" t="shared" si="9" ref="X23:X37">IF(Q23="R",L23*$N$17*R23/100,"--")</f>
        <v>--</v>
      </c>
      <c r="Y23" s="85" t="str">
        <f aca="true" t="shared" si="10" ref="Y23:Y37">IF(AND(P23&gt;10,Q23="R"),IF(P23&gt;180,3,ROUND(P23/60,2))*L23*$N$17*R23/100,"--")</f>
        <v>--</v>
      </c>
      <c r="Z23" s="86" t="str">
        <f aca="true" t="shared" si="11" ref="Z23:Z37">IF(AND(P23&gt;180,Q23="R"),(ROUND(P23/60,2)-3)*L23*$N$17*0.1*R23/100,"--")</f>
        <v>--</v>
      </c>
      <c r="AA23" s="87" t="str">
        <f aca="true" t="shared" si="12" ref="AA23:AA37">IF(Q23="RF",ROUND(P23/60,2)*L23*$N$17*0.1,"--")</f>
        <v>--</v>
      </c>
      <c r="AB23" s="88" t="str">
        <f aca="true" t="shared" si="13" ref="AB23:AB37">IF(Q23="RR",ROUND(P23/60,2)*L23*$N$17*0.1*R23/100,"--")</f>
        <v>--</v>
      </c>
      <c r="AC23" s="370" t="s">
        <v>136</v>
      </c>
      <c r="AD23" s="214">
        <f aca="true" t="shared" si="14" ref="AD23:AD37">IF(F23="","",SUM(S23:AB23)*IF(AC23="SI",1,2))</f>
        <v>10996.506</v>
      </c>
      <c r="AE23" s="162"/>
    </row>
    <row r="24" spans="2:31" ht="16.5" customHeight="1">
      <c r="B24" s="161"/>
      <c r="C24" s="376">
        <v>2</v>
      </c>
      <c r="D24" s="376">
        <v>220274</v>
      </c>
      <c r="E24" s="376">
        <v>4756</v>
      </c>
      <c r="F24" s="377" t="s">
        <v>167</v>
      </c>
      <c r="G24" s="378">
        <v>547</v>
      </c>
      <c r="H24" s="377" t="s">
        <v>134</v>
      </c>
      <c r="I24" s="378">
        <v>0</v>
      </c>
      <c r="J24" s="378">
        <v>132</v>
      </c>
      <c r="K24" s="378">
        <v>0.6</v>
      </c>
      <c r="L24" s="201">
        <f t="shared" si="0"/>
        <v>24.63375</v>
      </c>
      <c r="M24" s="454">
        <v>40299</v>
      </c>
      <c r="N24" s="454">
        <v>40301.74722222222</v>
      </c>
      <c r="O24" s="75">
        <f t="shared" si="1"/>
        <v>65.93333333329065</v>
      </c>
      <c r="P24" s="76">
        <f t="shared" si="2"/>
        <v>3956</v>
      </c>
      <c r="Q24" s="77" t="s">
        <v>198</v>
      </c>
      <c r="R24" s="78" t="str">
        <f t="shared" si="3"/>
        <v>--</v>
      </c>
      <c r="S24" s="79" t="str">
        <f t="shared" si="4"/>
        <v>--</v>
      </c>
      <c r="T24" s="80" t="str">
        <f t="shared" si="5"/>
        <v>--</v>
      </c>
      <c r="U24" s="81" t="str">
        <f t="shared" si="6"/>
        <v>--</v>
      </c>
      <c r="V24" s="82" t="str">
        <f t="shared" si="7"/>
        <v>--</v>
      </c>
      <c r="W24" s="83" t="str">
        <f t="shared" si="8"/>
        <v>--</v>
      </c>
      <c r="X24" s="84" t="str">
        <f t="shared" si="9"/>
        <v>--</v>
      </c>
      <c r="Y24" s="85" t="str">
        <f t="shared" si="10"/>
        <v>--</v>
      </c>
      <c r="Z24" s="86" t="str">
        <f t="shared" si="11"/>
        <v>--</v>
      </c>
      <c r="AA24" s="87">
        <f t="shared" si="12"/>
        <v>9744.618825000001</v>
      </c>
      <c r="AB24" s="88" t="str">
        <f t="shared" si="13"/>
        <v>--</v>
      </c>
      <c r="AC24" s="370" t="s">
        <v>136</v>
      </c>
      <c r="AD24" s="214">
        <f t="shared" si="14"/>
        <v>9744.618825000001</v>
      </c>
      <c r="AE24" s="162"/>
    </row>
    <row r="25" spans="2:31" ht="16.5" customHeight="1">
      <c r="B25" s="161"/>
      <c r="C25" s="376">
        <v>3</v>
      </c>
      <c r="D25" s="376">
        <v>220788</v>
      </c>
      <c r="E25" s="376">
        <v>1955</v>
      </c>
      <c r="F25" s="377" t="s">
        <v>168</v>
      </c>
      <c r="G25" s="378">
        <v>232</v>
      </c>
      <c r="H25" s="377" t="s">
        <v>134</v>
      </c>
      <c r="I25" s="378">
        <v>0</v>
      </c>
      <c r="J25" s="378">
        <v>132</v>
      </c>
      <c r="K25" s="378">
        <v>0.5</v>
      </c>
      <c r="L25" s="201">
        <f t="shared" si="0"/>
        <v>24.63375</v>
      </c>
      <c r="M25" s="454">
        <v>40299</v>
      </c>
      <c r="N25" s="454">
        <v>40300.71527777778</v>
      </c>
      <c r="O25" s="75">
        <f t="shared" si="1"/>
        <v>41.16666666674428</v>
      </c>
      <c r="P25" s="76">
        <f t="shared" si="2"/>
        <v>2470</v>
      </c>
      <c r="Q25" s="77" t="s">
        <v>198</v>
      </c>
      <c r="R25" s="78" t="str">
        <f t="shared" si="3"/>
        <v>--</v>
      </c>
      <c r="S25" s="79" t="str">
        <f t="shared" si="4"/>
        <v>--</v>
      </c>
      <c r="T25" s="80" t="str">
        <f t="shared" si="5"/>
        <v>--</v>
      </c>
      <c r="U25" s="81" t="str">
        <f t="shared" si="6"/>
        <v>--</v>
      </c>
      <c r="V25" s="82" t="str">
        <f t="shared" si="7"/>
        <v>--</v>
      </c>
      <c r="W25" s="83" t="str">
        <f t="shared" si="8"/>
        <v>--</v>
      </c>
      <c r="X25" s="84" t="str">
        <f t="shared" si="9"/>
        <v>--</v>
      </c>
      <c r="Y25" s="85" t="str">
        <f t="shared" si="10"/>
        <v>--</v>
      </c>
      <c r="Z25" s="86" t="str">
        <f t="shared" si="11"/>
        <v>--</v>
      </c>
      <c r="AA25" s="87">
        <f t="shared" si="12"/>
        <v>6085.0289250000005</v>
      </c>
      <c r="AB25" s="88" t="str">
        <f t="shared" si="13"/>
        <v>--</v>
      </c>
      <c r="AC25" s="370" t="s">
        <v>136</v>
      </c>
      <c r="AD25" s="214">
        <f t="shared" si="14"/>
        <v>6085.0289250000005</v>
      </c>
      <c r="AE25" s="162"/>
    </row>
    <row r="26" spans="2:31" ht="16.5" customHeight="1">
      <c r="B26" s="161"/>
      <c r="C26" s="376">
        <v>4</v>
      </c>
      <c r="D26" s="376">
        <v>221370</v>
      </c>
      <c r="E26" s="376">
        <v>3643</v>
      </c>
      <c r="F26" s="377" t="s">
        <v>139</v>
      </c>
      <c r="G26" s="378">
        <v>204</v>
      </c>
      <c r="H26" s="377" t="s">
        <v>138</v>
      </c>
      <c r="I26" s="378">
        <v>85.89</v>
      </c>
      <c r="J26" s="378">
        <v>132</v>
      </c>
      <c r="K26" s="378">
        <v>15.6</v>
      </c>
      <c r="L26" s="201">
        <f t="shared" si="0"/>
        <v>14.1792192</v>
      </c>
      <c r="M26" s="454">
        <v>40300.072916666664</v>
      </c>
      <c r="N26" s="454">
        <v>40300.788194444445</v>
      </c>
      <c r="O26" s="75">
        <f t="shared" si="1"/>
        <v>17.166666666744277</v>
      </c>
      <c r="P26" s="76">
        <f t="shared" si="2"/>
        <v>1030</v>
      </c>
      <c r="Q26" s="77" t="s">
        <v>135</v>
      </c>
      <c r="R26" s="78" t="str">
        <f t="shared" si="3"/>
        <v>--</v>
      </c>
      <c r="S26" s="79">
        <f t="shared" si="4"/>
        <v>146.07431619840003</v>
      </c>
      <c r="T26" s="80" t="str">
        <f t="shared" si="5"/>
        <v>--</v>
      </c>
      <c r="U26" s="81" t="str">
        <f t="shared" si="6"/>
        <v>--</v>
      </c>
      <c r="V26" s="82" t="str">
        <f t="shared" si="7"/>
        <v>--</v>
      </c>
      <c r="W26" s="83" t="str">
        <f t="shared" si="8"/>
        <v>--</v>
      </c>
      <c r="X26" s="84" t="str">
        <f t="shared" si="9"/>
        <v>--</v>
      </c>
      <c r="Y26" s="85" t="str">
        <f t="shared" si="10"/>
        <v>--</v>
      </c>
      <c r="Z26" s="86" t="str">
        <f t="shared" si="11"/>
        <v>--</v>
      </c>
      <c r="AA26" s="87" t="str">
        <f t="shared" si="12"/>
        <v>--</v>
      </c>
      <c r="AB26" s="88" t="str">
        <f t="shared" si="13"/>
        <v>--</v>
      </c>
      <c r="AC26" s="370" t="s">
        <v>136</v>
      </c>
      <c r="AD26" s="214">
        <f t="shared" si="14"/>
        <v>146.07431619840003</v>
      </c>
      <c r="AE26" s="162"/>
    </row>
    <row r="27" spans="2:31" ht="16.5" customHeight="1">
      <c r="B27" s="161"/>
      <c r="C27" s="376">
        <v>5</v>
      </c>
      <c r="D27" s="376">
        <v>221371</v>
      </c>
      <c r="E27" s="376">
        <v>1964</v>
      </c>
      <c r="F27" s="377" t="s">
        <v>169</v>
      </c>
      <c r="G27" s="378">
        <v>512</v>
      </c>
      <c r="H27" s="377" t="s">
        <v>142</v>
      </c>
      <c r="I27" s="378">
        <v>100</v>
      </c>
      <c r="J27" s="378">
        <v>132</v>
      </c>
      <c r="K27" s="378">
        <v>16.8</v>
      </c>
      <c r="L27" s="201">
        <f t="shared" si="0"/>
        <v>12.46175</v>
      </c>
      <c r="M27" s="454">
        <v>40300.40138888889</v>
      </c>
      <c r="N27" s="454">
        <v>40300.43472222222</v>
      </c>
      <c r="O27" s="75">
        <f t="shared" si="1"/>
        <v>0.7999999999883585</v>
      </c>
      <c r="P27" s="76">
        <f t="shared" si="2"/>
        <v>48</v>
      </c>
      <c r="Q27" s="77" t="s">
        <v>137</v>
      </c>
      <c r="R27" s="78" t="str">
        <f t="shared" si="3"/>
        <v>--</v>
      </c>
      <c r="S27" s="79" t="str">
        <f t="shared" si="4"/>
        <v>--</v>
      </c>
      <c r="T27" s="80" t="str">
        <f t="shared" si="5"/>
        <v>--</v>
      </c>
      <c r="U27" s="81">
        <f t="shared" si="6"/>
        <v>747.705</v>
      </c>
      <c r="V27" s="82">
        <f t="shared" si="7"/>
        <v>598.164</v>
      </c>
      <c r="W27" s="83" t="str">
        <f t="shared" si="8"/>
        <v>--</v>
      </c>
      <c r="X27" s="84" t="str">
        <f t="shared" si="9"/>
        <v>--</v>
      </c>
      <c r="Y27" s="85" t="str">
        <f t="shared" si="10"/>
        <v>--</v>
      </c>
      <c r="Z27" s="86" t="str">
        <f t="shared" si="11"/>
        <v>--</v>
      </c>
      <c r="AA27" s="87" t="str">
        <f t="shared" si="12"/>
        <v>--</v>
      </c>
      <c r="AB27" s="88" t="str">
        <f t="shared" si="13"/>
        <v>--</v>
      </c>
      <c r="AC27" s="370" t="s">
        <v>136</v>
      </c>
      <c r="AD27" s="214">
        <f t="shared" si="14"/>
        <v>1345.8690000000001</v>
      </c>
      <c r="AE27" s="162"/>
    </row>
    <row r="28" spans="2:31" ht="16.5" customHeight="1">
      <c r="B28" s="161"/>
      <c r="C28" s="376">
        <v>6</v>
      </c>
      <c r="D28" s="376">
        <v>221372</v>
      </c>
      <c r="E28" s="376">
        <v>1152</v>
      </c>
      <c r="F28" s="377" t="s">
        <v>141</v>
      </c>
      <c r="G28" s="378">
        <v>58</v>
      </c>
      <c r="H28" s="377" t="s">
        <v>142</v>
      </c>
      <c r="I28" s="378">
        <v>100</v>
      </c>
      <c r="J28" s="378">
        <v>220</v>
      </c>
      <c r="K28" s="378">
        <v>16.3</v>
      </c>
      <c r="L28" s="201">
        <f t="shared" si="0"/>
        <v>13.0415</v>
      </c>
      <c r="M28" s="454">
        <v>40300.51736111111</v>
      </c>
      <c r="N28" s="454">
        <v>40300.532638888886</v>
      </c>
      <c r="O28" s="75">
        <f t="shared" si="1"/>
        <v>0.3666666666395031</v>
      </c>
      <c r="P28" s="76">
        <f t="shared" si="2"/>
        <v>22</v>
      </c>
      <c r="Q28" s="77" t="s">
        <v>137</v>
      </c>
      <c r="R28" s="78" t="str">
        <f t="shared" si="3"/>
        <v>--</v>
      </c>
      <c r="S28" s="79" t="str">
        <f t="shared" si="4"/>
        <v>--</v>
      </c>
      <c r="T28" s="80" t="str">
        <f t="shared" si="5"/>
        <v>--</v>
      </c>
      <c r="U28" s="81">
        <f t="shared" si="6"/>
        <v>782.49</v>
      </c>
      <c r="V28" s="82">
        <f t="shared" si="7"/>
        <v>289.5213</v>
      </c>
      <c r="W28" s="83" t="str">
        <f t="shared" si="8"/>
        <v>--</v>
      </c>
      <c r="X28" s="84" t="str">
        <f t="shared" si="9"/>
        <v>--</v>
      </c>
      <c r="Y28" s="85" t="str">
        <f t="shared" si="10"/>
        <v>--</v>
      </c>
      <c r="Z28" s="86" t="str">
        <f t="shared" si="11"/>
        <v>--</v>
      </c>
      <c r="AA28" s="87" t="str">
        <f t="shared" si="12"/>
        <v>--</v>
      </c>
      <c r="AB28" s="88" t="str">
        <f t="shared" si="13"/>
        <v>--</v>
      </c>
      <c r="AC28" s="370" t="s">
        <v>136</v>
      </c>
      <c r="AD28" s="214">
        <f t="shared" si="14"/>
        <v>1072.0113000000001</v>
      </c>
      <c r="AE28" s="162"/>
    </row>
    <row r="29" spans="2:31" ht="16.5" customHeight="1">
      <c r="B29" s="161"/>
      <c r="C29" s="376">
        <v>7</v>
      </c>
      <c r="D29" s="376">
        <v>221559</v>
      </c>
      <c r="E29" s="376">
        <v>4756</v>
      </c>
      <c r="F29" s="377" t="s">
        <v>170</v>
      </c>
      <c r="G29" s="378">
        <v>547</v>
      </c>
      <c r="H29" s="377" t="s">
        <v>134</v>
      </c>
      <c r="I29" s="378">
        <v>0</v>
      </c>
      <c r="J29" s="378">
        <v>132</v>
      </c>
      <c r="K29" s="378">
        <v>0.6</v>
      </c>
      <c r="L29" s="201">
        <f t="shared" si="0"/>
        <v>24.63375</v>
      </c>
      <c r="M29" s="454">
        <v>40301.38680555556</v>
      </c>
      <c r="N29" s="454">
        <v>40301.74722222222</v>
      </c>
      <c r="O29" s="75">
        <f t="shared" si="1"/>
        <v>8.649999999906868</v>
      </c>
      <c r="P29" s="76">
        <f t="shared" si="2"/>
        <v>519</v>
      </c>
      <c r="Q29" s="77" t="s">
        <v>135</v>
      </c>
      <c r="R29" s="78" t="str">
        <f t="shared" si="3"/>
        <v>--</v>
      </c>
      <c r="S29" s="79">
        <f t="shared" si="4"/>
        <v>127.8491625</v>
      </c>
      <c r="T29" s="80" t="str">
        <f t="shared" si="5"/>
        <v>--</v>
      </c>
      <c r="U29" s="81" t="str">
        <f t="shared" si="6"/>
        <v>--</v>
      </c>
      <c r="V29" s="82" t="str">
        <f t="shared" si="7"/>
        <v>--</v>
      </c>
      <c r="W29" s="83" t="str">
        <f t="shared" si="8"/>
        <v>--</v>
      </c>
      <c r="X29" s="84" t="str">
        <f t="shared" si="9"/>
        <v>--</v>
      </c>
      <c r="Y29" s="85" t="str">
        <f t="shared" si="10"/>
        <v>--</v>
      </c>
      <c r="Z29" s="86" t="str">
        <f t="shared" si="11"/>
        <v>--</v>
      </c>
      <c r="AA29" s="87" t="str">
        <f t="shared" si="12"/>
        <v>--</v>
      </c>
      <c r="AB29" s="88" t="str">
        <f t="shared" si="13"/>
        <v>--</v>
      </c>
      <c r="AC29" s="370" t="s">
        <v>136</v>
      </c>
      <c r="AD29" s="214">
        <f t="shared" si="14"/>
        <v>127.8491625</v>
      </c>
      <c r="AE29" s="162"/>
    </row>
    <row r="30" spans="2:31" ht="16.5" customHeight="1">
      <c r="B30" s="161"/>
      <c r="C30" s="376">
        <v>8</v>
      </c>
      <c r="D30" s="376">
        <v>221560</v>
      </c>
      <c r="E30" s="376">
        <v>3670</v>
      </c>
      <c r="F30" s="377" t="s">
        <v>143</v>
      </c>
      <c r="G30" s="378">
        <v>201</v>
      </c>
      <c r="H30" s="377" t="s">
        <v>138</v>
      </c>
      <c r="I30" s="378">
        <v>77.96</v>
      </c>
      <c r="J30" s="378">
        <v>132</v>
      </c>
      <c r="K30" s="378">
        <v>18.469</v>
      </c>
      <c r="L30" s="201">
        <f t="shared" si="0"/>
        <v>15.144458800000002</v>
      </c>
      <c r="M30" s="454">
        <v>40302.294444444444</v>
      </c>
      <c r="N30" s="454">
        <v>40302.649305555555</v>
      </c>
      <c r="O30" s="75">
        <f t="shared" si="1"/>
        <v>8.516666666662786</v>
      </c>
      <c r="P30" s="76">
        <f t="shared" si="2"/>
        <v>511</v>
      </c>
      <c r="Q30" s="77" t="s">
        <v>135</v>
      </c>
      <c r="R30" s="78" t="str">
        <f t="shared" si="3"/>
        <v>--</v>
      </c>
      <c r="S30" s="79">
        <f t="shared" si="4"/>
        <v>77.41847338560002</v>
      </c>
      <c r="T30" s="80" t="str">
        <f t="shared" si="5"/>
        <v>--</v>
      </c>
      <c r="U30" s="81" t="str">
        <f t="shared" si="6"/>
        <v>--</v>
      </c>
      <c r="V30" s="82" t="str">
        <f t="shared" si="7"/>
        <v>--</v>
      </c>
      <c r="W30" s="83" t="str">
        <f t="shared" si="8"/>
        <v>--</v>
      </c>
      <c r="X30" s="84" t="str">
        <f t="shared" si="9"/>
        <v>--</v>
      </c>
      <c r="Y30" s="85" t="str">
        <f t="shared" si="10"/>
        <v>--</v>
      </c>
      <c r="Z30" s="86" t="str">
        <f t="shared" si="11"/>
        <v>--</v>
      </c>
      <c r="AA30" s="87" t="str">
        <f t="shared" si="12"/>
        <v>--</v>
      </c>
      <c r="AB30" s="88" t="str">
        <f t="shared" si="13"/>
        <v>--</v>
      </c>
      <c r="AC30" s="370" t="s">
        <v>136</v>
      </c>
      <c r="AD30" s="214">
        <f t="shared" si="14"/>
        <v>77.41847338560002</v>
      </c>
      <c r="AE30" s="162"/>
    </row>
    <row r="31" spans="2:31" ht="16.5" customHeight="1">
      <c r="B31" s="161"/>
      <c r="C31" s="376">
        <v>9</v>
      </c>
      <c r="D31" s="376">
        <v>221561</v>
      </c>
      <c r="E31" s="376">
        <v>1947</v>
      </c>
      <c r="F31" s="377" t="s">
        <v>171</v>
      </c>
      <c r="G31" s="378">
        <v>103</v>
      </c>
      <c r="H31" s="377" t="s">
        <v>134</v>
      </c>
      <c r="I31" s="378">
        <v>0</v>
      </c>
      <c r="J31" s="378">
        <v>132</v>
      </c>
      <c r="K31" s="378">
        <v>4</v>
      </c>
      <c r="L31" s="201">
        <f t="shared" si="0"/>
        <v>24.63375</v>
      </c>
      <c r="M31" s="454">
        <v>40302.308333333334</v>
      </c>
      <c r="N31" s="454">
        <v>40302.62708333333</v>
      </c>
      <c r="O31" s="75">
        <f t="shared" si="1"/>
        <v>7.649999999965075</v>
      </c>
      <c r="P31" s="76">
        <f t="shared" si="2"/>
        <v>459</v>
      </c>
      <c r="Q31" s="77" t="s">
        <v>135</v>
      </c>
      <c r="R31" s="78" t="str">
        <f t="shared" si="3"/>
        <v>--</v>
      </c>
      <c r="S31" s="79">
        <f t="shared" si="4"/>
        <v>113.0689125</v>
      </c>
      <c r="T31" s="80" t="str">
        <f t="shared" si="5"/>
        <v>--</v>
      </c>
      <c r="U31" s="81" t="str">
        <f t="shared" si="6"/>
        <v>--</v>
      </c>
      <c r="V31" s="82" t="str">
        <f t="shared" si="7"/>
        <v>--</v>
      </c>
      <c r="W31" s="83" t="str">
        <f t="shared" si="8"/>
        <v>--</v>
      </c>
      <c r="X31" s="84" t="str">
        <f t="shared" si="9"/>
        <v>--</v>
      </c>
      <c r="Y31" s="85" t="str">
        <f t="shared" si="10"/>
        <v>--</v>
      </c>
      <c r="Z31" s="86" t="str">
        <f t="shared" si="11"/>
        <v>--</v>
      </c>
      <c r="AA31" s="87" t="str">
        <f t="shared" si="12"/>
        <v>--</v>
      </c>
      <c r="AB31" s="88" t="str">
        <f t="shared" si="13"/>
        <v>--</v>
      </c>
      <c r="AC31" s="370" t="s">
        <v>136</v>
      </c>
      <c r="AD31" s="214">
        <f t="shared" si="14"/>
        <v>113.0689125</v>
      </c>
      <c r="AE31" s="162"/>
    </row>
    <row r="32" spans="2:31" ht="16.5" customHeight="1">
      <c r="B32" s="161"/>
      <c r="C32" s="376">
        <v>10</v>
      </c>
      <c r="D32" s="376">
        <v>221562</v>
      </c>
      <c r="E32" s="376">
        <v>1242</v>
      </c>
      <c r="F32" s="377" t="s">
        <v>144</v>
      </c>
      <c r="G32" s="378">
        <v>230</v>
      </c>
      <c r="H32" s="377" t="s">
        <v>134</v>
      </c>
      <c r="I32" s="378">
        <v>0</v>
      </c>
      <c r="J32" s="378">
        <v>132</v>
      </c>
      <c r="K32" s="378">
        <v>42</v>
      </c>
      <c r="L32" s="201">
        <f t="shared" si="0"/>
        <v>41.3847</v>
      </c>
      <c r="M32" s="454">
        <v>40302.39513888889</v>
      </c>
      <c r="N32" s="454">
        <v>40312.68402777778</v>
      </c>
      <c r="O32" s="75">
        <f t="shared" si="1"/>
        <v>246.93333333340706</v>
      </c>
      <c r="P32" s="76">
        <f t="shared" si="2"/>
        <v>14816</v>
      </c>
      <c r="Q32" s="77" t="s">
        <v>135</v>
      </c>
      <c r="R32" s="78" t="str">
        <f t="shared" si="3"/>
        <v>--</v>
      </c>
      <c r="S32" s="79">
        <f t="shared" si="4"/>
        <v>6131.474382600001</v>
      </c>
      <c r="T32" s="80" t="str">
        <f t="shared" si="5"/>
        <v>--</v>
      </c>
      <c r="U32" s="81" t="str">
        <f t="shared" si="6"/>
        <v>--</v>
      </c>
      <c r="V32" s="82" t="str">
        <f t="shared" si="7"/>
        <v>--</v>
      </c>
      <c r="W32" s="83" t="str">
        <f t="shared" si="8"/>
        <v>--</v>
      </c>
      <c r="X32" s="84" t="str">
        <f t="shared" si="9"/>
        <v>--</v>
      </c>
      <c r="Y32" s="85" t="str">
        <f t="shared" si="10"/>
        <v>--</v>
      </c>
      <c r="Z32" s="86" t="str">
        <f t="shared" si="11"/>
        <v>--</v>
      </c>
      <c r="AA32" s="87" t="str">
        <f t="shared" si="12"/>
        <v>--</v>
      </c>
      <c r="AB32" s="88" t="str">
        <f t="shared" si="13"/>
        <v>--</v>
      </c>
      <c r="AC32" s="370" t="s">
        <v>136</v>
      </c>
      <c r="AD32" s="214">
        <f t="shared" si="14"/>
        <v>6131.474382600001</v>
      </c>
      <c r="AE32" s="162"/>
    </row>
    <row r="33" spans="2:31" ht="16.5" customHeight="1">
      <c r="B33" s="161"/>
      <c r="C33" s="376">
        <v>11</v>
      </c>
      <c r="D33" s="376">
        <v>221563</v>
      </c>
      <c r="E33" s="376">
        <v>3643</v>
      </c>
      <c r="F33" s="377" t="s">
        <v>139</v>
      </c>
      <c r="G33" s="378">
        <v>204</v>
      </c>
      <c r="H33" s="377" t="s">
        <v>138</v>
      </c>
      <c r="I33" s="378">
        <v>85.89</v>
      </c>
      <c r="J33" s="378">
        <v>132</v>
      </c>
      <c r="K33" s="378">
        <v>15.6</v>
      </c>
      <c r="L33" s="201">
        <f t="shared" si="0"/>
        <v>14.1792192</v>
      </c>
      <c r="M33" s="454">
        <v>40304.509722222225</v>
      </c>
      <c r="N33" s="454">
        <v>40304.660416666666</v>
      </c>
      <c r="O33" s="75">
        <f t="shared" si="1"/>
        <v>3.6166666665812954</v>
      </c>
      <c r="P33" s="76">
        <f t="shared" si="2"/>
        <v>217</v>
      </c>
      <c r="Q33" s="77" t="s">
        <v>135</v>
      </c>
      <c r="R33" s="78" t="str">
        <f t="shared" si="3"/>
        <v>--</v>
      </c>
      <c r="S33" s="79">
        <f t="shared" si="4"/>
        <v>30.797264102400003</v>
      </c>
      <c r="T33" s="80" t="str">
        <f t="shared" si="5"/>
        <v>--</v>
      </c>
      <c r="U33" s="81" t="str">
        <f t="shared" si="6"/>
        <v>--</v>
      </c>
      <c r="V33" s="82" t="str">
        <f t="shared" si="7"/>
        <v>--</v>
      </c>
      <c r="W33" s="83" t="str">
        <f t="shared" si="8"/>
        <v>--</v>
      </c>
      <c r="X33" s="84" t="str">
        <f t="shared" si="9"/>
        <v>--</v>
      </c>
      <c r="Y33" s="85" t="str">
        <f t="shared" si="10"/>
        <v>--</v>
      </c>
      <c r="Z33" s="86" t="str">
        <f t="shared" si="11"/>
        <v>--</v>
      </c>
      <c r="AA33" s="87" t="str">
        <f t="shared" si="12"/>
        <v>--</v>
      </c>
      <c r="AB33" s="88" t="str">
        <f t="shared" si="13"/>
        <v>--</v>
      </c>
      <c r="AC33" s="370" t="s">
        <v>136</v>
      </c>
      <c r="AD33" s="214">
        <f t="shared" si="14"/>
        <v>30.797264102400003</v>
      </c>
      <c r="AE33" s="162"/>
    </row>
    <row r="34" spans="2:31" ht="16.5" customHeight="1">
      <c r="B34" s="161"/>
      <c r="C34" s="376">
        <v>12</v>
      </c>
      <c r="D34" s="376">
        <v>221564</v>
      </c>
      <c r="E34" s="376">
        <v>1223</v>
      </c>
      <c r="F34" s="377" t="s">
        <v>145</v>
      </c>
      <c r="G34" s="378">
        <v>321</v>
      </c>
      <c r="H34" s="377" t="s">
        <v>134</v>
      </c>
      <c r="I34" s="378">
        <v>0</v>
      </c>
      <c r="J34" s="378">
        <v>132</v>
      </c>
      <c r="K34" s="378">
        <v>5.3</v>
      </c>
      <c r="L34" s="201">
        <f t="shared" si="0"/>
        <v>24.63375</v>
      </c>
      <c r="M34" s="454">
        <v>40305.311111111114</v>
      </c>
      <c r="N34" s="454">
        <v>40305.65972222222</v>
      </c>
      <c r="O34" s="75">
        <f t="shared" si="1"/>
        <v>8.366666666523088</v>
      </c>
      <c r="P34" s="76">
        <f t="shared" si="2"/>
        <v>502</v>
      </c>
      <c r="Q34" s="77" t="s">
        <v>135</v>
      </c>
      <c r="R34" s="78" t="str">
        <f t="shared" si="3"/>
        <v>--</v>
      </c>
      <c r="S34" s="79">
        <f t="shared" si="4"/>
        <v>123.71069249999996</v>
      </c>
      <c r="T34" s="80" t="str">
        <f t="shared" si="5"/>
        <v>--</v>
      </c>
      <c r="U34" s="81" t="str">
        <f t="shared" si="6"/>
        <v>--</v>
      </c>
      <c r="V34" s="82" t="str">
        <f t="shared" si="7"/>
        <v>--</v>
      </c>
      <c r="W34" s="83" t="str">
        <f t="shared" si="8"/>
        <v>--</v>
      </c>
      <c r="X34" s="84" t="str">
        <f t="shared" si="9"/>
        <v>--</v>
      </c>
      <c r="Y34" s="85" t="str">
        <f t="shared" si="10"/>
        <v>--</v>
      </c>
      <c r="Z34" s="86" t="str">
        <f t="shared" si="11"/>
        <v>--</v>
      </c>
      <c r="AA34" s="87" t="str">
        <f t="shared" si="12"/>
        <v>--</v>
      </c>
      <c r="AB34" s="88" t="str">
        <f t="shared" si="13"/>
        <v>--</v>
      </c>
      <c r="AC34" s="370" t="s">
        <v>136</v>
      </c>
      <c r="AD34" s="214">
        <f t="shared" si="14"/>
        <v>123.71069249999996</v>
      </c>
      <c r="AE34" s="162"/>
    </row>
    <row r="35" spans="2:31" ht="16.5" customHeight="1">
      <c r="B35" s="215"/>
      <c r="C35" s="376">
        <v>13</v>
      </c>
      <c r="D35" s="376">
        <v>221565</v>
      </c>
      <c r="E35" s="376">
        <v>1949</v>
      </c>
      <c r="F35" s="377" t="s">
        <v>172</v>
      </c>
      <c r="G35" s="378">
        <v>105</v>
      </c>
      <c r="H35" s="377" t="s">
        <v>134</v>
      </c>
      <c r="I35" s="378">
        <v>0</v>
      </c>
      <c r="J35" s="378">
        <v>132</v>
      </c>
      <c r="K35" s="378">
        <v>3.8</v>
      </c>
      <c r="L35" s="201">
        <f t="shared" si="0"/>
        <v>24.63375</v>
      </c>
      <c r="M35" s="454">
        <v>40305.311111111114</v>
      </c>
      <c r="N35" s="454">
        <v>40305.625</v>
      </c>
      <c r="O35" s="75">
        <f t="shared" si="1"/>
        <v>7.533333333267365</v>
      </c>
      <c r="P35" s="76">
        <f t="shared" si="2"/>
        <v>452</v>
      </c>
      <c r="Q35" s="77" t="s">
        <v>135</v>
      </c>
      <c r="R35" s="78" t="str">
        <f t="shared" si="3"/>
        <v>--</v>
      </c>
      <c r="S35" s="79">
        <f t="shared" si="4"/>
        <v>111.29528250000001</v>
      </c>
      <c r="T35" s="80" t="str">
        <f t="shared" si="5"/>
        <v>--</v>
      </c>
      <c r="U35" s="81" t="str">
        <f t="shared" si="6"/>
        <v>--</v>
      </c>
      <c r="V35" s="82" t="str">
        <f t="shared" si="7"/>
        <v>--</v>
      </c>
      <c r="W35" s="83" t="str">
        <f t="shared" si="8"/>
        <v>--</v>
      </c>
      <c r="X35" s="84" t="str">
        <f t="shared" si="9"/>
        <v>--</v>
      </c>
      <c r="Y35" s="85" t="str">
        <f t="shared" si="10"/>
        <v>--</v>
      </c>
      <c r="Z35" s="86" t="str">
        <f t="shared" si="11"/>
        <v>--</v>
      </c>
      <c r="AA35" s="87" t="str">
        <f t="shared" si="12"/>
        <v>--</v>
      </c>
      <c r="AB35" s="88" t="str">
        <f t="shared" si="13"/>
        <v>--</v>
      </c>
      <c r="AC35" s="370" t="s">
        <v>136</v>
      </c>
      <c r="AD35" s="214">
        <f t="shared" si="14"/>
        <v>111.29528250000001</v>
      </c>
      <c r="AE35" s="162"/>
    </row>
    <row r="36" spans="2:31" ht="16.5" customHeight="1">
      <c r="B36" s="215"/>
      <c r="C36" s="376">
        <v>14</v>
      </c>
      <c r="D36" s="376">
        <v>221566</v>
      </c>
      <c r="E36" s="376">
        <v>1945</v>
      </c>
      <c r="F36" s="377" t="s">
        <v>146</v>
      </c>
      <c r="G36" s="378">
        <v>61</v>
      </c>
      <c r="H36" s="377" t="s">
        <v>138</v>
      </c>
      <c r="I36" s="378">
        <v>90.23</v>
      </c>
      <c r="J36" s="378">
        <v>220</v>
      </c>
      <c r="K36" s="378">
        <v>57.3</v>
      </c>
      <c r="L36" s="201">
        <f t="shared" si="0"/>
        <v>32.811424246499996</v>
      </c>
      <c r="M36" s="454">
        <v>40306.06875</v>
      </c>
      <c r="N36" s="454">
        <v>40306.70972222222</v>
      </c>
      <c r="O36" s="75">
        <f t="shared" si="1"/>
        <v>15.383333333360497</v>
      </c>
      <c r="P36" s="76">
        <f t="shared" si="2"/>
        <v>923</v>
      </c>
      <c r="Q36" s="77" t="s">
        <v>135</v>
      </c>
      <c r="R36" s="78" t="str">
        <f t="shared" si="3"/>
        <v>--</v>
      </c>
      <c r="S36" s="79">
        <f t="shared" si="4"/>
        <v>302.783822946702</v>
      </c>
      <c r="T36" s="80" t="str">
        <f t="shared" si="5"/>
        <v>--</v>
      </c>
      <c r="U36" s="81" t="str">
        <f t="shared" si="6"/>
        <v>--</v>
      </c>
      <c r="V36" s="82" t="str">
        <f t="shared" si="7"/>
        <v>--</v>
      </c>
      <c r="W36" s="83" t="str">
        <f t="shared" si="8"/>
        <v>--</v>
      </c>
      <c r="X36" s="84" t="str">
        <f t="shared" si="9"/>
        <v>--</v>
      </c>
      <c r="Y36" s="85" t="str">
        <f t="shared" si="10"/>
        <v>--</v>
      </c>
      <c r="Z36" s="86" t="str">
        <f t="shared" si="11"/>
        <v>--</v>
      </c>
      <c r="AA36" s="87" t="str">
        <f t="shared" si="12"/>
        <v>--</v>
      </c>
      <c r="AB36" s="88" t="str">
        <f t="shared" si="13"/>
        <v>--</v>
      </c>
      <c r="AC36" s="370" t="s">
        <v>136</v>
      </c>
      <c r="AD36" s="214">
        <f t="shared" si="14"/>
        <v>302.783822946702</v>
      </c>
      <c r="AE36" s="162"/>
    </row>
    <row r="37" spans="2:31" ht="16.5" customHeight="1">
      <c r="B37" s="215"/>
      <c r="C37" s="376"/>
      <c r="D37" s="376"/>
      <c r="E37" s="376"/>
      <c r="F37" s="377"/>
      <c r="G37" s="378"/>
      <c r="H37" s="377"/>
      <c r="I37" s="378"/>
      <c r="J37" s="378"/>
      <c r="K37" s="383"/>
      <c r="L37" s="201">
        <f t="shared" si="0"/>
        <v>24.63375</v>
      </c>
      <c r="M37" s="454"/>
      <c r="N37" s="454"/>
      <c r="O37" s="75">
        <f t="shared" si="1"/>
      </c>
      <c r="P37" s="76">
        <f t="shared" si="2"/>
      </c>
      <c r="Q37" s="77"/>
      <c r="R37" s="78">
        <f t="shared" si="3"/>
      </c>
      <c r="S37" s="79" t="str">
        <f t="shared" si="4"/>
        <v>--</v>
      </c>
      <c r="T37" s="80" t="str">
        <f t="shared" si="5"/>
        <v>--</v>
      </c>
      <c r="U37" s="81" t="str">
        <f t="shared" si="6"/>
        <v>--</v>
      </c>
      <c r="V37" s="82" t="str">
        <f t="shared" si="7"/>
        <v>--</v>
      </c>
      <c r="W37" s="83" t="str">
        <f t="shared" si="8"/>
        <v>--</v>
      </c>
      <c r="X37" s="84" t="str">
        <f t="shared" si="9"/>
        <v>--</v>
      </c>
      <c r="Y37" s="85" t="str">
        <f t="shared" si="10"/>
        <v>--</v>
      </c>
      <c r="Z37" s="86" t="str">
        <f t="shared" si="11"/>
        <v>--</v>
      </c>
      <c r="AA37" s="87" t="str">
        <f t="shared" si="12"/>
        <v>--</v>
      </c>
      <c r="AB37" s="88" t="str">
        <f t="shared" si="13"/>
        <v>--</v>
      </c>
      <c r="AC37" s="370" t="str">
        <f>IF(F37=""," ","SI")</f>
        <v> </v>
      </c>
      <c r="AD37" s="214">
        <f t="shared" si="14"/>
      </c>
      <c r="AE37" s="162"/>
    </row>
    <row r="38" spans="2:31" ht="16.5" customHeight="1" thickBot="1">
      <c r="B38" s="161"/>
      <c r="C38" s="379"/>
      <c r="D38" s="379"/>
      <c r="E38" s="379"/>
      <c r="F38" s="380"/>
      <c r="G38" s="380"/>
      <c r="H38" s="380"/>
      <c r="I38" s="381"/>
      <c r="J38" s="382"/>
      <c r="K38" s="384"/>
      <c r="L38" s="89"/>
      <c r="M38" s="425"/>
      <c r="N38" s="425"/>
      <c r="O38" s="90"/>
      <c r="P38" s="90"/>
      <c r="Q38" s="385"/>
      <c r="R38" s="386"/>
      <c r="S38" s="387"/>
      <c r="T38" s="388"/>
      <c r="U38" s="389"/>
      <c r="V38" s="390"/>
      <c r="W38" s="391"/>
      <c r="X38" s="392"/>
      <c r="Y38" s="393"/>
      <c r="Z38" s="394"/>
      <c r="AA38" s="395"/>
      <c r="AB38" s="396"/>
      <c r="AC38" s="397"/>
      <c r="AD38" s="216"/>
      <c r="AE38" s="162"/>
    </row>
    <row r="39" spans="2:31" ht="16.5" customHeight="1" thickBot="1" thickTop="1">
      <c r="B39" s="161"/>
      <c r="C39" s="217" t="s">
        <v>33</v>
      </c>
      <c r="D39" s="457" t="s">
        <v>185</v>
      </c>
      <c r="E39" s="98"/>
      <c r="F39" s="91"/>
      <c r="G39" s="60"/>
      <c r="H39" s="60"/>
      <c r="I39" s="60"/>
      <c r="J39" s="60"/>
      <c r="K39" s="61"/>
      <c r="L39" s="92"/>
      <c r="M39" s="92"/>
      <c r="N39" s="92"/>
      <c r="O39" s="92"/>
      <c r="P39" s="92"/>
      <c r="Q39" s="93"/>
      <c r="R39" s="94"/>
      <c r="S39" s="218">
        <f aca="true" t="shared" si="15" ref="S39:AB39">SUM(S21:S38)</f>
        <v>18160.9783092331</v>
      </c>
      <c r="T39" s="219">
        <f t="shared" si="15"/>
        <v>0</v>
      </c>
      <c r="U39" s="95">
        <f t="shared" si="15"/>
        <v>1530.1950000000002</v>
      </c>
      <c r="V39" s="95">
        <f t="shared" si="15"/>
        <v>887.6853</v>
      </c>
      <c r="W39" s="220">
        <f t="shared" si="15"/>
        <v>0</v>
      </c>
      <c r="X39" s="96">
        <f t="shared" si="15"/>
        <v>0</v>
      </c>
      <c r="Y39" s="96">
        <f t="shared" si="15"/>
        <v>0</v>
      </c>
      <c r="Z39" s="221">
        <f t="shared" si="15"/>
        <v>0</v>
      </c>
      <c r="AA39" s="222">
        <f t="shared" si="15"/>
        <v>15829.647750000002</v>
      </c>
      <c r="AB39" s="223">
        <f t="shared" si="15"/>
        <v>0</v>
      </c>
      <c r="AC39" s="224"/>
      <c r="AD39" s="225">
        <f>SUM(AD21:AD38)</f>
        <v>36408.5063592331</v>
      </c>
      <c r="AE39" s="226"/>
    </row>
    <row r="40" spans="2:31" s="233" customFormat="1" ht="9.75" thickTop="1">
      <c r="B40" s="227"/>
      <c r="C40" s="228"/>
      <c r="D40" s="228"/>
      <c r="E40" s="228"/>
      <c r="F40" s="97"/>
      <c r="G40" s="98"/>
      <c r="H40" s="98"/>
      <c r="I40" s="98"/>
      <c r="J40" s="98"/>
      <c r="K40" s="99"/>
      <c r="L40" s="100"/>
      <c r="M40" s="100"/>
      <c r="N40" s="100"/>
      <c r="O40" s="100"/>
      <c r="P40" s="100"/>
      <c r="Q40" s="100"/>
      <c r="R40" s="101"/>
      <c r="S40" s="229"/>
      <c r="T40" s="229"/>
      <c r="U40" s="102"/>
      <c r="V40" s="102"/>
      <c r="W40" s="230"/>
      <c r="X40" s="230"/>
      <c r="Y40" s="230"/>
      <c r="Z40" s="230"/>
      <c r="AA40" s="230"/>
      <c r="AB40" s="230"/>
      <c r="AC40" s="230"/>
      <c r="AD40" s="231"/>
      <c r="AE40" s="232"/>
    </row>
    <row r="41" spans="2:31" ht="16.5" customHeight="1" thickBot="1">
      <c r="B41" s="234"/>
      <c r="C41" s="235"/>
      <c r="D41" s="235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35"/>
      <c r="V41" s="235"/>
      <c r="W41" s="235"/>
      <c r="X41" s="235"/>
      <c r="Y41" s="235"/>
      <c r="Z41" s="235"/>
      <c r="AA41" s="235"/>
      <c r="AB41" s="235"/>
      <c r="AC41" s="235"/>
      <c r="AD41" s="235"/>
      <c r="AE41" s="236"/>
    </row>
    <row r="42" ht="13.5" thickTop="1"/>
  </sheetData>
  <conditionalFormatting sqref="AC23:AC37">
    <cfRule type="cellIs" priority="1" dxfId="0" operator="equal" stopIfTrue="1">
      <formula>"SI"</formula>
    </cfRule>
    <cfRule type="cellIs" priority="2" dxfId="0" operator="equal" stopIfTrue="1">
      <formula>"NO"</formula>
    </cfRule>
    <cfRule type="cellIs" priority="3" dxfId="0" operator="equal" stopIfTrue="1">
      <formula>" "</formula>
    </cfRule>
  </conditionalFormatting>
  <conditionalFormatting sqref="O23:O37">
    <cfRule type="cellIs" priority="4" dxfId="1" operator="lessThanOrEqual" stopIfTrue="1">
      <formula>0</formula>
    </cfRule>
  </conditionalFormatting>
  <conditionalFormatting sqref="M23:N37">
    <cfRule type="expression" priority="5" dxfId="2" stopIfTrue="1">
      <formula>MONTH(M23)&lt;&gt;$L$21</formula>
    </cfRule>
    <cfRule type="expression" priority="6" dxfId="2" stopIfTrue="1">
      <formula>YEAR(M23)&lt;&gt;$L$22</formula>
    </cfRule>
    <cfRule type="expression" priority="7" dxfId="0" stopIfTrue="1">
      <formula>""""""</formula>
    </cfRule>
  </conditionalFormatting>
  <printOptions/>
  <pageMargins left="0.28" right="0.1968503937007874" top="0.7874015748031497" bottom="0.7874015748031497" header="0.5118110236220472" footer="0.5118110236220472"/>
  <pageSetup fitToHeight="1" fitToWidth="1" orientation="landscape" paperSize="9" scale="59" r:id="rId3"/>
  <headerFooter alignWithMargins="0">
    <oddFooter>&amp;L&amp;"Times New Roman,Normal"&amp;6&amp;Z&amp;F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AE42"/>
  <sheetViews>
    <sheetView tabSelected="1" zoomScale="55" zoomScaleNormal="55" workbookViewId="0" topLeftCell="A1">
      <selection activeCell="B3" sqref="B3"/>
    </sheetView>
  </sheetViews>
  <sheetFormatPr defaultColWidth="11.421875" defaultRowHeight="12.75"/>
  <cols>
    <col min="1" max="1" width="18.8515625" style="148" customWidth="1"/>
    <col min="2" max="2" width="4.00390625" style="148" customWidth="1"/>
    <col min="3" max="3" width="4.7109375" style="148" customWidth="1"/>
    <col min="4" max="4" width="16.00390625" style="148" customWidth="1"/>
    <col min="5" max="5" width="12.00390625" style="148" customWidth="1"/>
    <col min="6" max="6" width="45.7109375" style="148" customWidth="1"/>
    <col min="7" max="8" width="7.7109375" style="148" customWidth="1"/>
    <col min="9" max="9" width="6.57421875" style="148" customWidth="1"/>
    <col min="10" max="11" width="8.7109375" style="148" customWidth="1"/>
    <col min="12" max="12" width="13.7109375" style="148" hidden="1" customWidth="1"/>
    <col min="13" max="14" width="15.7109375" style="148" customWidth="1"/>
    <col min="15" max="17" width="9.7109375" style="148" customWidth="1"/>
    <col min="18" max="18" width="8.57421875" style="148" customWidth="1"/>
    <col min="19" max="20" width="16.00390625" style="148" hidden="1" customWidth="1"/>
    <col min="21" max="21" width="12.7109375" style="148" hidden="1" customWidth="1"/>
    <col min="22" max="22" width="15.421875" style="148" hidden="1" customWidth="1"/>
    <col min="23" max="28" width="14.28125" style="148" hidden="1" customWidth="1"/>
    <col min="29" max="29" width="9.7109375" style="148" customWidth="1"/>
    <col min="30" max="30" width="17.8515625" style="148" customWidth="1"/>
    <col min="31" max="31" width="4.00390625" style="148" customWidth="1"/>
    <col min="32" max="16384" width="11.421875" style="148" customWidth="1"/>
  </cols>
  <sheetData>
    <row r="1" ht="16.5" customHeight="1">
      <c r="AE1" s="149"/>
    </row>
    <row r="2" ht="16.5" customHeight="1"/>
    <row r="3" ht="16.5" customHeight="1"/>
    <row r="4" spans="2:31" s="150" customFormat="1" ht="26.25">
      <c r="B4" s="151" t="str">
        <f>+'TOT-0510'!B2</f>
        <v>ANEXO III a la Resolución AAANR Nº  51 / 2011</v>
      </c>
      <c r="C4" s="152"/>
      <c r="D4" s="152"/>
      <c r="E4" s="152"/>
      <c r="F4" s="152"/>
      <c r="G4" s="152"/>
      <c r="H4" s="151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</row>
    <row r="5" spans="1:2" s="153" customFormat="1" ht="11.25">
      <c r="A5" s="63" t="s">
        <v>2</v>
      </c>
      <c r="B5" s="63"/>
    </row>
    <row r="6" spans="1:2" s="153" customFormat="1" ht="11.25">
      <c r="A6" s="63" t="s">
        <v>3</v>
      </c>
      <c r="B6" s="63"/>
    </row>
    <row r="7" ht="16.5" customHeight="1" thickBot="1"/>
    <row r="8" spans="2:31" ht="16.5" customHeight="1" thickTop="1">
      <c r="B8" s="154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6"/>
    </row>
    <row r="9" spans="2:31" s="157" customFormat="1" ht="20.25">
      <c r="B9" s="158"/>
      <c r="C9" s="64"/>
      <c r="D9" s="64"/>
      <c r="E9" s="64"/>
      <c r="F9" s="159" t="str">
        <f>CONCATENATE("FUNCIÓN TÉCNICA DE TRANSPORTE DE ENERGÍA ELÉCTRICA - ",'TOT-0510'!B9)</f>
        <v>FUNCIÓN TÉCNICA DE TRANSPORTE DE ENERGÍA ELÉCTRICA - EDESUR S.A.</v>
      </c>
      <c r="G9" s="159"/>
      <c r="H9" s="159"/>
      <c r="I9" s="159"/>
      <c r="J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160"/>
    </row>
    <row r="10" spans="2:31" ht="16.5" customHeight="1">
      <c r="B10" s="161"/>
      <c r="C10" s="65"/>
      <c r="D10" s="65"/>
      <c r="E10" s="65"/>
      <c r="F10" s="67"/>
      <c r="G10" s="67"/>
      <c r="H10" s="67"/>
      <c r="I10" s="67"/>
      <c r="J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162"/>
    </row>
    <row r="11" spans="2:31" s="157" customFormat="1" ht="20.25">
      <c r="B11" s="158"/>
      <c r="C11" s="64"/>
      <c r="D11" s="64"/>
      <c r="E11" s="64"/>
      <c r="F11" s="159" t="s">
        <v>13</v>
      </c>
      <c r="G11" s="163"/>
      <c r="H11" s="163"/>
      <c r="I11" s="163"/>
      <c r="J11" s="159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160"/>
    </row>
    <row r="12" spans="2:31" ht="16.5" customHeight="1">
      <c r="B12" s="161"/>
      <c r="C12" s="65"/>
      <c r="D12" s="65"/>
      <c r="E12" s="65"/>
      <c r="F12" s="164"/>
      <c r="G12" s="164"/>
      <c r="H12" s="164"/>
      <c r="I12" s="164"/>
      <c r="J12" s="1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162"/>
    </row>
    <row r="13" spans="2:31" s="166" customFormat="1" ht="19.5">
      <c r="B13" s="167" t="str">
        <f>+'TOT-0510'!B14</f>
        <v>Desde el 01 al 31 de mayo de 2010</v>
      </c>
      <c r="C13" s="168"/>
      <c r="D13" s="168"/>
      <c r="E13" s="168"/>
      <c r="F13" s="66"/>
      <c r="G13" s="66"/>
      <c r="H13" s="66"/>
      <c r="I13" s="66"/>
      <c r="J13" s="169"/>
      <c r="K13" s="170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171"/>
    </row>
    <row r="14" spans="2:31" ht="16.5" customHeight="1" thickBot="1">
      <c r="B14" s="161"/>
      <c r="C14" s="65"/>
      <c r="D14" s="65"/>
      <c r="E14" s="65"/>
      <c r="F14" s="65"/>
      <c r="G14" s="65"/>
      <c r="H14" s="65"/>
      <c r="I14" s="65"/>
      <c r="J14" s="172"/>
      <c r="K14" s="67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162"/>
    </row>
    <row r="15" spans="2:31" ht="16.5" customHeight="1" thickBot="1" thickTop="1">
      <c r="B15" s="161"/>
      <c r="C15" s="65"/>
      <c r="D15" s="65"/>
      <c r="E15" s="65"/>
      <c r="F15" s="374" t="s">
        <v>14</v>
      </c>
      <c r="G15" s="373">
        <v>52.166</v>
      </c>
      <c r="H15" s="375"/>
      <c r="I15" s="68"/>
      <c r="K15" s="67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162"/>
    </row>
    <row r="16" spans="2:31" ht="16.5" customHeight="1" thickBot="1" thickTop="1">
      <c r="B16" s="161"/>
      <c r="C16" s="65"/>
      <c r="D16" s="65"/>
      <c r="E16" s="65"/>
      <c r="F16" s="374" t="s">
        <v>15</v>
      </c>
      <c r="G16" s="373">
        <v>49.847</v>
      </c>
      <c r="H16" s="375"/>
      <c r="I16" s="68"/>
      <c r="K16" s="173"/>
      <c r="L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162"/>
    </row>
    <row r="17" spans="2:31" ht="16.5" customHeight="1" thickBot="1" thickTop="1">
      <c r="B17" s="161"/>
      <c r="C17" s="65"/>
      <c r="D17" s="65"/>
      <c r="E17" s="65"/>
      <c r="F17" s="374" t="s">
        <v>16</v>
      </c>
      <c r="G17" s="373">
        <v>104.331</v>
      </c>
      <c r="H17" s="375"/>
      <c r="I17" s="68"/>
      <c r="K17" s="173"/>
      <c r="L17" s="65"/>
      <c r="M17" s="174" t="s">
        <v>17</v>
      </c>
      <c r="N17" s="175">
        <f>30*'TOT-0510'!B13</f>
        <v>60</v>
      </c>
      <c r="O17" s="69" t="str">
        <f>IF(N17=30," ",IF(N17=60,"Coeficiente duplicado por tasa de falla &gt;4 Sal. x año/100 km.","REVISAR COEFICIENTE"))</f>
        <v>Coeficiente duplicado por tasa de falla &gt;4 Sal. x año/100 km.</v>
      </c>
      <c r="P17" s="17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162"/>
    </row>
    <row r="18" spans="2:31" ht="16.5" customHeight="1" thickBot="1" thickTop="1">
      <c r="B18" s="161"/>
      <c r="C18" s="65"/>
      <c r="D18" s="65"/>
      <c r="E18" s="65"/>
      <c r="F18" s="374" t="s">
        <v>18</v>
      </c>
      <c r="G18" s="373">
        <v>98.535</v>
      </c>
      <c r="H18" s="375"/>
      <c r="I18" s="68"/>
      <c r="K18" s="173"/>
      <c r="L18" s="65"/>
      <c r="M18" s="65"/>
      <c r="N18" s="65"/>
      <c r="O18" s="174"/>
      <c r="P18" s="17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162"/>
    </row>
    <row r="19" spans="2:31" ht="16.5" customHeight="1" thickBot="1" thickTop="1">
      <c r="B19" s="161"/>
      <c r="C19" s="450">
        <v>3</v>
      </c>
      <c r="D19" s="450">
        <v>4</v>
      </c>
      <c r="E19" s="450">
        <v>5</v>
      </c>
      <c r="F19" s="450">
        <v>6</v>
      </c>
      <c r="G19" s="450">
        <v>7</v>
      </c>
      <c r="H19" s="450">
        <v>8</v>
      </c>
      <c r="I19" s="450">
        <v>9</v>
      </c>
      <c r="J19" s="450">
        <v>10</v>
      </c>
      <c r="K19" s="450">
        <v>11</v>
      </c>
      <c r="L19" s="450">
        <v>12</v>
      </c>
      <c r="M19" s="450">
        <v>13</v>
      </c>
      <c r="N19" s="450">
        <v>14</v>
      </c>
      <c r="O19" s="450">
        <v>15</v>
      </c>
      <c r="P19" s="450">
        <v>16</v>
      </c>
      <c r="Q19" s="450">
        <v>17</v>
      </c>
      <c r="R19" s="450">
        <v>18</v>
      </c>
      <c r="S19" s="450">
        <v>19</v>
      </c>
      <c r="T19" s="450">
        <v>20</v>
      </c>
      <c r="U19" s="450">
        <v>21</v>
      </c>
      <c r="V19" s="450">
        <v>22</v>
      </c>
      <c r="W19" s="450">
        <v>23</v>
      </c>
      <c r="X19" s="450">
        <v>24</v>
      </c>
      <c r="Y19" s="450">
        <v>25</v>
      </c>
      <c r="Z19" s="450">
        <v>26</v>
      </c>
      <c r="AA19" s="450">
        <v>27</v>
      </c>
      <c r="AB19" s="450">
        <v>28</v>
      </c>
      <c r="AC19" s="450">
        <v>29</v>
      </c>
      <c r="AD19" s="450">
        <v>30</v>
      </c>
      <c r="AE19" s="162"/>
    </row>
    <row r="20" spans="2:31" ht="34.5" customHeight="1" thickBot="1" thickTop="1">
      <c r="B20" s="161"/>
      <c r="C20" s="426" t="s">
        <v>19</v>
      </c>
      <c r="D20" s="426" t="s">
        <v>78</v>
      </c>
      <c r="E20" s="426" t="s">
        <v>79</v>
      </c>
      <c r="F20" s="70" t="s">
        <v>5</v>
      </c>
      <c r="G20" s="70" t="s">
        <v>131</v>
      </c>
      <c r="H20" s="70" t="s">
        <v>1</v>
      </c>
      <c r="I20" s="71" t="s">
        <v>48</v>
      </c>
      <c r="J20" s="71" t="s">
        <v>20</v>
      </c>
      <c r="K20" s="71" t="s">
        <v>21</v>
      </c>
      <c r="L20" s="72" t="s">
        <v>22</v>
      </c>
      <c r="M20" s="70" t="s">
        <v>23</v>
      </c>
      <c r="N20" s="70" t="s">
        <v>24</v>
      </c>
      <c r="O20" s="71" t="s">
        <v>49</v>
      </c>
      <c r="P20" s="71" t="s">
        <v>25</v>
      </c>
      <c r="Q20" s="71" t="s">
        <v>26</v>
      </c>
      <c r="R20" s="71" t="s">
        <v>50</v>
      </c>
      <c r="S20" s="176" t="s">
        <v>51</v>
      </c>
      <c r="T20" s="177" t="s">
        <v>28</v>
      </c>
      <c r="U20" s="73" t="s">
        <v>52</v>
      </c>
      <c r="V20" s="178"/>
      <c r="W20" s="179"/>
      <c r="X20" s="74" t="s">
        <v>53</v>
      </c>
      <c r="Y20" s="180"/>
      <c r="Z20" s="181"/>
      <c r="AA20" s="182" t="s">
        <v>29</v>
      </c>
      <c r="AB20" s="183" t="s">
        <v>30</v>
      </c>
      <c r="AC20" s="71" t="s">
        <v>31</v>
      </c>
      <c r="AD20" s="71" t="s">
        <v>32</v>
      </c>
      <c r="AE20" s="162"/>
    </row>
    <row r="21" spans="2:31" ht="16.5" customHeight="1" thickTop="1">
      <c r="B21" s="161"/>
      <c r="C21" s="184"/>
      <c r="D21" s="184"/>
      <c r="E21" s="184"/>
      <c r="F21" s="185"/>
      <c r="G21" s="184"/>
      <c r="H21" s="184"/>
      <c r="I21" s="184"/>
      <c r="J21" s="186"/>
      <c r="K21" s="186"/>
      <c r="L21" s="187">
        <v>5</v>
      </c>
      <c r="M21" s="421"/>
      <c r="N21" s="422"/>
      <c r="O21" s="185"/>
      <c r="P21" s="185"/>
      <c r="Q21" s="185"/>
      <c r="R21" s="185"/>
      <c r="S21" s="188"/>
      <c r="T21" s="189"/>
      <c r="U21" s="190"/>
      <c r="V21" s="191"/>
      <c r="W21" s="192"/>
      <c r="X21" s="193"/>
      <c r="Y21" s="194"/>
      <c r="Z21" s="195"/>
      <c r="AA21" s="196"/>
      <c r="AB21" s="197"/>
      <c r="AC21" s="198"/>
      <c r="AD21" s="199">
        <f>'LI-05 (1)'!AD39</f>
        <v>36408.5063592331</v>
      </c>
      <c r="AE21" s="162"/>
    </row>
    <row r="22" spans="2:31" ht="16.5" customHeight="1">
      <c r="B22" s="161"/>
      <c r="C22" s="200"/>
      <c r="D22" s="200"/>
      <c r="E22" s="200"/>
      <c r="F22" s="200"/>
      <c r="G22" s="200"/>
      <c r="H22" s="200"/>
      <c r="I22" s="200"/>
      <c r="J22" s="200"/>
      <c r="K22" s="200"/>
      <c r="L22" s="201">
        <v>2005</v>
      </c>
      <c r="M22" s="423"/>
      <c r="N22" s="424"/>
      <c r="O22" s="202"/>
      <c r="P22" s="202"/>
      <c r="Q22" s="200"/>
      <c r="R22" s="200"/>
      <c r="S22" s="203"/>
      <c r="T22" s="204"/>
      <c r="U22" s="205"/>
      <c r="V22" s="206"/>
      <c r="W22" s="207"/>
      <c r="X22" s="208"/>
      <c r="Y22" s="209"/>
      <c r="Z22" s="210"/>
      <c r="AA22" s="211"/>
      <c r="AB22" s="212"/>
      <c r="AC22" s="200"/>
      <c r="AD22" s="213"/>
      <c r="AE22" s="162"/>
    </row>
    <row r="23" spans="2:31" ht="16.5" customHeight="1">
      <c r="B23" s="161"/>
      <c r="C23" s="376">
        <v>15</v>
      </c>
      <c r="D23" s="376">
        <v>221567</v>
      </c>
      <c r="E23" s="376">
        <v>1951</v>
      </c>
      <c r="F23" s="377" t="s">
        <v>173</v>
      </c>
      <c r="G23" s="378">
        <v>107</v>
      </c>
      <c r="H23" s="377" t="s">
        <v>134</v>
      </c>
      <c r="I23" s="378">
        <v>0</v>
      </c>
      <c r="J23" s="378">
        <v>132</v>
      </c>
      <c r="K23" s="378">
        <v>5</v>
      </c>
      <c r="L23" s="201">
        <f aca="true" t="shared" si="0" ref="L23:L38">IF(K23&gt;25,K23,25)*IF(J23=220,(I23*$G$15/100)+(100-I23)/100*$G$17,(I23*$G$16/100)+(100-I23)/100*$G$18)/100</f>
        <v>24.63375</v>
      </c>
      <c r="M23" s="454">
        <v>40306.34722222222</v>
      </c>
      <c r="N23" s="454">
        <v>40306.6625</v>
      </c>
      <c r="O23" s="75">
        <f aca="true" t="shared" si="1" ref="O23:O38">IF(F23="","",(N23-M23)*24)</f>
        <v>7.566666666709352</v>
      </c>
      <c r="P23" s="76">
        <f aca="true" t="shared" si="2" ref="P23:P38">IF(F23="","",ROUND((N23-M23)*24*60,0))</f>
        <v>454</v>
      </c>
      <c r="Q23" s="77" t="s">
        <v>135</v>
      </c>
      <c r="R23" s="78" t="str">
        <f aca="true" t="shared" si="3" ref="R23:R38">IF(F23="","","--")</f>
        <v>--</v>
      </c>
      <c r="S23" s="79">
        <f aca="true" t="shared" si="4" ref="S23:S38">IF(Q23="P",ROUND(P23/60,2)*L23*$N$17*0.01,"--")</f>
        <v>111.8864925</v>
      </c>
      <c r="T23" s="80" t="str">
        <f aca="true" t="shared" si="5" ref="T23:T38">IF(Q23="RP",$N$17*L23*R23/100*ROUND(P23/60,2)*0.01,"--")</f>
        <v>--</v>
      </c>
      <c r="U23" s="81" t="str">
        <f aca="true" t="shared" si="6" ref="U23:U38">IF(Q23="F",L23*$N$17,"--")</f>
        <v>--</v>
      </c>
      <c r="V23" s="82" t="str">
        <f aca="true" t="shared" si="7" ref="V23:V38">IF(AND(P23&gt;10,Q23="F"),IF(P23&gt;180,3,ROUND(P23/60,2))*L23*$N$17,"--")</f>
        <v>--</v>
      </c>
      <c r="W23" s="83" t="str">
        <f aca="true" t="shared" si="8" ref="W23:W38">IF(AND(P23&gt;180,Q23="F"),(ROUND(P23/60,2)-3)*L23*$N$17*0.1,"--")</f>
        <v>--</v>
      </c>
      <c r="X23" s="84" t="str">
        <f aca="true" t="shared" si="9" ref="X23:X38">IF(Q23="R",L23*$N$17*R23/100,"--")</f>
        <v>--</v>
      </c>
      <c r="Y23" s="85" t="str">
        <f aca="true" t="shared" si="10" ref="Y23:Y38">IF(AND(P23&gt;10,Q23="R"),IF(P23&gt;180,3,ROUND(P23/60,2))*L23*$N$17*R23/100,"--")</f>
        <v>--</v>
      </c>
      <c r="Z23" s="86" t="str">
        <f aca="true" t="shared" si="11" ref="Z23:Z38">IF(AND(P23&gt;180,Q23="R"),(ROUND(P23/60,2)-3)*L23*$N$17*0.1*R23/100,"--")</f>
        <v>--</v>
      </c>
      <c r="AA23" s="87" t="str">
        <f aca="true" t="shared" si="12" ref="AA23:AA38">IF(Q23="RF",ROUND(P23/60,2)*L23*$N$17*0.1,"--")</f>
        <v>--</v>
      </c>
      <c r="AB23" s="88" t="str">
        <f aca="true" t="shared" si="13" ref="AB23:AB38">IF(Q23="RR",ROUND(P23/60,2)*L23*$N$17*0.1*R23/100,"--")</f>
        <v>--</v>
      </c>
      <c r="AC23" s="370" t="s">
        <v>136</v>
      </c>
      <c r="AD23" s="214">
        <f aca="true" t="shared" si="14" ref="AD23:AD38">IF(F23="","",SUM(S23:AB23)*IF(AC23="SI",1,2))</f>
        <v>111.8864925</v>
      </c>
      <c r="AE23" s="162"/>
    </row>
    <row r="24" spans="2:31" ht="16.5" customHeight="1">
      <c r="B24" s="161"/>
      <c r="C24" s="376">
        <v>16</v>
      </c>
      <c r="D24" s="376">
        <v>221568</v>
      </c>
      <c r="E24" s="376">
        <v>1945</v>
      </c>
      <c r="F24" s="377" t="s">
        <v>146</v>
      </c>
      <c r="G24" s="378">
        <v>61</v>
      </c>
      <c r="H24" s="377" t="s">
        <v>138</v>
      </c>
      <c r="I24" s="378">
        <v>90.23</v>
      </c>
      <c r="J24" s="378">
        <v>220</v>
      </c>
      <c r="K24" s="378">
        <v>57.3</v>
      </c>
      <c r="L24" s="201">
        <f t="shared" si="0"/>
        <v>32.811424246499996</v>
      </c>
      <c r="M24" s="454">
        <v>40307.13055555556</v>
      </c>
      <c r="N24" s="454">
        <v>40307.694444444445</v>
      </c>
      <c r="O24" s="75">
        <f t="shared" si="1"/>
        <v>13.533333333267365</v>
      </c>
      <c r="P24" s="76">
        <f t="shared" si="2"/>
        <v>812</v>
      </c>
      <c r="Q24" s="77" t="s">
        <v>135</v>
      </c>
      <c r="R24" s="78" t="str">
        <f t="shared" si="3"/>
        <v>--</v>
      </c>
      <c r="S24" s="79">
        <f t="shared" si="4"/>
        <v>266.36314203308694</v>
      </c>
      <c r="T24" s="80" t="str">
        <f t="shared" si="5"/>
        <v>--</v>
      </c>
      <c r="U24" s="81" t="str">
        <f t="shared" si="6"/>
        <v>--</v>
      </c>
      <c r="V24" s="82" t="str">
        <f t="shared" si="7"/>
        <v>--</v>
      </c>
      <c r="W24" s="83" t="str">
        <f t="shared" si="8"/>
        <v>--</v>
      </c>
      <c r="X24" s="84" t="str">
        <f t="shared" si="9"/>
        <v>--</v>
      </c>
      <c r="Y24" s="85" t="str">
        <f t="shared" si="10"/>
        <v>--</v>
      </c>
      <c r="Z24" s="86" t="str">
        <f t="shared" si="11"/>
        <v>--</v>
      </c>
      <c r="AA24" s="87" t="str">
        <f t="shared" si="12"/>
        <v>--</v>
      </c>
      <c r="AB24" s="88" t="str">
        <f t="shared" si="13"/>
        <v>--</v>
      </c>
      <c r="AC24" s="370" t="s">
        <v>136</v>
      </c>
      <c r="AD24" s="214">
        <f t="shared" si="14"/>
        <v>266.36314203308694</v>
      </c>
      <c r="AE24" s="162"/>
    </row>
    <row r="25" spans="2:31" ht="16.5" customHeight="1">
      <c r="B25" s="161"/>
      <c r="C25" s="376">
        <v>17</v>
      </c>
      <c r="D25" s="376">
        <v>221570</v>
      </c>
      <c r="E25" s="376">
        <v>4040</v>
      </c>
      <c r="F25" s="377" t="s">
        <v>147</v>
      </c>
      <c r="G25" s="378">
        <v>136</v>
      </c>
      <c r="H25" s="377" t="s">
        <v>134</v>
      </c>
      <c r="I25" s="378">
        <v>0</v>
      </c>
      <c r="J25" s="378">
        <v>132</v>
      </c>
      <c r="K25" s="378">
        <v>16.5</v>
      </c>
      <c r="L25" s="201">
        <f t="shared" si="0"/>
        <v>24.63375</v>
      </c>
      <c r="M25" s="454">
        <v>40307.30416666667</v>
      </c>
      <c r="N25" s="454">
        <v>40307.66875</v>
      </c>
      <c r="O25" s="75">
        <f t="shared" si="1"/>
        <v>8.749999999883585</v>
      </c>
      <c r="P25" s="76">
        <f t="shared" si="2"/>
        <v>525</v>
      </c>
      <c r="Q25" s="77" t="s">
        <v>135</v>
      </c>
      <c r="R25" s="78" t="str">
        <f t="shared" si="3"/>
        <v>--</v>
      </c>
      <c r="S25" s="79">
        <f t="shared" si="4"/>
        <v>129.3271875</v>
      </c>
      <c r="T25" s="80" t="str">
        <f t="shared" si="5"/>
        <v>--</v>
      </c>
      <c r="U25" s="81" t="str">
        <f t="shared" si="6"/>
        <v>--</v>
      </c>
      <c r="V25" s="82" t="str">
        <f t="shared" si="7"/>
        <v>--</v>
      </c>
      <c r="W25" s="83" t="str">
        <f t="shared" si="8"/>
        <v>--</v>
      </c>
      <c r="X25" s="84" t="str">
        <f t="shared" si="9"/>
        <v>--</v>
      </c>
      <c r="Y25" s="85" t="str">
        <f t="shared" si="10"/>
        <v>--</v>
      </c>
      <c r="Z25" s="86" t="str">
        <f t="shared" si="11"/>
        <v>--</v>
      </c>
      <c r="AA25" s="87" t="str">
        <f t="shared" si="12"/>
        <v>--</v>
      </c>
      <c r="AB25" s="88" t="str">
        <f t="shared" si="13"/>
        <v>--</v>
      </c>
      <c r="AC25" s="370" t="s">
        <v>136</v>
      </c>
      <c r="AD25" s="214">
        <f t="shared" si="14"/>
        <v>129.3271875</v>
      </c>
      <c r="AE25" s="162"/>
    </row>
    <row r="26" spans="2:31" ht="16.5" customHeight="1">
      <c r="B26" s="161"/>
      <c r="C26" s="376">
        <v>18</v>
      </c>
      <c r="D26" s="376">
        <v>221571</v>
      </c>
      <c r="E26" s="376">
        <v>1951</v>
      </c>
      <c r="F26" s="377" t="s">
        <v>174</v>
      </c>
      <c r="G26" s="378">
        <v>107</v>
      </c>
      <c r="H26" s="377" t="s">
        <v>134</v>
      </c>
      <c r="I26" s="378">
        <v>0</v>
      </c>
      <c r="J26" s="378">
        <v>132</v>
      </c>
      <c r="K26" s="378">
        <v>5</v>
      </c>
      <c r="L26" s="201">
        <f t="shared" si="0"/>
        <v>24.63375</v>
      </c>
      <c r="M26" s="454">
        <v>40307.32083333333</v>
      </c>
      <c r="N26" s="454">
        <v>40307.68402777778</v>
      </c>
      <c r="O26" s="75">
        <f t="shared" si="1"/>
        <v>8.716666666790843</v>
      </c>
      <c r="P26" s="76">
        <f t="shared" si="2"/>
        <v>523</v>
      </c>
      <c r="Q26" s="77" t="s">
        <v>135</v>
      </c>
      <c r="R26" s="78" t="str">
        <f t="shared" si="3"/>
        <v>--</v>
      </c>
      <c r="S26" s="79">
        <f t="shared" si="4"/>
        <v>128.88378</v>
      </c>
      <c r="T26" s="80" t="str">
        <f t="shared" si="5"/>
        <v>--</v>
      </c>
      <c r="U26" s="81" t="str">
        <f t="shared" si="6"/>
        <v>--</v>
      </c>
      <c r="V26" s="82" t="str">
        <f t="shared" si="7"/>
        <v>--</v>
      </c>
      <c r="W26" s="83" t="str">
        <f t="shared" si="8"/>
        <v>--</v>
      </c>
      <c r="X26" s="84" t="str">
        <f t="shared" si="9"/>
        <v>--</v>
      </c>
      <c r="Y26" s="85" t="str">
        <f t="shared" si="10"/>
        <v>--</v>
      </c>
      <c r="Z26" s="86" t="str">
        <f t="shared" si="11"/>
        <v>--</v>
      </c>
      <c r="AA26" s="87" t="str">
        <f t="shared" si="12"/>
        <v>--</v>
      </c>
      <c r="AB26" s="88" t="str">
        <f t="shared" si="13"/>
        <v>--</v>
      </c>
      <c r="AC26" s="370" t="s">
        <v>136</v>
      </c>
      <c r="AD26" s="214">
        <f t="shared" si="14"/>
        <v>128.88378</v>
      </c>
      <c r="AE26" s="162"/>
    </row>
    <row r="27" spans="2:31" ht="16.5" customHeight="1">
      <c r="B27" s="161"/>
      <c r="C27" s="376">
        <v>19</v>
      </c>
      <c r="D27" s="376">
        <v>221876</v>
      </c>
      <c r="E27" s="376">
        <v>4236</v>
      </c>
      <c r="F27" s="377" t="s">
        <v>175</v>
      </c>
      <c r="G27" s="378">
        <v>411</v>
      </c>
      <c r="H27" s="377" t="s">
        <v>134</v>
      </c>
      <c r="I27" s="378">
        <v>0</v>
      </c>
      <c r="J27" s="378">
        <v>132</v>
      </c>
      <c r="K27" s="378">
        <v>5.3</v>
      </c>
      <c r="L27" s="201">
        <f t="shared" si="0"/>
        <v>24.63375</v>
      </c>
      <c r="M27" s="454">
        <v>40308.038194444445</v>
      </c>
      <c r="N27" s="454">
        <v>40308.72083333333</v>
      </c>
      <c r="O27" s="75">
        <f t="shared" si="1"/>
        <v>16.38333333330229</v>
      </c>
      <c r="P27" s="76">
        <f t="shared" si="2"/>
        <v>983</v>
      </c>
      <c r="Q27" s="77" t="s">
        <v>135</v>
      </c>
      <c r="R27" s="78" t="str">
        <f t="shared" si="3"/>
        <v>--</v>
      </c>
      <c r="S27" s="79">
        <f t="shared" si="4"/>
        <v>242.10049499999997</v>
      </c>
      <c r="T27" s="80" t="str">
        <f t="shared" si="5"/>
        <v>--</v>
      </c>
      <c r="U27" s="81" t="str">
        <f t="shared" si="6"/>
        <v>--</v>
      </c>
      <c r="V27" s="82" t="str">
        <f t="shared" si="7"/>
        <v>--</v>
      </c>
      <c r="W27" s="83" t="str">
        <f t="shared" si="8"/>
        <v>--</v>
      </c>
      <c r="X27" s="84" t="str">
        <f t="shared" si="9"/>
        <v>--</v>
      </c>
      <c r="Y27" s="85" t="str">
        <f t="shared" si="10"/>
        <v>--</v>
      </c>
      <c r="Z27" s="86" t="str">
        <f t="shared" si="11"/>
        <v>--</v>
      </c>
      <c r="AA27" s="87" t="str">
        <f t="shared" si="12"/>
        <v>--</v>
      </c>
      <c r="AB27" s="88" t="str">
        <f t="shared" si="13"/>
        <v>--</v>
      </c>
      <c r="AC27" s="370" t="s">
        <v>136</v>
      </c>
      <c r="AD27" s="214">
        <f t="shared" si="14"/>
        <v>242.10049499999997</v>
      </c>
      <c r="AE27" s="162"/>
    </row>
    <row r="28" spans="2:31" ht="16.5" customHeight="1">
      <c r="B28" s="161"/>
      <c r="C28" s="376">
        <v>20</v>
      </c>
      <c r="D28" s="376">
        <v>221877</v>
      </c>
      <c r="E28" s="376">
        <v>1947</v>
      </c>
      <c r="F28" s="377" t="s">
        <v>171</v>
      </c>
      <c r="G28" s="378">
        <v>103</v>
      </c>
      <c r="H28" s="377" t="s">
        <v>134</v>
      </c>
      <c r="I28" s="378">
        <v>0</v>
      </c>
      <c r="J28" s="378">
        <v>132</v>
      </c>
      <c r="K28" s="378">
        <v>4</v>
      </c>
      <c r="L28" s="201">
        <f t="shared" si="0"/>
        <v>24.63375</v>
      </c>
      <c r="M28" s="454">
        <v>40309.33819444444</v>
      </c>
      <c r="N28" s="454">
        <v>40309.506944444445</v>
      </c>
      <c r="O28" s="75">
        <f t="shared" si="1"/>
        <v>4.050000000104774</v>
      </c>
      <c r="P28" s="76">
        <f t="shared" si="2"/>
        <v>243</v>
      </c>
      <c r="Q28" s="77" t="s">
        <v>135</v>
      </c>
      <c r="R28" s="78" t="str">
        <f t="shared" si="3"/>
        <v>--</v>
      </c>
      <c r="S28" s="79">
        <f t="shared" si="4"/>
        <v>59.860012499999996</v>
      </c>
      <c r="T28" s="80" t="str">
        <f t="shared" si="5"/>
        <v>--</v>
      </c>
      <c r="U28" s="81" t="str">
        <f t="shared" si="6"/>
        <v>--</v>
      </c>
      <c r="V28" s="82" t="str">
        <f t="shared" si="7"/>
        <v>--</v>
      </c>
      <c r="W28" s="83" t="str">
        <f t="shared" si="8"/>
        <v>--</v>
      </c>
      <c r="X28" s="84" t="str">
        <f t="shared" si="9"/>
        <v>--</v>
      </c>
      <c r="Y28" s="85" t="str">
        <f t="shared" si="10"/>
        <v>--</v>
      </c>
      <c r="Z28" s="86" t="str">
        <f t="shared" si="11"/>
        <v>--</v>
      </c>
      <c r="AA28" s="87" t="str">
        <f t="shared" si="12"/>
        <v>--</v>
      </c>
      <c r="AB28" s="88" t="str">
        <f t="shared" si="13"/>
        <v>--</v>
      </c>
      <c r="AC28" s="370" t="s">
        <v>136</v>
      </c>
      <c r="AD28" s="214">
        <f t="shared" si="14"/>
        <v>59.860012499999996</v>
      </c>
      <c r="AE28" s="162"/>
    </row>
    <row r="29" spans="2:31" ht="16.5" customHeight="1">
      <c r="B29" s="161"/>
      <c r="C29" s="376">
        <v>21</v>
      </c>
      <c r="D29" s="376">
        <v>221878</v>
      </c>
      <c r="E29" s="376">
        <v>1244</v>
      </c>
      <c r="F29" s="377" t="s">
        <v>148</v>
      </c>
      <c r="G29" s="378">
        <v>226</v>
      </c>
      <c r="H29" s="377" t="s">
        <v>134</v>
      </c>
      <c r="I29" s="378">
        <v>0</v>
      </c>
      <c r="J29" s="378">
        <v>132</v>
      </c>
      <c r="K29" s="378">
        <v>6.5</v>
      </c>
      <c r="L29" s="201">
        <f t="shared" si="0"/>
        <v>24.63375</v>
      </c>
      <c r="M29" s="454">
        <v>40310.13958333333</v>
      </c>
      <c r="N29" s="454">
        <v>40310.64791666667</v>
      </c>
      <c r="O29" s="75">
        <f t="shared" si="1"/>
        <v>12.200000000128057</v>
      </c>
      <c r="P29" s="76">
        <f t="shared" si="2"/>
        <v>732</v>
      </c>
      <c r="Q29" s="77" t="s">
        <v>135</v>
      </c>
      <c r="R29" s="78" t="str">
        <f t="shared" si="3"/>
        <v>--</v>
      </c>
      <c r="S29" s="79">
        <f t="shared" si="4"/>
        <v>180.31905</v>
      </c>
      <c r="T29" s="80" t="str">
        <f t="shared" si="5"/>
        <v>--</v>
      </c>
      <c r="U29" s="81" t="str">
        <f t="shared" si="6"/>
        <v>--</v>
      </c>
      <c r="V29" s="82" t="str">
        <f t="shared" si="7"/>
        <v>--</v>
      </c>
      <c r="W29" s="83" t="str">
        <f t="shared" si="8"/>
        <v>--</v>
      </c>
      <c r="X29" s="84" t="str">
        <f t="shared" si="9"/>
        <v>--</v>
      </c>
      <c r="Y29" s="85" t="str">
        <f t="shared" si="10"/>
        <v>--</v>
      </c>
      <c r="Z29" s="86" t="str">
        <f t="shared" si="11"/>
        <v>--</v>
      </c>
      <c r="AA29" s="87" t="str">
        <f t="shared" si="12"/>
        <v>--</v>
      </c>
      <c r="AB29" s="88" t="str">
        <f t="shared" si="13"/>
        <v>--</v>
      </c>
      <c r="AC29" s="370" t="s">
        <v>136</v>
      </c>
      <c r="AD29" s="214">
        <f t="shared" si="14"/>
        <v>180.31905</v>
      </c>
      <c r="AE29" s="162"/>
    </row>
    <row r="30" spans="2:31" ht="16.5" customHeight="1">
      <c r="B30" s="161"/>
      <c r="C30" s="376">
        <v>22</v>
      </c>
      <c r="D30" s="376">
        <v>221879</v>
      </c>
      <c r="E30" s="376">
        <v>1968</v>
      </c>
      <c r="F30" s="377" t="s">
        <v>149</v>
      </c>
      <c r="G30" s="378">
        <v>580</v>
      </c>
      <c r="H30" s="377" t="s">
        <v>134</v>
      </c>
      <c r="I30" s="378">
        <v>0</v>
      </c>
      <c r="J30" s="378">
        <v>132</v>
      </c>
      <c r="K30" s="378">
        <v>8.5</v>
      </c>
      <c r="L30" s="201">
        <f t="shared" si="0"/>
        <v>24.63375</v>
      </c>
      <c r="M30" s="454">
        <v>40313.03402777778</v>
      </c>
      <c r="N30" s="454">
        <v>40329.99930555555</v>
      </c>
      <c r="O30" s="75">
        <f t="shared" si="1"/>
        <v>407.16666666656965</v>
      </c>
      <c r="P30" s="76">
        <f t="shared" si="2"/>
        <v>24430</v>
      </c>
      <c r="Q30" s="77" t="s">
        <v>135</v>
      </c>
      <c r="R30" s="78" t="str">
        <f t="shared" si="3"/>
        <v>--</v>
      </c>
      <c r="S30" s="79">
        <f t="shared" si="4"/>
        <v>6018.0743925</v>
      </c>
      <c r="T30" s="80" t="str">
        <f t="shared" si="5"/>
        <v>--</v>
      </c>
      <c r="U30" s="81" t="str">
        <f t="shared" si="6"/>
        <v>--</v>
      </c>
      <c r="V30" s="82" t="str">
        <f t="shared" si="7"/>
        <v>--</v>
      </c>
      <c r="W30" s="83" t="str">
        <f t="shared" si="8"/>
        <v>--</v>
      </c>
      <c r="X30" s="84" t="str">
        <f t="shared" si="9"/>
        <v>--</v>
      </c>
      <c r="Y30" s="85" t="str">
        <f t="shared" si="10"/>
        <v>--</v>
      </c>
      <c r="Z30" s="86" t="str">
        <f t="shared" si="11"/>
        <v>--</v>
      </c>
      <c r="AA30" s="87" t="str">
        <f t="shared" si="12"/>
        <v>--</v>
      </c>
      <c r="AB30" s="88" t="str">
        <f t="shared" si="13"/>
        <v>--</v>
      </c>
      <c r="AC30" s="370" t="s">
        <v>136</v>
      </c>
      <c r="AD30" s="214">
        <f t="shared" si="14"/>
        <v>6018.0743925</v>
      </c>
      <c r="AE30" s="162"/>
    </row>
    <row r="31" spans="2:31" ht="16.5" customHeight="1">
      <c r="B31" s="161"/>
      <c r="C31" s="376">
        <v>23</v>
      </c>
      <c r="D31" s="376">
        <v>221883</v>
      </c>
      <c r="E31" s="376">
        <v>1963</v>
      </c>
      <c r="F31" s="377" t="s">
        <v>140</v>
      </c>
      <c r="G31" s="378">
        <v>511</v>
      </c>
      <c r="H31" s="377" t="s">
        <v>142</v>
      </c>
      <c r="I31" s="378">
        <v>100</v>
      </c>
      <c r="J31" s="378">
        <v>132</v>
      </c>
      <c r="K31" s="378">
        <v>17.4</v>
      </c>
      <c r="L31" s="201">
        <f t="shared" si="0"/>
        <v>12.46175</v>
      </c>
      <c r="M31" s="454">
        <v>40314.08888888889</v>
      </c>
      <c r="N31" s="454">
        <v>40314.677777777775</v>
      </c>
      <c r="O31" s="75">
        <f t="shared" si="1"/>
        <v>14.13333333330229</v>
      </c>
      <c r="P31" s="76">
        <f t="shared" si="2"/>
        <v>848</v>
      </c>
      <c r="Q31" s="77" t="s">
        <v>135</v>
      </c>
      <c r="R31" s="78" t="str">
        <f t="shared" si="3"/>
        <v>--</v>
      </c>
      <c r="S31" s="79">
        <f t="shared" si="4"/>
        <v>105.6507165</v>
      </c>
      <c r="T31" s="80" t="str">
        <f t="shared" si="5"/>
        <v>--</v>
      </c>
      <c r="U31" s="81" t="str">
        <f t="shared" si="6"/>
        <v>--</v>
      </c>
      <c r="V31" s="82" t="str">
        <f t="shared" si="7"/>
        <v>--</v>
      </c>
      <c r="W31" s="83" t="str">
        <f t="shared" si="8"/>
        <v>--</v>
      </c>
      <c r="X31" s="84" t="str">
        <f t="shared" si="9"/>
        <v>--</v>
      </c>
      <c r="Y31" s="85" t="str">
        <f t="shared" si="10"/>
        <v>--</v>
      </c>
      <c r="Z31" s="86" t="str">
        <f t="shared" si="11"/>
        <v>--</v>
      </c>
      <c r="AA31" s="87" t="str">
        <f t="shared" si="12"/>
        <v>--</v>
      </c>
      <c r="AB31" s="88" t="str">
        <f t="shared" si="13"/>
        <v>--</v>
      </c>
      <c r="AC31" s="370" t="s">
        <v>136</v>
      </c>
      <c r="AD31" s="214">
        <f t="shared" si="14"/>
        <v>105.6507165</v>
      </c>
      <c r="AE31" s="162"/>
    </row>
    <row r="32" spans="2:31" ht="16.5" customHeight="1">
      <c r="B32" s="161"/>
      <c r="C32" s="376">
        <v>24</v>
      </c>
      <c r="D32" s="376">
        <v>222087</v>
      </c>
      <c r="E32" s="376">
        <v>1956</v>
      </c>
      <c r="F32" s="377" t="s">
        <v>176</v>
      </c>
      <c r="G32" s="378">
        <v>333</v>
      </c>
      <c r="H32" s="377" t="s">
        <v>134</v>
      </c>
      <c r="I32" s="378">
        <v>0</v>
      </c>
      <c r="J32" s="378">
        <v>132</v>
      </c>
      <c r="K32" s="378">
        <v>5</v>
      </c>
      <c r="L32" s="201">
        <f t="shared" si="0"/>
        <v>24.63375</v>
      </c>
      <c r="M32" s="454">
        <v>40315.30486111111</v>
      </c>
      <c r="N32" s="454">
        <v>40315.63958333333</v>
      </c>
      <c r="O32" s="75">
        <f t="shared" si="1"/>
        <v>8.033333333325572</v>
      </c>
      <c r="P32" s="76">
        <f t="shared" si="2"/>
        <v>482</v>
      </c>
      <c r="Q32" s="77" t="s">
        <v>135</v>
      </c>
      <c r="R32" s="78" t="str">
        <f t="shared" si="3"/>
        <v>--</v>
      </c>
      <c r="S32" s="79">
        <f t="shared" si="4"/>
        <v>118.68540749999998</v>
      </c>
      <c r="T32" s="80" t="str">
        <f t="shared" si="5"/>
        <v>--</v>
      </c>
      <c r="U32" s="81" t="str">
        <f t="shared" si="6"/>
        <v>--</v>
      </c>
      <c r="V32" s="82" t="str">
        <f t="shared" si="7"/>
        <v>--</v>
      </c>
      <c r="W32" s="83" t="str">
        <f t="shared" si="8"/>
        <v>--</v>
      </c>
      <c r="X32" s="84" t="str">
        <f t="shared" si="9"/>
        <v>--</v>
      </c>
      <c r="Y32" s="85" t="str">
        <f t="shared" si="10"/>
        <v>--</v>
      </c>
      <c r="Z32" s="86" t="str">
        <f t="shared" si="11"/>
        <v>--</v>
      </c>
      <c r="AA32" s="87" t="str">
        <f t="shared" si="12"/>
        <v>--</v>
      </c>
      <c r="AB32" s="88" t="str">
        <f t="shared" si="13"/>
        <v>--</v>
      </c>
      <c r="AC32" s="370" t="s">
        <v>136</v>
      </c>
      <c r="AD32" s="214">
        <f t="shared" si="14"/>
        <v>118.68540749999998</v>
      </c>
      <c r="AE32" s="162"/>
    </row>
    <row r="33" spans="2:31" ht="16.5" customHeight="1">
      <c r="B33" s="161"/>
      <c r="C33" s="376">
        <v>25</v>
      </c>
      <c r="D33" s="376" t="s">
        <v>184</v>
      </c>
      <c r="E33" s="376">
        <v>1973</v>
      </c>
      <c r="F33" s="377" t="s">
        <v>177</v>
      </c>
      <c r="G33" s="378">
        <v>648</v>
      </c>
      <c r="H33" s="377" t="s">
        <v>134</v>
      </c>
      <c r="I33" s="378">
        <v>0</v>
      </c>
      <c r="J33" s="378">
        <v>132</v>
      </c>
      <c r="K33" s="378">
        <v>5.4</v>
      </c>
      <c r="L33" s="201">
        <f t="shared" si="0"/>
        <v>24.63375</v>
      </c>
      <c r="M33" s="454">
        <v>40315.30694444444</v>
      </c>
      <c r="N33" s="454">
        <v>40315.66875</v>
      </c>
      <c r="O33" s="75">
        <f t="shared" si="1"/>
        <v>8.683333333348855</v>
      </c>
      <c r="P33" s="76">
        <f t="shared" si="2"/>
        <v>521</v>
      </c>
      <c r="Q33" s="77" t="s">
        <v>135</v>
      </c>
      <c r="R33" s="78" t="str">
        <f t="shared" si="3"/>
        <v>--</v>
      </c>
      <c r="S33" s="79">
        <f t="shared" si="4"/>
        <v>128.29257</v>
      </c>
      <c r="T33" s="80" t="str">
        <f t="shared" si="5"/>
        <v>--</v>
      </c>
      <c r="U33" s="81" t="str">
        <f t="shared" si="6"/>
        <v>--</v>
      </c>
      <c r="V33" s="82" t="str">
        <f t="shared" si="7"/>
        <v>--</v>
      </c>
      <c r="W33" s="83" t="str">
        <f t="shared" si="8"/>
        <v>--</v>
      </c>
      <c r="X33" s="84" t="str">
        <f t="shared" si="9"/>
        <v>--</v>
      </c>
      <c r="Y33" s="85" t="str">
        <f t="shared" si="10"/>
        <v>--</v>
      </c>
      <c r="Z33" s="86" t="str">
        <f t="shared" si="11"/>
        <v>--</v>
      </c>
      <c r="AA33" s="87" t="str">
        <f t="shared" si="12"/>
        <v>--</v>
      </c>
      <c r="AB33" s="88" t="str">
        <f t="shared" si="13"/>
        <v>--</v>
      </c>
      <c r="AC33" s="370" t="s">
        <v>136</v>
      </c>
      <c r="AD33" s="214">
        <f t="shared" si="14"/>
        <v>128.29257</v>
      </c>
      <c r="AE33" s="162"/>
    </row>
    <row r="34" spans="2:31" ht="16.5" customHeight="1">
      <c r="B34" s="161"/>
      <c r="C34" s="376">
        <v>26</v>
      </c>
      <c r="D34" s="376">
        <v>222090</v>
      </c>
      <c r="E34" s="376">
        <v>3681</v>
      </c>
      <c r="F34" s="377" t="s">
        <v>151</v>
      </c>
      <c r="G34" s="378">
        <v>341</v>
      </c>
      <c r="H34" s="377" t="s">
        <v>134</v>
      </c>
      <c r="I34" s="378">
        <v>0</v>
      </c>
      <c r="J34" s="378">
        <v>132</v>
      </c>
      <c r="K34" s="378">
        <v>3</v>
      </c>
      <c r="L34" s="201">
        <f t="shared" si="0"/>
        <v>24.63375</v>
      </c>
      <c r="M34" s="454">
        <v>40315.34722222222</v>
      </c>
      <c r="N34" s="454">
        <v>40315.63958333333</v>
      </c>
      <c r="O34" s="75">
        <f t="shared" si="1"/>
        <v>7.016666666662786</v>
      </c>
      <c r="P34" s="76">
        <f t="shared" si="2"/>
        <v>421</v>
      </c>
      <c r="Q34" s="77" t="s">
        <v>135</v>
      </c>
      <c r="R34" s="78" t="str">
        <f t="shared" si="3"/>
        <v>--</v>
      </c>
      <c r="S34" s="79">
        <f t="shared" si="4"/>
        <v>103.75735499999999</v>
      </c>
      <c r="T34" s="80" t="str">
        <f t="shared" si="5"/>
        <v>--</v>
      </c>
      <c r="U34" s="81" t="str">
        <f t="shared" si="6"/>
        <v>--</v>
      </c>
      <c r="V34" s="82" t="str">
        <f t="shared" si="7"/>
        <v>--</v>
      </c>
      <c r="W34" s="83" t="str">
        <f t="shared" si="8"/>
        <v>--</v>
      </c>
      <c r="X34" s="84" t="str">
        <f t="shared" si="9"/>
        <v>--</v>
      </c>
      <c r="Y34" s="85" t="str">
        <f t="shared" si="10"/>
        <v>--</v>
      </c>
      <c r="Z34" s="86" t="str">
        <f t="shared" si="11"/>
        <v>--</v>
      </c>
      <c r="AA34" s="87" t="str">
        <f t="shared" si="12"/>
        <v>--</v>
      </c>
      <c r="AB34" s="88" t="str">
        <f t="shared" si="13"/>
        <v>--</v>
      </c>
      <c r="AC34" s="370" t="s">
        <v>136</v>
      </c>
      <c r="AD34" s="214">
        <f t="shared" si="14"/>
        <v>103.75735499999999</v>
      </c>
      <c r="AE34" s="162"/>
    </row>
    <row r="35" spans="2:31" ht="16.5" customHeight="1">
      <c r="B35" s="161"/>
      <c r="C35" s="376">
        <v>27</v>
      </c>
      <c r="D35" s="376">
        <v>222091</v>
      </c>
      <c r="E35" s="376">
        <v>1966</v>
      </c>
      <c r="F35" s="377" t="s">
        <v>178</v>
      </c>
      <c r="G35" s="378">
        <v>554</v>
      </c>
      <c r="H35" s="377" t="s">
        <v>142</v>
      </c>
      <c r="I35" s="378">
        <v>100</v>
      </c>
      <c r="J35" s="378">
        <v>132</v>
      </c>
      <c r="K35" s="378">
        <v>20.4</v>
      </c>
      <c r="L35" s="201">
        <f t="shared" si="0"/>
        <v>12.46175</v>
      </c>
      <c r="M35" s="454">
        <v>40316.15972222222</v>
      </c>
      <c r="N35" s="454">
        <v>40316.55069444444</v>
      </c>
      <c r="O35" s="75">
        <f t="shared" si="1"/>
        <v>9.383333333360497</v>
      </c>
      <c r="P35" s="76">
        <f t="shared" si="2"/>
        <v>563</v>
      </c>
      <c r="Q35" s="77" t="s">
        <v>137</v>
      </c>
      <c r="R35" s="78" t="str">
        <f t="shared" si="3"/>
        <v>--</v>
      </c>
      <c r="S35" s="79" t="str">
        <f t="shared" si="4"/>
        <v>--</v>
      </c>
      <c r="T35" s="80" t="str">
        <f t="shared" si="5"/>
        <v>--</v>
      </c>
      <c r="U35" s="81">
        <f t="shared" si="6"/>
        <v>747.705</v>
      </c>
      <c r="V35" s="82">
        <f t="shared" si="7"/>
        <v>2243.115</v>
      </c>
      <c r="W35" s="83">
        <f t="shared" si="8"/>
        <v>477.03579000000013</v>
      </c>
      <c r="X35" s="84" t="str">
        <f t="shared" si="9"/>
        <v>--</v>
      </c>
      <c r="Y35" s="85" t="str">
        <f t="shared" si="10"/>
        <v>--</v>
      </c>
      <c r="Z35" s="86" t="str">
        <f t="shared" si="11"/>
        <v>--</v>
      </c>
      <c r="AA35" s="87" t="str">
        <f t="shared" si="12"/>
        <v>--</v>
      </c>
      <c r="AB35" s="88" t="str">
        <f t="shared" si="13"/>
        <v>--</v>
      </c>
      <c r="AC35" s="370" t="s">
        <v>136</v>
      </c>
      <c r="AD35" s="214">
        <f t="shared" si="14"/>
        <v>3467.8557899999996</v>
      </c>
      <c r="AE35" s="162"/>
    </row>
    <row r="36" spans="2:31" ht="16.5" customHeight="1">
      <c r="B36" s="215"/>
      <c r="C36" s="376">
        <v>28</v>
      </c>
      <c r="D36" s="376">
        <v>222092</v>
      </c>
      <c r="E36" s="376">
        <v>1226</v>
      </c>
      <c r="F36" s="377" t="s">
        <v>153</v>
      </c>
      <c r="G36" s="378">
        <v>324</v>
      </c>
      <c r="H36" s="377" t="s">
        <v>134</v>
      </c>
      <c r="I36" s="378">
        <v>0</v>
      </c>
      <c r="J36" s="378">
        <v>132</v>
      </c>
      <c r="K36" s="378">
        <v>5</v>
      </c>
      <c r="L36" s="201">
        <f t="shared" si="0"/>
        <v>24.63375</v>
      </c>
      <c r="M36" s="454">
        <v>40316.333333333336</v>
      </c>
      <c r="N36" s="454">
        <v>40316.46041666667</v>
      </c>
      <c r="O36" s="75">
        <f t="shared" si="1"/>
        <v>3.0499999999883585</v>
      </c>
      <c r="P36" s="76">
        <f t="shared" si="2"/>
        <v>183</v>
      </c>
      <c r="Q36" s="77" t="s">
        <v>135</v>
      </c>
      <c r="R36" s="78" t="str">
        <f t="shared" si="3"/>
        <v>--</v>
      </c>
      <c r="S36" s="79">
        <f t="shared" si="4"/>
        <v>45.0797625</v>
      </c>
      <c r="T36" s="80" t="str">
        <f t="shared" si="5"/>
        <v>--</v>
      </c>
      <c r="U36" s="81" t="str">
        <f t="shared" si="6"/>
        <v>--</v>
      </c>
      <c r="V36" s="82" t="str">
        <f t="shared" si="7"/>
        <v>--</v>
      </c>
      <c r="W36" s="83" t="str">
        <f t="shared" si="8"/>
        <v>--</v>
      </c>
      <c r="X36" s="84" t="str">
        <f t="shared" si="9"/>
        <v>--</v>
      </c>
      <c r="Y36" s="85" t="str">
        <f t="shared" si="10"/>
        <v>--</v>
      </c>
      <c r="Z36" s="86" t="str">
        <f t="shared" si="11"/>
        <v>--</v>
      </c>
      <c r="AA36" s="87" t="str">
        <f t="shared" si="12"/>
        <v>--</v>
      </c>
      <c r="AB36" s="88" t="str">
        <f t="shared" si="13"/>
        <v>--</v>
      </c>
      <c r="AC36" s="370" t="s">
        <v>136</v>
      </c>
      <c r="AD36" s="214">
        <f t="shared" si="14"/>
        <v>45.0797625</v>
      </c>
      <c r="AE36" s="162"/>
    </row>
    <row r="37" spans="2:31" ht="16.5" customHeight="1">
      <c r="B37" s="215"/>
      <c r="C37" s="376">
        <v>29</v>
      </c>
      <c r="D37" s="376">
        <v>222093</v>
      </c>
      <c r="E37" s="376">
        <v>3670</v>
      </c>
      <c r="F37" s="377" t="s">
        <v>143</v>
      </c>
      <c r="G37" s="378">
        <v>201</v>
      </c>
      <c r="H37" s="377" t="s">
        <v>138</v>
      </c>
      <c r="I37" s="378">
        <v>77.96</v>
      </c>
      <c r="J37" s="378">
        <v>132</v>
      </c>
      <c r="K37" s="378">
        <v>18.47</v>
      </c>
      <c r="L37" s="201">
        <f t="shared" si="0"/>
        <v>15.144458800000002</v>
      </c>
      <c r="M37" s="454">
        <v>40316.36111111111</v>
      </c>
      <c r="N37" s="454">
        <v>40316.76458333333</v>
      </c>
      <c r="O37" s="75">
        <f t="shared" si="1"/>
        <v>9.683333333290648</v>
      </c>
      <c r="P37" s="76">
        <f t="shared" si="2"/>
        <v>581</v>
      </c>
      <c r="Q37" s="77" t="s">
        <v>135</v>
      </c>
      <c r="R37" s="78" t="str">
        <f t="shared" si="3"/>
        <v>--</v>
      </c>
      <c r="S37" s="79">
        <f t="shared" si="4"/>
        <v>87.95901671040001</v>
      </c>
      <c r="T37" s="80" t="str">
        <f t="shared" si="5"/>
        <v>--</v>
      </c>
      <c r="U37" s="81" t="str">
        <f t="shared" si="6"/>
        <v>--</v>
      </c>
      <c r="V37" s="82" t="str">
        <f t="shared" si="7"/>
        <v>--</v>
      </c>
      <c r="W37" s="83" t="str">
        <f t="shared" si="8"/>
        <v>--</v>
      </c>
      <c r="X37" s="84" t="str">
        <f t="shared" si="9"/>
        <v>--</v>
      </c>
      <c r="Y37" s="85" t="str">
        <f t="shared" si="10"/>
        <v>--</v>
      </c>
      <c r="Z37" s="86" t="str">
        <f t="shared" si="11"/>
        <v>--</v>
      </c>
      <c r="AA37" s="87" t="str">
        <f t="shared" si="12"/>
        <v>--</v>
      </c>
      <c r="AB37" s="88" t="str">
        <f t="shared" si="13"/>
        <v>--</v>
      </c>
      <c r="AC37" s="370" t="s">
        <v>136</v>
      </c>
      <c r="AD37" s="214">
        <f t="shared" si="14"/>
        <v>87.95901671040001</v>
      </c>
      <c r="AE37" s="162"/>
    </row>
    <row r="38" spans="2:31" ht="16.5" customHeight="1">
      <c r="B38" s="215"/>
      <c r="C38" s="376">
        <v>30</v>
      </c>
      <c r="D38" s="376">
        <v>222094</v>
      </c>
      <c r="E38" s="376">
        <v>1965</v>
      </c>
      <c r="F38" s="377" t="s">
        <v>152</v>
      </c>
      <c r="G38" s="378">
        <v>553</v>
      </c>
      <c r="H38" s="377" t="s">
        <v>142</v>
      </c>
      <c r="I38" s="378">
        <v>100</v>
      </c>
      <c r="J38" s="378">
        <v>132</v>
      </c>
      <c r="K38" s="383">
        <v>20.6</v>
      </c>
      <c r="L38" s="201">
        <f t="shared" si="0"/>
        <v>12.46175</v>
      </c>
      <c r="M38" s="454">
        <v>40316.57361111111</v>
      </c>
      <c r="N38" s="454">
        <v>40316.66527777778</v>
      </c>
      <c r="O38" s="75">
        <f t="shared" si="1"/>
        <v>2.2000000000116415</v>
      </c>
      <c r="P38" s="76">
        <f t="shared" si="2"/>
        <v>132</v>
      </c>
      <c r="Q38" s="77" t="s">
        <v>137</v>
      </c>
      <c r="R38" s="78" t="str">
        <f t="shared" si="3"/>
        <v>--</v>
      </c>
      <c r="S38" s="79" t="str">
        <f t="shared" si="4"/>
        <v>--</v>
      </c>
      <c r="T38" s="80" t="str">
        <f t="shared" si="5"/>
        <v>--</v>
      </c>
      <c r="U38" s="81">
        <f t="shared" si="6"/>
        <v>747.705</v>
      </c>
      <c r="V38" s="82">
        <f t="shared" si="7"/>
        <v>1644.9510000000002</v>
      </c>
      <c r="W38" s="83" t="str">
        <f t="shared" si="8"/>
        <v>--</v>
      </c>
      <c r="X38" s="84" t="str">
        <f t="shared" si="9"/>
        <v>--</v>
      </c>
      <c r="Y38" s="85" t="str">
        <f t="shared" si="10"/>
        <v>--</v>
      </c>
      <c r="Z38" s="86" t="str">
        <f t="shared" si="11"/>
        <v>--</v>
      </c>
      <c r="AA38" s="87" t="str">
        <f t="shared" si="12"/>
        <v>--</v>
      </c>
      <c r="AB38" s="88" t="str">
        <f t="shared" si="13"/>
        <v>--</v>
      </c>
      <c r="AC38" s="370" t="s">
        <v>136</v>
      </c>
      <c r="AD38" s="214">
        <f t="shared" si="14"/>
        <v>2392.6560000000004</v>
      </c>
      <c r="AE38" s="162"/>
    </row>
    <row r="39" spans="2:31" ht="16.5" customHeight="1" thickBot="1">
      <c r="B39" s="161"/>
      <c r="C39" s="379"/>
      <c r="D39" s="379"/>
      <c r="E39" s="379"/>
      <c r="F39" s="380"/>
      <c r="G39" s="380"/>
      <c r="H39" s="380"/>
      <c r="I39" s="381"/>
      <c r="J39" s="382"/>
      <c r="K39" s="384"/>
      <c r="L39" s="89"/>
      <c r="M39" s="425"/>
      <c r="N39" s="425"/>
      <c r="O39" s="90"/>
      <c r="P39" s="90"/>
      <c r="Q39" s="385"/>
      <c r="R39" s="386"/>
      <c r="S39" s="387"/>
      <c r="T39" s="388"/>
      <c r="U39" s="389"/>
      <c r="V39" s="390"/>
      <c r="W39" s="391"/>
      <c r="X39" s="392"/>
      <c r="Y39" s="393"/>
      <c r="Z39" s="394"/>
      <c r="AA39" s="395"/>
      <c r="AB39" s="396"/>
      <c r="AC39" s="397"/>
      <c r="AD39" s="216"/>
      <c r="AE39" s="162"/>
    </row>
    <row r="40" spans="2:31" ht="16.5" customHeight="1" thickBot="1" thickTop="1">
      <c r="B40" s="161"/>
      <c r="C40" s="217" t="s">
        <v>33</v>
      </c>
      <c r="D40" s="457" t="s">
        <v>185</v>
      </c>
      <c r="E40" s="98"/>
      <c r="F40" s="91"/>
      <c r="G40" s="60"/>
      <c r="H40" s="60"/>
      <c r="I40" s="60"/>
      <c r="J40" s="60"/>
      <c r="K40" s="61"/>
      <c r="L40" s="92"/>
      <c r="M40" s="92"/>
      <c r="N40" s="92"/>
      <c r="O40" s="92"/>
      <c r="P40" s="92"/>
      <c r="Q40" s="93"/>
      <c r="R40" s="94"/>
      <c r="S40" s="218">
        <f aca="true" t="shared" si="15" ref="S40:AB40">SUM(S21:S39)</f>
        <v>7726.239380243486</v>
      </c>
      <c r="T40" s="219">
        <f t="shared" si="15"/>
        <v>0</v>
      </c>
      <c r="U40" s="95">
        <f t="shared" si="15"/>
        <v>1495.41</v>
      </c>
      <c r="V40" s="95">
        <f t="shared" si="15"/>
        <v>3888.066</v>
      </c>
      <c r="W40" s="220">
        <f t="shared" si="15"/>
        <v>477.03579000000013</v>
      </c>
      <c r="X40" s="96">
        <f t="shared" si="15"/>
        <v>0</v>
      </c>
      <c r="Y40" s="96">
        <f t="shared" si="15"/>
        <v>0</v>
      </c>
      <c r="Z40" s="221">
        <f t="shared" si="15"/>
        <v>0</v>
      </c>
      <c r="AA40" s="222">
        <f t="shared" si="15"/>
        <v>0</v>
      </c>
      <c r="AB40" s="223">
        <f t="shared" si="15"/>
        <v>0</v>
      </c>
      <c r="AC40" s="224"/>
      <c r="AD40" s="225">
        <f>SUM(AD21:AD39)</f>
        <v>49995.257529476585</v>
      </c>
      <c r="AE40" s="226"/>
    </row>
    <row r="41" spans="2:31" s="233" customFormat="1" ht="9.75" thickTop="1">
      <c r="B41" s="227"/>
      <c r="C41" s="228"/>
      <c r="D41" s="228"/>
      <c r="E41" s="228"/>
      <c r="F41" s="97"/>
      <c r="G41" s="98"/>
      <c r="H41" s="98"/>
      <c r="I41" s="98"/>
      <c r="J41" s="98"/>
      <c r="K41" s="99"/>
      <c r="L41" s="100"/>
      <c r="M41" s="100"/>
      <c r="N41" s="100"/>
      <c r="O41" s="100"/>
      <c r="P41" s="100"/>
      <c r="Q41" s="100"/>
      <c r="R41" s="101"/>
      <c r="S41" s="229"/>
      <c r="T41" s="229"/>
      <c r="U41" s="102"/>
      <c r="V41" s="102"/>
      <c r="W41" s="230"/>
      <c r="X41" s="230"/>
      <c r="Y41" s="230"/>
      <c r="Z41" s="230"/>
      <c r="AA41" s="230"/>
      <c r="AB41" s="230"/>
      <c r="AC41" s="230"/>
      <c r="AD41" s="231"/>
      <c r="AE41" s="232"/>
    </row>
    <row r="42" spans="2:31" ht="16.5" customHeight="1" thickBot="1">
      <c r="B42" s="234"/>
      <c r="C42" s="235"/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235"/>
      <c r="W42" s="235"/>
      <c r="X42" s="235"/>
      <c r="Y42" s="235"/>
      <c r="Z42" s="235"/>
      <c r="AA42" s="235"/>
      <c r="AB42" s="235"/>
      <c r="AC42" s="235"/>
      <c r="AD42" s="235"/>
      <c r="AE42" s="236"/>
    </row>
    <row r="43" ht="13.5" thickTop="1"/>
  </sheetData>
  <conditionalFormatting sqref="AC23:AC38">
    <cfRule type="cellIs" priority="1" dxfId="0" operator="equal" stopIfTrue="1">
      <formula>"SI"</formula>
    </cfRule>
    <cfRule type="cellIs" priority="2" dxfId="0" operator="equal" stopIfTrue="1">
      <formula>"NO"</formula>
    </cfRule>
    <cfRule type="cellIs" priority="3" dxfId="0" operator="equal" stopIfTrue="1">
      <formula>" "</formula>
    </cfRule>
  </conditionalFormatting>
  <conditionalFormatting sqref="O23:O38">
    <cfRule type="cellIs" priority="4" dxfId="1" operator="lessThanOrEqual" stopIfTrue="1">
      <formula>0</formula>
    </cfRule>
  </conditionalFormatting>
  <conditionalFormatting sqref="M23:N38">
    <cfRule type="expression" priority="5" dxfId="2" stopIfTrue="1">
      <formula>MONTH(M23)&lt;&gt;$L$21</formula>
    </cfRule>
    <cfRule type="expression" priority="6" dxfId="2" stopIfTrue="1">
      <formula>YEAR(M23)&lt;&gt;$L$22</formula>
    </cfRule>
    <cfRule type="expression" priority="7" dxfId="0" stopIfTrue="1">
      <formula>""""""</formula>
    </cfRule>
  </conditionalFormatting>
  <printOptions/>
  <pageMargins left="0.31" right="0.1968503937007874" top="0.7874015748031497" bottom="0.7874015748031497" header="0.5118110236220472" footer="0.5118110236220472"/>
  <pageSetup fitToHeight="1" fitToWidth="1" orientation="landscape" paperSize="9" scale="59" r:id="rId3"/>
  <headerFooter alignWithMargins="0">
    <oddFooter>&amp;L&amp;"Times New Roman,Normal"&amp;6&amp;Z&amp;F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AE46"/>
  <sheetViews>
    <sheetView tabSelected="1" zoomScale="55" zoomScaleNormal="55" workbookViewId="0" topLeftCell="A1">
      <selection activeCell="B3" sqref="B3"/>
    </sheetView>
  </sheetViews>
  <sheetFormatPr defaultColWidth="11.421875" defaultRowHeight="12.75"/>
  <cols>
    <col min="1" max="1" width="18.8515625" style="148" customWidth="1"/>
    <col min="2" max="2" width="4.00390625" style="148" customWidth="1"/>
    <col min="3" max="3" width="4.7109375" style="148" customWidth="1"/>
    <col min="4" max="5" width="13.8515625" style="148" customWidth="1"/>
    <col min="6" max="6" width="45.7109375" style="148" customWidth="1"/>
    <col min="7" max="8" width="7.7109375" style="148" customWidth="1"/>
    <col min="9" max="9" width="6.57421875" style="148" customWidth="1"/>
    <col min="10" max="11" width="8.7109375" style="148" customWidth="1"/>
    <col min="12" max="12" width="8.7109375" style="148" hidden="1" customWidth="1"/>
    <col min="13" max="14" width="15.7109375" style="148" customWidth="1"/>
    <col min="15" max="17" width="9.7109375" style="148" customWidth="1"/>
    <col min="18" max="18" width="5.8515625" style="148" bestFit="1" customWidth="1"/>
    <col min="19" max="19" width="13.8515625" style="148" hidden="1" customWidth="1"/>
    <col min="20" max="20" width="13.421875" style="148" hidden="1" customWidth="1"/>
    <col min="21" max="21" width="11.57421875" style="148" hidden="1" customWidth="1"/>
    <col min="22" max="22" width="12.57421875" style="148" hidden="1" customWidth="1"/>
    <col min="23" max="23" width="12.28125" style="148" hidden="1" customWidth="1"/>
    <col min="24" max="25" width="8.00390625" style="148" hidden="1" customWidth="1"/>
    <col min="26" max="28" width="6.8515625" style="148" hidden="1" customWidth="1"/>
    <col min="29" max="29" width="9.7109375" style="148" customWidth="1"/>
    <col min="30" max="30" width="17.28125" style="148" customWidth="1"/>
    <col min="31" max="31" width="4.00390625" style="148" customWidth="1"/>
    <col min="32" max="16384" width="11.421875" style="148" customWidth="1"/>
  </cols>
  <sheetData>
    <row r="1" ht="16.5" customHeight="1">
      <c r="AE1" s="149"/>
    </row>
    <row r="2" ht="16.5" customHeight="1"/>
    <row r="3" ht="16.5" customHeight="1"/>
    <row r="4" spans="2:31" s="150" customFormat="1" ht="27.75" customHeight="1">
      <c r="B4" s="151" t="str">
        <f>+'TOT-0510'!B2</f>
        <v>ANEXO III a la Resolución AAANR Nº  51 / 2011</v>
      </c>
      <c r="C4" s="152"/>
      <c r="D4" s="152"/>
      <c r="E4" s="152"/>
      <c r="F4" s="152"/>
      <c r="G4" s="152"/>
      <c r="H4" s="151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</row>
    <row r="5" spans="1:2" s="153" customFormat="1" ht="11.25">
      <c r="A5" s="63" t="s">
        <v>2</v>
      </c>
      <c r="B5" s="63"/>
    </row>
    <row r="6" spans="1:2" s="153" customFormat="1" ht="11.25">
      <c r="A6" s="63" t="s">
        <v>3</v>
      </c>
      <c r="B6" s="63"/>
    </row>
    <row r="7" ht="16.5" customHeight="1" thickBot="1"/>
    <row r="8" spans="2:31" ht="16.5" customHeight="1" thickTop="1">
      <c r="B8" s="154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6"/>
    </row>
    <row r="9" spans="2:31" s="157" customFormat="1" ht="20.25">
      <c r="B9" s="158"/>
      <c r="C9" s="64"/>
      <c r="D9" s="64"/>
      <c r="E9" s="64"/>
      <c r="F9" s="159" t="str">
        <f>CONCATENATE("FUNCIÓN TÉCNICA DE TRANSPORTE DE ENERGÍA ELÉCTRICA - ",'TOT-0510'!B9)</f>
        <v>FUNCIÓN TÉCNICA DE TRANSPORTE DE ENERGÍA ELÉCTRICA - EDESUR S.A.</v>
      </c>
      <c r="G9" s="159"/>
      <c r="H9" s="159"/>
      <c r="I9" s="159"/>
      <c r="J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160"/>
    </row>
    <row r="10" spans="2:31" ht="16.5" customHeight="1">
      <c r="B10" s="161"/>
      <c r="C10" s="65"/>
      <c r="D10" s="65"/>
      <c r="E10" s="65"/>
      <c r="F10" s="67"/>
      <c r="G10" s="67"/>
      <c r="H10" s="67"/>
      <c r="I10" s="67"/>
      <c r="J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162"/>
    </row>
    <row r="11" spans="2:31" s="157" customFormat="1" ht="20.25">
      <c r="B11" s="158"/>
      <c r="C11" s="64"/>
      <c r="D11" s="64"/>
      <c r="E11" s="64"/>
      <c r="F11" s="159" t="s">
        <v>13</v>
      </c>
      <c r="G11" s="163"/>
      <c r="H11" s="163"/>
      <c r="I11" s="163"/>
      <c r="J11" s="159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160"/>
    </row>
    <row r="12" spans="2:31" ht="16.5" customHeight="1">
      <c r="B12" s="161"/>
      <c r="C12" s="65"/>
      <c r="D12" s="65"/>
      <c r="E12" s="65"/>
      <c r="F12" s="164"/>
      <c r="G12" s="164"/>
      <c r="H12" s="164"/>
      <c r="I12" s="164"/>
      <c r="J12" s="1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162"/>
    </row>
    <row r="13" spans="2:31" s="166" customFormat="1" ht="19.5">
      <c r="B13" s="167" t="str">
        <f>+'TOT-0510'!B14</f>
        <v>Desde el 01 al 31 de mayo de 2010</v>
      </c>
      <c r="C13" s="168"/>
      <c r="D13" s="168"/>
      <c r="E13" s="168"/>
      <c r="F13" s="66"/>
      <c r="G13" s="66"/>
      <c r="H13" s="66"/>
      <c r="I13" s="66"/>
      <c r="J13" s="169"/>
      <c r="K13" s="170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171"/>
    </row>
    <row r="14" spans="2:31" ht="16.5" customHeight="1" thickBot="1">
      <c r="B14" s="161"/>
      <c r="C14" s="65"/>
      <c r="D14" s="65"/>
      <c r="E14" s="65"/>
      <c r="F14" s="65"/>
      <c r="G14" s="65"/>
      <c r="H14" s="65"/>
      <c r="I14" s="65"/>
      <c r="J14" s="172"/>
      <c r="K14" s="67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162"/>
    </row>
    <row r="15" spans="2:31" ht="16.5" customHeight="1" thickBot="1" thickTop="1">
      <c r="B15" s="161"/>
      <c r="C15" s="65"/>
      <c r="D15" s="65"/>
      <c r="E15" s="65"/>
      <c r="F15" s="374" t="s">
        <v>14</v>
      </c>
      <c r="G15" s="373">
        <v>52.166</v>
      </c>
      <c r="H15" s="375"/>
      <c r="I15" s="68"/>
      <c r="K15" s="67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162"/>
    </row>
    <row r="16" spans="2:31" ht="16.5" customHeight="1" thickBot="1" thickTop="1">
      <c r="B16" s="161"/>
      <c r="C16" s="65"/>
      <c r="D16" s="65"/>
      <c r="E16" s="65"/>
      <c r="F16" s="374" t="s">
        <v>15</v>
      </c>
      <c r="G16" s="373">
        <v>49.847</v>
      </c>
      <c r="H16" s="375"/>
      <c r="I16" s="68"/>
      <c r="K16" s="173"/>
      <c r="L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162"/>
    </row>
    <row r="17" spans="2:31" ht="16.5" customHeight="1" thickBot="1" thickTop="1">
      <c r="B17" s="161"/>
      <c r="C17" s="65"/>
      <c r="D17" s="65"/>
      <c r="E17" s="65"/>
      <c r="F17" s="374" t="s">
        <v>16</v>
      </c>
      <c r="G17" s="373">
        <v>104.331</v>
      </c>
      <c r="H17" s="375"/>
      <c r="I17" s="68"/>
      <c r="K17" s="173"/>
      <c r="L17" s="65"/>
      <c r="M17" s="174" t="s">
        <v>17</v>
      </c>
      <c r="N17" s="175">
        <f>30*'TOT-0510'!B13</f>
        <v>60</v>
      </c>
      <c r="O17" s="69" t="str">
        <f>IF(N17=30," ",IF(N17=60,"Coeficiente duplicado por tasa de falla &gt;4 Sal. x año/100 km.","REVISAR COEFICIENTE"))</f>
        <v>Coeficiente duplicado por tasa de falla &gt;4 Sal. x año/100 km.</v>
      </c>
      <c r="P17" s="17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162"/>
    </row>
    <row r="18" spans="2:31" ht="16.5" customHeight="1" thickBot="1" thickTop="1">
      <c r="B18" s="161"/>
      <c r="C18" s="65"/>
      <c r="D18" s="65"/>
      <c r="E18" s="65"/>
      <c r="F18" s="374" t="s">
        <v>18</v>
      </c>
      <c r="G18" s="373">
        <v>98.535</v>
      </c>
      <c r="H18" s="375"/>
      <c r="I18" s="68"/>
      <c r="K18" s="173"/>
      <c r="L18" s="65"/>
      <c r="M18" s="65"/>
      <c r="N18" s="65"/>
      <c r="O18" s="174"/>
      <c r="P18" s="17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162"/>
    </row>
    <row r="19" spans="2:31" ht="16.5" customHeight="1" thickBot="1" thickTop="1">
      <c r="B19" s="161"/>
      <c r="C19" s="450">
        <v>3</v>
      </c>
      <c r="D19" s="450">
        <v>4</v>
      </c>
      <c r="E19" s="450">
        <v>5</v>
      </c>
      <c r="F19" s="450">
        <v>6</v>
      </c>
      <c r="G19" s="450">
        <v>7</v>
      </c>
      <c r="H19" s="450">
        <v>8</v>
      </c>
      <c r="I19" s="450">
        <v>9</v>
      </c>
      <c r="J19" s="450">
        <v>10</v>
      </c>
      <c r="K19" s="450">
        <v>11</v>
      </c>
      <c r="L19" s="450">
        <v>12</v>
      </c>
      <c r="M19" s="450">
        <v>13</v>
      </c>
      <c r="N19" s="450">
        <v>14</v>
      </c>
      <c r="O19" s="450">
        <v>15</v>
      </c>
      <c r="P19" s="450">
        <v>16</v>
      </c>
      <c r="Q19" s="450">
        <v>17</v>
      </c>
      <c r="R19" s="450">
        <v>18</v>
      </c>
      <c r="S19" s="450">
        <v>19</v>
      </c>
      <c r="T19" s="450">
        <v>20</v>
      </c>
      <c r="U19" s="450">
        <v>21</v>
      </c>
      <c r="V19" s="450">
        <v>22</v>
      </c>
      <c r="W19" s="450">
        <v>23</v>
      </c>
      <c r="X19" s="450">
        <v>24</v>
      </c>
      <c r="Y19" s="450">
        <v>25</v>
      </c>
      <c r="Z19" s="450">
        <v>26</v>
      </c>
      <c r="AA19" s="450">
        <v>27</v>
      </c>
      <c r="AB19" s="450">
        <v>28</v>
      </c>
      <c r="AC19" s="450">
        <v>29</v>
      </c>
      <c r="AD19" s="450">
        <v>30</v>
      </c>
      <c r="AE19" s="162"/>
    </row>
    <row r="20" spans="2:31" ht="34.5" customHeight="1" thickBot="1" thickTop="1">
      <c r="B20" s="161"/>
      <c r="C20" s="426" t="s">
        <v>19</v>
      </c>
      <c r="D20" s="426" t="s">
        <v>78</v>
      </c>
      <c r="E20" s="426" t="s">
        <v>79</v>
      </c>
      <c r="F20" s="70" t="s">
        <v>5</v>
      </c>
      <c r="G20" s="70" t="s">
        <v>131</v>
      </c>
      <c r="H20" s="70" t="s">
        <v>1</v>
      </c>
      <c r="I20" s="71" t="s">
        <v>48</v>
      </c>
      <c r="J20" s="71" t="s">
        <v>20</v>
      </c>
      <c r="K20" s="71" t="s">
        <v>21</v>
      </c>
      <c r="L20" s="72" t="s">
        <v>22</v>
      </c>
      <c r="M20" s="70" t="s">
        <v>23</v>
      </c>
      <c r="N20" s="70" t="s">
        <v>24</v>
      </c>
      <c r="O20" s="71" t="s">
        <v>49</v>
      </c>
      <c r="P20" s="71" t="s">
        <v>25</v>
      </c>
      <c r="Q20" s="71" t="s">
        <v>26</v>
      </c>
      <c r="R20" s="71" t="s">
        <v>50</v>
      </c>
      <c r="S20" s="176" t="s">
        <v>51</v>
      </c>
      <c r="T20" s="177" t="s">
        <v>28</v>
      </c>
      <c r="U20" s="73" t="s">
        <v>52</v>
      </c>
      <c r="V20" s="178"/>
      <c r="W20" s="179"/>
      <c r="X20" s="74" t="s">
        <v>53</v>
      </c>
      <c r="Y20" s="180"/>
      <c r="Z20" s="181"/>
      <c r="AA20" s="182" t="s">
        <v>29</v>
      </c>
      <c r="AB20" s="183" t="s">
        <v>30</v>
      </c>
      <c r="AC20" s="71" t="s">
        <v>31</v>
      </c>
      <c r="AD20" s="71" t="s">
        <v>32</v>
      </c>
      <c r="AE20" s="162"/>
    </row>
    <row r="21" spans="2:31" ht="16.5" customHeight="1" thickTop="1">
      <c r="B21" s="161"/>
      <c r="C21" s="184"/>
      <c r="D21" s="184"/>
      <c r="E21" s="184"/>
      <c r="F21" s="185"/>
      <c r="G21" s="184"/>
      <c r="H21" s="184"/>
      <c r="I21" s="184"/>
      <c r="J21" s="186"/>
      <c r="K21" s="186"/>
      <c r="L21" s="187">
        <v>5</v>
      </c>
      <c r="M21" s="421"/>
      <c r="N21" s="422"/>
      <c r="O21" s="185"/>
      <c r="P21" s="185"/>
      <c r="Q21" s="185"/>
      <c r="R21" s="185"/>
      <c r="S21" s="188"/>
      <c r="T21" s="189"/>
      <c r="U21" s="190"/>
      <c r="V21" s="191"/>
      <c r="W21" s="192"/>
      <c r="X21" s="193"/>
      <c r="Y21" s="194"/>
      <c r="Z21" s="195"/>
      <c r="AA21" s="196"/>
      <c r="AB21" s="197"/>
      <c r="AC21" s="198"/>
      <c r="AD21" s="199">
        <f>'LI-05 (2)'!AD40</f>
        <v>49995.257529476585</v>
      </c>
      <c r="AE21" s="162"/>
    </row>
    <row r="22" spans="2:31" ht="16.5" customHeight="1">
      <c r="B22" s="161"/>
      <c r="C22" s="200"/>
      <c r="D22" s="200"/>
      <c r="E22" s="200"/>
      <c r="F22" s="200"/>
      <c r="G22" s="200"/>
      <c r="H22" s="200"/>
      <c r="I22" s="200"/>
      <c r="J22" s="200"/>
      <c r="K22" s="200"/>
      <c r="L22" s="201">
        <v>2005</v>
      </c>
      <c r="M22" s="423"/>
      <c r="N22" s="424"/>
      <c r="O22" s="202"/>
      <c r="P22" s="202"/>
      <c r="Q22" s="200"/>
      <c r="R22" s="200"/>
      <c r="S22" s="203"/>
      <c r="T22" s="204"/>
      <c r="U22" s="205"/>
      <c r="V22" s="206"/>
      <c r="W22" s="207"/>
      <c r="X22" s="208"/>
      <c r="Y22" s="209"/>
      <c r="Z22" s="210"/>
      <c r="AA22" s="211"/>
      <c r="AB22" s="212"/>
      <c r="AC22" s="200"/>
      <c r="AD22" s="213"/>
      <c r="AE22" s="162"/>
    </row>
    <row r="23" spans="2:31" ht="16.5" customHeight="1">
      <c r="B23" s="161"/>
      <c r="C23" s="376">
        <v>31</v>
      </c>
      <c r="D23" s="376">
        <v>222095</v>
      </c>
      <c r="E23" s="376">
        <v>3670</v>
      </c>
      <c r="F23" s="377" t="s">
        <v>143</v>
      </c>
      <c r="G23" s="378">
        <v>201</v>
      </c>
      <c r="H23" s="377" t="s">
        <v>138</v>
      </c>
      <c r="I23" s="378">
        <v>77.96</v>
      </c>
      <c r="J23" s="378">
        <v>132</v>
      </c>
      <c r="K23" s="378">
        <v>18.47</v>
      </c>
      <c r="L23" s="201">
        <f aca="true" t="shared" si="0" ref="L23:L42">IF(K23&gt;25,K23,25)*IF(J23=220,(I23*$G$15/100)+(100-I23)/100*$G$17,(I23*$G$16/100)+(100-I23)/100*$G$18)/100</f>
        <v>15.144458800000002</v>
      </c>
      <c r="M23" s="454">
        <v>40317.29652777778</v>
      </c>
      <c r="N23" s="454">
        <v>40317.68263888889</v>
      </c>
      <c r="O23" s="75">
        <f aca="true" t="shared" si="1" ref="O23:O42">IF(F23="","",(N23-M23)*24)</f>
        <v>9.266666666662786</v>
      </c>
      <c r="P23" s="76">
        <f aca="true" t="shared" si="2" ref="P23:P42">IF(F23="","",ROUND((N23-M23)*24*60,0))</f>
        <v>556</v>
      </c>
      <c r="Q23" s="77" t="s">
        <v>135</v>
      </c>
      <c r="R23" s="78" t="str">
        <f aca="true" t="shared" si="3" ref="R23:R42">IF(F23="","","--")</f>
        <v>--</v>
      </c>
      <c r="S23" s="79">
        <f aca="true" t="shared" si="4" ref="S23:S42">IF(Q23="P",ROUND(P23/60,2)*L23*$N$17*0.01,"--")</f>
        <v>84.23347984560002</v>
      </c>
      <c r="T23" s="80" t="str">
        <f aca="true" t="shared" si="5" ref="T23:T42">IF(Q23="RP",$N$17*L23*R23/100*ROUND(P23/60,2)*0.01,"--")</f>
        <v>--</v>
      </c>
      <c r="U23" s="81" t="str">
        <f aca="true" t="shared" si="6" ref="U23:U42">IF(Q23="F",L23*$N$17,"--")</f>
        <v>--</v>
      </c>
      <c r="V23" s="82" t="str">
        <f aca="true" t="shared" si="7" ref="V23:V42">IF(AND(P23&gt;10,Q23="F"),IF(P23&gt;180,3,ROUND(P23/60,2))*L23*$N$17,"--")</f>
        <v>--</v>
      </c>
      <c r="W23" s="83" t="str">
        <f aca="true" t="shared" si="8" ref="W23:W42">IF(AND(P23&gt;180,Q23="F"),(ROUND(P23/60,2)-3)*L23*$N$17*0.1,"--")</f>
        <v>--</v>
      </c>
      <c r="X23" s="84" t="str">
        <f aca="true" t="shared" si="9" ref="X23:X42">IF(Q23="R",L23*$N$17*R23/100,"--")</f>
        <v>--</v>
      </c>
      <c r="Y23" s="85" t="str">
        <f aca="true" t="shared" si="10" ref="Y23:Y42">IF(AND(P23&gt;10,Q23="R"),IF(P23&gt;180,3,ROUND(P23/60,2))*L23*$N$17*R23/100,"--")</f>
        <v>--</v>
      </c>
      <c r="Z23" s="86" t="str">
        <f aca="true" t="shared" si="11" ref="Z23:Z42">IF(AND(P23&gt;180,Q23="R"),(ROUND(P23/60,2)-3)*L23*$N$17*0.1*R23/100,"--")</f>
        <v>--</v>
      </c>
      <c r="AA23" s="87" t="str">
        <f aca="true" t="shared" si="12" ref="AA23:AA42">IF(Q23="RF",ROUND(P23/60,2)*L23*$N$17*0.1,"--")</f>
        <v>--</v>
      </c>
      <c r="AB23" s="88" t="str">
        <f aca="true" t="shared" si="13" ref="AB23:AB42">IF(Q23="RR",ROUND(P23/60,2)*L23*$N$17*0.1*R23/100,"--")</f>
        <v>--</v>
      </c>
      <c r="AC23" s="370" t="s">
        <v>136</v>
      </c>
      <c r="AD23" s="214">
        <f aca="true" t="shared" si="14" ref="AD23:AD42">IF(F23="","",SUM(S23:AB23)*IF(AC23="SI",1,2))</f>
        <v>84.23347984560002</v>
      </c>
      <c r="AE23" s="162"/>
    </row>
    <row r="24" spans="2:31" ht="16.5" customHeight="1">
      <c r="B24" s="161"/>
      <c r="C24" s="376">
        <v>32</v>
      </c>
      <c r="D24" s="376">
        <v>222096</v>
      </c>
      <c r="E24" s="376">
        <v>3692</v>
      </c>
      <c r="F24" s="377" t="s">
        <v>154</v>
      </c>
      <c r="G24" s="378">
        <v>112</v>
      </c>
      <c r="H24" s="377" t="s">
        <v>134</v>
      </c>
      <c r="I24" s="378">
        <v>0</v>
      </c>
      <c r="J24" s="378">
        <v>132</v>
      </c>
      <c r="K24" s="378">
        <v>5.8</v>
      </c>
      <c r="L24" s="201">
        <f t="shared" si="0"/>
        <v>24.63375</v>
      </c>
      <c r="M24" s="454">
        <v>40317.3375</v>
      </c>
      <c r="N24" s="454">
        <v>40317.72361111111</v>
      </c>
      <c r="O24" s="75">
        <f t="shared" si="1"/>
        <v>9.266666666662786</v>
      </c>
      <c r="P24" s="76">
        <f t="shared" si="2"/>
        <v>556</v>
      </c>
      <c r="Q24" s="77" t="s">
        <v>135</v>
      </c>
      <c r="R24" s="78" t="str">
        <f t="shared" si="3"/>
        <v>--</v>
      </c>
      <c r="S24" s="79">
        <f t="shared" si="4"/>
        <v>137.0129175</v>
      </c>
      <c r="T24" s="80" t="str">
        <f t="shared" si="5"/>
        <v>--</v>
      </c>
      <c r="U24" s="81" t="str">
        <f t="shared" si="6"/>
        <v>--</v>
      </c>
      <c r="V24" s="82" t="str">
        <f t="shared" si="7"/>
        <v>--</v>
      </c>
      <c r="W24" s="83" t="str">
        <f t="shared" si="8"/>
        <v>--</v>
      </c>
      <c r="X24" s="84" t="str">
        <f t="shared" si="9"/>
        <v>--</v>
      </c>
      <c r="Y24" s="85" t="str">
        <f t="shared" si="10"/>
        <v>--</v>
      </c>
      <c r="Z24" s="86" t="str">
        <f t="shared" si="11"/>
        <v>--</v>
      </c>
      <c r="AA24" s="87" t="str">
        <f t="shared" si="12"/>
        <v>--</v>
      </c>
      <c r="AB24" s="88" t="str">
        <f t="shared" si="13"/>
        <v>--</v>
      </c>
      <c r="AC24" s="370" t="s">
        <v>136</v>
      </c>
      <c r="AD24" s="214">
        <f t="shared" si="14"/>
        <v>137.0129175</v>
      </c>
      <c r="AE24" s="162"/>
    </row>
    <row r="25" spans="2:31" ht="16.5" customHeight="1">
      <c r="B25" s="161"/>
      <c r="C25" s="376">
        <v>33</v>
      </c>
      <c r="D25" s="376">
        <v>222110</v>
      </c>
      <c r="E25" s="376">
        <v>1945</v>
      </c>
      <c r="F25" s="377" t="s">
        <v>146</v>
      </c>
      <c r="G25" s="378">
        <v>61</v>
      </c>
      <c r="H25" s="377" t="s">
        <v>138</v>
      </c>
      <c r="I25" s="378">
        <v>89</v>
      </c>
      <c r="J25" s="378">
        <v>220</v>
      </c>
      <c r="K25" s="378">
        <v>55</v>
      </c>
      <c r="L25" s="201">
        <f t="shared" si="0"/>
        <v>31.847282499999995</v>
      </c>
      <c r="M25" s="454">
        <v>40317.57083333333</v>
      </c>
      <c r="N25" s="454">
        <v>40317.592361111114</v>
      </c>
      <c r="O25" s="75">
        <f t="shared" si="1"/>
        <v>0.5166666667792015</v>
      </c>
      <c r="P25" s="76">
        <f t="shared" si="2"/>
        <v>31</v>
      </c>
      <c r="Q25" s="77" t="s">
        <v>137</v>
      </c>
      <c r="R25" s="78" t="str">
        <f t="shared" si="3"/>
        <v>--</v>
      </c>
      <c r="S25" s="79" t="str">
        <f t="shared" si="4"/>
        <v>--</v>
      </c>
      <c r="T25" s="80" t="str">
        <f t="shared" si="5"/>
        <v>--</v>
      </c>
      <c r="U25" s="81">
        <f t="shared" si="6"/>
        <v>1910.8369499999997</v>
      </c>
      <c r="V25" s="82">
        <f t="shared" si="7"/>
        <v>993.6352139999998</v>
      </c>
      <c r="W25" s="83" t="str">
        <f t="shared" si="8"/>
        <v>--</v>
      </c>
      <c r="X25" s="84" t="str">
        <f t="shared" si="9"/>
        <v>--</v>
      </c>
      <c r="Y25" s="85" t="str">
        <f t="shared" si="10"/>
        <v>--</v>
      </c>
      <c r="Z25" s="86" t="str">
        <f t="shared" si="11"/>
        <v>--</v>
      </c>
      <c r="AA25" s="87" t="str">
        <f t="shared" si="12"/>
        <v>--</v>
      </c>
      <c r="AB25" s="88" t="str">
        <f t="shared" si="13"/>
        <v>--</v>
      </c>
      <c r="AC25" s="370" t="s">
        <v>136</v>
      </c>
      <c r="AD25" s="214">
        <f t="shared" si="14"/>
        <v>2904.4721639999993</v>
      </c>
      <c r="AE25" s="162"/>
    </row>
    <row r="26" spans="2:31" ht="16.5" customHeight="1">
      <c r="B26" s="161"/>
      <c r="C26" s="376">
        <v>34</v>
      </c>
      <c r="D26" s="376">
        <v>222111</v>
      </c>
      <c r="E26" s="376">
        <v>1946</v>
      </c>
      <c r="F26" s="377" t="s">
        <v>146</v>
      </c>
      <c r="G26" s="378">
        <v>62</v>
      </c>
      <c r="H26" s="377" t="s">
        <v>138</v>
      </c>
      <c r="I26" s="378">
        <v>89</v>
      </c>
      <c r="J26" s="378">
        <v>220</v>
      </c>
      <c r="K26" s="378">
        <v>56</v>
      </c>
      <c r="L26" s="201">
        <f t="shared" si="0"/>
        <v>32.426323999999994</v>
      </c>
      <c r="M26" s="454">
        <v>40317.57083333333</v>
      </c>
      <c r="N26" s="454">
        <v>40317.8625</v>
      </c>
      <c r="O26" s="75">
        <f t="shared" si="1"/>
        <v>7.000000000116415</v>
      </c>
      <c r="P26" s="76">
        <f t="shared" si="2"/>
        <v>420</v>
      </c>
      <c r="Q26" s="77" t="s">
        <v>137</v>
      </c>
      <c r="R26" s="78" t="str">
        <f t="shared" si="3"/>
        <v>--</v>
      </c>
      <c r="S26" s="79" t="str">
        <f t="shared" si="4"/>
        <v>--</v>
      </c>
      <c r="T26" s="80" t="str">
        <f t="shared" si="5"/>
        <v>--</v>
      </c>
      <c r="U26" s="81">
        <f t="shared" si="6"/>
        <v>1945.5794399999995</v>
      </c>
      <c r="V26" s="82">
        <f t="shared" si="7"/>
        <v>5836.738319999999</v>
      </c>
      <c r="W26" s="83">
        <f t="shared" si="8"/>
        <v>778.2317759999999</v>
      </c>
      <c r="X26" s="84" t="str">
        <f t="shared" si="9"/>
        <v>--</v>
      </c>
      <c r="Y26" s="85" t="str">
        <f t="shared" si="10"/>
        <v>--</v>
      </c>
      <c r="Z26" s="86" t="str">
        <f t="shared" si="11"/>
        <v>--</v>
      </c>
      <c r="AA26" s="87" t="str">
        <f t="shared" si="12"/>
        <v>--</v>
      </c>
      <c r="AB26" s="88" t="str">
        <f t="shared" si="13"/>
        <v>--</v>
      </c>
      <c r="AC26" s="370" t="s">
        <v>136</v>
      </c>
      <c r="AD26" s="214">
        <f t="shared" si="14"/>
        <v>8560.549535999999</v>
      </c>
      <c r="AE26" s="162"/>
    </row>
    <row r="27" spans="2:31" ht="16.5" customHeight="1">
      <c r="B27" s="161"/>
      <c r="C27" s="376">
        <v>35</v>
      </c>
      <c r="D27" s="376">
        <v>222112</v>
      </c>
      <c r="E27" s="376">
        <v>1946</v>
      </c>
      <c r="F27" s="377" t="s">
        <v>179</v>
      </c>
      <c r="G27" s="378">
        <v>62</v>
      </c>
      <c r="H27" s="377" t="s">
        <v>142</v>
      </c>
      <c r="I27" s="378">
        <v>100</v>
      </c>
      <c r="J27" s="378">
        <v>220</v>
      </c>
      <c r="K27" s="378">
        <v>0.2</v>
      </c>
      <c r="L27" s="201">
        <f t="shared" si="0"/>
        <v>13.0415</v>
      </c>
      <c r="M27" s="454">
        <v>40318.1375</v>
      </c>
      <c r="N27" s="454">
        <v>40318.433333333334</v>
      </c>
      <c r="O27" s="75">
        <f t="shared" si="1"/>
        <v>7.100000000093132</v>
      </c>
      <c r="P27" s="76">
        <f t="shared" si="2"/>
        <v>426</v>
      </c>
      <c r="Q27" s="77" t="s">
        <v>137</v>
      </c>
      <c r="R27" s="78" t="str">
        <f t="shared" si="3"/>
        <v>--</v>
      </c>
      <c r="S27" s="79" t="str">
        <f t="shared" si="4"/>
        <v>--</v>
      </c>
      <c r="T27" s="80" t="str">
        <f t="shared" si="5"/>
        <v>--</v>
      </c>
      <c r="U27" s="81">
        <f t="shared" si="6"/>
        <v>782.49</v>
      </c>
      <c r="V27" s="82">
        <f t="shared" si="7"/>
        <v>2347.47</v>
      </c>
      <c r="W27" s="83">
        <f t="shared" si="8"/>
        <v>320.82089999999994</v>
      </c>
      <c r="X27" s="84" t="str">
        <f t="shared" si="9"/>
        <v>--</v>
      </c>
      <c r="Y27" s="85" t="str">
        <f t="shared" si="10"/>
        <v>--</v>
      </c>
      <c r="Z27" s="86" t="str">
        <f t="shared" si="11"/>
        <v>--</v>
      </c>
      <c r="AA27" s="87" t="str">
        <f t="shared" si="12"/>
        <v>--</v>
      </c>
      <c r="AB27" s="88" t="str">
        <f t="shared" si="13"/>
        <v>--</v>
      </c>
      <c r="AC27" s="370" t="s">
        <v>136</v>
      </c>
      <c r="AD27" s="214">
        <f t="shared" si="14"/>
        <v>3450.7808999999997</v>
      </c>
      <c r="AE27" s="162"/>
    </row>
    <row r="28" spans="2:31" ht="16.5" customHeight="1">
      <c r="B28" s="161"/>
      <c r="C28" s="376">
        <v>36</v>
      </c>
      <c r="D28" s="376">
        <v>222113</v>
      </c>
      <c r="E28" s="376">
        <v>4712</v>
      </c>
      <c r="F28" s="377" t="s">
        <v>155</v>
      </c>
      <c r="G28" s="378">
        <v>586</v>
      </c>
      <c r="H28" s="377" t="s">
        <v>138</v>
      </c>
      <c r="I28" s="378">
        <v>80.47</v>
      </c>
      <c r="J28" s="378">
        <v>132</v>
      </c>
      <c r="K28" s="378">
        <v>25.5</v>
      </c>
      <c r="L28" s="201">
        <f t="shared" si="0"/>
        <v>15.135720432000003</v>
      </c>
      <c r="M28" s="454">
        <v>40318.1375</v>
      </c>
      <c r="N28" s="454">
        <v>40318.30972222222</v>
      </c>
      <c r="O28" s="75">
        <f t="shared" si="1"/>
        <v>4.133333333360497</v>
      </c>
      <c r="P28" s="76">
        <f t="shared" si="2"/>
        <v>248</v>
      </c>
      <c r="Q28" s="77" t="s">
        <v>137</v>
      </c>
      <c r="R28" s="78" t="str">
        <f t="shared" si="3"/>
        <v>--</v>
      </c>
      <c r="S28" s="79" t="str">
        <f t="shared" si="4"/>
        <v>--</v>
      </c>
      <c r="T28" s="80" t="str">
        <f t="shared" si="5"/>
        <v>--</v>
      </c>
      <c r="U28" s="81">
        <f t="shared" si="6"/>
        <v>908.1432259200002</v>
      </c>
      <c r="V28" s="82">
        <f t="shared" si="7"/>
        <v>2724.4296777600007</v>
      </c>
      <c r="W28" s="83">
        <f t="shared" si="8"/>
        <v>102.62018452896002</v>
      </c>
      <c r="X28" s="84" t="str">
        <f t="shared" si="9"/>
        <v>--</v>
      </c>
      <c r="Y28" s="85" t="str">
        <f t="shared" si="10"/>
        <v>--</v>
      </c>
      <c r="Z28" s="86" t="str">
        <f t="shared" si="11"/>
        <v>--</v>
      </c>
      <c r="AA28" s="87" t="str">
        <f t="shared" si="12"/>
        <v>--</v>
      </c>
      <c r="AB28" s="88" t="str">
        <f t="shared" si="13"/>
        <v>--</v>
      </c>
      <c r="AC28" s="370" t="s">
        <v>136</v>
      </c>
      <c r="AD28" s="214">
        <f t="shared" si="14"/>
        <v>3735.193088208961</v>
      </c>
      <c r="AE28" s="162"/>
    </row>
    <row r="29" spans="2:31" ht="16.5" customHeight="1">
      <c r="B29" s="161"/>
      <c r="C29" s="376">
        <v>37</v>
      </c>
      <c r="D29" s="376">
        <v>222114</v>
      </c>
      <c r="E29" s="376">
        <v>1946</v>
      </c>
      <c r="F29" s="377" t="s">
        <v>180</v>
      </c>
      <c r="G29" s="378">
        <v>62</v>
      </c>
      <c r="H29" s="377" t="s">
        <v>134</v>
      </c>
      <c r="I29" s="378">
        <v>0</v>
      </c>
      <c r="J29" s="378">
        <v>220</v>
      </c>
      <c r="K29" s="378">
        <v>5.9</v>
      </c>
      <c r="L29" s="201">
        <f t="shared" si="0"/>
        <v>26.08275</v>
      </c>
      <c r="M29" s="454">
        <v>40318.433333333334</v>
      </c>
      <c r="N29" s="454">
        <v>40318.62847222222</v>
      </c>
      <c r="O29" s="75">
        <f t="shared" si="1"/>
        <v>4.68333333323244</v>
      </c>
      <c r="P29" s="76">
        <f t="shared" si="2"/>
        <v>281</v>
      </c>
      <c r="Q29" s="77" t="s">
        <v>135</v>
      </c>
      <c r="R29" s="78" t="str">
        <f t="shared" si="3"/>
        <v>--</v>
      </c>
      <c r="S29" s="79">
        <f t="shared" si="4"/>
        <v>73.24036199999999</v>
      </c>
      <c r="T29" s="80" t="str">
        <f t="shared" si="5"/>
        <v>--</v>
      </c>
      <c r="U29" s="81" t="str">
        <f t="shared" si="6"/>
        <v>--</v>
      </c>
      <c r="V29" s="82" t="str">
        <f t="shared" si="7"/>
        <v>--</v>
      </c>
      <c r="W29" s="83" t="str">
        <f t="shared" si="8"/>
        <v>--</v>
      </c>
      <c r="X29" s="84" t="str">
        <f t="shared" si="9"/>
        <v>--</v>
      </c>
      <c r="Y29" s="85" t="str">
        <f t="shared" si="10"/>
        <v>--</v>
      </c>
      <c r="Z29" s="86" t="str">
        <f t="shared" si="11"/>
        <v>--</v>
      </c>
      <c r="AA29" s="87" t="str">
        <f t="shared" si="12"/>
        <v>--</v>
      </c>
      <c r="AB29" s="88" t="str">
        <f t="shared" si="13"/>
        <v>--</v>
      </c>
      <c r="AC29" s="370" t="s">
        <v>136</v>
      </c>
      <c r="AD29" s="214">
        <f t="shared" si="14"/>
        <v>73.24036199999999</v>
      </c>
      <c r="AE29" s="162"/>
    </row>
    <row r="30" spans="2:31" ht="16.5" customHeight="1">
      <c r="B30" s="161"/>
      <c r="C30" s="376">
        <v>38</v>
      </c>
      <c r="D30" s="376">
        <v>222115</v>
      </c>
      <c r="E30" s="376">
        <v>1965</v>
      </c>
      <c r="F30" s="377" t="s">
        <v>152</v>
      </c>
      <c r="G30" s="378">
        <v>553</v>
      </c>
      <c r="H30" s="377" t="s">
        <v>142</v>
      </c>
      <c r="I30" s="378">
        <v>100</v>
      </c>
      <c r="J30" s="378">
        <v>132</v>
      </c>
      <c r="K30" s="378">
        <v>20.6</v>
      </c>
      <c r="L30" s="201">
        <f t="shared" si="0"/>
        <v>12.46175</v>
      </c>
      <c r="M30" s="454">
        <v>40321.95208333333</v>
      </c>
      <c r="N30" s="454">
        <v>40321.95416666667</v>
      </c>
      <c r="O30" s="75">
        <f t="shared" si="1"/>
        <v>0.05000000016298145</v>
      </c>
      <c r="P30" s="76">
        <f t="shared" si="2"/>
        <v>3</v>
      </c>
      <c r="Q30" s="77" t="s">
        <v>137</v>
      </c>
      <c r="R30" s="78" t="str">
        <f t="shared" si="3"/>
        <v>--</v>
      </c>
      <c r="S30" s="79" t="str">
        <f t="shared" si="4"/>
        <v>--</v>
      </c>
      <c r="T30" s="80" t="str">
        <f t="shared" si="5"/>
        <v>--</v>
      </c>
      <c r="U30" s="81">
        <f t="shared" si="6"/>
        <v>747.705</v>
      </c>
      <c r="V30" s="82" t="str">
        <f t="shared" si="7"/>
        <v>--</v>
      </c>
      <c r="W30" s="83" t="str">
        <f t="shared" si="8"/>
        <v>--</v>
      </c>
      <c r="X30" s="84" t="str">
        <f t="shared" si="9"/>
        <v>--</v>
      </c>
      <c r="Y30" s="85" t="str">
        <f t="shared" si="10"/>
        <v>--</v>
      </c>
      <c r="Z30" s="86" t="str">
        <f t="shared" si="11"/>
        <v>--</v>
      </c>
      <c r="AA30" s="87" t="str">
        <f t="shared" si="12"/>
        <v>--</v>
      </c>
      <c r="AB30" s="88" t="str">
        <f t="shared" si="13"/>
        <v>--</v>
      </c>
      <c r="AC30" s="370" t="s">
        <v>136</v>
      </c>
      <c r="AD30" s="214">
        <f t="shared" si="14"/>
        <v>747.705</v>
      </c>
      <c r="AE30" s="162"/>
    </row>
    <row r="31" spans="2:31" ht="16.5" customHeight="1">
      <c r="B31" s="161"/>
      <c r="C31" s="376">
        <v>39</v>
      </c>
      <c r="D31" s="376">
        <v>222285</v>
      </c>
      <c r="E31" s="376">
        <v>1972</v>
      </c>
      <c r="F31" s="377" t="s">
        <v>156</v>
      </c>
      <c r="G31" s="378">
        <v>588</v>
      </c>
      <c r="H31" s="377" t="s">
        <v>138</v>
      </c>
      <c r="I31" s="378">
        <v>88.16</v>
      </c>
      <c r="J31" s="378">
        <v>132</v>
      </c>
      <c r="K31" s="378">
        <v>16.9</v>
      </c>
      <c r="L31" s="201">
        <f t="shared" si="0"/>
        <v>13.902914800000001</v>
      </c>
      <c r="M31" s="454">
        <v>40323.055555555555</v>
      </c>
      <c r="N31" s="454">
        <v>40323.07847222222</v>
      </c>
      <c r="O31" s="75">
        <f t="shared" si="1"/>
        <v>0.5500000000465661</v>
      </c>
      <c r="P31" s="76">
        <f t="shared" si="2"/>
        <v>33</v>
      </c>
      <c r="Q31" s="77" t="s">
        <v>137</v>
      </c>
      <c r="R31" s="78" t="str">
        <f t="shared" si="3"/>
        <v>--</v>
      </c>
      <c r="S31" s="79" t="str">
        <f t="shared" si="4"/>
        <v>--</v>
      </c>
      <c r="T31" s="80" t="str">
        <f t="shared" si="5"/>
        <v>--</v>
      </c>
      <c r="U31" s="81">
        <f t="shared" si="6"/>
        <v>834.1748880000001</v>
      </c>
      <c r="V31" s="82">
        <f t="shared" si="7"/>
        <v>458.7961884000001</v>
      </c>
      <c r="W31" s="83" t="str">
        <f t="shared" si="8"/>
        <v>--</v>
      </c>
      <c r="X31" s="84" t="str">
        <f t="shared" si="9"/>
        <v>--</v>
      </c>
      <c r="Y31" s="85" t="str">
        <f t="shared" si="10"/>
        <v>--</v>
      </c>
      <c r="Z31" s="86" t="str">
        <f t="shared" si="11"/>
        <v>--</v>
      </c>
      <c r="AA31" s="87" t="str">
        <f t="shared" si="12"/>
        <v>--</v>
      </c>
      <c r="AB31" s="88" t="str">
        <f t="shared" si="13"/>
        <v>--</v>
      </c>
      <c r="AC31" s="370" t="s">
        <v>136</v>
      </c>
      <c r="AD31" s="214">
        <f t="shared" si="14"/>
        <v>1292.9710764000001</v>
      </c>
      <c r="AE31" s="162"/>
    </row>
    <row r="32" spans="2:31" ht="16.5" customHeight="1">
      <c r="B32" s="161"/>
      <c r="C32" s="376">
        <v>40</v>
      </c>
      <c r="D32" s="376">
        <v>222286</v>
      </c>
      <c r="E32" s="376">
        <v>3671</v>
      </c>
      <c r="F32" s="377" t="s">
        <v>157</v>
      </c>
      <c r="G32" s="378">
        <v>202</v>
      </c>
      <c r="H32" s="377" t="s">
        <v>138</v>
      </c>
      <c r="I32" s="378">
        <v>77.75</v>
      </c>
      <c r="J32" s="378">
        <v>132</v>
      </c>
      <c r="K32" s="378">
        <v>18.56</v>
      </c>
      <c r="L32" s="201">
        <f t="shared" si="0"/>
        <v>15.170020000000001</v>
      </c>
      <c r="M32" s="454">
        <v>40323.055555555555</v>
      </c>
      <c r="N32" s="454">
        <v>40323.07847222222</v>
      </c>
      <c r="O32" s="75">
        <f t="shared" si="1"/>
        <v>0.5500000000465661</v>
      </c>
      <c r="P32" s="76">
        <f t="shared" si="2"/>
        <v>33</v>
      </c>
      <c r="Q32" s="77" t="s">
        <v>137</v>
      </c>
      <c r="R32" s="78" t="str">
        <f t="shared" si="3"/>
        <v>--</v>
      </c>
      <c r="S32" s="79" t="str">
        <f t="shared" si="4"/>
        <v>--</v>
      </c>
      <c r="T32" s="80" t="str">
        <f t="shared" si="5"/>
        <v>--</v>
      </c>
      <c r="U32" s="81">
        <f t="shared" si="6"/>
        <v>910.2012000000001</v>
      </c>
      <c r="V32" s="82">
        <f t="shared" si="7"/>
        <v>500.61066000000005</v>
      </c>
      <c r="W32" s="83" t="str">
        <f t="shared" si="8"/>
        <v>--</v>
      </c>
      <c r="X32" s="84" t="str">
        <f t="shared" si="9"/>
        <v>--</v>
      </c>
      <c r="Y32" s="85" t="str">
        <f t="shared" si="10"/>
        <v>--</v>
      </c>
      <c r="Z32" s="86" t="str">
        <f t="shared" si="11"/>
        <v>--</v>
      </c>
      <c r="AA32" s="87" t="str">
        <f t="shared" si="12"/>
        <v>--</v>
      </c>
      <c r="AB32" s="88" t="str">
        <f t="shared" si="13"/>
        <v>--</v>
      </c>
      <c r="AC32" s="370" t="s">
        <v>136</v>
      </c>
      <c r="AD32" s="214">
        <f t="shared" si="14"/>
        <v>1410.8118600000003</v>
      </c>
      <c r="AE32" s="162"/>
    </row>
    <row r="33" spans="2:31" ht="16.5" customHeight="1">
      <c r="B33" s="161"/>
      <c r="C33" s="376">
        <v>41</v>
      </c>
      <c r="D33" s="376">
        <v>222287</v>
      </c>
      <c r="E33" s="376">
        <v>4711</v>
      </c>
      <c r="F33" s="377" t="s">
        <v>158</v>
      </c>
      <c r="G33" s="378">
        <v>585</v>
      </c>
      <c r="H33" s="377" t="s">
        <v>138</v>
      </c>
      <c r="I33" s="378">
        <v>79.59</v>
      </c>
      <c r="J33" s="378">
        <v>132</v>
      </c>
      <c r="K33" s="378">
        <v>24.5</v>
      </c>
      <c r="L33" s="201">
        <f t="shared" si="0"/>
        <v>14.9460552</v>
      </c>
      <c r="M33" s="454">
        <v>40324.99166666667</v>
      </c>
      <c r="N33" s="454">
        <v>40324.993055555555</v>
      </c>
      <c r="O33" s="75">
        <f t="shared" si="1"/>
        <v>0.03333333326736465</v>
      </c>
      <c r="P33" s="76">
        <f t="shared" si="2"/>
        <v>2</v>
      </c>
      <c r="Q33" s="77" t="s">
        <v>137</v>
      </c>
      <c r="R33" s="78" t="str">
        <f t="shared" si="3"/>
        <v>--</v>
      </c>
      <c r="S33" s="79" t="str">
        <f t="shared" si="4"/>
        <v>--</v>
      </c>
      <c r="T33" s="80" t="str">
        <f t="shared" si="5"/>
        <v>--</v>
      </c>
      <c r="U33" s="81">
        <f t="shared" si="6"/>
        <v>896.763312</v>
      </c>
      <c r="V33" s="82" t="str">
        <f t="shared" si="7"/>
        <v>--</v>
      </c>
      <c r="W33" s="83" t="str">
        <f t="shared" si="8"/>
        <v>--</v>
      </c>
      <c r="X33" s="84" t="str">
        <f t="shared" si="9"/>
        <v>--</v>
      </c>
      <c r="Y33" s="85" t="str">
        <f t="shared" si="10"/>
        <v>--</v>
      </c>
      <c r="Z33" s="86" t="str">
        <f t="shared" si="11"/>
        <v>--</v>
      </c>
      <c r="AA33" s="87" t="str">
        <f t="shared" si="12"/>
        <v>--</v>
      </c>
      <c r="AB33" s="88" t="str">
        <f t="shared" si="13"/>
        <v>--</v>
      </c>
      <c r="AC33" s="370" t="s">
        <v>136</v>
      </c>
      <c r="AD33" s="214">
        <f t="shared" si="14"/>
        <v>896.763312</v>
      </c>
      <c r="AE33" s="162"/>
    </row>
    <row r="34" spans="2:31" ht="16.5" customHeight="1">
      <c r="B34" s="161"/>
      <c r="C34" s="376">
        <v>42</v>
      </c>
      <c r="D34" s="376">
        <v>222288</v>
      </c>
      <c r="E34" s="376">
        <v>4712</v>
      </c>
      <c r="F34" s="377" t="s">
        <v>155</v>
      </c>
      <c r="G34" s="378">
        <v>586</v>
      </c>
      <c r="H34" s="377" t="s">
        <v>138</v>
      </c>
      <c r="I34" s="378">
        <v>80.47</v>
      </c>
      <c r="J34" s="378">
        <v>132</v>
      </c>
      <c r="K34" s="378">
        <v>25.6</v>
      </c>
      <c r="L34" s="201">
        <f t="shared" si="0"/>
        <v>15.195076198400002</v>
      </c>
      <c r="M34" s="454">
        <v>40324.99166666667</v>
      </c>
      <c r="N34" s="454">
        <v>40324.993055555555</v>
      </c>
      <c r="O34" s="75">
        <f t="shared" si="1"/>
        <v>0.03333333326736465</v>
      </c>
      <c r="P34" s="76">
        <f t="shared" si="2"/>
        <v>2</v>
      </c>
      <c r="Q34" s="77" t="s">
        <v>137</v>
      </c>
      <c r="R34" s="78" t="str">
        <f t="shared" si="3"/>
        <v>--</v>
      </c>
      <c r="S34" s="79" t="str">
        <f t="shared" si="4"/>
        <v>--</v>
      </c>
      <c r="T34" s="80" t="str">
        <f t="shared" si="5"/>
        <v>--</v>
      </c>
      <c r="U34" s="81">
        <f t="shared" si="6"/>
        <v>911.7045719040002</v>
      </c>
      <c r="V34" s="82" t="str">
        <f t="shared" si="7"/>
        <v>--</v>
      </c>
      <c r="W34" s="83" t="str">
        <f t="shared" si="8"/>
        <v>--</v>
      </c>
      <c r="X34" s="84" t="str">
        <f t="shared" si="9"/>
        <v>--</v>
      </c>
      <c r="Y34" s="85" t="str">
        <f t="shared" si="10"/>
        <v>--</v>
      </c>
      <c r="Z34" s="86" t="str">
        <f t="shared" si="11"/>
        <v>--</v>
      </c>
      <c r="AA34" s="87" t="str">
        <f t="shared" si="12"/>
        <v>--</v>
      </c>
      <c r="AB34" s="88" t="str">
        <f t="shared" si="13"/>
        <v>--</v>
      </c>
      <c r="AC34" s="370" t="s">
        <v>136</v>
      </c>
      <c r="AD34" s="214">
        <f t="shared" si="14"/>
        <v>911.7045719040002</v>
      </c>
      <c r="AE34" s="162"/>
    </row>
    <row r="35" spans="2:31" ht="16.5" customHeight="1">
      <c r="B35" s="161"/>
      <c r="C35" s="376">
        <v>43</v>
      </c>
      <c r="D35" s="376">
        <v>222289</v>
      </c>
      <c r="E35" s="376">
        <v>1956</v>
      </c>
      <c r="F35" s="377" t="s">
        <v>150</v>
      </c>
      <c r="G35" s="378">
        <v>333</v>
      </c>
      <c r="H35" s="377" t="s">
        <v>134</v>
      </c>
      <c r="I35" s="378">
        <v>0</v>
      </c>
      <c r="J35" s="378">
        <v>132</v>
      </c>
      <c r="K35" s="378">
        <v>14.9</v>
      </c>
      <c r="L35" s="201">
        <f t="shared" si="0"/>
        <v>24.63375</v>
      </c>
      <c r="M35" s="454">
        <v>40325.475</v>
      </c>
      <c r="N35" s="454">
        <v>40325.74166666667</v>
      </c>
      <c r="O35" s="75">
        <f t="shared" si="1"/>
        <v>6.400000000081491</v>
      </c>
      <c r="P35" s="76">
        <f t="shared" si="2"/>
        <v>384</v>
      </c>
      <c r="Q35" s="77" t="s">
        <v>137</v>
      </c>
      <c r="R35" s="78" t="str">
        <f t="shared" si="3"/>
        <v>--</v>
      </c>
      <c r="S35" s="79" t="str">
        <f t="shared" si="4"/>
        <v>--</v>
      </c>
      <c r="T35" s="80" t="str">
        <f t="shared" si="5"/>
        <v>--</v>
      </c>
      <c r="U35" s="81">
        <f t="shared" si="6"/>
        <v>1478.0249999999999</v>
      </c>
      <c r="V35" s="82">
        <f t="shared" si="7"/>
        <v>4434.075000000001</v>
      </c>
      <c r="W35" s="83">
        <f t="shared" si="8"/>
        <v>502.5285</v>
      </c>
      <c r="X35" s="84" t="str">
        <f t="shared" si="9"/>
        <v>--</v>
      </c>
      <c r="Y35" s="85" t="str">
        <f t="shared" si="10"/>
        <v>--</v>
      </c>
      <c r="Z35" s="86" t="str">
        <f t="shared" si="11"/>
        <v>--</v>
      </c>
      <c r="AA35" s="87" t="str">
        <f t="shared" si="12"/>
        <v>--</v>
      </c>
      <c r="AB35" s="88" t="str">
        <f t="shared" si="13"/>
        <v>--</v>
      </c>
      <c r="AC35" s="370" t="s">
        <v>136</v>
      </c>
      <c r="AD35" s="214">
        <f t="shared" si="14"/>
        <v>6414.628500000001</v>
      </c>
      <c r="AE35" s="162"/>
    </row>
    <row r="36" spans="2:31" ht="16.5" customHeight="1">
      <c r="B36" s="161"/>
      <c r="C36" s="376">
        <v>44</v>
      </c>
      <c r="D36" s="376">
        <v>222290</v>
      </c>
      <c r="E36" s="376">
        <v>3544</v>
      </c>
      <c r="F36" s="377" t="s">
        <v>159</v>
      </c>
      <c r="G36" s="378">
        <v>334</v>
      </c>
      <c r="H36" s="377" t="s">
        <v>134</v>
      </c>
      <c r="I36" s="378">
        <v>0</v>
      </c>
      <c r="J36" s="378">
        <v>132</v>
      </c>
      <c r="K36" s="378">
        <v>14.9</v>
      </c>
      <c r="L36" s="201">
        <f t="shared" si="0"/>
        <v>24.63375</v>
      </c>
      <c r="M36" s="454">
        <v>40325.74444444444</v>
      </c>
      <c r="N36" s="454">
        <v>40325.91180555556</v>
      </c>
      <c r="O36" s="75">
        <f t="shared" si="1"/>
        <v>4.016666666837409</v>
      </c>
      <c r="P36" s="76">
        <f t="shared" si="2"/>
        <v>241</v>
      </c>
      <c r="Q36" s="77" t="s">
        <v>137</v>
      </c>
      <c r="R36" s="78" t="str">
        <f t="shared" si="3"/>
        <v>--</v>
      </c>
      <c r="S36" s="79" t="str">
        <f t="shared" si="4"/>
        <v>--</v>
      </c>
      <c r="T36" s="80" t="str">
        <f t="shared" si="5"/>
        <v>--</v>
      </c>
      <c r="U36" s="81">
        <f t="shared" si="6"/>
        <v>1478.0249999999999</v>
      </c>
      <c r="V36" s="82">
        <f t="shared" si="7"/>
        <v>4434.075000000001</v>
      </c>
      <c r="W36" s="83">
        <f t="shared" si="8"/>
        <v>150.75854999999993</v>
      </c>
      <c r="X36" s="84" t="str">
        <f t="shared" si="9"/>
        <v>--</v>
      </c>
      <c r="Y36" s="85" t="str">
        <f t="shared" si="10"/>
        <v>--</v>
      </c>
      <c r="Z36" s="86" t="str">
        <f t="shared" si="11"/>
        <v>--</v>
      </c>
      <c r="AA36" s="87" t="str">
        <f t="shared" si="12"/>
        <v>--</v>
      </c>
      <c r="AB36" s="88" t="str">
        <f t="shared" si="13"/>
        <v>--</v>
      </c>
      <c r="AC36" s="370" t="s">
        <v>136</v>
      </c>
      <c r="AD36" s="214">
        <f t="shared" si="14"/>
        <v>6062.85855</v>
      </c>
      <c r="AE36" s="162"/>
    </row>
    <row r="37" spans="2:31" ht="16.5" customHeight="1">
      <c r="B37" s="161"/>
      <c r="C37" s="376">
        <v>45</v>
      </c>
      <c r="D37" s="376">
        <v>222291</v>
      </c>
      <c r="E37" s="376">
        <v>1950</v>
      </c>
      <c r="F37" s="377" t="s">
        <v>160</v>
      </c>
      <c r="G37" s="378">
        <v>106</v>
      </c>
      <c r="H37" s="377" t="s">
        <v>134</v>
      </c>
      <c r="I37" s="378">
        <v>0</v>
      </c>
      <c r="J37" s="378">
        <v>132</v>
      </c>
      <c r="K37" s="378">
        <v>5</v>
      </c>
      <c r="L37" s="201">
        <f t="shared" si="0"/>
        <v>24.63375</v>
      </c>
      <c r="M37" s="454">
        <v>40327.268055555556</v>
      </c>
      <c r="N37" s="454">
        <v>40327.66875</v>
      </c>
      <c r="O37" s="75">
        <f t="shared" si="1"/>
        <v>9.616666666581295</v>
      </c>
      <c r="P37" s="76">
        <f t="shared" si="2"/>
        <v>577</v>
      </c>
      <c r="Q37" s="77" t="s">
        <v>135</v>
      </c>
      <c r="R37" s="78" t="str">
        <f t="shared" si="3"/>
        <v>--</v>
      </c>
      <c r="S37" s="79">
        <f t="shared" si="4"/>
        <v>142.186005</v>
      </c>
      <c r="T37" s="80" t="str">
        <f t="shared" si="5"/>
        <v>--</v>
      </c>
      <c r="U37" s="81" t="str">
        <f t="shared" si="6"/>
        <v>--</v>
      </c>
      <c r="V37" s="82" t="str">
        <f t="shared" si="7"/>
        <v>--</v>
      </c>
      <c r="W37" s="83" t="str">
        <f t="shared" si="8"/>
        <v>--</v>
      </c>
      <c r="X37" s="84" t="str">
        <f t="shared" si="9"/>
        <v>--</v>
      </c>
      <c r="Y37" s="85" t="str">
        <f t="shared" si="10"/>
        <v>--</v>
      </c>
      <c r="Z37" s="86" t="str">
        <f t="shared" si="11"/>
        <v>--</v>
      </c>
      <c r="AA37" s="87" t="str">
        <f t="shared" si="12"/>
        <v>--</v>
      </c>
      <c r="AB37" s="88" t="str">
        <f t="shared" si="13"/>
        <v>--</v>
      </c>
      <c r="AC37" s="370" t="s">
        <v>136</v>
      </c>
      <c r="AD37" s="214">
        <f t="shared" si="14"/>
        <v>142.186005</v>
      </c>
      <c r="AE37" s="162"/>
    </row>
    <row r="38" spans="2:31" ht="16.5" customHeight="1">
      <c r="B38" s="161"/>
      <c r="C38" s="376">
        <v>46</v>
      </c>
      <c r="D38" s="376">
        <v>222292</v>
      </c>
      <c r="E38" s="376">
        <v>1951</v>
      </c>
      <c r="F38" s="377" t="s">
        <v>182</v>
      </c>
      <c r="G38" s="378">
        <v>107</v>
      </c>
      <c r="H38" s="377" t="s">
        <v>134</v>
      </c>
      <c r="I38" s="378">
        <v>0</v>
      </c>
      <c r="J38" s="378">
        <v>132</v>
      </c>
      <c r="K38" s="378">
        <v>5</v>
      </c>
      <c r="L38" s="201">
        <f t="shared" si="0"/>
        <v>24.63375</v>
      </c>
      <c r="M38" s="454">
        <v>40328.38263888889</v>
      </c>
      <c r="N38" s="454">
        <v>40328.55069444444</v>
      </c>
      <c r="O38" s="75">
        <f>IF(F38="","",(N38-M38)*24)</f>
        <v>4.033333333209157</v>
      </c>
      <c r="P38" s="76">
        <f>IF(F38="","",ROUND((N38-M38)*24*60,0))</f>
        <v>242</v>
      </c>
      <c r="Q38" s="77" t="s">
        <v>135</v>
      </c>
      <c r="R38" s="78" t="str">
        <f t="shared" si="3"/>
        <v>--</v>
      </c>
      <c r="S38" s="79">
        <f t="shared" si="4"/>
        <v>59.5644075</v>
      </c>
      <c r="T38" s="80" t="str">
        <f t="shared" si="5"/>
        <v>--</v>
      </c>
      <c r="U38" s="81" t="str">
        <f t="shared" si="6"/>
        <v>--</v>
      </c>
      <c r="V38" s="82" t="str">
        <f t="shared" si="7"/>
        <v>--</v>
      </c>
      <c r="W38" s="83" t="str">
        <f t="shared" si="8"/>
        <v>--</v>
      </c>
      <c r="X38" s="84" t="str">
        <f t="shared" si="9"/>
        <v>--</v>
      </c>
      <c r="Y38" s="85" t="str">
        <f t="shared" si="10"/>
        <v>--</v>
      </c>
      <c r="Z38" s="86" t="str">
        <f t="shared" si="11"/>
        <v>--</v>
      </c>
      <c r="AA38" s="87" t="str">
        <f t="shared" si="12"/>
        <v>--</v>
      </c>
      <c r="AB38" s="88" t="str">
        <f t="shared" si="13"/>
        <v>--</v>
      </c>
      <c r="AC38" s="370" t="s">
        <v>136</v>
      </c>
      <c r="AD38" s="214">
        <f t="shared" si="14"/>
        <v>59.5644075</v>
      </c>
      <c r="AE38" s="162"/>
    </row>
    <row r="39" spans="2:31" ht="16.5" customHeight="1">
      <c r="B39" s="161"/>
      <c r="C39" s="376">
        <v>47</v>
      </c>
      <c r="D39" s="376">
        <v>222293</v>
      </c>
      <c r="E39" s="376">
        <v>1220</v>
      </c>
      <c r="F39" s="377" t="s">
        <v>161</v>
      </c>
      <c r="G39" s="378">
        <v>441</v>
      </c>
      <c r="H39" s="377" t="s">
        <v>134</v>
      </c>
      <c r="I39" s="378">
        <v>0</v>
      </c>
      <c r="J39" s="378">
        <v>132</v>
      </c>
      <c r="K39" s="378">
        <v>4.7</v>
      </c>
      <c r="L39" s="201">
        <f t="shared" si="0"/>
        <v>24.63375</v>
      </c>
      <c r="M39" s="454">
        <v>40328.38263888889</v>
      </c>
      <c r="N39" s="454">
        <v>40328.55069444444</v>
      </c>
      <c r="O39" s="75">
        <f t="shared" si="1"/>
        <v>4.033333333209157</v>
      </c>
      <c r="P39" s="76">
        <f t="shared" si="2"/>
        <v>242</v>
      </c>
      <c r="Q39" s="77" t="s">
        <v>135</v>
      </c>
      <c r="R39" s="78" t="str">
        <f t="shared" si="3"/>
        <v>--</v>
      </c>
      <c r="S39" s="79">
        <f t="shared" si="4"/>
        <v>59.5644075</v>
      </c>
      <c r="T39" s="80" t="str">
        <f t="shared" si="5"/>
        <v>--</v>
      </c>
      <c r="U39" s="81" t="str">
        <f t="shared" si="6"/>
        <v>--</v>
      </c>
      <c r="V39" s="82" t="str">
        <f t="shared" si="7"/>
        <v>--</v>
      </c>
      <c r="W39" s="83" t="str">
        <f t="shared" si="8"/>
        <v>--</v>
      </c>
      <c r="X39" s="84" t="str">
        <f t="shared" si="9"/>
        <v>--</v>
      </c>
      <c r="Y39" s="85" t="str">
        <f t="shared" si="10"/>
        <v>--</v>
      </c>
      <c r="Z39" s="86" t="str">
        <f t="shared" si="11"/>
        <v>--</v>
      </c>
      <c r="AA39" s="87" t="str">
        <f t="shared" si="12"/>
        <v>--</v>
      </c>
      <c r="AB39" s="88" t="str">
        <f t="shared" si="13"/>
        <v>--</v>
      </c>
      <c r="AC39" s="370" t="s">
        <v>136</v>
      </c>
      <c r="AD39" s="214">
        <f t="shared" si="14"/>
        <v>59.5644075</v>
      </c>
      <c r="AE39" s="162"/>
    </row>
    <row r="40" spans="2:31" ht="16.5" customHeight="1">
      <c r="B40" s="215"/>
      <c r="C40" s="376">
        <v>48</v>
      </c>
      <c r="D40" s="376">
        <v>222363</v>
      </c>
      <c r="E40" s="376">
        <v>1957</v>
      </c>
      <c r="F40" s="377" t="s">
        <v>181</v>
      </c>
      <c r="G40" s="378">
        <v>338</v>
      </c>
      <c r="H40" s="377" t="s">
        <v>134</v>
      </c>
      <c r="I40" s="378">
        <v>0</v>
      </c>
      <c r="J40" s="378">
        <v>132</v>
      </c>
      <c r="K40" s="378">
        <v>10.42</v>
      </c>
      <c r="L40" s="201">
        <f t="shared" si="0"/>
        <v>24.63375</v>
      </c>
      <c r="M40" s="454">
        <v>40329.24444444444</v>
      </c>
      <c r="N40" s="454">
        <v>40329.415972222225</v>
      </c>
      <c r="O40" s="75">
        <f>IF(F40="","",(N40-M40)*24)</f>
        <v>4.116666666814126</v>
      </c>
      <c r="P40" s="76">
        <f>IF(F40="","",ROUND((N40-M40)*24*60,0))</f>
        <v>247</v>
      </c>
      <c r="Q40" s="77" t="s">
        <v>137</v>
      </c>
      <c r="R40" s="78" t="str">
        <f t="shared" si="3"/>
        <v>--</v>
      </c>
      <c r="S40" s="79" t="str">
        <f t="shared" si="4"/>
        <v>--</v>
      </c>
      <c r="T40" s="80" t="str">
        <f t="shared" si="5"/>
        <v>--</v>
      </c>
      <c r="U40" s="81">
        <f t="shared" si="6"/>
        <v>1478.0249999999999</v>
      </c>
      <c r="V40" s="82">
        <f t="shared" si="7"/>
        <v>4434.075000000001</v>
      </c>
      <c r="W40" s="83">
        <f t="shared" si="8"/>
        <v>165.5388</v>
      </c>
      <c r="X40" s="84" t="str">
        <f t="shared" si="9"/>
        <v>--</v>
      </c>
      <c r="Y40" s="85" t="str">
        <f t="shared" si="10"/>
        <v>--</v>
      </c>
      <c r="Z40" s="86" t="str">
        <f t="shared" si="11"/>
        <v>--</v>
      </c>
      <c r="AA40" s="87" t="str">
        <f t="shared" si="12"/>
        <v>--</v>
      </c>
      <c r="AB40" s="88" t="str">
        <f t="shared" si="13"/>
        <v>--</v>
      </c>
      <c r="AC40" s="370" t="s">
        <v>136</v>
      </c>
      <c r="AD40" s="214">
        <f t="shared" si="14"/>
        <v>6077.638800000001</v>
      </c>
      <c r="AE40" s="162"/>
    </row>
    <row r="41" spans="2:31" ht="16.5" customHeight="1">
      <c r="B41" s="215"/>
      <c r="C41" s="376"/>
      <c r="D41" s="376"/>
      <c r="E41" s="376"/>
      <c r="F41" s="377"/>
      <c r="G41" s="378"/>
      <c r="H41" s="377"/>
      <c r="I41" s="378"/>
      <c r="J41" s="378"/>
      <c r="K41" s="378"/>
      <c r="L41" s="201">
        <f t="shared" si="0"/>
        <v>24.63375</v>
      </c>
      <c r="M41" s="454"/>
      <c r="N41" s="454"/>
      <c r="O41" s="75">
        <f t="shared" si="1"/>
      </c>
      <c r="P41" s="76">
        <f t="shared" si="2"/>
      </c>
      <c r="Q41" s="77"/>
      <c r="R41" s="78">
        <f t="shared" si="3"/>
      </c>
      <c r="S41" s="79" t="str">
        <f t="shared" si="4"/>
        <v>--</v>
      </c>
      <c r="T41" s="80" t="str">
        <f t="shared" si="5"/>
        <v>--</v>
      </c>
      <c r="U41" s="81" t="str">
        <f t="shared" si="6"/>
        <v>--</v>
      </c>
      <c r="V41" s="82" t="str">
        <f t="shared" si="7"/>
        <v>--</v>
      </c>
      <c r="W41" s="83" t="str">
        <f t="shared" si="8"/>
        <v>--</v>
      </c>
      <c r="X41" s="84" t="str">
        <f t="shared" si="9"/>
        <v>--</v>
      </c>
      <c r="Y41" s="85" t="str">
        <f t="shared" si="10"/>
        <v>--</v>
      </c>
      <c r="Z41" s="86" t="str">
        <f t="shared" si="11"/>
        <v>--</v>
      </c>
      <c r="AA41" s="87" t="str">
        <f t="shared" si="12"/>
        <v>--</v>
      </c>
      <c r="AB41" s="88" t="str">
        <f t="shared" si="13"/>
        <v>--</v>
      </c>
      <c r="AC41" s="370" t="str">
        <f>IF(F41=""," ","SI")</f>
        <v> </v>
      </c>
      <c r="AD41" s="214">
        <f t="shared" si="14"/>
      </c>
      <c r="AE41" s="162"/>
    </row>
    <row r="42" spans="2:31" ht="16.5" customHeight="1">
      <c r="B42" s="215"/>
      <c r="C42" s="376"/>
      <c r="D42" s="376"/>
      <c r="E42" s="376"/>
      <c r="F42" s="377"/>
      <c r="G42" s="378"/>
      <c r="H42" s="377"/>
      <c r="I42" s="378"/>
      <c r="J42" s="378"/>
      <c r="K42" s="383"/>
      <c r="L42" s="201">
        <f t="shared" si="0"/>
        <v>24.63375</v>
      </c>
      <c r="M42" s="454"/>
      <c r="N42" s="454"/>
      <c r="O42" s="75">
        <f t="shared" si="1"/>
      </c>
      <c r="P42" s="76">
        <f t="shared" si="2"/>
      </c>
      <c r="Q42" s="77"/>
      <c r="R42" s="78">
        <f t="shared" si="3"/>
      </c>
      <c r="S42" s="79" t="str">
        <f t="shared" si="4"/>
        <v>--</v>
      </c>
      <c r="T42" s="80" t="str">
        <f t="shared" si="5"/>
        <v>--</v>
      </c>
      <c r="U42" s="81" t="str">
        <f t="shared" si="6"/>
        <v>--</v>
      </c>
      <c r="V42" s="82" t="str">
        <f t="shared" si="7"/>
        <v>--</v>
      </c>
      <c r="W42" s="83" t="str">
        <f t="shared" si="8"/>
        <v>--</v>
      </c>
      <c r="X42" s="84" t="str">
        <f t="shared" si="9"/>
        <v>--</v>
      </c>
      <c r="Y42" s="85" t="str">
        <f t="shared" si="10"/>
        <v>--</v>
      </c>
      <c r="Z42" s="86" t="str">
        <f t="shared" si="11"/>
        <v>--</v>
      </c>
      <c r="AA42" s="87" t="str">
        <f t="shared" si="12"/>
        <v>--</v>
      </c>
      <c r="AB42" s="88" t="str">
        <f t="shared" si="13"/>
        <v>--</v>
      </c>
      <c r="AC42" s="370" t="str">
        <f>IF(F42=""," ","SI")</f>
        <v> </v>
      </c>
      <c r="AD42" s="214">
        <f t="shared" si="14"/>
      </c>
      <c r="AE42" s="162"/>
    </row>
    <row r="43" spans="2:31" ht="16.5" customHeight="1" thickBot="1">
      <c r="B43" s="161"/>
      <c r="C43" s="379"/>
      <c r="D43" s="379"/>
      <c r="E43" s="379"/>
      <c r="F43" s="380"/>
      <c r="G43" s="380"/>
      <c r="H43" s="380"/>
      <c r="I43" s="381"/>
      <c r="J43" s="382"/>
      <c r="K43" s="384"/>
      <c r="L43" s="89"/>
      <c r="M43" s="425"/>
      <c r="N43" s="425"/>
      <c r="O43" s="90"/>
      <c r="P43" s="90"/>
      <c r="Q43" s="385"/>
      <c r="R43" s="386"/>
      <c r="S43" s="387"/>
      <c r="T43" s="388"/>
      <c r="U43" s="389"/>
      <c r="V43" s="390"/>
      <c r="W43" s="391"/>
      <c r="X43" s="392"/>
      <c r="Y43" s="393"/>
      <c r="Z43" s="394"/>
      <c r="AA43" s="395"/>
      <c r="AB43" s="396"/>
      <c r="AC43" s="397"/>
      <c r="AD43" s="216"/>
      <c r="AE43" s="162"/>
    </row>
    <row r="44" spans="2:31" ht="16.5" customHeight="1" thickBot="1" thickTop="1">
      <c r="B44" s="161"/>
      <c r="C44" s="217" t="s">
        <v>33</v>
      </c>
      <c r="D44" s="457" t="s">
        <v>185</v>
      </c>
      <c r="E44" s="98"/>
      <c r="F44" s="91"/>
      <c r="G44" s="60"/>
      <c r="H44" s="60"/>
      <c r="I44" s="60"/>
      <c r="J44" s="60"/>
      <c r="K44" s="61"/>
      <c r="L44" s="92"/>
      <c r="M44" s="92"/>
      <c r="N44" s="92"/>
      <c r="O44" s="92"/>
      <c r="P44" s="92"/>
      <c r="Q44" s="93"/>
      <c r="R44" s="94"/>
      <c r="S44" s="218">
        <f aca="true" t="shared" si="15" ref="S44:AB44">SUM(S21:S43)</f>
        <v>555.8015793456</v>
      </c>
      <c r="T44" s="219">
        <f t="shared" si="15"/>
        <v>0</v>
      </c>
      <c r="U44" s="95">
        <f t="shared" si="15"/>
        <v>14281.673587823998</v>
      </c>
      <c r="V44" s="95">
        <f t="shared" si="15"/>
        <v>26163.905060160003</v>
      </c>
      <c r="W44" s="220">
        <f t="shared" si="15"/>
        <v>2020.49871052896</v>
      </c>
      <c r="X44" s="96">
        <f t="shared" si="15"/>
        <v>0</v>
      </c>
      <c r="Y44" s="96">
        <f t="shared" si="15"/>
        <v>0</v>
      </c>
      <c r="Z44" s="221">
        <f t="shared" si="15"/>
        <v>0</v>
      </c>
      <c r="AA44" s="222">
        <f t="shared" si="15"/>
        <v>0</v>
      </c>
      <c r="AB44" s="223">
        <f t="shared" si="15"/>
        <v>0</v>
      </c>
      <c r="AC44" s="224"/>
      <c r="AD44" s="225">
        <f>SUM(AD21:AD43)</f>
        <v>93017.13646733515</v>
      </c>
      <c r="AE44" s="226"/>
    </row>
    <row r="45" spans="2:31" s="233" customFormat="1" ht="9.75" thickTop="1">
      <c r="B45" s="227"/>
      <c r="C45" s="228"/>
      <c r="D45" s="228"/>
      <c r="E45" s="228"/>
      <c r="F45" s="97"/>
      <c r="G45" s="98"/>
      <c r="H45" s="98"/>
      <c r="I45" s="98"/>
      <c r="J45" s="98"/>
      <c r="K45" s="99"/>
      <c r="L45" s="100"/>
      <c r="M45" s="100"/>
      <c r="N45" s="100"/>
      <c r="O45" s="100"/>
      <c r="P45" s="100"/>
      <c r="Q45" s="100"/>
      <c r="R45" s="101"/>
      <c r="S45" s="229"/>
      <c r="T45" s="229"/>
      <c r="U45" s="102"/>
      <c r="V45" s="102"/>
      <c r="W45" s="230"/>
      <c r="X45" s="230"/>
      <c r="Y45" s="230"/>
      <c r="Z45" s="230"/>
      <c r="AA45" s="230"/>
      <c r="AB45" s="230"/>
      <c r="AC45" s="230"/>
      <c r="AD45" s="231"/>
      <c r="AE45" s="232"/>
    </row>
    <row r="46" spans="2:31" ht="16.5" customHeight="1" thickBot="1">
      <c r="B46" s="234"/>
      <c r="C46" s="235"/>
      <c r="D46" s="235"/>
      <c r="E46" s="235"/>
      <c r="F46" s="235"/>
      <c r="G46" s="235"/>
      <c r="H46" s="235"/>
      <c r="I46" s="235"/>
      <c r="J46" s="235"/>
      <c r="K46" s="235"/>
      <c r="L46" s="235"/>
      <c r="M46" s="235"/>
      <c r="N46" s="235"/>
      <c r="O46" s="235"/>
      <c r="P46" s="235"/>
      <c r="Q46" s="235"/>
      <c r="R46" s="235"/>
      <c r="S46" s="235"/>
      <c r="T46" s="235"/>
      <c r="U46" s="235"/>
      <c r="V46" s="235"/>
      <c r="W46" s="235"/>
      <c r="X46" s="235"/>
      <c r="Y46" s="235"/>
      <c r="Z46" s="235"/>
      <c r="AA46" s="235"/>
      <c r="AB46" s="235"/>
      <c r="AC46" s="235"/>
      <c r="AD46" s="235"/>
      <c r="AE46" s="236"/>
    </row>
    <row r="47" ht="13.5" thickTop="1"/>
  </sheetData>
  <conditionalFormatting sqref="AC23:AC42">
    <cfRule type="cellIs" priority="1" dxfId="0" operator="equal" stopIfTrue="1">
      <formula>"SI"</formula>
    </cfRule>
    <cfRule type="cellIs" priority="2" dxfId="0" operator="equal" stopIfTrue="1">
      <formula>"NO"</formula>
    </cfRule>
    <cfRule type="cellIs" priority="3" dxfId="0" operator="equal" stopIfTrue="1">
      <formula>" "</formula>
    </cfRule>
  </conditionalFormatting>
  <conditionalFormatting sqref="O23:O42">
    <cfRule type="cellIs" priority="4" dxfId="1" operator="lessThanOrEqual" stopIfTrue="1">
      <formula>0</formula>
    </cfRule>
  </conditionalFormatting>
  <conditionalFormatting sqref="M23:N42">
    <cfRule type="expression" priority="5" dxfId="2" stopIfTrue="1">
      <formula>MONTH(M23)&lt;&gt;$L$21</formula>
    </cfRule>
    <cfRule type="expression" priority="6" dxfId="2" stopIfTrue="1">
      <formula>YEAR(M23)&lt;&gt;$L$22</formula>
    </cfRule>
    <cfRule type="expression" priority="7" dxfId="0" stopIfTrue="1">
      <formula>""""""</formula>
    </cfRule>
  </conditionalFormatting>
  <printOptions/>
  <pageMargins left="0.24" right="0.1968503937007874" top="0.7874015748031497" bottom="0.7874015748031497" header="0.5118110236220472" footer="0.5118110236220472"/>
  <pageSetup fitToHeight="1" fitToWidth="1" orientation="landscape" paperSize="9" scale="60" r:id="rId3"/>
  <headerFooter alignWithMargins="0">
    <oddFooter>&amp;L&amp;"Times New Roman,Normal"&amp;6&amp;Z&amp;F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12">
    <pageSetUpPr fitToPage="1"/>
  </sheetPr>
  <dimension ref="A1:AD46"/>
  <sheetViews>
    <sheetView tabSelected="1" zoomScale="55" zoomScaleNormal="55" workbookViewId="0" topLeftCell="A1">
      <selection activeCell="B3" sqref="B3"/>
    </sheetView>
  </sheetViews>
  <sheetFormatPr defaultColWidth="11.421875" defaultRowHeight="12.75"/>
  <cols>
    <col min="1" max="1" width="19.140625" style="148" customWidth="1"/>
    <col min="2" max="2" width="4.00390625" style="148" customWidth="1"/>
    <col min="3" max="3" width="4.7109375" style="148" customWidth="1"/>
    <col min="4" max="5" width="13.8515625" style="148" customWidth="1"/>
    <col min="6" max="6" width="25.7109375" style="148" customWidth="1"/>
    <col min="7" max="7" width="22.7109375" style="148" customWidth="1"/>
    <col min="8" max="8" width="9.7109375" style="148" customWidth="1"/>
    <col min="9" max="9" width="13.7109375" style="148" customWidth="1"/>
    <col min="10" max="10" width="13.421875" style="148" hidden="1" customWidth="1"/>
    <col min="11" max="12" width="15.7109375" style="148" customWidth="1"/>
    <col min="13" max="15" width="9.7109375" style="148" customWidth="1"/>
    <col min="16" max="18" width="7.7109375" style="148" customWidth="1"/>
    <col min="19" max="19" width="13.8515625" style="148" hidden="1" customWidth="1"/>
    <col min="20" max="21" width="15.00390625" style="148" hidden="1" customWidth="1"/>
    <col min="22" max="22" width="16.8515625" style="148" hidden="1" customWidth="1"/>
    <col min="23" max="27" width="16.421875" style="148" hidden="1" customWidth="1"/>
    <col min="28" max="28" width="9.7109375" style="148" customWidth="1"/>
    <col min="29" max="29" width="15.7109375" style="148" customWidth="1"/>
    <col min="30" max="30" width="4.00390625" style="148" customWidth="1"/>
    <col min="31" max="16384" width="11.421875" style="148" customWidth="1"/>
  </cols>
  <sheetData>
    <row r="1" spans="2:30" ht="16.5" customHeight="1"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8"/>
    </row>
    <row r="2" spans="2:30" ht="16.5" customHeight="1"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</row>
    <row r="3" spans="2:30" ht="16.5" customHeight="1"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</row>
    <row r="4" spans="2:30" s="150" customFormat="1" ht="29.25" customHeight="1">
      <c r="B4" s="151" t="str">
        <f>+'TOT-0510'!B2</f>
        <v>ANEXO III a la Resolución AAANR Nº  51 / 2011</v>
      </c>
      <c r="C4" s="239"/>
      <c r="D4" s="239"/>
      <c r="E4" s="239"/>
      <c r="F4" s="239"/>
      <c r="G4" s="152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</row>
    <row r="5" spans="1:30" s="153" customFormat="1" ht="11.25">
      <c r="A5" s="103" t="s">
        <v>2</v>
      </c>
      <c r="B5" s="240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</row>
    <row r="6" spans="1:30" s="153" customFormat="1" ht="11.25">
      <c r="A6" s="103" t="s">
        <v>3</v>
      </c>
      <c r="B6" s="240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</row>
    <row r="7" spans="2:30" ht="16.5" customHeight="1" thickBot="1">
      <c r="B7" s="237"/>
      <c r="C7" s="237"/>
      <c r="D7" s="237"/>
      <c r="E7" s="237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242"/>
      <c r="AA7" s="242"/>
      <c r="AB7" s="242"/>
      <c r="AC7" s="242"/>
      <c r="AD7" s="242"/>
    </row>
    <row r="8" spans="2:30" ht="16.5" customHeight="1" thickTop="1">
      <c r="B8" s="243"/>
      <c r="C8" s="244"/>
      <c r="D8" s="244"/>
      <c r="E8" s="244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6"/>
    </row>
    <row r="9" spans="2:30" s="157" customFormat="1" ht="20.25">
      <c r="B9" s="247"/>
      <c r="C9" s="104"/>
      <c r="D9" s="104"/>
      <c r="E9" s="104"/>
      <c r="F9" s="159" t="str">
        <f>CONCATENATE("FUNCIÓN TÉCNICA DE TRANSPORTE DE ENERGÍA ELÉCTRICA - ",'TOT-0510'!B9)</f>
        <v>FUNCIÓN TÉCNICA DE TRANSPORTE DE ENERGÍA ELÉCTRICA - EDESUR S.A.</v>
      </c>
      <c r="H9" s="104"/>
      <c r="I9" s="248"/>
      <c r="J9" s="248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249"/>
    </row>
    <row r="10" spans="2:30" ht="16.5" customHeight="1">
      <c r="B10" s="250"/>
      <c r="C10" s="251"/>
      <c r="D10" s="251"/>
      <c r="E10" s="251"/>
      <c r="F10" s="252"/>
      <c r="G10" s="252"/>
      <c r="H10" s="252"/>
      <c r="I10" s="237"/>
      <c r="J10" s="252"/>
      <c r="K10" s="252"/>
      <c r="L10" s="252"/>
      <c r="M10" s="252"/>
      <c r="N10" s="252"/>
      <c r="O10" s="252"/>
      <c r="P10" s="252"/>
      <c r="Q10" s="252"/>
      <c r="R10" s="252"/>
      <c r="S10" s="252"/>
      <c r="T10" s="252"/>
      <c r="U10" s="252"/>
      <c r="V10" s="252"/>
      <c r="W10" s="252"/>
      <c r="X10" s="252"/>
      <c r="Y10" s="252"/>
      <c r="Z10" s="252"/>
      <c r="AA10" s="252"/>
      <c r="AB10" s="252"/>
      <c r="AC10" s="252"/>
      <c r="AD10" s="253"/>
    </row>
    <row r="11" spans="2:30" s="157" customFormat="1" ht="20.25">
      <c r="B11" s="247"/>
      <c r="C11" s="104"/>
      <c r="D11" s="104"/>
      <c r="E11" s="104"/>
      <c r="F11" s="254" t="s">
        <v>54</v>
      </c>
      <c r="G11" s="104"/>
      <c r="H11" s="104"/>
      <c r="I11" s="248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249"/>
    </row>
    <row r="12" spans="2:30" ht="16.5" customHeight="1">
      <c r="B12" s="250"/>
      <c r="C12" s="251"/>
      <c r="D12" s="251"/>
      <c r="E12" s="251"/>
      <c r="F12" s="255"/>
      <c r="G12" s="104"/>
      <c r="H12" s="104"/>
      <c r="I12" s="248"/>
      <c r="J12" s="104"/>
      <c r="K12" s="104"/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2"/>
      <c r="X12" s="252"/>
      <c r="Y12" s="252"/>
      <c r="Z12" s="252"/>
      <c r="AA12" s="252"/>
      <c r="AB12" s="252"/>
      <c r="AC12" s="252"/>
      <c r="AD12" s="253"/>
    </row>
    <row r="13" spans="2:30" s="157" customFormat="1" ht="20.25">
      <c r="B13" s="247"/>
      <c r="C13" s="104"/>
      <c r="D13" s="104"/>
      <c r="E13" s="104"/>
      <c r="F13" s="256" t="s">
        <v>55</v>
      </c>
      <c r="G13" s="254"/>
      <c r="H13" s="248"/>
      <c r="I13" s="248"/>
      <c r="J13" s="104"/>
      <c r="K13" s="104"/>
      <c r="L13" s="248"/>
      <c r="M13" s="248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249"/>
    </row>
    <row r="14" spans="2:30" ht="16.5" customHeight="1">
      <c r="B14" s="250"/>
      <c r="C14" s="251"/>
      <c r="D14" s="251"/>
      <c r="E14" s="251"/>
      <c r="F14" s="105"/>
      <c r="G14" s="105"/>
      <c r="H14" s="105"/>
      <c r="I14" s="106"/>
      <c r="J14" s="104"/>
      <c r="K14" s="104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3"/>
    </row>
    <row r="15" spans="2:30" s="166" customFormat="1" ht="19.5">
      <c r="B15" s="257" t="str">
        <f>+'TOT-0510'!B14</f>
        <v>Desde el 01 al 31 de mayo de 2010</v>
      </c>
      <c r="C15" s="168"/>
      <c r="D15" s="168"/>
      <c r="E15" s="168"/>
      <c r="F15" s="107"/>
      <c r="G15" s="107"/>
      <c r="H15" s="107"/>
      <c r="I15" s="108"/>
      <c r="J15" s="107"/>
      <c r="K15" s="170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258"/>
    </row>
    <row r="16" spans="2:30" ht="16.5" customHeight="1" thickBot="1">
      <c r="B16" s="250"/>
      <c r="C16" s="251"/>
      <c r="D16" s="251"/>
      <c r="E16" s="251"/>
      <c r="F16" s="252"/>
      <c r="G16" s="252"/>
      <c r="H16" s="252"/>
      <c r="I16" s="113"/>
      <c r="J16" s="252"/>
      <c r="K16" s="259"/>
      <c r="L16" s="259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  <c r="X16" s="252"/>
      <c r="Y16" s="252"/>
      <c r="Z16" s="252"/>
      <c r="AA16" s="252"/>
      <c r="AB16" s="252"/>
      <c r="AC16" s="252"/>
      <c r="AD16" s="253"/>
    </row>
    <row r="17" spans="2:30" ht="16.5" customHeight="1" thickBot="1" thickTop="1">
      <c r="B17" s="250"/>
      <c r="C17" s="251"/>
      <c r="D17" s="251"/>
      <c r="E17" s="251"/>
      <c r="F17" s="109" t="s">
        <v>56</v>
      </c>
      <c r="G17" s="110"/>
      <c r="H17" s="260"/>
      <c r="I17" s="261">
        <v>0.174</v>
      </c>
      <c r="J17" s="237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253"/>
    </row>
    <row r="18" spans="2:30" ht="16.5" customHeight="1" thickBot="1" thickTop="1">
      <c r="B18" s="250"/>
      <c r="C18" s="251"/>
      <c r="D18" s="251"/>
      <c r="E18" s="251"/>
      <c r="F18" s="111" t="s">
        <v>57</v>
      </c>
      <c r="G18" s="112"/>
      <c r="H18" s="112"/>
      <c r="I18" s="262">
        <f>30*'TOT-0510'!B13</f>
        <v>60</v>
      </c>
      <c r="J18" s="252"/>
      <c r="K18" s="69" t="str">
        <f>IF(I18=30," ",IF(I18=60,"    Coeficiente duplicado por tasa de falla &gt;4 Sal. x año/100 km.","    REVISAR COEFICIENTE"))</f>
        <v>    Coeficiente duplicado por tasa de falla &gt;4 Sal. x año/100 km.</v>
      </c>
      <c r="L18" s="252"/>
      <c r="M18" s="252"/>
      <c r="N18" s="252"/>
      <c r="O18" s="252"/>
      <c r="P18" s="252"/>
      <c r="Q18" s="252"/>
      <c r="R18" s="252"/>
      <c r="S18" s="252"/>
      <c r="T18" s="252"/>
      <c r="U18" s="252"/>
      <c r="V18" s="252"/>
      <c r="W18" s="263"/>
      <c r="X18" s="263"/>
      <c r="Y18" s="263"/>
      <c r="Z18" s="263"/>
      <c r="AA18" s="263"/>
      <c r="AB18" s="263"/>
      <c r="AC18" s="263"/>
      <c r="AD18" s="253"/>
    </row>
    <row r="19" spans="2:30" ht="16.5" customHeight="1" thickBot="1" thickTop="1">
      <c r="B19" s="250"/>
      <c r="C19" s="451">
        <v>3</v>
      </c>
      <c r="D19" s="451">
        <v>4</v>
      </c>
      <c r="E19" s="451">
        <v>5</v>
      </c>
      <c r="F19" s="451">
        <v>6</v>
      </c>
      <c r="G19" s="451">
        <v>7</v>
      </c>
      <c r="H19" s="451">
        <v>8</v>
      </c>
      <c r="I19" s="451">
        <v>9</v>
      </c>
      <c r="J19" s="451">
        <v>10</v>
      </c>
      <c r="K19" s="451">
        <v>11</v>
      </c>
      <c r="L19" s="451">
        <v>12</v>
      </c>
      <c r="M19" s="451">
        <v>13</v>
      </c>
      <c r="N19" s="451">
        <v>14</v>
      </c>
      <c r="O19" s="451">
        <v>15</v>
      </c>
      <c r="P19" s="451">
        <v>16</v>
      </c>
      <c r="Q19" s="451">
        <v>17</v>
      </c>
      <c r="R19" s="451">
        <v>18</v>
      </c>
      <c r="S19" s="451">
        <v>19</v>
      </c>
      <c r="T19" s="451">
        <v>20</v>
      </c>
      <c r="U19" s="451">
        <v>21</v>
      </c>
      <c r="V19" s="451">
        <v>22</v>
      </c>
      <c r="W19" s="451">
        <v>23</v>
      </c>
      <c r="X19" s="451">
        <v>24</v>
      </c>
      <c r="Y19" s="451">
        <v>25</v>
      </c>
      <c r="Z19" s="451">
        <v>26</v>
      </c>
      <c r="AA19" s="451">
        <v>27</v>
      </c>
      <c r="AB19" s="451">
        <v>28</v>
      </c>
      <c r="AC19" s="451">
        <v>29</v>
      </c>
      <c r="AD19" s="253"/>
    </row>
    <row r="20" spans="2:30" s="272" customFormat="1" ht="34.5" customHeight="1" thickBot="1" thickTop="1">
      <c r="B20" s="264"/>
      <c r="C20" s="426" t="s">
        <v>19</v>
      </c>
      <c r="D20" s="426" t="s">
        <v>78</v>
      </c>
      <c r="E20" s="426" t="s">
        <v>79</v>
      </c>
      <c r="F20" s="114" t="s">
        <v>58</v>
      </c>
      <c r="G20" s="115" t="s">
        <v>59</v>
      </c>
      <c r="H20" s="116" t="s">
        <v>60</v>
      </c>
      <c r="I20" s="114" t="s">
        <v>20</v>
      </c>
      <c r="J20" s="72" t="s">
        <v>22</v>
      </c>
      <c r="K20" s="115" t="s">
        <v>23</v>
      </c>
      <c r="L20" s="115" t="s">
        <v>24</v>
      </c>
      <c r="M20" s="114" t="s">
        <v>61</v>
      </c>
      <c r="N20" s="114" t="s">
        <v>62</v>
      </c>
      <c r="O20" s="71" t="s">
        <v>26</v>
      </c>
      <c r="P20" s="115" t="s">
        <v>63</v>
      </c>
      <c r="Q20" s="114" t="s">
        <v>64</v>
      </c>
      <c r="R20" s="115" t="s">
        <v>65</v>
      </c>
      <c r="S20" s="117" t="s">
        <v>66</v>
      </c>
      <c r="T20" s="265" t="s">
        <v>27</v>
      </c>
      <c r="U20" s="266" t="s">
        <v>28</v>
      </c>
      <c r="V20" s="118" t="s">
        <v>67</v>
      </c>
      <c r="W20" s="267"/>
      <c r="X20" s="119" t="s">
        <v>68</v>
      </c>
      <c r="Y20" s="268"/>
      <c r="Z20" s="269" t="s">
        <v>29</v>
      </c>
      <c r="AA20" s="270" t="s">
        <v>30</v>
      </c>
      <c r="AB20" s="114" t="s">
        <v>31</v>
      </c>
      <c r="AC20" s="114" t="s">
        <v>32</v>
      </c>
      <c r="AD20" s="271"/>
    </row>
    <row r="21" spans="2:30" ht="16.5" customHeight="1" thickTop="1">
      <c r="B21" s="250"/>
      <c r="C21" s="273"/>
      <c r="D21" s="273"/>
      <c r="E21" s="273"/>
      <c r="F21" s="274"/>
      <c r="G21" s="275"/>
      <c r="H21" s="275"/>
      <c r="I21" s="275"/>
      <c r="J21" s="276">
        <v>5</v>
      </c>
      <c r="K21" s="421"/>
      <c r="L21" s="422"/>
      <c r="M21" s="274"/>
      <c r="N21" s="274"/>
      <c r="O21" s="275"/>
      <c r="P21" s="275"/>
      <c r="Q21" s="275"/>
      <c r="R21" s="275"/>
      <c r="S21" s="277"/>
      <c r="T21" s="278"/>
      <c r="U21" s="279"/>
      <c r="V21" s="280"/>
      <c r="W21" s="281"/>
      <c r="X21" s="282"/>
      <c r="Y21" s="283"/>
      <c r="Z21" s="284"/>
      <c r="AA21" s="278"/>
      <c r="AB21" s="275"/>
      <c r="AC21" s="285"/>
      <c r="AD21" s="253"/>
    </row>
    <row r="22" spans="2:30" ht="16.5" customHeight="1">
      <c r="B22" s="250"/>
      <c r="C22" s="273"/>
      <c r="D22" s="273"/>
      <c r="E22" s="273"/>
      <c r="F22" s="286"/>
      <c r="G22" s="286"/>
      <c r="H22" s="286"/>
      <c r="I22" s="286"/>
      <c r="J22" s="287">
        <v>2005</v>
      </c>
      <c r="K22" s="423"/>
      <c r="L22" s="424"/>
      <c r="M22" s="273"/>
      <c r="N22" s="273"/>
      <c r="O22" s="286"/>
      <c r="P22" s="286"/>
      <c r="Q22" s="286"/>
      <c r="R22" s="286"/>
      <c r="S22" s="288"/>
      <c r="T22" s="289"/>
      <c r="U22" s="290"/>
      <c r="V22" s="291"/>
      <c r="W22" s="292"/>
      <c r="X22" s="293"/>
      <c r="Y22" s="294"/>
      <c r="Z22" s="295"/>
      <c r="AA22" s="289"/>
      <c r="AB22" s="286"/>
      <c r="AC22" s="296"/>
      <c r="AD22" s="253"/>
    </row>
    <row r="23" spans="2:30" ht="16.5" customHeight="1">
      <c r="B23" s="250"/>
      <c r="C23" s="398">
        <v>49</v>
      </c>
      <c r="D23" s="398">
        <v>221884</v>
      </c>
      <c r="E23" s="398">
        <v>1277</v>
      </c>
      <c r="F23" s="399" t="s">
        <v>162</v>
      </c>
      <c r="G23" s="376" t="s">
        <v>163</v>
      </c>
      <c r="H23" s="400">
        <v>800</v>
      </c>
      <c r="I23" s="456" t="s">
        <v>183</v>
      </c>
      <c r="J23" s="297">
        <f aca="true" t="shared" si="0" ref="J23:J42">H23*$I$17</f>
        <v>139.2</v>
      </c>
      <c r="K23" s="454">
        <v>40314.34166666667</v>
      </c>
      <c r="L23" s="454">
        <v>40314.739583333336</v>
      </c>
      <c r="M23" s="120">
        <f aca="true" t="shared" si="1" ref="M23:M42">IF(F23="","",(L23-K23)*24)</f>
        <v>9.550000000046566</v>
      </c>
      <c r="N23" s="121">
        <f aca="true" t="shared" si="2" ref="N23:N42">IF(F23="","",ROUND((L23-K23)*24*60,0))</f>
        <v>573</v>
      </c>
      <c r="O23" s="122" t="s">
        <v>135</v>
      </c>
      <c r="P23" s="122" t="str">
        <f aca="true" t="shared" si="3" ref="P23:P42">IF(F23="","",IF(OR(O23="P",O23="RP"),"--","NO"))</f>
        <v>--</v>
      </c>
      <c r="Q23" s="122" t="s">
        <v>164</v>
      </c>
      <c r="R23" s="122" t="str">
        <f aca="true" t="shared" si="4" ref="R23:R42">IF(F23="","","NO")</f>
        <v>NO</v>
      </c>
      <c r="S23" s="124">
        <f aca="true" t="shared" si="5" ref="S23:S42">IF(R23="SI",1,0.1)*$I$18*IF(OR(O23="P",O23="RP"),0.1,1)</f>
        <v>0.6000000000000001</v>
      </c>
      <c r="T23" s="125">
        <f aca="true" t="shared" si="6" ref="T23:T42">IF(O23="P",J23*S23*ROUND(N23/60,2),"--")</f>
        <v>797.6160000000002</v>
      </c>
      <c r="U23" s="126" t="str">
        <f aca="true" t="shared" si="7" ref="U23:U42">IF(O23="RP",J23*S23*ROUND(N23/60,2)*Q23/100,"--")</f>
        <v>--</v>
      </c>
      <c r="V23" s="127" t="str">
        <f aca="true" t="shared" si="8" ref="V23:V42">IF(AND(O23="F",P23="NO"),J23*S23,"--")</f>
        <v>--</v>
      </c>
      <c r="W23" s="128" t="str">
        <f aca="true" t="shared" si="9" ref="W23:W42">IF(O23="F",J23*S23*ROUND(N23/60,2),"--")</f>
        <v>--</v>
      </c>
      <c r="X23" s="129" t="str">
        <f aca="true" t="shared" si="10" ref="X23:X42">IF(AND(O23="R",P23="NO"),J23*S23*Q23/100,"--")</f>
        <v>--</v>
      </c>
      <c r="Y23" s="130" t="str">
        <f aca="true" t="shared" si="11" ref="Y23:Y42">IF(O23="R",J23*S23*ROUND(N23/60,2)*Q23/100,"--")</f>
        <v>--</v>
      </c>
      <c r="Z23" s="131" t="str">
        <f aca="true" t="shared" si="12" ref="Z23:Z42">IF(O23="RF",J23*S23*ROUND(N23/60,2),"--")</f>
        <v>--</v>
      </c>
      <c r="AA23" s="132" t="str">
        <f aca="true" t="shared" si="13" ref="AA23:AA42">IF(O23="RR",J23*S23*ROUND(N23/60,2)*Q23/100,"--")</f>
        <v>--</v>
      </c>
      <c r="AB23" s="372" t="s">
        <v>136</v>
      </c>
      <c r="AC23" s="298">
        <f aca="true" t="shared" si="14" ref="AC23:AC42">IF(F23="","",SUM(T23:AA23)*IF(AB23="SI",1,2))</f>
        <v>797.6160000000002</v>
      </c>
      <c r="AD23" s="253"/>
    </row>
    <row r="24" spans="2:30" ht="16.5" customHeight="1">
      <c r="B24" s="250"/>
      <c r="C24" s="398"/>
      <c r="D24" s="398"/>
      <c r="E24" s="398"/>
      <c r="F24" s="399"/>
      <c r="G24" s="376"/>
      <c r="H24" s="400"/>
      <c r="I24" s="401"/>
      <c r="J24" s="297">
        <f t="shared" si="0"/>
        <v>0</v>
      </c>
      <c r="K24" s="454"/>
      <c r="L24" s="454"/>
      <c r="M24" s="120">
        <f t="shared" si="1"/>
      </c>
      <c r="N24" s="121">
        <f t="shared" si="2"/>
      </c>
      <c r="O24" s="122"/>
      <c r="P24" s="122">
        <f t="shared" si="3"/>
      </c>
      <c r="Q24" s="123">
        <f aca="true" t="shared" si="15" ref="Q24:Q42">IF(F24="","","--")</f>
      </c>
      <c r="R24" s="122">
        <f t="shared" si="4"/>
      </c>
      <c r="S24" s="124">
        <f t="shared" si="5"/>
        <v>6</v>
      </c>
      <c r="T24" s="125" t="str">
        <f t="shared" si="6"/>
        <v>--</v>
      </c>
      <c r="U24" s="126" t="str">
        <f t="shared" si="7"/>
        <v>--</v>
      </c>
      <c r="V24" s="127" t="str">
        <f t="shared" si="8"/>
        <v>--</v>
      </c>
      <c r="W24" s="128" t="str">
        <f t="shared" si="9"/>
        <v>--</v>
      </c>
      <c r="X24" s="129" t="str">
        <f t="shared" si="10"/>
        <v>--</v>
      </c>
      <c r="Y24" s="130" t="str">
        <f t="shared" si="11"/>
        <v>--</v>
      </c>
      <c r="Z24" s="131" t="str">
        <f t="shared" si="12"/>
        <v>--</v>
      </c>
      <c r="AA24" s="132" t="str">
        <f t="shared" si="13"/>
        <v>--</v>
      </c>
      <c r="AB24" s="371" t="str">
        <f aca="true" t="shared" si="16" ref="AB24:AB42">IF(F24=""," ","SI")</f>
        <v> </v>
      </c>
      <c r="AC24" s="298">
        <f t="shared" si="14"/>
      </c>
      <c r="AD24" s="253"/>
    </row>
    <row r="25" spans="2:30" ht="16.5" customHeight="1">
      <c r="B25" s="250"/>
      <c r="C25" s="398"/>
      <c r="D25" s="398"/>
      <c r="E25" s="398"/>
      <c r="F25" s="399"/>
      <c r="G25" s="376"/>
      <c r="H25" s="400"/>
      <c r="I25" s="401"/>
      <c r="J25" s="297">
        <f t="shared" si="0"/>
        <v>0</v>
      </c>
      <c r="K25" s="454"/>
      <c r="L25" s="454"/>
      <c r="M25" s="120">
        <f t="shared" si="1"/>
      </c>
      <c r="N25" s="121">
        <f t="shared" si="2"/>
      </c>
      <c r="O25" s="122"/>
      <c r="P25" s="122">
        <f t="shared" si="3"/>
      </c>
      <c r="Q25" s="123">
        <f t="shared" si="15"/>
      </c>
      <c r="R25" s="122">
        <f t="shared" si="4"/>
      </c>
      <c r="S25" s="124">
        <f t="shared" si="5"/>
        <v>6</v>
      </c>
      <c r="T25" s="125" t="str">
        <f t="shared" si="6"/>
        <v>--</v>
      </c>
      <c r="U25" s="126" t="str">
        <f t="shared" si="7"/>
        <v>--</v>
      </c>
      <c r="V25" s="127" t="str">
        <f t="shared" si="8"/>
        <v>--</v>
      </c>
      <c r="W25" s="128" t="str">
        <f t="shared" si="9"/>
        <v>--</v>
      </c>
      <c r="X25" s="129" t="str">
        <f t="shared" si="10"/>
        <v>--</v>
      </c>
      <c r="Y25" s="130" t="str">
        <f t="shared" si="11"/>
        <v>--</v>
      </c>
      <c r="Z25" s="131" t="str">
        <f t="shared" si="12"/>
        <v>--</v>
      </c>
      <c r="AA25" s="132" t="str">
        <f t="shared" si="13"/>
        <v>--</v>
      </c>
      <c r="AB25" s="371" t="str">
        <f t="shared" si="16"/>
        <v> </v>
      </c>
      <c r="AC25" s="298">
        <f t="shared" si="14"/>
      </c>
      <c r="AD25" s="253"/>
    </row>
    <row r="26" spans="2:30" ht="16.5" customHeight="1">
      <c r="B26" s="250"/>
      <c r="C26" s="398"/>
      <c r="D26" s="398"/>
      <c r="E26" s="398"/>
      <c r="F26" s="399"/>
      <c r="G26" s="376"/>
      <c r="H26" s="400"/>
      <c r="I26" s="401"/>
      <c r="J26" s="297">
        <f t="shared" si="0"/>
        <v>0</v>
      </c>
      <c r="K26" s="454"/>
      <c r="L26" s="454"/>
      <c r="M26" s="120">
        <f t="shared" si="1"/>
      </c>
      <c r="N26" s="121">
        <f t="shared" si="2"/>
      </c>
      <c r="O26" s="122"/>
      <c r="P26" s="122">
        <f t="shared" si="3"/>
      </c>
      <c r="Q26" s="123">
        <f t="shared" si="15"/>
      </c>
      <c r="R26" s="122">
        <f t="shared" si="4"/>
      </c>
      <c r="S26" s="124">
        <f t="shared" si="5"/>
        <v>6</v>
      </c>
      <c r="T26" s="125" t="str">
        <f t="shared" si="6"/>
        <v>--</v>
      </c>
      <c r="U26" s="126" t="str">
        <f t="shared" si="7"/>
        <v>--</v>
      </c>
      <c r="V26" s="127" t="str">
        <f t="shared" si="8"/>
        <v>--</v>
      </c>
      <c r="W26" s="128" t="str">
        <f t="shared" si="9"/>
        <v>--</v>
      </c>
      <c r="X26" s="129" t="str">
        <f t="shared" si="10"/>
        <v>--</v>
      </c>
      <c r="Y26" s="130" t="str">
        <f t="shared" si="11"/>
        <v>--</v>
      </c>
      <c r="Z26" s="131" t="str">
        <f t="shared" si="12"/>
        <v>--</v>
      </c>
      <c r="AA26" s="132" t="str">
        <f t="shared" si="13"/>
        <v>--</v>
      </c>
      <c r="AB26" s="371" t="str">
        <f t="shared" si="16"/>
        <v> </v>
      </c>
      <c r="AC26" s="298">
        <f t="shared" si="14"/>
      </c>
      <c r="AD26" s="253"/>
    </row>
    <row r="27" spans="2:30" ht="16.5" customHeight="1">
      <c r="B27" s="250"/>
      <c r="C27" s="398"/>
      <c r="D27" s="398"/>
      <c r="E27" s="398"/>
      <c r="F27" s="399"/>
      <c r="G27" s="376"/>
      <c r="H27" s="400"/>
      <c r="I27" s="401"/>
      <c r="J27" s="297">
        <f t="shared" si="0"/>
        <v>0</v>
      </c>
      <c r="K27" s="454"/>
      <c r="L27" s="454"/>
      <c r="M27" s="120">
        <f t="shared" si="1"/>
      </c>
      <c r="N27" s="121">
        <f t="shared" si="2"/>
      </c>
      <c r="O27" s="122"/>
      <c r="P27" s="122">
        <f t="shared" si="3"/>
      </c>
      <c r="Q27" s="123">
        <f t="shared" si="15"/>
      </c>
      <c r="R27" s="122">
        <f t="shared" si="4"/>
      </c>
      <c r="S27" s="124">
        <f t="shared" si="5"/>
        <v>6</v>
      </c>
      <c r="T27" s="125" t="str">
        <f t="shared" si="6"/>
        <v>--</v>
      </c>
      <c r="U27" s="126" t="str">
        <f t="shared" si="7"/>
        <v>--</v>
      </c>
      <c r="V27" s="127" t="str">
        <f t="shared" si="8"/>
        <v>--</v>
      </c>
      <c r="W27" s="128" t="str">
        <f t="shared" si="9"/>
        <v>--</v>
      </c>
      <c r="X27" s="129" t="str">
        <f t="shared" si="10"/>
        <v>--</v>
      </c>
      <c r="Y27" s="130" t="str">
        <f t="shared" si="11"/>
        <v>--</v>
      </c>
      <c r="Z27" s="131" t="str">
        <f t="shared" si="12"/>
        <v>--</v>
      </c>
      <c r="AA27" s="132" t="str">
        <f t="shared" si="13"/>
        <v>--</v>
      </c>
      <c r="AB27" s="371" t="str">
        <f t="shared" si="16"/>
        <v> </v>
      </c>
      <c r="AC27" s="298">
        <f t="shared" si="14"/>
      </c>
      <c r="AD27" s="253"/>
    </row>
    <row r="28" spans="2:30" ht="16.5" customHeight="1">
      <c r="B28" s="250"/>
      <c r="C28" s="398"/>
      <c r="D28" s="398"/>
      <c r="E28" s="398"/>
      <c r="F28" s="399"/>
      <c r="G28" s="376"/>
      <c r="H28" s="400"/>
      <c r="I28" s="401"/>
      <c r="J28" s="297">
        <f t="shared" si="0"/>
        <v>0</v>
      </c>
      <c r="K28" s="454"/>
      <c r="L28" s="454"/>
      <c r="M28" s="120">
        <f t="shared" si="1"/>
      </c>
      <c r="N28" s="121">
        <f t="shared" si="2"/>
      </c>
      <c r="O28" s="122"/>
      <c r="P28" s="122">
        <f t="shared" si="3"/>
      </c>
      <c r="Q28" s="123">
        <f t="shared" si="15"/>
      </c>
      <c r="R28" s="122">
        <f t="shared" si="4"/>
      </c>
      <c r="S28" s="124">
        <f t="shared" si="5"/>
        <v>6</v>
      </c>
      <c r="T28" s="125" t="str">
        <f t="shared" si="6"/>
        <v>--</v>
      </c>
      <c r="U28" s="126" t="str">
        <f t="shared" si="7"/>
        <v>--</v>
      </c>
      <c r="V28" s="127" t="str">
        <f t="shared" si="8"/>
        <v>--</v>
      </c>
      <c r="W28" s="128" t="str">
        <f t="shared" si="9"/>
        <v>--</v>
      </c>
      <c r="X28" s="129" t="str">
        <f t="shared" si="10"/>
        <v>--</v>
      </c>
      <c r="Y28" s="130" t="str">
        <f t="shared" si="11"/>
        <v>--</v>
      </c>
      <c r="Z28" s="131" t="str">
        <f t="shared" si="12"/>
        <v>--</v>
      </c>
      <c r="AA28" s="132" t="str">
        <f t="shared" si="13"/>
        <v>--</v>
      </c>
      <c r="AB28" s="371" t="str">
        <f t="shared" si="16"/>
        <v> </v>
      </c>
      <c r="AC28" s="298">
        <f t="shared" si="14"/>
      </c>
      <c r="AD28" s="253"/>
    </row>
    <row r="29" spans="2:30" ht="16.5" customHeight="1">
      <c r="B29" s="250"/>
      <c r="C29" s="398"/>
      <c r="D29" s="398"/>
      <c r="E29" s="398"/>
      <c r="F29" s="399"/>
      <c r="G29" s="376"/>
      <c r="H29" s="400"/>
      <c r="I29" s="401"/>
      <c r="J29" s="297">
        <f t="shared" si="0"/>
        <v>0</v>
      </c>
      <c r="K29" s="454"/>
      <c r="L29" s="454"/>
      <c r="M29" s="120">
        <f t="shared" si="1"/>
      </c>
      <c r="N29" s="121">
        <f t="shared" si="2"/>
      </c>
      <c r="O29" s="122"/>
      <c r="P29" s="122">
        <f t="shared" si="3"/>
      </c>
      <c r="Q29" s="123">
        <f t="shared" si="15"/>
      </c>
      <c r="R29" s="122">
        <f t="shared" si="4"/>
      </c>
      <c r="S29" s="124">
        <f t="shared" si="5"/>
        <v>6</v>
      </c>
      <c r="T29" s="125" t="str">
        <f t="shared" si="6"/>
        <v>--</v>
      </c>
      <c r="U29" s="126" t="str">
        <f t="shared" si="7"/>
        <v>--</v>
      </c>
      <c r="V29" s="127" t="str">
        <f t="shared" si="8"/>
        <v>--</v>
      </c>
      <c r="W29" s="128" t="str">
        <f t="shared" si="9"/>
        <v>--</v>
      </c>
      <c r="X29" s="129" t="str">
        <f t="shared" si="10"/>
        <v>--</v>
      </c>
      <c r="Y29" s="130" t="str">
        <f t="shared" si="11"/>
        <v>--</v>
      </c>
      <c r="Z29" s="131" t="str">
        <f t="shared" si="12"/>
        <v>--</v>
      </c>
      <c r="AA29" s="132" t="str">
        <f t="shared" si="13"/>
        <v>--</v>
      </c>
      <c r="AB29" s="371" t="str">
        <f t="shared" si="16"/>
        <v> </v>
      </c>
      <c r="AC29" s="298">
        <f t="shared" si="14"/>
      </c>
      <c r="AD29" s="253"/>
    </row>
    <row r="30" spans="2:30" ht="16.5" customHeight="1">
      <c r="B30" s="250"/>
      <c r="C30" s="398"/>
      <c r="D30" s="398"/>
      <c r="E30" s="398"/>
      <c r="F30" s="399"/>
      <c r="G30" s="376"/>
      <c r="H30" s="400"/>
      <c r="I30" s="401"/>
      <c r="J30" s="297">
        <f t="shared" si="0"/>
        <v>0</v>
      </c>
      <c r="K30" s="454"/>
      <c r="L30" s="454"/>
      <c r="M30" s="120">
        <f t="shared" si="1"/>
      </c>
      <c r="N30" s="121">
        <f t="shared" si="2"/>
      </c>
      <c r="O30" s="122"/>
      <c r="P30" s="122">
        <f t="shared" si="3"/>
      </c>
      <c r="Q30" s="123">
        <f t="shared" si="15"/>
      </c>
      <c r="R30" s="122">
        <f t="shared" si="4"/>
      </c>
      <c r="S30" s="124">
        <f t="shared" si="5"/>
        <v>6</v>
      </c>
      <c r="T30" s="125" t="str">
        <f t="shared" si="6"/>
        <v>--</v>
      </c>
      <c r="U30" s="126" t="str">
        <f t="shared" si="7"/>
        <v>--</v>
      </c>
      <c r="V30" s="127" t="str">
        <f t="shared" si="8"/>
        <v>--</v>
      </c>
      <c r="W30" s="128" t="str">
        <f t="shared" si="9"/>
        <v>--</v>
      </c>
      <c r="X30" s="129" t="str">
        <f t="shared" si="10"/>
        <v>--</v>
      </c>
      <c r="Y30" s="130" t="str">
        <f t="shared" si="11"/>
        <v>--</v>
      </c>
      <c r="Z30" s="131" t="str">
        <f t="shared" si="12"/>
        <v>--</v>
      </c>
      <c r="AA30" s="132" t="str">
        <f t="shared" si="13"/>
        <v>--</v>
      </c>
      <c r="AB30" s="371" t="str">
        <f t="shared" si="16"/>
        <v> </v>
      </c>
      <c r="AC30" s="298">
        <f t="shared" si="14"/>
      </c>
      <c r="AD30" s="253"/>
    </row>
    <row r="31" spans="2:30" ht="16.5" customHeight="1">
      <c r="B31" s="250"/>
      <c r="C31" s="398"/>
      <c r="D31" s="398"/>
      <c r="E31" s="398"/>
      <c r="F31" s="399"/>
      <c r="G31" s="376"/>
      <c r="H31" s="400"/>
      <c r="I31" s="401"/>
      <c r="J31" s="297">
        <f t="shared" si="0"/>
        <v>0</v>
      </c>
      <c r="K31" s="454"/>
      <c r="L31" s="454"/>
      <c r="M31" s="120">
        <f t="shared" si="1"/>
      </c>
      <c r="N31" s="121">
        <f t="shared" si="2"/>
      </c>
      <c r="O31" s="122"/>
      <c r="P31" s="122">
        <f t="shared" si="3"/>
      </c>
      <c r="Q31" s="123">
        <f t="shared" si="15"/>
      </c>
      <c r="R31" s="122">
        <f t="shared" si="4"/>
      </c>
      <c r="S31" s="124">
        <f t="shared" si="5"/>
        <v>6</v>
      </c>
      <c r="T31" s="125" t="str">
        <f t="shared" si="6"/>
        <v>--</v>
      </c>
      <c r="U31" s="126" t="str">
        <f t="shared" si="7"/>
        <v>--</v>
      </c>
      <c r="V31" s="127" t="str">
        <f t="shared" si="8"/>
        <v>--</v>
      </c>
      <c r="W31" s="128" t="str">
        <f t="shared" si="9"/>
        <v>--</v>
      </c>
      <c r="X31" s="129" t="str">
        <f t="shared" si="10"/>
        <v>--</v>
      </c>
      <c r="Y31" s="130" t="str">
        <f t="shared" si="11"/>
        <v>--</v>
      </c>
      <c r="Z31" s="131" t="str">
        <f t="shared" si="12"/>
        <v>--</v>
      </c>
      <c r="AA31" s="132" t="str">
        <f t="shared" si="13"/>
        <v>--</v>
      </c>
      <c r="AB31" s="371" t="str">
        <f t="shared" si="16"/>
        <v> </v>
      </c>
      <c r="AC31" s="298">
        <f t="shared" si="14"/>
      </c>
      <c r="AD31" s="253"/>
    </row>
    <row r="32" spans="2:30" ht="16.5" customHeight="1">
      <c r="B32" s="250"/>
      <c r="C32" s="398"/>
      <c r="D32" s="398"/>
      <c r="E32" s="398"/>
      <c r="F32" s="399"/>
      <c r="G32" s="376"/>
      <c r="H32" s="400"/>
      <c r="I32" s="401"/>
      <c r="J32" s="297">
        <f t="shared" si="0"/>
        <v>0</v>
      </c>
      <c r="K32" s="454"/>
      <c r="L32" s="454"/>
      <c r="M32" s="120">
        <f t="shared" si="1"/>
      </c>
      <c r="N32" s="121">
        <f t="shared" si="2"/>
      </c>
      <c r="O32" s="122"/>
      <c r="P32" s="122">
        <f t="shared" si="3"/>
      </c>
      <c r="Q32" s="123">
        <f t="shared" si="15"/>
      </c>
      <c r="R32" s="122">
        <f t="shared" si="4"/>
      </c>
      <c r="S32" s="124">
        <f t="shared" si="5"/>
        <v>6</v>
      </c>
      <c r="T32" s="125" t="str">
        <f t="shared" si="6"/>
        <v>--</v>
      </c>
      <c r="U32" s="126" t="str">
        <f t="shared" si="7"/>
        <v>--</v>
      </c>
      <c r="V32" s="127" t="str">
        <f t="shared" si="8"/>
        <v>--</v>
      </c>
      <c r="W32" s="128" t="str">
        <f t="shared" si="9"/>
        <v>--</v>
      </c>
      <c r="X32" s="129" t="str">
        <f t="shared" si="10"/>
        <v>--</v>
      </c>
      <c r="Y32" s="130" t="str">
        <f t="shared" si="11"/>
        <v>--</v>
      </c>
      <c r="Z32" s="131" t="str">
        <f t="shared" si="12"/>
        <v>--</v>
      </c>
      <c r="AA32" s="132" t="str">
        <f t="shared" si="13"/>
        <v>--</v>
      </c>
      <c r="AB32" s="371" t="str">
        <f t="shared" si="16"/>
        <v> </v>
      </c>
      <c r="AC32" s="298">
        <f t="shared" si="14"/>
      </c>
      <c r="AD32" s="253"/>
    </row>
    <row r="33" spans="2:30" ht="16.5" customHeight="1">
      <c r="B33" s="250"/>
      <c r="C33" s="398"/>
      <c r="D33" s="398"/>
      <c r="E33" s="398"/>
      <c r="F33" s="399"/>
      <c r="G33" s="376"/>
      <c r="H33" s="400"/>
      <c r="I33" s="401"/>
      <c r="J33" s="297">
        <f t="shared" si="0"/>
        <v>0</v>
      </c>
      <c r="K33" s="454"/>
      <c r="L33" s="454"/>
      <c r="M33" s="120">
        <f t="shared" si="1"/>
      </c>
      <c r="N33" s="121">
        <f t="shared" si="2"/>
      </c>
      <c r="O33" s="122"/>
      <c r="P33" s="122">
        <f t="shared" si="3"/>
      </c>
      <c r="Q33" s="123">
        <f t="shared" si="15"/>
      </c>
      <c r="R33" s="122">
        <f t="shared" si="4"/>
      </c>
      <c r="S33" s="124">
        <f t="shared" si="5"/>
        <v>6</v>
      </c>
      <c r="T33" s="125" t="str">
        <f t="shared" si="6"/>
        <v>--</v>
      </c>
      <c r="U33" s="126" t="str">
        <f t="shared" si="7"/>
        <v>--</v>
      </c>
      <c r="V33" s="127" t="str">
        <f t="shared" si="8"/>
        <v>--</v>
      </c>
      <c r="W33" s="128" t="str">
        <f t="shared" si="9"/>
        <v>--</v>
      </c>
      <c r="X33" s="129" t="str">
        <f t="shared" si="10"/>
        <v>--</v>
      </c>
      <c r="Y33" s="130" t="str">
        <f t="shared" si="11"/>
        <v>--</v>
      </c>
      <c r="Z33" s="131" t="str">
        <f t="shared" si="12"/>
        <v>--</v>
      </c>
      <c r="AA33" s="132" t="str">
        <f t="shared" si="13"/>
        <v>--</v>
      </c>
      <c r="AB33" s="371" t="str">
        <f t="shared" si="16"/>
        <v> </v>
      </c>
      <c r="AC33" s="298">
        <f t="shared" si="14"/>
      </c>
      <c r="AD33" s="253"/>
    </row>
    <row r="34" spans="2:30" ht="16.5" customHeight="1">
      <c r="B34" s="250"/>
      <c r="C34" s="398"/>
      <c r="D34" s="398"/>
      <c r="E34" s="398"/>
      <c r="F34" s="399"/>
      <c r="G34" s="376"/>
      <c r="H34" s="400"/>
      <c r="I34" s="401"/>
      <c r="J34" s="297">
        <f t="shared" si="0"/>
        <v>0</v>
      </c>
      <c r="K34" s="454"/>
      <c r="L34" s="454"/>
      <c r="M34" s="120">
        <f t="shared" si="1"/>
      </c>
      <c r="N34" s="121">
        <f t="shared" si="2"/>
      </c>
      <c r="O34" s="122"/>
      <c r="P34" s="122">
        <f t="shared" si="3"/>
      </c>
      <c r="Q34" s="123">
        <f t="shared" si="15"/>
      </c>
      <c r="R34" s="122">
        <f t="shared" si="4"/>
      </c>
      <c r="S34" s="124">
        <f t="shared" si="5"/>
        <v>6</v>
      </c>
      <c r="T34" s="125" t="str">
        <f t="shared" si="6"/>
        <v>--</v>
      </c>
      <c r="U34" s="126" t="str">
        <f t="shared" si="7"/>
        <v>--</v>
      </c>
      <c r="V34" s="127" t="str">
        <f t="shared" si="8"/>
        <v>--</v>
      </c>
      <c r="W34" s="128" t="str">
        <f t="shared" si="9"/>
        <v>--</v>
      </c>
      <c r="X34" s="129" t="str">
        <f t="shared" si="10"/>
        <v>--</v>
      </c>
      <c r="Y34" s="130" t="str">
        <f t="shared" si="11"/>
        <v>--</v>
      </c>
      <c r="Z34" s="131" t="str">
        <f t="shared" si="12"/>
        <v>--</v>
      </c>
      <c r="AA34" s="132" t="str">
        <f t="shared" si="13"/>
        <v>--</v>
      </c>
      <c r="AB34" s="371" t="str">
        <f t="shared" si="16"/>
        <v> </v>
      </c>
      <c r="AC34" s="298">
        <f t="shared" si="14"/>
      </c>
      <c r="AD34" s="253"/>
    </row>
    <row r="35" spans="2:30" ht="16.5" customHeight="1">
      <c r="B35" s="250"/>
      <c r="C35" s="398"/>
      <c r="D35" s="398"/>
      <c r="E35" s="398"/>
      <c r="F35" s="399"/>
      <c r="G35" s="376"/>
      <c r="H35" s="400"/>
      <c r="I35" s="401"/>
      <c r="J35" s="297">
        <f t="shared" si="0"/>
        <v>0</v>
      </c>
      <c r="K35" s="454"/>
      <c r="L35" s="454"/>
      <c r="M35" s="120">
        <f t="shared" si="1"/>
      </c>
      <c r="N35" s="121">
        <f t="shared" si="2"/>
      </c>
      <c r="O35" s="122"/>
      <c r="P35" s="122">
        <f t="shared" si="3"/>
      </c>
      <c r="Q35" s="123">
        <f t="shared" si="15"/>
      </c>
      <c r="R35" s="122">
        <f t="shared" si="4"/>
      </c>
      <c r="S35" s="124">
        <f t="shared" si="5"/>
        <v>6</v>
      </c>
      <c r="T35" s="125" t="str">
        <f t="shared" si="6"/>
        <v>--</v>
      </c>
      <c r="U35" s="126" t="str">
        <f t="shared" si="7"/>
        <v>--</v>
      </c>
      <c r="V35" s="127" t="str">
        <f t="shared" si="8"/>
        <v>--</v>
      </c>
      <c r="W35" s="128" t="str">
        <f t="shared" si="9"/>
        <v>--</v>
      </c>
      <c r="X35" s="129" t="str">
        <f t="shared" si="10"/>
        <v>--</v>
      </c>
      <c r="Y35" s="130" t="str">
        <f t="shared" si="11"/>
        <v>--</v>
      </c>
      <c r="Z35" s="131" t="str">
        <f t="shared" si="12"/>
        <v>--</v>
      </c>
      <c r="AA35" s="132" t="str">
        <f t="shared" si="13"/>
        <v>--</v>
      </c>
      <c r="AB35" s="371" t="str">
        <f t="shared" si="16"/>
        <v> </v>
      </c>
      <c r="AC35" s="298">
        <f t="shared" si="14"/>
      </c>
      <c r="AD35" s="253"/>
    </row>
    <row r="36" spans="2:30" ht="16.5" customHeight="1">
      <c r="B36" s="250"/>
      <c r="C36" s="398"/>
      <c r="D36" s="398"/>
      <c r="E36" s="398"/>
      <c r="F36" s="399"/>
      <c r="G36" s="376"/>
      <c r="H36" s="400"/>
      <c r="I36" s="401"/>
      <c r="J36" s="297">
        <f t="shared" si="0"/>
        <v>0</v>
      </c>
      <c r="K36" s="454"/>
      <c r="L36" s="454"/>
      <c r="M36" s="120">
        <f t="shared" si="1"/>
      </c>
      <c r="N36" s="121">
        <f t="shared" si="2"/>
      </c>
      <c r="O36" s="122"/>
      <c r="P36" s="122">
        <f t="shared" si="3"/>
      </c>
      <c r="Q36" s="123">
        <f t="shared" si="15"/>
      </c>
      <c r="R36" s="122">
        <f t="shared" si="4"/>
      </c>
      <c r="S36" s="124">
        <f t="shared" si="5"/>
        <v>6</v>
      </c>
      <c r="T36" s="125" t="str">
        <f t="shared" si="6"/>
        <v>--</v>
      </c>
      <c r="U36" s="126" t="str">
        <f t="shared" si="7"/>
        <v>--</v>
      </c>
      <c r="V36" s="127" t="str">
        <f t="shared" si="8"/>
        <v>--</v>
      </c>
      <c r="W36" s="128" t="str">
        <f t="shared" si="9"/>
        <v>--</v>
      </c>
      <c r="X36" s="129" t="str">
        <f t="shared" si="10"/>
        <v>--</v>
      </c>
      <c r="Y36" s="130" t="str">
        <f t="shared" si="11"/>
        <v>--</v>
      </c>
      <c r="Z36" s="131" t="str">
        <f t="shared" si="12"/>
        <v>--</v>
      </c>
      <c r="AA36" s="132" t="str">
        <f t="shared" si="13"/>
        <v>--</v>
      </c>
      <c r="AB36" s="371" t="str">
        <f t="shared" si="16"/>
        <v> </v>
      </c>
      <c r="AC36" s="298">
        <f t="shared" si="14"/>
      </c>
      <c r="AD36" s="253"/>
    </row>
    <row r="37" spans="2:30" ht="16.5" customHeight="1">
      <c r="B37" s="250"/>
      <c r="C37" s="398"/>
      <c r="D37" s="398"/>
      <c r="E37" s="398"/>
      <c r="F37" s="399"/>
      <c r="G37" s="376"/>
      <c r="H37" s="400"/>
      <c r="I37" s="401"/>
      <c r="J37" s="297">
        <f t="shared" si="0"/>
        <v>0</v>
      </c>
      <c r="K37" s="454"/>
      <c r="L37" s="454"/>
      <c r="M37" s="120">
        <f t="shared" si="1"/>
      </c>
      <c r="N37" s="121">
        <f t="shared" si="2"/>
      </c>
      <c r="O37" s="122"/>
      <c r="P37" s="122">
        <f t="shared" si="3"/>
      </c>
      <c r="Q37" s="123">
        <f t="shared" si="15"/>
      </c>
      <c r="R37" s="122">
        <f t="shared" si="4"/>
      </c>
      <c r="S37" s="124">
        <f t="shared" si="5"/>
        <v>6</v>
      </c>
      <c r="T37" s="125" t="str">
        <f t="shared" si="6"/>
        <v>--</v>
      </c>
      <c r="U37" s="126" t="str">
        <f t="shared" si="7"/>
        <v>--</v>
      </c>
      <c r="V37" s="127" t="str">
        <f t="shared" si="8"/>
        <v>--</v>
      </c>
      <c r="W37" s="128" t="str">
        <f t="shared" si="9"/>
        <v>--</v>
      </c>
      <c r="X37" s="129" t="str">
        <f t="shared" si="10"/>
        <v>--</v>
      </c>
      <c r="Y37" s="130" t="str">
        <f t="shared" si="11"/>
        <v>--</v>
      </c>
      <c r="Z37" s="131" t="str">
        <f t="shared" si="12"/>
        <v>--</v>
      </c>
      <c r="AA37" s="132" t="str">
        <f t="shared" si="13"/>
        <v>--</v>
      </c>
      <c r="AB37" s="371" t="str">
        <f t="shared" si="16"/>
        <v> </v>
      </c>
      <c r="AC37" s="298">
        <f t="shared" si="14"/>
      </c>
      <c r="AD37" s="253"/>
    </row>
    <row r="38" spans="2:30" ht="16.5" customHeight="1">
      <c r="B38" s="250"/>
      <c r="C38" s="398"/>
      <c r="D38" s="398"/>
      <c r="E38" s="398"/>
      <c r="F38" s="399"/>
      <c r="G38" s="376"/>
      <c r="H38" s="400"/>
      <c r="I38" s="401"/>
      <c r="J38" s="297">
        <f t="shared" si="0"/>
        <v>0</v>
      </c>
      <c r="K38" s="454"/>
      <c r="L38" s="454"/>
      <c r="M38" s="120">
        <f t="shared" si="1"/>
      </c>
      <c r="N38" s="121">
        <f t="shared" si="2"/>
      </c>
      <c r="O38" s="122"/>
      <c r="P38" s="122">
        <f t="shared" si="3"/>
      </c>
      <c r="Q38" s="123">
        <f t="shared" si="15"/>
      </c>
      <c r="R38" s="122">
        <f t="shared" si="4"/>
      </c>
      <c r="S38" s="124">
        <f t="shared" si="5"/>
        <v>6</v>
      </c>
      <c r="T38" s="125" t="str">
        <f t="shared" si="6"/>
        <v>--</v>
      </c>
      <c r="U38" s="126" t="str">
        <f t="shared" si="7"/>
        <v>--</v>
      </c>
      <c r="V38" s="127" t="str">
        <f t="shared" si="8"/>
        <v>--</v>
      </c>
      <c r="W38" s="128" t="str">
        <f t="shared" si="9"/>
        <v>--</v>
      </c>
      <c r="X38" s="129" t="str">
        <f t="shared" si="10"/>
        <v>--</v>
      </c>
      <c r="Y38" s="130" t="str">
        <f t="shared" si="11"/>
        <v>--</v>
      </c>
      <c r="Z38" s="131" t="str">
        <f t="shared" si="12"/>
        <v>--</v>
      </c>
      <c r="AA38" s="132" t="str">
        <f t="shared" si="13"/>
        <v>--</v>
      </c>
      <c r="AB38" s="371" t="str">
        <f t="shared" si="16"/>
        <v> </v>
      </c>
      <c r="AC38" s="298">
        <f t="shared" si="14"/>
      </c>
      <c r="AD38" s="253"/>
    </row>
    <row r="39" spans="2:30" ht="16.5" customHeight="1">
      <c r="B39" s="250"/>
      <c r="C39" s="398"/>
      <c r="D39" s="398"/>
      <c r="E39" s="398"/>
      <c r="F39" s="399"/>
      <c r="G39" s="376"/>
      <c r="H39" s="400"/>
      <c r="I39" s="401"/>
      <c r="J39" s="297">
        <f t="shared" si="0"/>
        <v>0</v>
      </c>
      <c r="K39" s="454"/>
      <c r="L39" s="454"/>
      <c r="M39" s="120">
        <f t="shared" si="1"/>
      </c>
      <c r="N39" s="121">
        <f t="shared" si="2"/>
      </c>
      <c r="O39" s="122"/>
      <c r="P39" s="122">
        <f t="shared" si="3"/>
      </c>
      <c r="Q39" s="123">
        <f t="shared" si="15"/>
      </c>
      <c r="R39" s="122">
        <f t="shared" si="4"/>
      </c>
      <c r="S39" s="124">
        <f t="shared" si="5"/>
        <v>6</v>
      </c>
      <c r="T39" s="125" t="str">
        <f t="shared" si="6"/>
        <v>--</v>
      </c>
      <c r="U39" s="126" t="str">
        <f t="shared" si="7"/>
        <v>--</v>
      </c>
      <c r="V39" s="127" t="str">
        <f t="shared" si="8"/>
        <v>--</v>
      </c>
      <c r="W39" s="128" t="str">
        <f t="shared" si="9"/>
        <v>--</v>
      </c>
      <c r="X39" s="129" t="str">
        <f t="shared" si="10"/>
        <v>--</v>
      </c>
      <c r="Y39" s="130" t="str">
        <f t="shared" si="11"/>
        <v>--</v>
      </c>
      <c r="Z39" s="131" t="str">
        <f t="shared" si="12"/>
        <v>--</v>
      </c>
      <c r="AA39" s="132" t="str">
        <f t="shared" si="13"/>
        <v>--</v>
      </c>
      <c r="AB39" s="371" t="str">
        <f t="shared" si="16"/>
        <v> </v>
      </c>
      <c r="AC39" s="298">
        <f t="shared" si="14"/>
      </c>
      <c r="AD39" s="253"/>
    </row>
    <row r="40" spans="2:30" ht="16.5" customHeight="1">
      <c r="B40" s="250"/>
      <c r="C40" s="398"/>
      <c r="D40" s="398"/>
      <c r="E40" s="398"/>
      <c r="F40" s="399"/>
      <c r="G40" s="376"/>
      <c r="H40" s="400"/>
      <c r="I40" s="401"/>
      <c r="J40" s="297">
        <f t="shared" si="0"/>
        <v>0</v>
      </c>
      <c r="K40" s="454"/>
      <c r="L40" s="454"/>
      <c r="M40" s="120">
        <f t="shared" si="1"/>
      </c>
      <c r="N40" s="121">
        <f t="shared" si="2"/>
      </c>
      <c r="O40" s="122"/>
      <c r="P40" s="122">
        <f t="shared" si="3"/>
      </c>
      <c r="Q40" s="123">
        <f t="shared" si="15"/>
      </c>
      <c r="R40" s="122">
        <f t="shared" si="4"/>
      </c>
      <c r="S40" s="124">
        <f t="shared" si="5"/>
        <v>6</v>
      </c>
      <c r="T40" s="125" t="str">
        <f t="shared" si="6"/>
        <v>--</v>
      </c>
      <c r="U40" s="126" t="str">
        <f t="shared" si="7"/>
        <v>--</v>
      </c>
      <c r="V40" s="127" t="str">
        <f t="shared" si="8"/>
        <v>--</v>
      </c>
      <c r="W40" s="128" t="str">
        <f t="shared" si="9"/>
        <v>--</v>
      </c>
      <c r="X40" s="129" t="str">
        <f t="shared" si="10"/>
        <v>--</v>
      </c>
      <c r="Y40" s="130" t="str">
        <f t="shared" si="11"/>
        <v>--</v>
      </c>
      <c r="Z40" s="131" t="str">
        <f t="shared" si="12"/>
        <v>--</v>
      </c>
      <c r="AA40" s="132" t="str">
        <f t="shared" si="13"/>
        <v>--</v>
      </c>
      <c r="AB40" s="371" t="str">
        <f t="shared" si="16"/>
        <v> </v>
      </c>
      <c r="AC40" s="298">
        <f t="shared" si="14"/>
      </c>
      <c r="AD40" s="253"/>
    </row>
    <row r="41" spans="2:30" ht="16.5" customHeight="1">
      <c r="B41" s="250"/>
      <c r="C41" s="398"/>
      <c r="D41" s="398"/>
      <c r="E41" s="398"/>
      <c r="F41" s="399"/>
      <c r="G41" s="376"/>
      <c r="H41" s="400"/>
      <c r="I41" s="401"/>
      <c r="J41" s="297">
        <f t="shared" si="0"/>
        <v>0</v>
      </c>
      <c r="K41" s="454"/>
      <c r="L41" s="454"/>
      <c r="M41" s="120">
        <f t="shared" si="1"/>
      </c>
      <c r="N41" s="121">
        <f t="shared" si="2"/>
      </c>
      <c r="O41" s="122"/>
      <c r="P41" s="122">
        <f t="shared" si="3"/>
      </c>
      <c r="Q41" s="123">
        <f t="shared" si="15"/>
      </c>
      <c r="R41" s="122">
        <f t="shared" si="4"/>
      </c>
      <c r="S41" s="124">
        <f t="shared" si="5"/>
        <v>6</v>
      </c>
      <c r="T41" s="125" t="str">
        <f t="shared" si="6"/>
        <v>--</v>
      </c>
      <c r="U41" s="126" t="str">
        <f t="shared" si="7"/>
        <v>--</v>
      </c>
      <c r="V41" s="127" t="str">
        <f t="shared" si="8"/>
        <v>--</v>
      </c>
      <c r="W41" s="128" t="str">
        <f t="shared" si="9"/>
        <v>--</v>
      </c>
      <c r="X41" s="129" t="str">
        <f t="shared" si="10"/>
        <v>--</v>
      </c>
      <c r="Y41" s="130" t="str">
        <f t="shared" si="11"/>
        <v>--</v>
      </c>
      <c r="Z41" s="131" t="str">
        <f t="shared" si="12"/>
        <v>--</v>
      </c>
      <c r="AA41" s="132" t="str">
        <f t="shared" si="13"/>
        <v>--</v>
      </c>
      <c r="AB41" s="371" t="str">
        <f t="shared" si="16"/>
        <v> </v>
      </c>
      <c r="AC41" s="298">
        <f t="shared" si="14"/>
      </c>
      <c r="AD41" s="253"/>
    </row>
    <row r="42" spans="2:30" ht="16.5" customHeight="1">
      <c r="B42" s="250"/>
      <c r="C42" s="398"/>
      <c r="D42" s="398"/>
      <c r="E42" s="398"/>
      <c r="F42" s="399"/>
      <c r="G42" s="376"/>
      <c r="H42" s="400"/>
      <c r="I42" s="401"/>
      <c r="J42" s="297">
        <f t="shared" si="0"/>
        <v>0</v>
      </c>
      <c r="K42" s="454"/>
      <c r="L42" s="454"/>
      <c r="M42" s="120">
        <f t="shared" si="1"/>
      </c>
      <c r="N42" s="121">
        <f t="shared" si="2"/>
      </c>
      <c r="O42" s="122"/>
      <c r="P42" s="122">
        <f t="shared" si="3"/>
      </c>
      <c r="Q42" s="123">
        <f t="shared" si="15"/>
      </c>
      <c r="R42" s="122">
        <f t="shared" si="4"/>
      </c>
      <c r="S42" s="124">
        <f t="shared" si="5"/>
        <v>6</v>
      </c>
      <c r="T42" s="125" t="str">
        <f t="shared" si="6"/>
        <v>--</v>
      </c>
      <c r="U42" s="126" t="str">
        <f t="shared" si="7"/>
        <v>--</v>
      </c>
      <c r="V42" s="127" t="str">
        <f t="shared" si="8"/>
        <v>--</v>
      </c>
      <c r="W42" s="128" t="str">
        <f t="shared" si="9"/>
        <v>--</v>
      </c>
      <c r="X42" s="129" t="str">
        <f t="shared" si="10"/>
        <v>--</v>
      </c>
      <c r="Y42" s="130" t="str">
        <f t="shared" si="11"/>
        <v>--</v>
      </c>
      <c r="Z42" s="131" t="str">
        <f t="shared" si="12"/>
        <v>--</v>
      </c>
      <c r="AA42" s="132" t="str">
        <f t="shared" si="13"/>
        <v>--</v>
      </c>
      <c r="AB42" s="371" t="str">
        <f t="shared" si="16"/>
        <v> </v>
      </c>
      <c r="AC42" s="298">
        <f t="shared" si="14"/>
      </c>
      <c r="AD42" s="253"/>
    </row>
    <row r="43" spans="2:30" ht="16.5" customHeight="1" thickBot="1">
      <c r="B43" s="250"/>
      <c r="C43" s="402"/>
      <c r="D43" s="402"/>
      <c r="E43" s="402"/>
      <c r="F43" s="402"/>
      <c r="G43" s="402"/>
      <c r="H43" s="402"/>
      <c r="I43" s="402"/>
      <c r="J43" s="300"/>
      <c r="K43" s="425"/>
      <c r="L43" s="425"/>
      <c r="M43" s="299"/>
      <c r="N43" s="299"/>
      <c r="O43" s="402"/>
      <c r="P43" s="402"/>
      <c r="Q43" s="402"/>
      <c r="R43" s="402"/>
      <c r="S43" s="403"/>
      <c r="T43" s="404"/>
      <c r="U43" s="405"/>
      <c r="V43" s="406"/>
      <c r="W43" s="407"/>
      <c r="X43" s="408"/>
      <c r="Y43" s="409"/>
      <c r="Z43" s="410"/>
      <c r="AA43" s="404"/>
      <c r="AB43" s="402"/>
      <c r="AC43" s="301"/>
      <c r="AD43" s="253"/>
    </row>
    <row r="44" spans="2:30" ht="16.5" customHeight="1" thickBot="1" thickTop="1">
      <c r="B44" s="250"/>
      <c r="C44" s="217" t="s">
        <v>33</v>
      </c>
      <c r="D44" s="457" t="s">
        <v>186</v>
      </c>
      <c r="E44" s="98"/>
      <c r="F44" s="91"/>
      <c r="G44" s="302"/>
      <c r="H44" s="302"/>
      <c r="I44" s="302"/>
      <c r="J44" s="302"/>
      <c r="K44" s="302"/>
      <c r="L44" s="302"/>
      <c r="M44" s="302"/>
      <c r="N44" s="302"/>
      <c r="O44" s="302"/>
      <c r="P44" s="302"/>
      <c r="Q44" s="302"/>
      <c r="R44" s="302"/>
      <c r="S44" s="303"/>
      <c r="T44" s="304">
        <f aca="true" t="shared" si="17" ref="T44:AA44">SUM(T21:T43)</f>
        <v>797.6160000000002</v>
      </c>
      <c r="U44" s="305">
        <f t="shared" si="17"/>
        <v>0</v>
      </c>
      <c r="V44" s="306">
        <f t="shared" si="17"/>
        <v>0</v>
      </c>
      <c r="W44" s="306">
        <f t="shared" si="17"/>
        <v>0</v>
      </c>
      <c r="X44" s="307">
        <f t="shared" si="17"/>
        <v>0</v>
      </c>
      <c r="Y44" s="307">
        <f t="shared" si="17"/>
        <v>0</v>
      </c>
      <c r="Z44" s="308">
        <f t="shared" si="17"/>
        <v>0</v>
      </c>
      <c r="AA44" s="304">
        <f t="shared" si="17"/>
        <v>0</v>
      </c>
      <c r="AB44" s="309"/>
      <c r="AC44" s="310">
        <f>SUM(AC21:AC43)</f>
        <v>797.6160000000002</v>
      </c>
      <c r="AD44" s="253"/>
    </row>
    <row r="45" spans="2:30" s="233" customFormat="1" ht="9.75" thickTop="1">
      <c r="B45" s="311"/>
      <c r="C45" s="228"/>
      <c r="D45" s="228"/>
      <c r="E45" s="228"/>
      <c r="F45" s="97"/>
      <c r="G45" s="312"/>
      <c r="H45" s="312"/>
      <c r="I45" s="312"/>
      <c r="J45" s="312"/>
      <c r="K45" s="312"/>
      <c r="L45" s="312"/>
      <c r="M45" s="312"/>
      <c r="N45" s="312"/>
      <c r="O45" s="312"/>
      <c r="P45" s="312"/>
      <c r="Q45" s="312"/>
      <c r="R45" s="312"/>
      <c r="S45" s="312"/>
      <c r="T45" s="313"/>
      <c r="U45" s="313"/>
      <c r="V45" s="313"/>
      <c r="W45" s="313"/>
      <c r="X45" s="313"/>
      <c r="Y45" s="313"/>
      <c r="Z45" s="313"/>
      <c r="AA45" s="313"/>
      <c r="AB45" s="312"/>
      <c r="AC45" s="314"/>
      <c r="AD45" s="315"/>
    </row>
    <row r="46" spans="2:30" ht="16.5" customHeight="1" thickBot="1">
      <c r="B46" s="316"/>
      <c r="C46" s="317"/>
      <c r="D46" s="317"/>
      <c r="E46" s="317"/>
      <c r="F46" s="317"/>
      <c r="G46" s="317"/>
      <c r="H46" s="317"/>
      <c r="I46" s="317"/>
      <c r="J46" s="317"/>
      <c r="K46" s="317"/>
      <c r="L46" s="317"/>
      <c r="M46" s="317"/>
      <c r="N46" s="317"/>
      <c r="O46" s="317"/>
      <c r="P46" s="317"/>
      <c r="Q46" s="317"/>
      <c r="R46" s="317"/>
      <c r="S46" s="317"/>
      <c r="T46" s="317"/>
      <c r="U46" s="317"/>
      <c r="V46" s="317"/>
      <c r="W46" s="317"/>
      <c r="X46" s="317"/>
      <c r="Y46" s="317"/>
      <c r="Z46" s="317"/>
      <c r="AA46" s="317"/>
      <c r="AB46" s="317"/>
      <c r="AC46" s="317"/>
      <c r="AD46" s="318"/>
    </row>
    <row r="47" ht="13.5" thickTop="1"/>
  </sheetData>
  <conditionalFormatting sqref="AB23:AB42">
    <cfRule type="cellIs" priority="1" dxfId="0" operator="equal" stopIfTrue="1">
      <formula>"SI"</formula>
    </cfRule>
    <cfRule type="cellIs" priority="2" dxfId="0" operator="equal" stopIfTrue="1">
      <formula>"NO"</formula>
    </cfRule>
    <cfRule type="cellIs" priority="3" dxfId="0" operator="equal" stopIfTrue="1">
      <formula>" "</formula>
    </cfRule>
  </conditionalFormatting>
  <conditionalFormatting sqref="M23:M42">
    <cfRule type="cellIs" priority="4" dxfId="1" operator="lessThanOrEqual" stopIfTrue="1">
      <formula>0</formula>
    </cfRule>
  </conditionalFormatting>
  <conditionalFormatting sqref="K23:L42">
    <cfRule type="expression" priority="5" dxfId="3" stopIfTrue="1">
      <formula>MONTH(K23)&lt;&gt;$J$21</formula>
    </cfRule>
    <cfRule type="expression" priority="6" dxfId="3" stopIfTrue="1">
      <formula>YEAR(K23)&lt;&gt;$J$22</formula>
    </cfRule>
    <cfRule type="expression" priority="7" dxfId="0" stopIfTrue="1">
      <formula>""""""</formula>
    </cfRule>
  </conditionalFormatting>
  <printOptions/>
  <pageMargins left="0.25" right="0.1968503937007874" top="0.7874015748031497" bottom="0.7874015748031497" header="0.5118110236220472" footer="0.5118110236220472"/>
  <pageSetup fitToHeight="1" fitToWidth="1" horizontalDpi="300" verticalDpi="300" orientation="landscape" paperSize="9" scale="59" r:id="rId3"/>
  <headerFooter alignWithMargins="0">
    <oddFooter>&amp;L&amp;"Times New Roman,Normal"&amp;6&amp;Z&amp;F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112">
    <pageSetUpPr fitToPage="1"/>
  </sheetPr>
  <dimension ref="A1:W46"/>
  <sheetViews>
    <sheetView tabSelected="1" zoomScale="55" zoomScaleNormal="55" workbookViewId="0" topLeftCell="A1">
      <selection activeCell="B3" sqref="B3"/>
    </sheetView>
  </sheetViews>
  <sheetFormatPr defaultColWidth="11.421875" defaultRowHeight="12.75"/>
  <cols>
    <col min="1" max="1" width="17.28125" style="148" customWidth="1"/>
    <col min="2" max="2" width="4.140625" style="148" customWidth="1"/>
    <col min="3" max="3" width="4.7109375" style="148" customWidth="1"/>
    <col min="4" max="5" width="13.7109375" style="148" customWidth="1"/>
    <col min="6" max="7" width="35.7109375" style="148" customWidth="1"/>
    <col min="8" max="8" width="9.7109375" style="148" customWidth="1"/>
    <col min="9" max="9" width="13.28125" style="148" hidden="1" customWidth="1"/>
    <col min="10" max="11" width="15.7109375" style="148" customWidth="1"/>
    <col min="12" max="14" width="9.7109375" style="148" customWidth="1"/>
    <col min="15" max="15" width="7.7109375" style="148" customWidth="1"/>
    <col min="16" max="16" width="14.421875" style="148" hidden="1" customWidth="1"/>
    <col min="17" max="17" width="14.57421875" style="148" hidden="1" customWidth="1"/>
    <col min="18" max="20" width="15.7109375" style="148" hidden="1" customWidth="1"/>
    <col min="21" max="21" width="9.7109375" style="148" customWidth="1"/>
    <col min="22" max="22" width="15.7109375" style="148" customWidth="1"/>
    <col min="23" max="23" width="4.140625" style="148" customWidth="1"/>
    <col min="24" max="16384" width="11.421875" style="148" customWidth="1"/>
  </cols>
  <sheetData>
    <row r="1" ht="16.5" customHeight="1">
      <c r="W1" s="149"/>
    </row>
    <row r="2" spans="2:23" ht="16.5" customHeight="1"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</row>
    <row r="3" spans="2:23" ht="16.5" customHeight="1"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</row>
    <row r="4" spans="2:23" s="150" customFormat="1" ht="26.25">
      <c r="B4" s="151" t="str">
        <f>+'TOT-0510'!B2</f>
        <v>ANEXO III a la Resolución AAANR Nº  51 / 2011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</row>
    <row r="5" spans="1:2" s="153" customFormat="1" ht="11.25">
      <c r="A5" s="103" t="s">
        <v>2</v>
      </c>
      <c r="B5" s="320"/>
    </row>
    <row r="6" spans="1:2" s="153" customFormat="1" ht="11.25">
      <c r="A6" s="103" t="s">
        <v>3</v>
      </c>
      <c r="B6" s="320"/>
    </row>
    <row r="7" spans="2:23" ht="16.5" customHeight="1" thickBot="1">
      <c r="B7" s="319"/>
      <c r="C7" s="319"/>
      <c r="D7" s="319"/>
      <c r="E7" s="319"/>
      <c r="F7" s="321"/>
      <c r="G7" s="321"/>
      <c r="H7" s="321"/>
      <c r="I7" s="321"/>
      <c r="J7" s="321"/>
      <c r="K7" s="321"/>
      <c r="L7" s="321"/>
      <c r="M7" s="321"/>
      <c r="N7" s="321"/>
      <c r="O7" s="321"/>
      <c r="P7" s="321"/>
      <c r="Q7" s="321"/>
      <c r="R7" s="321"/>
      <c r="S7" s="321"/>
      <c r="T7" s="321"/>
      <c r="U7" s="321"/>
      <c r="V7" s="321"/>
      <c r="W7" s="321"/>
    </row>
    <row r="8" spans="2:23" ht="16.5" customHeight="1" thickTop="1">
      <c r="B8" s="322"/>
      <c r="C8" s="323"/>
      <c r="D8" s="323"/>
      <c r="E8" s="323"/>
      <c r="F8" s="324"/>
      <c r="G8" s="324"/>
      <c r="H8" s="324"/>
      <c r="I8" s="324"/>
      <c r="J8" s="324"/>
      <c r="K8" s="324"/>
      <c r="L8" s="324"/>
      <c r="M8" s="324"/>
      <c r="N8" s="324"/>
      <c r="O8" s="324"/>
      <c r="P8" s="324"/>
      <c r="Q8" s="324"/>
      <c r="R8" s="324"/>
      <c r="S8" s="324"/>
      <c r="T8" s="324"/>
      <c r="U8" s="324"/>
      <c r="V8" s="324"/>
      <c r="W8" s="325"/>
    </row>
    <row r="9" spans="2:23" s="157" customFormat="1" ht="20.25">
      <c r="B9" s="158"/>
      <c r="C9" s="64"/>
      <c r="D9" s="64"/>
      <c r="E9" s="64"/>
      <c r="F9" s="159" t="str">
        <f>CONCATENATE("FUNCIÓN TÉCNICA DE TRANSPORTE DE ENERGÍA ELÉCTRICA - ",'TOT-0510'!B9)</f>
        <v>FUNCIÓN TÉCNICA DE TRANSPORTE DE ENERGÍA ELÉCTRICA - EDESUR S.A.</v>
      </c>
      <c r="G9" s="159"/>
      <c r="P9" s="64"/>
      <c r="Q9" s="64"/>
      <c r="R9" s="64"/>
      <c r="S9" s="64"/>
      <c r="T9" s="64"/>
      <c r="U9" s="64"/>
      <c r="V9" s="64"/>
      <c r="W9" s="160"/>
    </row>
    <row r="10" spans="2:23" ht="16.5" customHeight="1">
      <c r="B10" s="326"/>
      <c r="C10" s="327"/>
      <c r="D10" s="327"/>
      <c r="E10" s="327"/>
      <c r="F10" s="64"/>
      <c r="G10" s="328"/>
      <c r="H10" s="133"/>
      <c r="I10" s="329"/>
      <c r="J10" s="329"/>
      <c r="K10" s="329"/>
      <c r="L10" s="329"/>
      <c r="M10" s="329"/>
      <c r="N10" s="319"/>
      <c r="O10" s="319"/>
      <c r="P10" s="133"/>
      <c r="Q10" s="133"/>
      <c r="R10" s="133"/>
      <c r="S10" s="133"/>
      <c r="T10" s="133"/>
      <c r="U10" s="133"/>
      <c r="V10" s="133"/>
      <c r="W10" s="330"/>
    </row>
    <row r="11" spans="2:23" s="157" customFormat="1" ht="20.25">
      <c r="B11" s="158"/>
      <c r="C11" s="64"/>
      <c r="D11" s="64"/>
      <c r="E11" s="64"/>
      <c r="F11" s="159" t="s">
        <v>69</v>
      </c>
      <c r="G11" s="159"/>
      <c r="H11" s="64"/>
      <c r="I11" s="159"/>
      <c r="J11" s="159"/>
      <c r="K11" s="159"/>
      <c r="L11" s="159"/>
      <c r="M11" s="159"/>
      <c r="P11" s="64"/>
      <c r="Q11" s="64"/>
      <c r="R11" s="64"/>
      <c r="S11" s="64"/>
      <c r="T11" s="64"/>
      <c r="U11" s="64"/>
      <c r="V11" s="64"/>
      <c r="W11" s="160"/>
    </row>
    <row r="12" spans="2:23" ht="16.5" customHeight="1">
      <c r="B12" s="326"/>
      <c r="C12" s="327"/>
      <c r="D12" s="327"/>
      <c r="E12" s="327"/>
      <c r="F12" s="163"/>
      <c r="G12" s="331"/>
      <c r="H12" s="133"/>
      <c r="I12" s="329"/>
      <c r="J12" s="329"/>
      <c r="K12" s="329"/>
      <c r="L12" s="329"/>
      <c r="M12" s="329"/>
      <c r="N12" s="319"/>
      <c r="O12" s="319"/>
      <c r="P12" s="133"/>
      <c r="Q12" s="133"/>
      <c r="R12" s="133"/>
      <c r="S12" s="133"/>
      <c r="T12" s="133"/>
      <c r="U12" s="133"/>
      <c r="V12" s="133"/>
      <c r="W12" s="330"/>
    </row>
    <row r="13" spans="2:23" s="166" customFormat="1" ht="19.5">
      <c r="B13" s="167" t="str">
        <f>+'TOT-0510'!B14</f>
        <v>Desde el 01 al 31 de mayo de 2010</v>
      </c>
      <c r="C13" s="168"/>
      <c r="D13" s="168"/>
      <c r="E13" s="168"/>
      <c r="F13" s="66"/>
      <c r="G13" s="66"/>
      <c r="H13" s="66"/>
      <c r="I13" s="66"/>
      <c r="J13" s="170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171"/>
    </row>
    <row r="14" spans="2:23" ht="16.5" customHeight="1" thickBot="1">
      <c r="B14" s="326"/>
      <c r="C14" s="327"/>
      <c r="D14" s="327"/>
      <c r="E14" s="327"/>
      <c r="F14" s="321"/>
      <c r="G14" s="321"/>
      <c r="H14" s="321"/>
      <c r="I14" s="133"/>
      <c r="J14" s="319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330"/>
    </row>
    <row r="15" spans="2:23" ht="16.5" customHeight="1" thickBot="1" thickTop="1">
      <c r="B15" s="326"/>
      <c r="C15" s="327"/>
      <c r="D15" s="327"/>
      <c r="E15" s="327"/>
      <c r="F15" s="134" t="s">
        <v>70</v>
      </c>
      <c r="G15" s="135">
        <v>4.637</v>
      </c>
      <c r="H15" s="332">
        <f>60*'TOT-0510'!B13</f>
        <v>120</v>
      </c>
      <c r="I15" s="133"/>
      <c r="J15" s="69" t="str">
        <f>IF(H15=60," ",IF(H15=120,"    Coeficiente duplicado por tasa de falla &gt;4 Sal. x año/100 km.","    REVISAR COEFICIENTE"))</f>
        <v>    Coeficiente duplicado por tasa de falla &gt;4 Sal. x año/100 km.</v>
      </c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330"/>
    </row>
    <row r="16" spans="2:23" ht="16.5" customHeight="1" thickBot="1" thickTop="1">
      <c r="B16" s="326"/>
      <c r="C16" s="327"/>
      <c r="D16" s="327"/>
      <c r="E16" s="327"/>
      <c r="F16" s="134" t="s">
        <v>71</v>
      </c>
      <c r="G16" s="135">
        <v>2.318</v>
      </c>
      <c r="H16" s="332">
        <f>50*'TOT-0510'!B13</f>
        <v>100</v>
      </c>
      <c r="I16" s="319"/>
      <c r="J16" s="69" t="str">
        <f>IF(H16=50," ",IF(H16=100,"    Coeficiente duplicado por tasa de falla &gt;4 Sal. x año/100 km.","    REVISAR COEFICIENTE"))</f>
        <v>    Coeficiente duplicado por tasa de falla &gt;4 Sal. x año/100 km.</v>
      </c>
      <c r="K16" s="319"/>
      <c r="L16" s="319"/>
      <c r="M16" s="319"/>
      <c r="N16" s="319"/>
      <c r="O16" s="319"/>
      <c r="P16" s="319"/>
      <c r="Q16" s="319"/>
      <c r="R16" s="319"/>
      <c r="S16" s="133"/>
      <c r="T16" s="133"/>
      <c r="U16" s="133"/>
      <c r="V16" s="333"/>
      <c r="W16" s="330"/>
    </row>
    <row r="17" spans="2:23" ht="16.5" customHeight="1" thickBot="1" thickTop="1">
      <c r="B17" s="326"/>
      <c r="C17" s="327"/>
      <c r="D17" s="327"/>
      <c r="E17" s="327"/>
      <c r="F17" s="334" t="s">
        <v>72</v>
      </c>
      <c r="G17" s="135">
        <v>1.739</v>
      </c>
      <c r="H17" s="335">
        <f>25*'TOT-0510'!B13</f>
        <v>50</v>
      </c>
      <c r="I17" s="319"/>
      <c r="J17" s="69" t="str">
        <f>IF(H17=25," ",IF(H17=50,"    Coeficiente duplicado por tasa de falla &gt;4 Sal. x año/100 km.","    REVISAR COEFICIENTE"))</f>
        <v>    Coeficiente duplicado por tasa de falla &gt;4 Sal. x año/100 km.</v>
      </c>
      <c r="K17" s="136"/>
      <c r="L17" s="136"/>
      <c r="M17" s="133"/>
      <c r="N17" s="319"/>
      <c r="O17" s="319"/>
      <c r="P17" s="336"/>
      <c r="Q17" s="337"/>
      <c r="R17" s="338"/>
      <c r="S17" s="133"/>
      <c r="T17" s="133"/>
      <c r="U17" s="133"/>
      <c r="V17" s="333"/>
      <c r="W17" s="330"/>
    </row>
    <row r="18" spans="2:23" ht="16.5" customHeight="1" thickBot="1" thickTop="1">
      <c r="B18" s="326"/>
      <c r="C18" s="327"/>
      <c r="D18" s="327"/>
      <c r="E18" s="327"/>
      <c r="F18" s="134" t="s">
        <v>73</v>
      </c>
      <c r="G18" s="135">
        <v>1.739</v>
      </c>
      <c r="H18" s="339">
        <f>20*'TOT-0510'!B13</f>
        <v>40</v>
      </c>
      <c r="I18" s="319"/>
      <c r="J18" s="69" t="str">
        <f>IF(H18=20," ",IF(H18=40,"    Coeficiente duplicado por tasa de falla &gt;4 Sal. x año/100 km.","    REVISAR COEFICIENTE"))</f>
        <v>    Coeficiente duplicado por tasa de falla &gt;4 Sal. x año/100 km.</v>
      </c>
      <c r="K18" s="136"/>
      <c r="L18" s="136"/>
      <c r="M18" s="133"/>
      <c r="N18" s="319"/>
      <c r="O18" s="319"/>
      <c r="P18" s="336"/>
      <c r="Q18" s="337"/>
      <c r="R18" s="338"/>
      <c r="S18" s="133"/>
      <c r="T18" s="133"/>
      <c r="U18" s="133"/>
      <c r="V18" s="333"/>
      <c r="W18" s="330"/>
    </row>
    <row r="19" spans="2:23" ht="16.5" customHeight="1" thickBot="1" thickTop="1">
      <c r="B19" s="326"/>
      <c r="C19" s="450">
        <v>3</v>
      </c>
      <c r="D19" s="450">
        <v>4</v>
      </c>
      <c r="E19" s="450">
        <v>5</v>
      </c>
      <c r="F19" s="450">
        <v>6</v>
      </c>
      <c r="G19" s="450">
        <v>7</v>
      </c>
      <c r="H19" s="450">
        <v>8</v>
      </c>
      <c r="I19" s="450">
        <v>9</v>
      </c>
      <c r="J19" s="450">
        <v>10</v>
      </c>
      <c r="K19" s="450">
        <v>11</v>
      </c>
      <c r="L19" s="450">
        <v>12</v>
      </c>
      <c r="M19" s="450">
        <v>13</v>
      </c>
      <c r="N19" s="450">
        <v>14</v>
      </c>
      <c r="O19" s="450">
        <v>15</v>
      </c>
      <c r="P19" s="450">
        <v>16</v>
      </c>
      <c r="Q19" s="450">
        <v>17</v>
      </c>
      <c r="R19" s="450">
        <v>18</v>
      </c>
      <c r="S19" s="450">
        <v>19</v>
      </c>
      <c r="T19" s="450">
        <v>20</v>
      </c>
      <c r="U19" s="450">
        <v>21</v>
      </c>
      <c r="V19" s="450">
        <v>22</v>
      </c>
      <c r="W19" s="330"/>
    </row>
    <row r="20" spans="2:23" s="272" customFormat="1" ht="34.5" customHeight="1" thickBot="1" thickTop="1">
      <c r="B20" s="340"/>
      <c r="C20" s="426" t="s">
        <v>19</v>
      </c>
      <c r="D20" s="426" t="s">
        <v>78</v>
      </c>
      <c r="E20" s="426" t="s">
        <v>79</v>
      </c>
      <c r="F20" s="137" t="s">
        <v>58</v>
      </c>
      <c r="G20" s="138" t="s">
        <v>59</v>
      </c>
      <c r="H20" s="137" t="s">
        <v>20</v>
      </c>
      <c r="I20" s="139" t="s">
        <v>22</v>
      </c>
      <c r="J20" s="138" t="s">
        <v>23</v>
      </c>
      <c r="K20" s="138" t="s">
        <v>24</v>
      </c>
      <c r="L20" s="137" t="s">
        <v>61</v>
      </c>
      <c r="M20" s="137" t="s">
        <v>62</v>
      </c>
      <c r="N20" s="71" t="s">
        <v>26</v>
      </c>
      <c r="O20" s="138" t="s">
        <v>63</v>
      </c>
      <c r="P20" s="140" t="s">
        <v>74</v>
      </c>
      <c r="Q20" s="341" t="s">
        <v>27</v>
      </c>
      <c r="R20" s="141" t="s">
        <v>67</v>
      </c>
      <c r="S20" s="342"/>
      <c r="T20" s="343" t="s">
        <v>29</v>
      </c>
      <c r="U20" s="137" t="s">
        <v>31</v>
      </c>
      <c r="V20" s="137" t="s">
        <v>32</v>
      </c>
      <c r="W20" s="271"/>
    </row>
    <row r="21" spans="2:23" ht="16.5" customHeight="1" thickTop="1">
      <c r="B21" s="326"/>
      <c r="C21" s="275"/>
      <c r="D21" s="275"/>
      <c r="E21" s="275"/>
      <c r="F21" s="274"/>
      <c r="G21" s="274"/>
      <c r="H21" s="344"/>
      <c r="I21" s="345">
        <v>5</v>
      </c>
      <c r="J21" s="421"/>
      <c r="K21" s="422"/>
      <c r="L21" s="274"/>
      <c r="M21" s="274"/>
      <c r="N21" s="274"/>
      <c r="O21" s="274"/>
      <c r="P21" s="346"/>
      <c r="Q21" s="347"/>
      <c r="R21" s="348"/>
      <c r="S21" s="349"/>
      <c r="T21" s="350"/>
      <c r="U21" s="351"/>
      <c r="V21" s="199"/>
      <c r="W21" s="253"/>
    </row>
    <row r="22" spans="2:23" ht="16.5" customHeight="1">
      <c r="B22" s="326"/>
      <c r="C22" s="286"/>
      <c r="D22" s="286"/>
      <c r="E22" s="286"/>
      <c r="F22" s="273"/>
      <c r="G22" s="273"/>
      <c r="H22" s="352"/>
      <c r="I22" s="353">
        <v>2005</v>
      </c>
      <c r="J22" s="423"/>
      <c r="K22" s="424"/>
      <c r="L22" s="273"/>
      <c r="M22" s="273"/>
      <c r="N22" s="273"/>
      <c r="O22" s="273"/>
      <c r="P22" s="354"/>
      <c r="Q22" s="355"/>
      <c r="R22" s="356"/>
      <c r="S22" s="357"/>
      <c r="T22" s="358"/>
      <c r="U22" s="359"/>
      <c r="V22" s="360"/>
      <c r="W22" s="253"/>
    </row>
    <row r="23" spans="2:23" ht="16.5" customHeight="1">
      <c r="B23" s="326"/>
      <c r="C23" s="398">
        <v>50</v>
      </c>
      <c r="D23" s="398">
        <v>221569</v>
      </c>
      <c r="E23" s="398">
        <v>1328</v>
      </c>
      <c r="F23" s="398" t="s">
        <v>165</v>
      </c>
      <c r="G23" s="398" t="s">
        <v>166</v>
      </c>
      <c r="H23" s="455">
        <v>220</v>
      </c>
      <c r="I23" s="361">
        <f aca="true" t="shared" si="0" ref="I23:I42">IF(H23=220,$G$15,IF(AND(H23&lt;=132,H23&gt;=66),$G$16,IF(AND(H23&lt;66,H23&gt;=13.2),$G$17,$G$18)))</f>
        <v>4.637</v>
      </c>
      <c r="J23" s="454">
        <v>40307.14097222222</v>
      </c>
      <c r="K23" s="454">
        <v>40307.59652777778</v>
      </c>
      <c r="L23" s="120">
        <f aca="true" t="shared" si="1" ref="L23:L42">IF(F23="","",(K23-J23)*24)</f>
        <v>10.933333333348855</v>
      </c>
      <c r="M23" s="142">
        <f aca="true" t="shared" si="2" ref="M23:M42">IF(F23="","",ROUND((K23-J23)*24*60,0))</f>
        <v>656</v>
      </c>
      <c r="N23" s="122" t="s">
        <v>135</v>
      </c>
      <c r="O23" s="122" t="str">
        <f aca="true" t="shared" si="3" ref="O23:O42">IF(F23="","",IF(OR(N23="P",N23="RP"),"--","NO"))</f>
        <v>--</v>
      </c>
      <c r="P23" s="143">
        <f aca="true" t="shared" si="4" ref="P23:P42">IF(H23=220,$H$15,IF(AND(H23&lt;=132,H23&gt;=66),$H$16,IF(AND(H23&lt;66,H23&gt;13.2),$H$17,$H$18)))</f>
        <v>120</v>
      </c>
      <c r="Q23" s="144">
        <f aca="true" t="shared" si="5" ref="Q23:Q42">IF(N23="P",I23*P23*ROUND(M23/60,2)*0.1,"--")</f>
        <v>608.1889199999999</v>
      </c>
      <c r="R23" s="145" t="str">
        <f aca="true" t="shared" si="6" ref="R23:R42">IF(AND(N23="F",O23="NO"),I23*P23,"--")</f>
        <v>--</v>
      </c>
      <c r="S23" s="146" t="str">
        <f aca="true" t="shared" si="7" ref="S23:S42">IF(N23="F",I23*P23*ROUND(M23/60,2),"--")</f>
        <v>--</v>
      </c>
      <c r="T23" s="147" t="str">
        <f aca="true" t="shared" si="8" ref="T23:T42">IF(N23="RF",I23*P23*ROUND(M23/60,2),"--")</f>
        <v>--</v>
      </c>
      <c r="U23" s="372" t="s">
        <v>136</v>
      </c>
      <c r="V23" s="298">
        <f aca="true" t="shared" si="9" ref="V23:V42">IF(F23="","",SUM(Q23:T23)*IF(U23="SI",1,2)*IF(H23="500/220",0,1))</f>
        <v>608.1889199999999</v>
      </c>
      <c r="W23" s="253"/>
    </row>
    <row r="24" spans="2:23" ht="16.5" customHeight="1">
      <c r="B24" s="326"/>
      <c r="C24" s="398"/>
      <c r="D24" s="398"/>
      <c r="E24" s="398"/>
      <c r="F24" s="411"/>
      <c r="G24" s="411"/>
      <c r="H24" s="412"/>
      <c r="I24" s="361">
        <f t="shared" si="0"/>
        <v>1.739</v>
      </c>
      <c r="J24" s="454"/>
      <c r="K24" s="454"/>
      <c r="L24" s="120">
        <f t="shared" si="1"/>
      </c>
      <c r="M24" s="142">
        <f t="shared" si="2"/>
      </c>
      <c r="N24" s="122"/>
      <c r="O24" s="122">
        <f t="shared" si="3"/>
      </c>
      <c r="P24" s="143">
        <f t="shared" si="4"/>
        <v>40</v>
      </c>
      <c r="Q24" s="144" t="str">
        <f t="shared" si="5"/>
        <v>--</v>
      </c>
      <c r="R24" s="145" t="str">
        <f t="shared" si="6"/>
        <v>--</v>
      </c>
      <c r="S24" s="146" t="str">
        <f t="shared" si="7"/>
        <v>--</v>
      </c>
      <c r="T24" s="147" t="str">
        <f t="shared" si="8"/>
        <v>--</v>
      </c>
      <c r="U24" s="372" t="str">
        <f aca="true" t="shared" si="10" ref="U24:U42">IF(F24=""," ","SI")</f>
        <v> </v>
      </c>
      <c r="V24" s="298">
        <f t="shared" si="9"/>
      </c>
      <c r="W24" s="253"/>
    </row>
    <row r="25" spans="2:23" ht="16.5" customHeight="1">
      <c r="B25" s="326"/>
      <c r="C25" s="398"/>
      <c r="D25" s="398"/>
      <c r="E25" s="398"/>
      <c r="F25" s="411"/>
      <c r="G25" s="411"/>
      <c r="H25" s="412"/>
      <c r="I25" s="361">
        <f t="shared" si="0"/>
        <v>1.739</v>
      </c>
      <c r="J25" s="454"/>
      <c r="K25" s="454"/>
      <c r="L25" s="120">
        <f t="shared" si="1"/>
      </c>
      <c r="M25" s="142">
        <f t="shared" si="2"/>
      </c>
      <c r="N25" s="122"/>
      <c r="O25" s="122">
        <f t="shared" si="3"/>
      </c>
      <c r="P25" s="143">
        <f t="shared" si="4"/>
        <v>40</v>
      </c>
      <c r="Q25" s="144" t="str">
        <f t="shared" si="5"/>
        <v>--</v>
      </c>
      <c r="R25" s="145" t="str">
        <f t="shared" si="6"/>
        <v>--</v>
      </c>
      <c r="S25" s="146" t="str">
        <f t="shared" si="7"/>
        <v>--</v>
      </c>
      <c r="T25" s="147" t="str">
        <f t="shared" si="8"/>
        <v>--</v>
      </c>
      <c r="U25" s="372" t="str">
        <f t="shared" si="10"/>
        <v> </v>
      </c>
      <c r="V25" s="298">
        <f t="shared" si="9"/>
      </c>
      <c r="W25" s="253"/>
    </row>
    <row r="26" spans="2:23" ht="16.5" customHeight="1">
      <c r="B26" s="326"/>
      <c r="C26" s="398"/>
      <c r="D26" s="398"/>
      <c r="E26" s="398"/>
      <c r="F26" s="411"/>
      <c r="G26" s="411"/>
      <c r="H26" s="412"/>
      <c r="I26" s="361">
        <f t="shared" si="0"/>
        <v>1.739</v>
      </c>
      <c r="J26" s="454"/>
      <c r="K26" s="454"/>
      <c r="L26" s="120">
        <f t="shared" si="1"/>
      </c>
      <c r="M26" s="142">
        <f t="shared" si="2"/>
      </c>
      <c r="N26" s="122"/>
      <c r="O26" s="122">
        <f t="shared" si="3"/>
      </c>
      <c r="P26" s="143">
        <f t="shared" si="4"/>
        <v>40</v>
      </c>
      <c r="Q26" s="144" t="str">
        <f t="shared" si="5"/>
        <v>--</v>
      </c>
      <c r="R26" s="145" t="str">
        <f t="shared" si="6"/>
        <v>--</v>
      </c>
      <c r="S26" s="146" t="str">
        <f t="shared" si="7"/>
        <v>--</v>
      </c>
      <c r="T26" s="147" t="str">
        <f t="shared" si="8"/>
        <v>--</v>
      </c>
      <c r="U26" s="372" t="str">
        <f t="shared" si="10"/>
        <v> </v>
      </c>
      <c r="V26" s="298">
        <f t="shared" si="9"/>
      </c>
      <c r="W26" s="253"/>
    </row>
    <row r="27" spans="2:23" ht="16.5" customHeight="1">
      <c r="B27" s="326"/>
      <c r="C27" s="398"/>
      <c r="D27" s="398"/>
      <c r="E27" s="398"/>
      <c r="F27" s="411"/>
      <c r="G27" s="411"/>
      <c r="H27" s="412"/>
      <c r="I27" s="361">
        <f t="shared" si="0"/>
        <v>1.739</v>
      </c>
      <c r="J27" s="454"/>
      <c r="K27" s="454"/>
      <c r="L27" s="120">
        <f t="shared" si="1"/>
      </c>
      <c r="M27" s="142">
        <f t="shared" si="2"/>
      </c>
      <c r="N27" s="122"/>
      <c r="O27" s="122">
        <f t="shared" si="3"/>
      </c>
      <c r="P27" s="143">
        <f t="shared" si="4"/>
        <v>40</v>
      </c>
      <c r="Q27" s="144" t="str">
        <f t="shared" si="5"/>
        <v>--</v>
      </c>
      <c r="R27" s="145" t="str">
        <f t="shared" si="6"/>
        <v>--</v>
      </c>
      <c r="S27" s="146" t="str">
        <f t="shared" si="7"/>
        <v>--</v>
      </c>
      <c r="T27" s="147" t="str">
        <f t="shared" si="8"/>
        <v>--</v>
      </c>
      <c r="U27" s="372" t="str">
        <f t="shared" si="10"/>
        <v> </v>
      </c>
      <c r="V27" s="298">
        <f t="shared" si="9"/>
      </c>
      <c r="W27" s="253"/>
    </row>
    <row r="28" spans="2:23" ht="16.5" customHeight="1">
      <c r="B28" s="326"/>
      <c r="C28" s="398"/>
      <c r="D28" s="398"/>
      <c r="E28" s="398"/>
      <c r="F28" s="411"/>
      <c r="G28" s="411"/>
      <c r="H28" s="412"/>
      <c r="I28" s="361">
        <f t="shared" si="0"/>
        <v>1.739</v>
      </c>
      <c r="J28" s="454"/>
      <c r="K28" s="454"/>
      <c r="L28" s="120">
        <f t="shared" si="1"/>
      </c>
      <c r="M28" s="142">
        <f t="shared" si="2"/>
      </c>
      <c r="N28" s="122"/>
      <c r="O28" s="122">
        <f t="shared" si="3"/>
      </c>
      <c r="P28" s="143">
        <f t="shared" si="4"/>
        <v>40</v>
      </c>
      <c r="Q28" s="144" t="str">
        <f t="shared" si="5"/>
        <v>--</v>
      </c>
      <c r="R28" s="145" t="str">
        <f t="shared" si="6"/>
        <v>--</v>
      </c>
      <c r="S28" s="146" t="str">
        <f t="shared" si="7"/>
        <v>--</v>
      </c>
      <c r="T28" s="147" t="str">
        <f t="shared" si="8"/>
        <v>--</v>
      </c>
      <c r="U28" s="372" t="str">
        <f t="shared" si="10"/>
        <v> </v>
      </c>
      <c r="V28" s="298">
        <f t="shared" si="9"/>
      </c>
      <c r="W28" s="253"/>
    </row>
    <row r="29" spans="2:23" ht="16.5" customHeight="1">
      <c r="B29" s="326"/>
      <c r="C29" s="398"/>
      <c r="D29" s="398"/>
      <c r="E29" s="398"/>
      <c r="F29" s="411"/>
      <c r="G29" s="411"/>
      <c r="H29" s="412"/>
      <c r="I29" s="361">
        <f t="shared" si="0"/>
        <v>1.739</v>
      </c>
      <c r="J29" s="454"/>
      <c r="K29" s="454"/>
      <c r="L29" s="120">
        <f t="shared" si="1"/>
      </c>
      <c r="M29" s="142">
        <f t="shared" si="2"/>
      </c>
      <c r="N29" s="122"/>
      <c r="O29" s="122">
        <f t="shared" si="3"/>
      </c>
      <c r="P29" s="143">
        <f t="shared" si="4"/>
        <v>40</v>
      </c>
      <c r="Q29" s="144" t="str">
        <f t="shared" si="5"/>
        <v>--</v>
      </c>
      <c r="R29" s="145" t="str">
        <f t="shared" si="6"/>
        <v>--</v>
      </c>
      <c r="S29" s="146" t="str">
        <f t="shared" si="7"/>
        <v>--</v>
      </c>
      <c r="T29" s="147" t="str">
        <f t="shared" si="8"/>
        <v>--</v>
      </c>
      <c r="U29" s="372" t="str">
        <f t="shared" si="10"/>
        <v> </v>
      </c>
      <c r="V29" s="298">
        <f t="shared" si="9"/>
      </c>
      <c r="W29" s="253"/>
    </row>
    <row r="30" spans="2:23" ht="16.5" customHeight="1">
      <c r="B30" s="326"/>
      <c r="C30" s="398"/>
      <c r="D30" s="398"/>
      <c r="E30" s="398"/>
      <c r="F30" s="411"/>
      <c r="G30" s="411"/>
      <c r="H30" s="412"/>
      <c r="I30" s="361">
        <f t="shared" si="0"/>
        <v>1.739</v>
      </c>
      <c r="J30" s="454"/>
      <c r="K30" s="454"/>
      <c r="L30" s="120">
        <f t="shared" si="1"/>
      </c>
      <c r="M30" s="142">
        <f t="shared" si="2"/>
      </c>
      <c r="N30" s="122"/>
      <c r="O30" s="122">
        <f t="shared" si="3"/>
      </c>
      <c r="P30" s="143">
        <f t="shared" si="4"/>
        <v>40</v>
      </c>
      <c r="Q30" s="144" t="str">
        <f t="shared" si="5"/>
        <v>--</v>
      </c>
      <c r="R30" s="145" t="str">
        <f t="shared" si="6"/>
        <v>--</v>
      </c>
      <c r="S30" s="146" t="str">
        <f t="shared" si="7"/>
        <v>--</v>
      </c>
      <c r="T30" s="147" t="str">
        <f t="shared" si="8"/>
        <v>--</v>
      </c>
      <c r="U30" s="372" t="str">
        <f t="shared" si="10"/>
        <v> </v>
      </c>
      <c r="V30" s="298">
        <f t="shared" si="9"/>
      </c>
      <c r="W30" s="253"/>
    </row>
    <row r="31" spans="2:23" ht="16.5" customHeight="1">
      <c r="B31" s="326"/>
      <c r="C31" s="398"/>
      <c r="D31" s="398"/>
      <c r="E31" s="398"/>
      <c r="F31" s="411"/>
      <c r="G31" s="411"/>
      <c r="H31" s="412"/>
      <c r="I31" s="361">
        <f t="shared" si="0"/>
        <v>1.739</v>
      </c>
      <c r="J31" s="454"/>
      <c r="K31" s="454"/>
      <c r="L31" s="120">
        <f t="shared" si="1"/>
      </c>
      <c r="M31" s="142">
        <f t="shared" si="2"/>
      </c>
      <c r="N31" s="122"/>
      <c r="O31" s="122">
        <f t="shared" si="3"/>
      </c>
      <c r="P31" s="143">
        <f t="shared" si="4"/>
        <v>40</v>
      </c>
      <c r="Q31" s="144" t="str">
        <f t="shared" si="5"/>
        <v>--</v>
      </c>
      <c r="R31" s="145" t="str">
        <f t="shared" si="6"/>
        <v>--</v>
      </c>
      <c r="S31" s="146" t="str">
        <f t="shared" si="7"/>
        <v>--</v>
      </c>
      <c r="T31" s="147" t="str">
        <f t="shared" si="8"/>
        <v>--</v>
      </c>
      <c r="U31" s="372" t="str">
        <f t="shared" si="10"/>
        <v> </v>
      </c>
      <c r="V31" s="298">
        <f t="shared" si="9"/>
      </c>
      <c r="W31" s="253"/>
    </row>
    <row r="32" spans="2:23" ht="16.5" customHeight="1">
      <c r="B32" s="326"/>
      <c r="C32" s="398"/>
      <c r="D32" s="398"/>
      <c r="E32" s="398"/>
      <c r="F32" s="411"/>
      <c r="G32" s="411"/>
      <c r="H32" s="412"/>
      <c r="I32" s="361">
        <f t="shared" si="0"/>
        <v>1.739</v>
      </c>
      <c r="J32" s="454"/>
      <c r="K32" s="454"/>
      <c r="L32" s="120">
        <f t="shared" si="1"/>
      </c>
      <c r="M32" s="142">
        <f t="shared" si="2"/>
      </c>
      <c r="N32" s="122"/>
      <c r="O32" s="122">
        <f t="shared" si="3"/>
      </c>
      <c r="P32" s="143">
        <f t="shared" si="4"/>
        <v>40</v>
      </c>
      <c r="Q32" s="144" t="str">
        <f t="shared" si="5"/>
        <v>--</v>
      </c>
      <c r="R32" s="145" t="str">
        <f t="shared" si="6"/>
        <v>--</v>
      </c>
      <c r="S32" s="146" t="str">
        <f t="shared" si="7"/>
        <v>--</v>
      </c>
      <c r="T32" s="147" t="str">
        <f t="shared" si="8"/>
        <v>--</v>
      </c>
      <c r="U32" s="372" t="str">
        <f t="shared" si="10"/>
        <v> </v>
      </c>
      <c r="V32" s="298">
        <f t="shared" si="9"/>
      </c>
      <c r="W32" s="253"/>
    </row>
    <row r="33" spans="2:23" ht="16.5" customHeight="1">
      <c r="B33" s="326"/>
      <c r="C33" s="398"/>
      <c r="D33" s="398"/>
      <c r="E33" s="398"/>
      <c r="F33" s="411"/>
      <c r="G33" s="411"/>
      <c r="H33" s="412"/>
      <c r="I33" s="361">
        <f t="shared" si="0"/>
        <v>1.739</v>
      </c>
      <c r="J33" s="454"/>
      <c r="K33" s="454"/>
      <c r="L33" s="120">
        <f t="shared" si="1"/>
      </c>
      <c r="M33" s="142">
        <f t="shared" si="2"/>
      </c>
      <c r="N33" s="122"/>
      <c r="O33" s="122">
        <f t="shared" si="3"/>
      </c>
      <c r="P33" s="143">
        <f t="shared" si="4"/>
        <v>40</v>
      </c>
      <c r="Q33" s="144" t="str">
        <f t="shared" si="5"/>
        <v>--</v>
      </c>
      <c r="R33" s="145" t="str">
        <f t="shared" si="6"/>
        <v>--</v>
      </c>
      <c r="S33" s="146" t="str">
        <f t="shared" si="7"/>
        <v>--</v>
      </c>
      <c r="T33" s="147" t="str">
        <f t="shared" si="8"/>
        <v>--</v>
      </c>
      <c r="U33" s="372" t="str">
        <f t="shared" si="10"/>
        <v> </v>
      </c>
      <c r="V33" s="298">
        <f t="shared" si="9"/>
      </c>
      <c r="W33" s="253"/>
    </row>
    <row r="34" spans="2:23" ht="16.5" customHeight="1">
      <c r="B34" s="326"/>
      <c r="C34" s="398"/>
      <c r="D34" s="398"/>
      <c r="E34" s="398"/>
      <c r="F34" s="411"/>
      <c r="G34" s="411"/>
      <c r="H34" s="412"/>
      <c r="I34" s="361">
        <f t="shared" si="0"/>
        <v>1.739</v>
      </c>
      <c r="J34" s="454"/>
      <c r="K34" s="454"/>
      <c r="L34" s="120">
        <f t="shared" si="1"/>
      </c>
      <c r="M34" s="142">
        <f t="shared" si="2"/>
      </c>
      <c r="N34" s="122"/>
      <c r="O34" s="122">
        <f t="shared" si="3"/>
      </c>
      <c r="P34" s="143">
        <f t="shared" si="4"/>
        <v>40</v>
      </c>
      <c r="Q34" s="144" t="str">
        <f t="shared" si="5"/>
        <v>--</v>
      </c>
      <c r="R34" s="145" t="str">
        <f t="shared" si="6"/>
        <v>--</v>
      </c>
      <c r="S34" s="146" t="str">
        <f t="shared" si="7"/>
        <v>--</v>
      </c>
      <c r="T34" s="147" t="str">
        <f t="shared" si="8"/>
        <v>--</v>
      </c>
      <c r="U34" s="372" t="str">
        <f t="shared" si="10"/>
        <v> </v>
      </c>
      <c r="V34" s="298">
        <f t="shared" si="9"/>
      </c>
      <c r="W34" s="253"/>
    </row>
    <row r="35" spans="2:23" ht="16.5" customHeight="1">
      <c r="B35" s="326"/>
      <c r="C35" s="398"/>
      <c r="D35" s="398"/>
      <c r="E35" s="398"/>
      <c r="F35" s="411"/>
      <c r="G35" s="411"/>
      <c r="H35" s="412"/>
      <c r="I35" s="361">
        <f t="shared" si="0"/>
        <v>1.739</v>
      </c>
      <c r="J35" s="454"/>
      <c r="K35" s="454"/>
      <c r="L35" s="120">
        <f t="shared" si="1"/>
      </c>
      <c r="M35" s="142">
        <f t="shared" si="2"/>
      </c>
      <c r="N35" s="122"/>
      <c r="O35" s="122">
        <f t="shared" si="3"/>
      </c>
      <c r="P35" s="143">
        <f t="shared" si="4"/>
        <v>40</v>
      </c>
      <c r="Q35" s="144" t="str">
        <f t="shared" si="5"/>
        <v>--</v>
      </c>
      <c r="R35" s="145" t="str">
        <f t="shared" si="6"/>
        <v>--</v>
      </c>
      <c r="S35" s="146" t="str">
        <f t="shared" si="7"/>
        <v>--</v>
      </c>
      <c r="T35" s="147" t="str">
        <f t="shared" si="8"/>
        <v>--</v>
      </c>
      <c r="U35" s="372" t="str">
        <f t="shared" si="10"/>
        <v> </v>
      </c>
      <c r="V35" s="298">
        <f t="shared" si="9"/>
      </c>
      <c r="W35" s="253"/>
    </row>
    <row r="36" spans="2:23" ht="16.5" customHeight="1">
      <c r="B36" s="326"/>
      <c r="C36" s="398"/>
      <c r="D36" s="398"/>
      <c r="E36" s="398"/>
      <c r="F36" s="411"/>
      <c r="G36" s="411"/>
      <c r="H36" s="412"/>
      <c r="I36" s="361">
        <f t="shared" si="0"/>
        <v>1.739</v>
      </c>
      <c r="J36" s="454"/>
      <c r="K36" s="454"/>
      <c r="L36" s="120">
        <f t="shared" si="1"/>
      </c>
      <c r="M36" s="142">
        <f t="shared" si="2"/>
      </c>
      <c r="N36" s="122"/>
      <c r="O36" s="122">
        <f t="shared" si="3"/>
      </c>
      <c r="P36" s="143">
        <f t="shared" si="4"/>
        <v>40</v>
      </c>
      <c r="Q36" s="144" t="str">
        <f t="shared" si="5"/>
        <v>--</v>
      </c>
      <c r="R36" s="145" t="str">
        <f t="shared" si="6"/>
        <v>--</v>
      </c>
      <c r="S36" s="146" t="str">
        <f t="shared" si="7"/>
        <v>--</v>
      </c>
      <c r="T36" s="147" t="str">
        <f t="shared" si="8"/>
        <v>--</v>
      </c>
      <c r="U36" s="372" t="str">
        <f t="shared" si="10"/>
        <v> </v>
      </c>
      <c r="V36" s="298">
        <f t="shared" si="9"/>
      </c>
      <c r="W36" s="253"/>
    </row>
    <row r="37" spans="2:23" ht="16.5" customHeight="1">
      <c r="B37" s="326"/>
      <c r="C37" s="398"/>
      <c r="D37" s="398"/>
      <c r="E37" s="398"/>
      <c r="F37" s="411"/>
      <c r="G37" s="411"/>
      <c r="H37" s="412"/>
      <c r="I37" s="361">
        <f t="shared" si="0"/>
        <v>1.739</v>
      </c>
      <c r="J37" s="454"/>
      <c r="K37" s="454"/>
      <c r="L37" s="120">
        <f t="shared" si="1"/>
      </c>
      <c r="M37" s="142">
        <f t="shared" si="2"/>
      </c>
      <c r="N37" s="122"/>
      <c r="O37" s="122">
        <f t="shared" si="3"/>
      </c>
      <c r="P37" s="143">
        <f t="shared" si="4"/>
        <v>40</v>
      </c>
      <c r="Q37" s="144" t="str">
        <f t="shared" si="5"/>
        <v>--</v>
      </c>
      <c r="R37" s="145" t="str">
        <f t="shared" si="6"/>
        <v>--</v>
      </c>
      <c r="S37" s="146" t="str">
        <f t="shared" si="7"/>
        <v>--</v>
      </c>
      <c r="T37" s="147" t="str">
        <f t="shared" si="8"/>
        <v>--</v>
      </c>
      <c r="U37" s="372" t="str">
        <f t="shared" si="10"/>
        <v> </v>
      </c>
      <c r="V37" s="298">
        <f t="shared" si="9"/>
      </c>
      <c r="W37" s="253"/>
    </row>
    <row r="38" spans="2:23" ht="16.5" customHeight="1">
      <c r="B38" s="326"/>
      <c r="C38" s="398"/>
      <c r="D38" s="398"/>
      <c r="E38" s="398"/>
      <c r="F38" s="411"/>
      <c r="G38" s="411"/>
      <c r="H38" s="412"/>
      <c r="I38" s="361">
        <f t="shared" si="0"/>
        <v>1.739</v>
      </c>
      <c r="J38" s="454"/>
      <c r="K38" s="454"/>
      <c r="L38" s="120">
        <f t="shared" si="1"/>
      </c>
      <c r="M38" s="142">
        <f t="shared" si="2"/>
      </c>
      <c r="N38" s="122"/>
      <c r="O38" s="122">
        <f t="shared" si="3"/>
      </c>
      <c r="P38" s="143">
        <f t="shared" si="4"/>
        <v>40</v>
      </c>
      <c r="Q38" s="144" t="str">
        <f t="shared" si="5"/>
        <v>--</v>
      </c>
      <c r="R38" s="145" t="str">
        <f t="shared" si="6"/>
        <v>--</v>
      </c>
      <c r="S38" s="146" t="str">
        <f t="shared" si="7"/>
        <v>--</v>
      </c>
      <c r="T38" s="147" t="str">
        <f t="shared" si="8"/>
        <v>--</v>
      </c>
      <c r="U38" s="372" t="str">
        <f t="shared" si="10"/>
        <v> </v>
      </c>
      <c r="V38" s="298">
        <f t="shared" si="9"/>
      </c>
      <c r="W38" s="253"/>
    </row>
    <row r="39" spans="2:23" ht="16.5" customHeight="1">
      <c r="B39" s="326"/>
      <c r="C39" s="398"/>
      <c r="D39" s="398"/>
      <c r="E39" s="398"/>
      <c r="F39" s="411"/>
      <c r="G39" s="411"/>
      <c r="H39" s="412"/>
      <c r="I39" s="361">
        <f t="shared" si="0"/>
        <v>1.739</v>
      </c>
      <c r="J39" s="454"/>
      <c r="K39" s="454"/>
      <c r="L39" s="120">
        <f t="shared" si="1"/>
      </c>
      <c r="M39" s="142">
        <f t="shared" si="2"/>
      </c>
      <c r="N39" s="122"/>
      <c r="O39" s="122">
        <f t="shared" si="3"/>
      </c>
      <c r="P39" s="143">
        <f t="shared" si="4"/>
        <v>40</v>
      </c>
      <c r="Q39" s="144" t="str">
        <f t="shared" si="5"/>
        <v>--</v>
      </c>
      <c r="R39" s="145" t="str">
        <f t="shared" si="6"/>
        <v>--</v>
      </c>
      <c r="S39" s="146" t="str">
        <f t="shared" si="7"/>
        <v>--</v>
      </c>
      <c r="T39" s="147" t="str">
        <f t="shared" si="8"/>
        <v>--</v>
      </c>
      <c r="U39" s="372" t="str">
        <f t="shared" si="10"/>
        <v> </v>
      </c>
      <c r="V39" s="298">
        <f t="shared" si="9"/>
      </c>
      <c r="W39" s="253"/>
    </row>
    <row r="40" spans="2:23" ht="16.5" customHeight="1">
      <c r="B40" s="326"/>
      <c r="C40" s="398"/>
      <c r="D40" s="398"/>
      <c r="E40" s="398"/>
      <c r="F40" s="411"/>
      <c r="G40" s="411"/>
      <c r="H40" s="412"/>
      <c r="I40" s="361">
        <f t="shared" si="0"/>
        <v>1.739</v>
      </c>
      <c r="J40" s="454"/>
      <c r="K40" s="454"/>
      <c r="L40" s="120">
        <f t="shared" si="1"/>
      </c>
      <c r="M40" s="142">
        <f t="shared" si="2"/>
      </c>
      <c r="N40" s="122"/>
      <c r="O40" s="122">
        <f t="shared" si="3"/>
      </c>
      <c r="P40" s="143">
        <f t="shared" si="4"/>
        <v>40</v>
      </c>
      <c r="Q40" s="144" t="str">
        <f t="shared" si="5"/>
        <v>--</v>
      </c>
      <c r="R40" s="145" t="str">
        <f t="shared" si="6"/>
        <v>--</v>
      </c>
      <c r="S40" s="146" t="str">
        <f t="shared" si="7"/>
        <v>--</v>
      </c>
      <c r="T40" s="147" t="str">
        <f t="shared" si="8"/>
        <v>--</v>
      </c>
      <c r="U40" s="372" t="str">
        <f t="shared" si="10"/>
        <v> </v>
      </c>
      <c r="V40" s="298">
        <f t="shared" si="9"/>
      </c>
      <c r="W40" s="253"/>
    </row>
    <row r="41" spans="2:23" ht="16.5" customHeight="1">
      <c r="B41" s="326"/>
      <c r="C41" s="398"/>
      <c r="D41" s="398"/>
      <c r="E41" s="398"/>
      <c r="F41" s="411"/>
      <c r="G41" s="411"/>
      <c r="H41" s="412"/>
      <c r="I41" s="361">
        <f t="shared" si="0"/>
        <v>1.739</v>
      </c>
      <c r="J41" s="454"/>
      <c r="K41" s="454"/>
      <c r="L41" s="120">
        <f t="shared" si="1"/>
      </c>
      <c r="M41" s="142">
        <f t="shared" si="2"/>
      </c>
      <c r="N41" s="122"/>
      <c r="O41" s="122">
        <f t="shared" si="3"/>
      </c>
      <c r="P41" s="143">
        <f t="shared" si="4"/>
        <v>40</v>
      </c>
      <c r="Q41" s="144" t="str">
        <f t="shared" si="5"/>
        <v>--</v>
      </c>
      <c r="R41" s="145" t="str">
        <f t="shared" si="6"/>
        <v>--</v>
      </c>
      <c r="S41" s="146" t="str">
        <f t="shared" si="7"/>
        <v>--</v>
      </c>
      <c r="T41" s="147" t="str">
        <f t="shared" si="8"/>
        <v>--</v>
      </c>
      <c r="U41" s="372" t="str">
        <f t="shared" si="10"/>
        <v> </v>
      </c>
      <c r="V41" s="298">
        <f t="shared" si="9"/>
      </c>
      <c r="W41" s="253"/>
    </row>
    <row r="42" spans="2:23" ht="16.5" customHeight="1">
      <c r="B42" s="326"/>
      <c r="C42" s="398"/>
      <c r="D42" s="398"/>
      <c r="E42" s="398"/>
      <c r="F42" s="411"/>
      <c r="G42" s="411"/>
      <c r="H42" s="412"/>
      <c r="I42" s="361">
        <f t="shared" si="0"/>
        <v>1.739</v>
      </c>
      <c r="J42" s="454"/>
      <c r="K42" s="454"/>
      <c r="L42" s="120">
        <f t="shared" si="1"/>
      </c>
      <c r="M42" s="142">
        <f t="shared" si="2"/>
      </c>
      <c r="N42" s="122"/>
      <c r="O42" s="122">
        <f t="shared" si="3"/>
      </c>
      <c r="P42" s="143">
        <f t="shared" si="4"/>
        <v>40</v>
      </c>
      <c r="Q42" s="144" t="str">
        <f t="shared" si="5"/>
        <v>--</v>
      </c>
      <c r="R42" s="145" t="str">
        <f t="shared" si="6"/>
        <v>--</v>
      </c>
      <c r="S42" s="146" t="str">
        <f t="shared" si="7"/>
        <v>--</v>
      </c>
      <c r="T42" s="147" t="str">
        <f t="shared" si="8"/>
        <v>--</v>
      </c>
      <c r="U42" s="372" t="str">
        <f t="shared" si="10"/>
        <v> </v>
      </c>
      <c r="V42" s="298">
        <f t="shared" si="9"/>
      </c>
      <c r="W42" s="253"/>
    </row>
    <row r="43" spans="2:23" ht="16.5" customHeight="1" thickBot="1">
      <c r="B43" s="326"/>
      <c r="C43" s="402"/>
      <c r="D43" s="402"/>
      <c r="E43" s="402"/>
      <c r="F43" s="402"/>
      <c r="G43" s="402"/>
      <c r="H43" s="402"/>
      <c r="I43" s="362"/>
      <c r="J43" s="425"/>
      <c r="K43" s="425"/>
      <c r="L43" s="299"/>
      <c r="M43" s="299"/>
      <c r="N43" s="402"/>
      <c r="O43" s="402"/>
      <c r="P43" s="413"/>
      <c r="Q43" s="414"/>
      <c r="R43" s="415"/>
      <c r="S43" s="416"/>
      <c r="T43" s="417"/>
      <c r="U43" s="402"/>
      <c r="V43" s="363"/>
      <c r="W43" s="253"/>
    </row>
    <row r="44" spans="2:23" ht="16.5" customHeight="1" thickBot="1" thickTop="1">
      <c r="B44" s="326"/>
      <c r="C44" s="217" t="s">
        <v>33</v>
      </c>
      <c r="D44" s="457" t="s">
        <v>186</v>
      </c>
      <c r="E44" s="98"/>
      <c r="F44" s="91"/>
      <c r="G44" s="302"/>
      <c r="H44" s="302"/>
      <c r="I44" s="302"/>
      <c r="J44" s="302"/>
      <c r="K44" s="302"/>
      <c r="L44" s="302"/>
      <c r="M44" s="302"/>
      <c r="N44" s="302"/>
      <c r="O44" s="302"/>
      <c r="P44" s="302"/>
      <c r="Q44" s="364">
        <f>SUM(Q21:Q43)</f>
        <v>608.1889199999999</v>
      </c>
      <c r="R44" s="365">
        <f>SUM(R21:R43)</f>
        <v>0</v>
      </c>
      <c r="S44" s="365">
        <f>SUM(S21:S43)</f>
        <v>0</v>
      </c>
      <c r="T44" s="366">
        <f>SUM(T21:T43)</f>
        <v>0</v>
      </c>
      <c r="U44" s="367"/>
      <c r="V44" s="310">
        <f>SUM(V21:V43)</f>
        <v>608.1889199999999</v>
      </c>
      <c r="W44" s="253"/>
    </row>
    <row r="45" spans="2:23" s="233" customFormat="1" ht="9.75" thickTop="1">
      <c r="B45" s="227"/>
      <c r="C45" s="228"/>
      <c r="D45" s="228"/>
      <c r="E45" s="228"/>
      <c r="F45" s="97"/>
      <c r="G45" s="312"/>
      <c r="H45" s="312"/>
      <c r="I45" s="312"/>
      <c r="J45" s="312"/>
      <c r="K45" s="312"/>
      <c r="L45" s="312"/>
      <c r="M45" s="312"/>
      <c r="N45" s="312"/>
      <c r="O45" s="312"/>
      <c r="P45" s="312"/>
      <c r="Q45" s="312"/>
      <c r="R45" s="312"/>
      <c r="S45" s="312"/>
      <c r="T45" s="312"/>
      <c r="U45" s="313"/>
      <c r="V45" s="314"/>
      <c r="W45" s="315"/>
    </row>
    <row r="46" spans="2:23" ht="16.5" customHeight="1" thickBot="1">
      <c r="B46" s="368"/>
      <c r="C46" s="369"/>
      <c r="D46" s="369"/>
      <c r="E46" s="369"/>
      <c r="F46" s="369"/>
      <c r="G46" s="369"/>
      <c r="H46" s="369"/>
      <c r="I46" s="369"/>
      <c r="J46" s="369"/>
      <c r="K46" s="369"/>
      <c r="L46" s="369"/>
      <c r="M46" s="369"/>
      <c r="N46" s="369"/>
      <c r="O46" s="369"/>
      <c r="P46" s="369"/>
      <c r="Q46" s="369"/>
      <c r="R46" s="369"/>
      <c r="S46" s="369"/>
      <c r="T46" s="369"/>
      <c r="U46" s="369"/>
      <c r="V46" s="235"/>
      <c r="W46" s="318"/>
    </row>
    <row r="47" ht="13.5" thickTop="1"/>
  </sheetData>
  <conditionalFormatting sqref="U23:U42">
    <cfRule type="cellIs" priority="1" dxfId="0" operator="equal" stopIfTrue="1">
      <formula>"SI"</formula>
    </cfRule>
    <cfRule type="cellIs" priority="2" dxfId="0" operator="equal" stopIfTrue="1">
      <formula>"NO"</formula>
    </cfRule>
    <cfRule type="cellIs" priority="3" dxfId="0" operator="equal" stopIfTrue="1">
      <formula>" "</formula>
    </cfRule>
  </conditionalFormatting>
  <conditionalFormatting sqref="L23:L42">
    <cfRule type="cellIs" priority="4" dxfId="1" operator="lessThanOrEqual" stopIfTrue="1">
      <formula>0</formula>
    </cfRule>
  </conditionalFormatting>
  <conditionalFormatting sqref="J23:K42">
    <cfRule type="expression" priority="5" dxfId="2" stopIfTrue="1">
      <formula>MONTH(J23)&lt;&gt;$H$21</formula>
    </cfRule>
    <cfRule type="expression" priority="6" dxfId="2" stopIfTrue="1">
      <formula>YEAR(J23)&lt;&gt;$H$22</formula>
    </cfRule>
    <cfRule type="expression" priority="7" dxfId="0" stopIfTrue="1">
      <formula>""""""</formula>
    </cfRule>
  </conditionalFormatting>
  <printOptions/>
  <pageMargins left="0.2" right="0.1968503937007874" top="0.7874015748031497" bottom="0.7874015748031497" header="0.5118110236220472" footer="0.5118110236220472"/>
  <pageSetup fitToHeight="1" fitToWidth="1" horizontalDpi="300" verticalDpi="300" orientation="landscape" paperSize="9" scale="60" r:id="rId3"/>
  <headerFooter alignWithMargins="0">
    <oddFooter>&amp;L&amp;"Times New Roman,Normal"&amp;6&amp;Z&amp;F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3"/>
  <dimension ref="A1:W126"/>
  <sheetViews>
    <sheetView tabSelected="1" zoomScale="50" zoomScaleNormal="50" workbookViewId="0" topLeftCell="A1">
      <selection activeCell="B3" sqref="B3"/>
    </sheetView>
  </sheetViews>
  <sheetFormatPr defaultColWidth="11.421875" defaultRowHeight="12.75"/>
  <cols>
    <col min="1" max="1" width="9.00390625" style="458" customWidth="1"/>
    <col min="2" max="2" width="3.8515625" style="458" customWidth="1"/>
    <col min="3" max="3" width="6.140625" style="458" customWidth="1"/>
    <col min="4" max="4" width="35.421875" style="458" customWidth="1"/>
    <col min="5" max="9" width="10.7109375" style="458" customWidth="1"/>
    <col min="10" max="22" width="9.7109375" style="458" customWidth="1"/>
    <col min="23" max="23" width="3.57421875" style="458" customWidth="1"/>
    <col min="24" max="16384" width="11.421875" style="458" customWidth="1"/>
  </cols>
  <sheetData>
    <row r="1" ht="34.5" customHeight="1">
      <c r="W1" s="459"/>
    </row>
    <row r="2" spans="2:23" s="460" customFormat="1" ht="26.25">
      <c r="B2" s="461" t="str">
        <f>'TOT-0510'!B2</f>
        <v>ANEXO III a la Resolución AAANR Nº  51 / 2011</v>
      </c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461"/>
      <c r="S2" s="461"/>
      <c r="T2" s="461"/>
      <c r="U2" s="461"/>
      <c r="V2" s="461"/>
      <c r="W2" s="461"/>
    </row>
    <row r="3" s="462" customFormat="1" ht="11.25">
      <c r="C3" s="463" t="s">
        <v>2</v>
      </c>
    </row>
    <row r="4" spans="2:3" s="462" customFormat="1" ht="11.25">
      <c r="B4" s="463"/>
      <c r="C4" s="463" t="s">
        <v>3</v>
      </c>
    </row>
    <row r="5" spans="1:2" ht="18.75" customHeight="1">
      <c r="A5" s="464"/>
      <c r="B5" s="465"/>
    </row>
    <row r="6" spans="1:23" ht="20.25">
      <c r="A6" s="464"/>
      <c r="B6" s="466" t="s">
        <v>0</v>
      </c>
      <c r="C6" s="467"/>
      <c r="D6" s="467"/>
      <c r="E6" s="467"/>
      <c r="F6" s="467"/>
      <c r="G6" s="467"/>
      <c r="H6" s="467"/>
      <c r="I6" s="467"/>
      <c r="J6" s="467"/>
      <c r="K6" s="467"/>
      <c r="L6" s="467"/>
      <c r="M6" s="467"/>
      <c r="N6" s="467"/>
      <c r="O6" s="467"/>
      <c r="P6" s="467"/>
      <c r="Q6" s="467"/>
      <c r="R6" s="467"/>
      <c r="S6" s="467"/>
      <c r="T6" s="467"/>
      <c r="U6" s="467"/>
      <c r="V6" s="467"/>
      <c r="W6" s="467"/>
    </row>
    <row r="7" spans="1:3" ht="18.75" customHeight="1">
      <c r="A7" s="464"/>
      <c r="B7" s="464"/>
      <c r="C7" s="468"/>
    </row>
    <row r="8" spans="1:23" ht="20.25">
      <c r="A8" s="464"/>
      <c r="B8" s="466" t="s">
        <v>187</v>
      </c>
      <c r="C8" s="467"/>
      <c r="D8" s="467"/>
      <c r="E8" s="467"/>
      <c r="F8" s="467"/>
      <c r="G8" s="467"/>
      <c r="H8" s="467"/>
      <c r="I8" s="467"/>
      <c r="J8" s="467"/>
      <c r="K8" s="467"/>
      <c r="L8" s="467"/>
      <c r="M8" s="467"/>
      <c r="N8" s="467"/>
      <c r="O8" s="467"/>
      <c r="P8" s="467"/>
      <c r="Q8" s="467"/>
      <c r="R8" s="467"/>
      <c r="S8" s="467"/>
      <c r="T8" s="467"/>
      <c r="U8" s="467"/>
      <c r="V8" s="467"/>
      <c r="W8" s="467"/>
    </row>
    <row r="9" spans="1:3" ht="18.75" customHeight="1">
      <c r="A9" s="464"/>
      <c r="B9" s="464"/>
      <c r="C9" s="468"/>
    </row>
    <row r="10" spans="2:23" ht="20.25">
      <c r="B10" s="469" t="s">
        <v>188</v>
      </c>
      <c r="C10" s="467"/>
      <c r="D10" s="467"/>
      <c r="E10" s="467"/>
      <c r="F10" s="470"/>
      <c r="G10" s="470"/>
      <c r="H10" s="470"/>
      <c r="I10" s="470"/>
      <c r="J10" s="470"/>
      <c r="K10" s="470"/>
      <c r="L10" s="470"/>
      <c r="M10" s="470"/>
      <c r="N10" s="470"/>
      <c r="O10" s="470"/>
      <c r="P10" s="470"/>
      <c r="Q10" s="470"/>
      <c r="R10" s="470"/>
      <c r="S10" s="470"/>
      <c r="T10" s="470"/>
      <c r="U10" s="470"/>
      <c r="V10" s="470"/>
      <c r="W10" s="467"/>
    </row>
    <row r="11" ht="18.75" customHeight="1" thickBot="1"/>
    <row r="12" spans="2:23" ht="18.75" customHeight="1" thickTop="1">
      <c r="B12" s="471"/>
      <c r="C12" s="472"/>
      <c r="D12" s="472"/>
      <c r="E12" s="472"/>
      <c r="F12" s="472"/>
      <c r="G12" s="472"/>
      <c r="H12" s="472"/>
      <c r="I12" s="472"/>
      <c r="J12" s="472"/>
      <c r="K12" s="472"/>
      <c r="L12" s="472"/>
      <c r="M12" s="472"/>
      <c r="N12" s="472"/>
      <c r="O12" s="472"/>
      <c r="P12" s="472"/>
      <c r="Q12" s="472"/>
      <c r="R12" s="472"/>
      <c r="S12" s="472"/>
      <c r="T12" s="472"/>
      <c r="U12" s="472"/>
      <c r="V12" s="472"/>
      <c r="W12" s="473"/>
    </row>
    <row r="13" spans="2:23" ht="19.5">
      <c r="B13" s="474" t="s">
        <v>189</v>
      </c>
      <c r="C13" s="467"/>
      <c r="D13" s="475"/>
      <c r="E13" s="475"/>
      <c r="F13" s="475"/>
      <c r="G13" s="475"/>
      <c r="H13" s="475"/>
      <c r="I13" s="475"/>
      <c r="J13" s="475"/>
      <c r="K13" s="475"/>
      <c r="L13" s="475"/>
      <c r="M13" s="475"/>
      <c r="N13" s="475"/>
      <c r="O13" s="475"/>
      <c r="P13" s="475"/>
      <c r="Q13" s="475"/>
      <c r="R13" s="475"/>
      <c r="S13" s="475"/>
      <c r="T13" s="475"/>
      <c r="U13" s="475"/>
      <c r="V13" s="475"/>
      <c r="W13" s="476"/>
    </row>
    <row r="14" spans="2:23" ht="18.75" customHeight="1" thickBot="1">
      <c r="B14" s="477"/>
      <c r="C14" s="478"/>
      <c r="D14" s="478"/>
      <c r="E14" s="478"/>
      <c r="F14" s="478"/>
      <c r="G14" s="478"/>
      <c r="H14" s="478"/>
      <c r="I14" s="478"/>
      <c r="J14" s="478"/>
      <c r="K14" s="478"/>
      <c r="L14" s="478"/>
      <c r="M14" s="478"/>
      <c r="N14" s="478"/>
      <c r="O14" s="478"/>
      <c r="P14" s="478"/>
      <c r="Q14" s="478"/>
      <c r="R14" s="478"/>
      <c r="S14" s="478"/>
      <c r="T14" s="478"/>
      <c r="U14" s="478"/>
      <c r="V14" s="478"/>
      <c r="W14" s="479"/>
    </row>
    <row r="15" spans="2:23" ht="33.75" customHeight="1" thickBot="1" thickTop="1">
      <c r="B15" s="480"/>
      <c r="C15" s="481"/>
      <c r="D15" s="482" t="s">
        <v>5</v>
      </c>
      <c r="E15" s="482" t="s">
        <v>19</v>
      </c>
      <c r="F15" s="481" t="s">
        <v>1</v>
      </c>
      <c r="G15" s="481" t="s">
        <v>190</v>
      </c>
      <c r="H15" s="483" t="s">
        <v>20</v>
      </c>
      <c r="I15" s="483" t="s">
        <v>21</v>
      </c>
      <c r="J15" s="484">
        <f>IF('[1]BASE'!FY15=0,"",'[1]BASE'!FY15)</f>
        <v>39934</v>
      </c>
      <c r="K15" s="484">
        <f>IF('[1]BASE'!FZ15=0,"",'[1]BASE'!FZ15)</f>
        <v>39965</v>
      </c>
      <c r="L15" s="484">
        <f>IF('[1]BASE'!GA15=0,"",'[1]BASE'!GA15)</f>
        <v>39995</v>
      </c>
      <c r="M15" s="484">
        <f>IF('[1]BASE'!GB15=0,"",'[1]BASE'!GB15)</f>
        <v>40026</v>
      </c>
      <c r="N15" s="484">
        <f>IF('[1]BASE'!GC15=0,"",'[1]BASE'!GC15)</f>
        <v>40057</v>
      </c>
      <c r="O15" s="484">
        <f>IF('[1]BASE'!GD15=0,"",'[1]BASE'!GD15)</f>
        <v>40087</v>
      </c>
      <c r="P15" s="484">
        <f>IF('[1]BASE'!GE15=0,"",'[1]BASE'!GE15)</f>
        <v>40118</v>
      </c>
      <c r="Q15" s="484">
        <f>IF('[1]BASE'!GF15=0,"",'[1]BASE'!GF15)</f>
        <v>40148</v>
      </c>
      <c r="R15" s="484">
        <f>IF('[1]BASE'!GG15=0,"",'[1]BASE'!GG15)</f>
        <v>40179</v>
      </c>
      <c r="S15" s="484">
        <f>IF('[1]BASE'!GH15=0,"",'[1]BASE'!GH15)</f>
        <v>40210</v>
      </c>
      <c r="T15" s="484">
        <f>IF('[1]BASE'!GI15=0,"",'[1]BASE'!GI15)</f>
        <v>40238</v>
      </c>
      <c r="U15" s="484">
        <f>IF('[1]BASE'!GJ15=0,"",'[1]BASE'!GJ15)</f>
        <v>40269</v>
      </c>
      <c r="V15" s="484">
        <f>IF('[1]BASE'!GK15=0,"",'[1]BASE'!GK15)</f>
        <v>40299</v>
      </c>
      <c r="W15" s="479"/>
    </row>
    <row r="16" spans="2:23" s="485" customFormat="1" ht="18" customHeight="1" thickTop="1">
      <c r="B16" s="486"/>
      <c r="C16" s="487"/>
      <c r="D16" s="488"/>
      <c r="E16" s="488"/>
      <c r="F16" s="488"/>
      <c r="G16" s="488"/>
      <c r="H16" s="488"/>
      <c r="I16" s="488"/>
      <c r="J16" s="489"/>
      <c r="K16" s="489"/>
      <c r="L16" s="489"/>
      <c r="M16" s="489"/>
      <c r="N16" s="489"/>
      <c r="O16" s="489"/>
      <c r="P16" s="489"/>
      <c r="Q16" s="489"/>
      <c r="R16" s="489"/>
      <c r="S16" s="489"/>
      <c r="T16" s="489"/>
      <c r="U16" s="489"/>
      <c r="V16" s="490"/>
      <c r="W16" s="491"/>
    </row>
    <row r="17" spans="2:23" s="485" customFormat="1" ht="18" customHeight="1" hidden="1">
      <c r="B17" s="486"/>
      <c r="C17" s="492">
        <f>IF('[1]BASE'!C17=0,"",'[1]BASE'!C17)</f>
        <v>1</v>
      </c>
      <c r="D17" s="493" t="str">
        <f>IF('[1]BASE'!D17=0,"",'[1]BASE'!D17)</f>
        <v>GALDOS - P. DE MENDOZA 1</v>
      </c>
      <c r="E17" s="493">
        <f>IF('[1]BASE'!E17=0,"",'[1]BASE'!E17)</f>
        <v>1</v>
      </c>
      <c r="F17" s="494" t="str">
        <f>IF('[1]BASE'!F17=0,"",'[1]BASE'!F17)</f>
        <v>C</v>
      </c>
      <c r="G17" s="494">
        <f>'[1]BASE'!G17</f>
        <v>0</v>
      </c>
      <c r="H17" s="493">
        <f>IF('[1]BASE'!H17=0,"",'[1]BASE'!H17)</f>
        <v>13.2</v>
      </c>
      <c r="I17" s="494">
        <f>IF('[1]BASE'!I17=0,"",'[1]BASE'!I17)</f>
        <v>1</v>
      </c>
      <c r="J17" s="495" t="str">
        <f>IF('[1]BASE'!FY17=0,"",'[1]BASE'!FY17)</f>
        <v>XXXX</v>
      </c>
      <c r="K17" s="495" t="str">
        <f>IF('[1]BASE'!FZ17=0,"",'[1]BASE'!FZ17)</f>
        <v>XXXX</v>
      </c>
      <c r="L17" s="495" t="str">
        <f>IF('[1]BASE'!GA17=0,"",'[1]BASE'!GA17)</f>
        <v>XXXX</v>
      </c>
      <c r="M17" s="495" t="str">
        <f>IF('[1]BASE'!GB17=0,"",'[1]BASE'!GB17)</f>
        <v>XXXX</v>
      </c>
      <c r="N17" s="495" t="str">
        <f>IF('[1]BASE'!GC17=0,"",'[1]BASE'!GC17)</f>
        <v>XXXX</v>
      </c>
      <c r="O17" s="495" t="str">
        <f>IF('[1]BASE'!GD17=0,"",'[1]BASE'!GD17)</f>
        <v>XXXX</v>
      </c>
      <c r="P17" s="495" t="str">
        <f>IF('[1]BASE'!GE17=0,"",'[1]BASE'!GE17)</f>
        <v>XXXX</v>
      </c>
      <c r="Q17" s="495" t="str">
        <f>IF('[1]BASE'!GF17=0,"",'[1]BASE'!GF17)</f>
        <v>XXXX</v>
      </c>
      <c r="R17" s="495" t="str">
        <f>IF('[1]BASE'!GG17=0,"",'[1]BASE'!GG17)</f>
        <v>XXXX</v>
      </c>
      <c r="S17" s="495" t="str">
        <f>IF('[1]BASE'!GH17=0,"",'[1]BASE'!GH17)</f>
        <v>XXXX</v>
      </c>
      <c r="T17" s="495" t="str">
        <f>IF('[1]BASE'!GI17=0,"",'[1]BASE'!GI17)</f>
        <v>XXXX</v>
      </c>
      <c r="U17" s="495" t="str">
        <f>IF('[1]BASE'!GJ17=0,"",'[1]BASE'!GJ17)</f>
        <v>XXXX</v>
      </c>
      <c r="V17" s="496"/>
      <c r="W17" s="491"/>
    </row>
    <row r="18" spans="2:23" s="485" customFormat="1" ht="18" customHeight="1" hidden="1">
      <c r="B18" s="486"/>
      <c r="C18" s="492">
        <f>IF('[1]BASE'!C18=0,"",'[1]BASE'!C18)</f>
        <v>2</v>
      </c>
      <c r="D18" s="493" t="str">
        <f>IF('[1]BASE'!D18=0,"",'[1]BASE'!D18)</f>
        <v>GALDOS - P. DE MENDOZA 2</v>
      </c>
      <c r="E18" s="493">
        <f>IF('[1]BASE'!E18=0,"",'[1]BASE'!E18)</f>
        <v>2</v>
      </c>
      <c r="F18" s="494" t="str">
        <f>IF('[1]BASE'!F18=0,"",'[1]BASE'!F18)</f>
        <v>C</v>
      </c>
      <c r="G18" s="494">
        <f>'[1]BASE'!G18</f>
        <v>0</v>
      </c>
      <c r="H18" s="493">
        <f>IF('[1]BASE'!H18=0,"",'[1]BASE'!H18)</f>
        <v>13.2</v>
      </c>
      <c r="I18" s="494">
        <f>IF('[1]BASE'!I18=0,"",'[1]BASE'!I18)</f>
        <v>1</v>
      </c>
      <c r="J18" s="495" t="str">
        <f>IF('[1]BASE'!FY18=0,"",'[1]BASE'!FY18)</f>
        <v>XXXX</v>
      </c>
      <c r="K18" s="495" t="str">
        <f>IF('[1]BASE'!FZ18=0,"",'[1]BASE'!FZ18)</f>
        <v>XXXX</v>
      </c>
      <c r="L18" s="495" t="str">
        <f>IF('[1]BASE'!GA18=0,"",'[1]BASE'!GA18)</f>
        <v>XXXX</v>
      </c>
      <c r="M18" s="495" t="str">
        <f>IF('[1]BASE'!GB18=0,"",'[1]BASE'!GB18)</f>
        <v>XXXX</v>
      </c>
      <c r="N18" s="495" t="str">
        <f>IF('[1]BASE'!GC18=0,"",'[1]BASE'!GC18)</f>
        <v>XXXX</v>
      </c>
      <c r="O18" s="495" t="str">
        <f>IF('[1]BASE'!GD18=0,"",'[1]BASE'!GD18)</f>
        <v>XXXX</v>
      </c>
      <c r="P18" s="495" t="str">
        <f>IF('[1]BASE'!GE18=0,"",'[1]BASE'!GE18)</f>
        <v>XXXX</v>
      </c>
      <c r="Q18" s="495" t="str">
        <f>IF('[1]BASE'!GF18=0,"",'[1]BASE'!GF18)</f>
        <v>XXXX</v>
      </c>
      <c r="R18" s="495" t="str">
        <f>IF('[1]BASE'!GG18=0,"",'[1]BASE'!GG18)</f>
        <v>XXXX</v>
      </c>
      <c r="S18" s="495" t="str">
        <f>IF('[1]BASE'!GH18=0,"",'[1]BASE'!GH18)</f>
        <v>XXXX</v>
      </c>
      <c r="T18" s="495" t="str">
        <f>IF('[1]BASE'!GI18=0,"",'[1]BASE'!GI18)</f>
        <v>XXXX</v>
      </c>
      <c r="U18" s="495" t="str">
        <f>IF('[1]BASE'!GJ18=0,"",'[1]BASE'!GJ18)</f>
        <v>XXXX</v>
      </c>
      <c r="V18" s="497"/>
      <c r="W18" s="491"/>
    </row>
    <row r="19" spans="2:23" s="485" customFormat="1" ht="18" customHeight="1">
      <c r="B19" s="486"/>
      <c r="C19" s="492">
        <f>IF('[1]BASE'!C19=0,"",'[1]BASE'!C19)</f>
        <v>3</v>
      </c>
      <c r="D19" s="493" t="str">
        <f>IF('[1]BASE'!D19=0,"",'[1]BASE'!D19)</f>
        <v>EZEIZA - ALTE. BROWN 1 </v>
      </c>
      <c r="E19" s="493">
        <f>IF('[1]BASE'!E19=0,"",'[1]BASE'!E19)</f>
        <v>33</v>
      </c>
      <c r="F19" s="494" t="str">
        <f>IF('[1]BASE'!F19=0,"",'[1]BASE'!F19)</f>
        <v>L</v>
      </c>
      <c r="G19" s="494">
        <f>'[1]BASE'!G19</f>
        <v>100</v>
      </c>
      <c r="H19" s="493">
        <f>IF('[1]BASE'!H19=0,"",'[1]BASE'!H19)</f>
        <v>220</v>
      </c>
      <c r="I19" s="494">
        <f>IF('[1]BASE'!I19=0,"",'[1]BASE'!I19)</f>
        <v>36.6</v>
      </c>
      <c r="J19" s="495">
        <f>IF('[1]BASE'!FY19=0,"",'[1]BASE'!FY19)</f>
      </c>
      <c r="K19" s="495">
        <f>IF('[1]BASE'!FZ19=0,"",'[1]BASE'!FZ19)</f>
      </c>
      <c r="L19" s="495">
        <f>IF('[1]BASE'!GA19=0,"",'[1]BASE'!GA19)</f>
      </c>
      <c r="M19" s="495">
        <f>IF('[1]BASE'!GB19=0,"",'[1]BASE'!GB19)</f>
      </c>
      <c r="N19" s="495">
        <f>IF('[1]BASE'!GC19=0,"",'[1]BASE'!GC19)</f>
      </c>
      <c r="O19" s="495">
        <f>IF('[1]BASE'!GD19=0,"",'[1]BASE'!GD19)</f>
      </c>
      <c r="P19" s="495">
        <f>IF('[1]BASE'!GE19=0,"",'[1]BASE'!GE19)</f>
      </c>
      <c r="Q19" s="495">
        <f>IF('[1]BASE'!GF19=0,"",'[1]BASE'!GF19)</f>
      </c>
      <c r="R19" s="495">
        <f>IF('[1]BASE'!GG19=0,"",'[1]BASE'!GG19)</f>
      </c>
      <c r="S19" s="495">
        <f>IF('[1]BASE'!GH19=0,"",'[1]BASE'!GH19)</f>
      </c>
      <c r="T19" s="495">
        <f>IF('[1]BASE'!GI19=0,"",'[1]BASE'!GI19)</f>
      </c>
      <c r="U19" s="495">
        <f>IF('[1]BASE'!GJ19=0,"",'[1]BASE'!GJ19)</f>
      </c>
      <c r="V19" s="497"/>
      <c r="W19" s="491"/>
    </row>
    <row r="20" spans="2:23" s="485" customFormat="1" ht="18" customHeight="1">
      <c r="B20" s="486"/>
      <c r="C20" s="492">
        <f>IF('[1]BASE'!C20=0,"",'[1]BASE'!C20)</f>
        <v>4</v>
      </c>
      <c r="D20" s="493" t="str">
        <f>IF('[1]BASE'!D20=0,"",'[1]BASE'!D20)</f>
        <v>EZEIZA - ALTE. BROWN 2 </v>
      </c>
      <c r="E20" s="493">
        <f>IF('[1]BASE'!E20=0,"",'[1]BASE'!E20)</f>
        <v>34</v>
      </c>
      <c r="F20" s="494" t="str">
        <f>IF('[1]BASE'!F20=0,"",'[1]BASE'!F20)</f>
        <v>L</v>
      </c>
      <c r="G20" s="494">
        <f>'[1]BASE'!G20</f>
        <v>100</v>
      </c>
      <c r="H20" s="493">
        <f>IF('[1]BASE'!H20=0,"",'[1]BASE'!H20)</f>
        <v>220</v>
      </c>
      <c r="I20" s="494">
        <f>IF('[1]BASE'!I20=0,"",'[1]BASE'!I20)</f>
        <v>36.6</v>
      </c>
      <c r="J20" s="495">
        <f>IF('[1]BASE'!FY20=0,"",'[1]BASE'!FY20)</f>
      </c>
      <c r="K20" s="495">
        <f>IF('[1]BASE'!FZ20=0,"",'[1]BASE'!FZ20)</f>
        <v>1</v>
      </c>
      <c r="L20" s="495">
        <f>IF('[1]BASE'!GA20=0,"",'[1]BASE'!GA20)</f>
      </c>
      <c r="M20" s="495">
        <f>IF('[1]BASE'!GB20=0,"",'[1]BASE'!GB20)</f>
      </c>
      <c r="N20" s="495">
        <f>IF('[1]BASE'!GC20=0,"",'[1]BASE'!GC20)</f>
      </c>
      <c r="O20" s="495">
        <f>IF('[1]BASE'!GD20=0,"",'[1]BASE'!GD20)</f>
      </c>
      <c r="P20" s="495">
        <f>IF('[1]BASE'!GE20=0,"",'[1]BASE'!GE20)</f>
      </c>
      <c r="Q20" s="495">
        <f>IF('[1]BASE'!GF20=0,"",'[1]BASE'!GF20)</f>
      </c>
      <c r="R20" s="495">
        <f>IF('[1]BASE'!GG20=0,"",'[1]BASE'!GG20)</f>
      </c>
      <c r="S20" s="495">
        <f>IF('[1]BASE'!GH20=0,"",'[1]BASE'!GH20)</f>
      </c>
      <c r="T20" s="495">
        <f>IF('[1]BASE'!GI20=0,"",'[1]BASE'!GI20)</f>
      </c>
      <c r="U20" s="495">
        <f>IF('[1]BASE'!GJ20=0,"",'[1]BASE'!GJ20)</f>
      </c>
      <c r="V20" s="497"/>
      <c r="W20" s="491"/>
    </row>
    <row r="21" spans="2:23" s="485" customFormat="1" ht="18" customHeight="1">
      <c r="B21" s="486"/>
      <c r="C21" s="492">
        <f>IF('[1]BASE'!C21=0,"",'[1]BASE'!C21)</f>
        <v>5</v>
      </c>
      <c r="D21" s="493" t="str">
        <f>IF('[1]BASE'!D21=0,"",'[1]BASE'!D21)</f>
        <v>BOSQUES - COSTANERA 1</v>
      </c>
      <c r="E21" s="493">
        <f>IF('[1]BASE'!E21=0,"",'[1]BASE'!E21)</f>
        <v>50</v>
      </c>
      <c r="F21" s="494" t="str">
        <f>IF('[1]BASE'!F21=0,"",'[1]BASE'!F21)</f>
        <v>L</v>
      </c>
      <c r="G21" s="494">
        <f>'[1]BASE'!G21</f>
        <v>100</v>
      </c>
      <c r="H21" s="493">
        <f>IF('[1]BASE'!H21=0,"",'[1]BASE'!H21)</f>
        <v>220</v>
      </c>
      <c r="I21" s="494">
        <f>IF('[1]BASE'!I21=0,"",'[1]BASE'!I21)</f>
        <v>32.6</v>
      </c>
      <c r="J21" s="495">
        <f>IF('[1]BASE'!FY21=0,"",'[1]BASE'!FY21)</f>
      </c>
      <c r="K21" s="495">
        <f>IF('[1]BASE'!FZ21=0,"",'[1]BASE'!FZ21)</f>
      </c>
      <c r="L21" s="495">
        <f>IF('[1]BASE'!GA21=0,"",'[1]BASE'!GA21)</f>
      </c>
      <c r="M21" s="495">
        <f>IF('[1]BASE'!GB21=0,"",'[1]BASE'!GB21)</f>
      </c>
      <c r="N21" s="495">
        <f>IF('[1]BASE'!GC21=0,"",'[1]BASE'!GC21)</f>
      </c>
      <c r="O21" s="495">
        <f>IF('[1]BASE'!GD21=0,"",'[1]BASE'!GD21)</f>
      </c>
      <c r="P21" s="495">
        <f>IF('[1]BASE'!GE21=0,"",'[1]BASE'!GE21)</f>
      </c>
      <c r="Q21" s="495">
        <f>IF('[1]BASE'!GF21=0,"",'[1]BASE'!GF21)</f>
      </c>
      <c r="R21" s="495">
        <f>IF('[1]BASE'!GG21=0,"",'[1]BASE'!GG21)</f>
      </c>
      <c r="S21" s="495">
        <f>IF('[1]BASE'!GH21=0,"",'[1]BASE'!GH21)</f>
      </c>
      <c r="T21" s="495">
        <f>IF('[1]BASE'!GI21=0,"",'[1]BASE'!GI21)</f>
      </c>
      <c r="U21" s="495">
        <f>IF('[1]BASE'!GJ21=0,"",'[1]BASE'!GJ21)</f>
      </c>
      <c r="V21" s="497"/>
      <c r="W21" s="491"/>
    </row>
    <row r="22" spans="2:23" s="485" customFormat="1" ht="18" customHeight="1">
      <c r="B22" s="486"/>
      <c r="C22" s="492">
        <f>IF('[1]BASE'!C22=0,"",'[1]BASE'!C22)</f>
        <v>6</v>
      </c>
      <c r="D22" s="493" t="str">
        <f>IF('[1]BASE'!D22=0,"",'[1]BASE'!D22)</f>
        <v>BOSQUES - COSTANERA 2</v>
      </c>
      <c r="E22" s="493">
        <f>IF('[1]BASE'!E22=0,"",'[1]BASE'!E22)</f>
        <v>51</v>
      </c>
      <c r="F22" s="494" t="str">
        <f>IF('[1]BASE'!F22=0,"",'[1]BASE'!F22)</f>
        <v>L</v>
      </c>
      <c r="G22" s="494">
        <f>'[1]BASE'!G22</f>
        <v>100</v>
      </c>
      <c r="H22" s="493">
        <f>IF('[1]BASE'!H22=0,"",'[1]BASE'!H22)</f>
        <v>220</v>
      </c>
      <c r="I22" s="494">
        <f>IF('[1]BASE'!I22=0,"",'[1]BASE'!I22)</f>
        <v>32.6</v>
      </c>
      <c r="J22" s="495">
        <f>IF('[1]BASE'!FY22=0,"",'[1]BASE'!FY22)</f>
        <v>1</v>
      </c>
      <c r="K22" s="495">
        <f>IF('[1]BASE'!FZ22=0,"",'[1]BASE'!FZ22)</f>
      </c>
      <c r="L22" s="495">
        <f>IF('[1]BASE'!GA22=0,"",'[1]BASE'!GA22)</f>
      </c>
      <c r="M22" s="495">
        <f>IF('[1]BASE'!GB22=0,"",'[1]BASE'!GB22)</f>
      </c>
      <c r="N22" s="495">
        <f>IF('[1]BASE'!GC22=0,"",'[1]BASE'!GC22)</f>
      </c>
      <c r="O22" s="495">
        <f>IF('[1]BASE'!GD22=0,"",'[1]BASE'!GD22)</f>
        <v>2</v>
      </c>
      <c r="P22" s="495">
        <f>IF('[1]BASE'!GE22=0,"",'[1]BASE'!GE22)</f>
      </c>
      <c r="Q22" s="495">
        <f>IF('[1]BASE'!GF22=0,"",'[1]BASE'!GF22)</f>
      </c>
      <c r="R22" s="495">
        <f>IF('[1]BASE'!GG22=0,"",'[1]BASE'!GG22)</f>
      </c>
      <c r="S22" s="495">
        <f>IF('[1]BASE'!GH22=0,"",'[1]BASE'!GH22)</f>
      </c>
      <c r="T22" s="495">
        <f>IF('[1]BASE'!GI22=0,"",'[1]BASE'!GI22)</f>
      </c>
      <c r="U22" s="495">
        <f>IF('[1]BASE'!GJ22=0,"",'[1]BASE'!GJ22)</f>
      </c>
      <c r="V22" s="497"/>
      <c r="W22" s="491"/>
    </row>
    <row r="23" spans="2:23" s="485" customFormat="1" ht="18" customHeight="1">
      <c r="B23" s="486"/>
      <c r="C23" s="492">
        <f>IF('[1]BASE'!C23=0,"",'[1]BASE'!C23)</f>
        <v>7</v>
      </c>
      <c r="D23" s="493" t="str">
        <f>IF('[1]BASE'!D23=0,"",'[1]BASE'!D23)</f>
        <v>COSTANERA - AZOPARDO II 1</v>
      </c>
      <c r="E23" s="493">
        <f>IF('[1]BASE'!E23=0,"",'[1]BASE'!E23)</f>
        <v>52</v>
      </c>
      <c r="F23" s="494" t="str">
        <f>IF('[1]BASE'!F23=0,"",'[1]BASE'!F23)</f>
        <v>C</v>
      </c>
      <c r="G23" s="494">
        <f>'[1]BASE'!G23</f>
        <v>0</v>
      </c>
      <c r="H23" s="493">
        <f>IF('[1]BASE'!H23=0,"",'[1]BASE'!H23)</f>
        <v>220</v>
      </c>
      <c r="I23" s="494">
        <f>IF('[1]BASE'!I23=0,"",'[1]BASE'!I23)</f>
        <v>4.2</v>
      </c>
      <c r="J23" s="495">
        <f>IF('[1]BASE'!FY23=0,"",'[1]BASE'!FY23)</f>
      </c>
      <c r="K23" s="495">
        <f>IF('[1]BASE'!FZ23=0,"",'[1]BASE'!FZ23)</f>
      </c>
      <c r="L23" s="495">
        <f>IF('[1]BASE'!GA23=0,"",'[1]BASE'!GA23)</f>
      </c>
      <c r="M23" s="495">
        <f>IF('[1]BASE'!GB23=0,"",'[1]BASE'!GB23)</f>
        <v>1</v>
      </c>
      <c r="N23" s="495">
        <f>IF('[1]BASE'!GC23=0,"",'[1]BASE'!GC23)</f>
      </c>
      <c r="O23" s="495">
        <f>IF('[1]BASE'!GD23=0,"",'[1]BASE'!GD23)</f>
      </c>
      <c r="P23" s="495">
        <f>IF('[1]BASE'!GE23=0,"",'[1]BASE'!GE23)</f>
      </c>
      <c r="Q23" s="495">
        <f>IF('[1]BASE'!GF23=0,"",'[1]BASE'!GF23)</f>
      </c>
      <c r="R23" s="495">
        <f>IF('[1]BASE'!GG23=0,"",'[1]BASE'!GG23)</f>
      </c>
      <c r="S23" s="495">
        <f>IF('[1]BASE'!GH23=0,"",'[1]BASE'!GH23)</f>
      </c>
      <c r="T23" s="495">
        <f>IF('[1]BASE'!GI23=0,"",'[1]BASE'!GI23)</f>
      </c>
      <c r="U23" s="495">
        <f>IF('[1]BASE'!GJ23=0,"",'[1]BASE'!GJ23)</f>
      </c>
      <c r="V23" s="497"/>
      <c r="W23" s="491"/>
    </row>
    <row r="24" spans="2:23" s="485" customFormat="1" ht="18" customHeight="1">
      <c r="B24" s="486"/>
      <c r="C24" s="492">
        <f>IF('[1]BASE'!C24=0,"",'[1]BASE'!C24)</f>
        <v>8</v>
      </c>
      <c r="D24" s="493" t="str">
        <f>IF('[1]BASE'!D24=0,"",'[1]BASE'!D24)</f>
        <v>COSTANERA - AZOPARDO II 2</v>
      </c>
      <c r="E24" s="493">
        <f>IF('[1]BASE'!E24=0,"",'[1]BASE'!E24)</f>
        <v>53</v>
      </c>
      <c r="F24" s="494" t="str">
        <f>IF('[1]BASE'!F24=0,"",'[1]BASE'!F24)</f>
        <v>C</v>
      </c>
      <c r="G24" s="494">
        <f>'[1]BASE'!G24</f>
        <v>0</v>
      </c>
      <c r="H24" s="493">
        <f>IF('[1]BASE'!H24=0,"",'[1]BASE'!H24)</f>
        <v>220</v>
      </c>
      <c r="I24" s="494">
        <f>IF('[1]BASE'!I24=0,"",'[1]BASE'!I24)</f>
        <v>4.2</v>
      </c>
      <c r="J24" s="495">
        <f>IF('[1]BASE'!FY24=0,"",'[1]BASE'!FY24)</f>
      </c>
      <c r="K24" s="495">
        <f>IF('[1]BASE'!FZ24=0,"",'[1]BASE'!FZ24)</f>
      </c>
      <c r="L24" s="495">
        <f>IF('[1]BASE'!GA24=0,"",'[1]BASE'!GA24)</f>
      </c>
      <c r="M24" s="495">
        <f>IF('[1]BASE'!GB24=0,"",'[1]BASE'!GB24)</f>
      </c>
      <c r="N24" s="495">
        <f>IF('[1]BASE'!GC24=0,"",'[1]BASE'!GC24)</f>
      </c>
      <c r="O24" s="495">
        <f>IF('[1]BASE'!GD24=0,"",'[1]BASE'!GD24)</f>
      </c>
      <c r="P24" s="495">
        <f>IF('[1]BASE'!GE24=0,"",'[1]BASE'!GE24)</f>
      </c>
      <c r="Q24" s="495">
        <f>IF('[1]BASE'!GF24=0,"",'[1]BASE'!GF24)</f>
      </c>
      <c r="R24" s="495">
        <f>IF('[1]BASE'!GG24=0,"",'[1]BASE'!GG24)</f>
      </c>
      <c r="S24" s="495">
        <f>IF('[1]BASE'!GH24=0,"",'[1]BASE'!GH24)</f>
      </c>
      <c r="T24" s="495">
        <f>IF('[1]BASE'!GI24=0,"",'[1]BASE'!GI24)</f>
      </c>
      <c r="U24" s="495">
        <f>IF('[1]BASE'!GJ24=0,"",'[1]BASE'!GJ24)</f>
      </c>
      <c r="V24" s="497"/>
      <c r="W24" s="491"/>
    </row>
    <row r="25" spans="2:23" s="485" customFormat="1" ht="18" customHeight="1">
      <c r="B25" s="486"/>
      <c r="C25" s="492">
        <f>IF('[1]BASE'!C25=0,"",'[1]BASE'!C25)</f>
        <v>9</v>
      </c>
      <c r="D25" s="493" t="str">
        <f>IF('[1]BASE'!D25=0,"",'[1]BASE'!D25)</f>
        <v>BOSQUES - ABASTO 1 </v>
      </c>
      <c r="E25" s="493">
        <f>IF('[1]BASE'!E25=0,"",'[1]BASE'!E25)</f>
        <v>58</v>
      </c>
      <c r="F25" s="494" t="str">
        <f>IF('[1]BASE'!F25=0,"",'[1]BASE'!F25)</f>
        <v>L</v>
      </c>
      <c r="G25" s="494">
        <f>'[1]BASE'!G25</f>
        <v>100</v>
      </c>
      <c r="H25" s="493">
        <f>IF('[1]BASE'!H25=0,"",'[1]BASE'!H25)</f>
        <v>220</v>
      </c>
      <c r="I25" s="494">
        <f>IF('[1]BASE'!I25=0,"",'[1]BASE'!I25)</f>
        <v>16.3</v>
      </c>
      <c r="J25" s="495">
        <f>IF('[1]BASE'!FY25=0,"",'[1]BASE'!FY25)</f>
        <v>3</v>
      </c>
      <c r="K25" s="495">
        <f>IF('[1]BASE'!FZ25=0,"",'[1]BASE'!FZ25)</f>
      </c>
      <c r="L25" s="495">
        <f>IF('[1]BASE'!GA25=0,"",'[1]BASE'!GA25)</f>
        <v>1</v>
      </c>
      <c r="M25" s="495">
        <f>IF('[1]BASE'!GB25=0,"",'[1]BASE'!GB25)</f>
        <v>1</v>
      </c>
      <c r="N25" s="495">
        <f>IF('[1]BASE'!GC25=0,"",'[1]BASE'!GC25)</f>
      </c>
      <c r="O25" s="495">
        <f>IF('[1]BASE'!GD25=0,"",'[1]BASE'!GD25)</f>
      </c>
      <c r="P25" s="495">
        <f>IF('[1]BASE'!GE25=0,"",'[1]BASE'!GE25)</f>
        <v>1</v>
      </c>
      <c r="Q25" s="495">
        <f>IF('[1]BASE'!GF25=0,"",'[1]BASE'!GF25)</f>
      </c>
      <c r="R25" s="495">
        <f>IF('[1]BASE'!GG25=0,"",'[1]BASE'!GG25)</f>
      </c>
      <c r="S25" s="495">
        <f>IF('[1]BASE'!GH25=0,"",'[1]BASE'!GH25)</f>
      </c>
      <c r="T25" s="495">
        <f>IF('[1]BASE'!GI25=0,"",'[1]BASE'!GI25)</f>
      </c>
      <c r="U25" s="495">
        <f>IF('[1]BASE'!GJ25=0,"",'[1]BASE'!GJ25)</f>
      </c>
      <c r="V25" s="497"/>
      <c r="W25" s="491"/>
    </row>
    <row r="26" spans="2:23" s="485" customFormat="1" ht="18" customHeight="1">
      <c r="B26" s="486"/>
      <c r="C26" s="492">
        <f>IF('[1]BASE'!C26=0,"",'[1]BASE'!C26)</f>
        <v>10</v>
      </c>
      <c r="D26" s="493" t="str">
        <f>IF('[1]BASE'!D26=0,"",'[1]BASE'!D26)</f>
        <v>BOSQUES - ABASTO 2 </v>
      </c>
      <c r="E26" s="493">
        <f>IF('[1]BASE'!E26=0,"",'[1]BASE'!E26)</f>
        <v>59</v>
      </c>
      <c r="F26" s="494" t="str">
        <f>IF('[1]BASE'!F26=0,"",'[1]BASE'!F26)</f>
        <v>L</v>
      </c>
      <c r="G26" s="494">
        <f>'[1]BASE'!G26</f>
        <v>100</v>
      </c>
      <c r="H26" s="493">
        <f>IF('[1]BASE'!H26=0,"",'[1]BASE'!H26)</f>
        <v>220</v>
      </c>
      <c r="I26" s="494">
        <f>IF('[1]BASE'!I26=0,"",'[1]BASE'!I26)</f>
        <v>16.3</v>
      </c>
      <c r="J26" s="495">
        <f>IF('[1]BASE'!FY26=0,"",'[1]BASE'!FY26)</f>
        <v>1</v>
      </c>
      <c r="K26" s="495">
        <f>IF('[1]BASE'!FZ26=0,"",'[1]BASE'!FZ26)</f>
      </c>
      <c r="L26" s="495">
        <f>IF('[1]BASE'!GA26=0,"",'[1]BASE'!GA26)</f>
        <v>1</v>
      </c>
      <c r="M26" s="495">
        <f>IF('[1]BASE'!GB26=0,"",'[1]BASE'!GB26)</f>
      </c>
      <c r="N26" s="495">
        <f>IF('[1]BASE'!GC26=0,"",'[1]BASE'!GC26)</f>
      </c>
      <c r="O26" s="495">
        <f>IF('[1]BASE'!GD26=0,"",'[1]BASE'!GD26)</f>
        <v>1</v>
      </c>
      <c r="P26" s="495">
        <f>IF('[1]BASE'!GE26=0,"",'[1]BASE'!GE26)</f>
      </c>
      <c r="Q26" s="495">
        <f>IF('[1]BASE'!GF26=0,"",'[1]BASE'!GF26)</f>
      </c>
      <c r="R26" s="495">
        <f>IF('[1]BASE'!GG26=0,"",'[1]BASE'!GG26)</f>
      </c>
      <c r="S26" s="495">
        <f>IF('[1]BASE'!GH26=0,"",'[1]BASE'!GH26)</f>
      </c>
      <c r="T26" s="495">
        <f>IF('[1]BASE'!GI26=0,"",'[1]BASE'!GI26)</f>
      </c>
      <c r="U26" s="495">
        <f>IF('[1]BASE'!GJ26=0,"",'[1]BASE'!GJ26)</f>
      </c>
      <c r="V26" s="497"/>
      <c r="W26" s="491"/>
    </row>
    <row r="27" spans="2:23" s="485" customFormat="1" ht="18" customHeight="1">
      <c r="B27" s="486"/>
      <c r="C27" s="492">
        <f>IF('[1]BASE'!C27=0,"",'[1]BASE'!C27)</f>
        <v>11</v>
      </c>
      <c r="D27" s="493" t="str">
        <f>IF('[1]BASE'!D27=0,"",'[1]BASE'!D27)</f>
        <v>EZEIZA - PERITO MORENO 1</v>
      </c>
      <c r="E27" s="493">
        <f>IF('[1]BASE'!E27=0,"",'[1]BASE'!E27)</f>
        <v>61</v>
      </c>
      <c r="F27" s="494" t="str">
        <f>IF('[1]BASE'!F27=0,"",'[1]BASE'!F27)</f>
        <v>LC</v>
      </c>
      <c r="G27" s="494">
        <f>'[1]BASE'!G27</f>
        <v>89.96415770609319</v>
      </c>
      <c r="H27" s="493">
        <f>IF('[1]BASE'!H27=0,"",'[1]BASE'!H27)</f>
        <v>220</v>
      </c>
      <c r="I27" s="494">
        <f>IF('[1]BASE'!I27=0,"",'[1]BASE'!I27)</f>
        <v>55.8</v>
      </c>
      <c r="J27" s="495">
        <f>IF('[1]BASE'!FY27=0,"",'[1]BASE'!FY27)</f>
      </c>
      <c r="K27" s="495">
        <f>IF('[1]BASE'!FZ27=0,"",'[1]BASE'!FZ27)</f>
      </c>
      <c r="L27" s="495">
        <f>IF('[1]BASE'!GA27=0,"",'[1]BASE'!GA27)</f>
      </c>
      <c r="M27" s="495">
        <f>IF('[1]BASE'!GB27=0,"",'[1]BASE'!GB27)</f>
      </c>
      <c r="N27" s="495">
        <f>IF('[1]BASE'!GC27=0,"",'[1]BASE'!GC27)</f>
      </c>
      <c r="O27" s="495">
        <f>IF('[1]BASE'!GD27=0,"",'[1]BASE'!GD27)</f>
      </c>
      <c r="P27" s="495">
        <f>IF('[1]BASE'!GE27=0,"",'[1]BASE'!GE27)</f>
      </c>
      <c r="Q27" s="495">
        <f>IF('[1]BASE'!GF27=0,"",'[1]BASE'!GF27)</f>
        <v>1</v>
      </c>
      <c r="R27" s="495">
        <f>IF('[1]BASE'!GG27=0,"",'[1]BASE'!GG27)</f>
        <v>3</v>
      </c>
      <c r="S27" s="495">
        <f>IF('[1]BASE'!GH27=0,"",'[1]BASE'!GH27)</f>
      </c>
      <c r="T27" s="495">
        <f>IF('[1]BASE'!GI27=0,"",'[1]BASE'!GI27)</f>
      </c>
      <c r="U27" s="495">
        <f>IF('[1]BASE'!GJ27=0,"",'[1]BASE'!GJ27)</f>
      </c>
      <c r="V27" s="497"/>
      <c r="W27" s="491"/>
    </row>
    <row r="28" spans="2:23" s="485" customFormat="1" ht="18" customHeight="1">
      <c r="B28" s="486"/>
      <c r="C28" s="492">
        <f>IF('[1]BASE'!C28=0,"",'[1]BASE'!C28)</f>
        <v>12</v>
      </c>
      <c r="D28" s="493" t="str">
        <f>IF('[1]BASE'!D28=0,"",'[1]BASE'!D28)</f>
        <v>EZEIZA - PERITO MORENO 2 </v>
      </c>
      <c r="E28" s="493">
        <f>IF('[1]BASE'!E28=0,"",'[1]BASE'!E28)</f>
        <v>62</v>
      </c>
      <c r="F28" s="494" t="str">
        <f>IF('[1]BASE'!F28=0,"",'[1]BASE'!F28)</f>
        <v>LC</v>
      </c>
      <c r="G28" s="494">
        <f>'[1]BASE'!G28</f>
        <v>89.48306595365419</v>
      </c>
      <c r="H28" s="493">
        <f>IF('[1]BASE'!H28=0,"",'[1]BASE'!H28)</f>
        <v>220</v>
      </c>
      <c r="I28" s="494">
        <f>IF('[1]BASE'!I28=0,"",'[1]BASE'!I28)</f>
        <v>56.1</v>
      </c>
      <c r="J28" s="495">
        <f>IF('[1]BASE'!FY28=0,"",'[1]BASE'!FY28)</f>
      </c>
      <c r="K28" s="495">
        <f>IF('[1]BASE'!FZ28=0,"",'[1]BASE'!FZ28)</f>
      </c>
      <c r="L28" s="495">
        <f>IF('[1]BASE'!GA28=0,"",'[1]BASE'!GA28)</f>
      </c>
      <c r="M28" s="495">
        <f>IF('[1]BASE'!GB28=0,"",'[1]BASE'!GB28)</f>
      </c>
      <c r="N28" s="495">
        <f>IF('[1]BASE'!GC28=0,"",'[1]BASE'!GC28)</f>
      </c>
      <c r="O28" s="495">
        <f>IF('[1]BASE'!GD28=0,"",'[1]BASE'!GD28)</f>
      </c>
      <c r="P28" s="495">
        <f>IF('[1]BASE'!GE28=0,"",'[1]BASE'!GE28)</f>
      </c>
      <c r="Q28" s="495">
        <f>IF('[1]BASE'!GF28=0,"",'[1]BASE'!GF28)</f>
        <v>1</v>
      </c>
      <c r="R28" s="495">
        <f>IF('[1]BASE'!GG28=0,"",'[1]BASE'!GG28)</f>
        <v>2</v>
      </c>
      <c r="S28" s="495">
        <f>IF('[1]BASE'!GH28=0,"",'[1]BASE'!GH28)</f>
      </c>
      <c r="T28" s="495">
        <f>IF('[1]BASE'!GI28=0,"",'[1]BASE'!GI28)</f>
        <v>1</v>
      </c>
      <c r="U28" s="495">
        <f>IF('[1]BASE'!GJ28=0,"",'[1]BASE'!GJ28)</f>
      </c>
      <c r="V28" s="497"/>
      <c r="W28" s="491"/>
    </row>
    <row r="29" spans="2:23" s="485" customFormat="1" ht="18" customHeight="1" hidden="1">
      <c r="B29" s="486"/>
      <c r="C29" s="492">
        <f>IF('[1]BASE'!C29=0,"",'[1]BASE'!C29)</f>
        <v>13</v>
      </c>
      <c r="D29" s="493" t="str">
        <f>IF('[1]BASE'!D29=0,"",'[1]BASE'!D29)</f>
        <v>NUEVO PUERTO - RIVADAVIA 1</v>
      </c>
      <c r="E29" s="493">
        <f>IF('[1]BASE'!E29=0,"",'[1]BASE'!E29)</f>
        <v>103</v>
      </c>
      <c r="F29" s="494" t="str">
        <f>IF('[1]BASE'!F29=0,"",'[1]BASE'!F29)</f>
        <v>C</v>
      </c>
      <c r="G29" s="494">
        <f>'[1]BASE'!G29</f>
        <v>0</v>
      </c>
      <c r="H29" s="493">
        <f>IF('[1]BASE'!H29=0,"",'[1]BASE'!H29)</f>
        <v>132</v>
      </c>
      <c r="I29" s="494">
        <f>IF('[1]BASE'!I29=0,"",'[1]BASE'!I29)</f>
        <v>5.2</v>
      </c>
      <c r="J29" s="495" t="str">
        <f>IF('[1]BASE'!FY29=0,"",'[1]BASE'!FY29)</f>
        <v>XXXX</v>
      </c>
      <c r="K29" s="495" t="str">
        <f>IF('[1]BASE'!FZ29=0,"",'[1]BASE'!FZ29)</f>
        <v>XXXX</v>
      </c>
      <c r="L29" s="495" t="str">
        <f>IF('[1]BASE'!GA29=0,"",'[1]BASE'!GA29)</f>
        <v>XXXX</v>
      </c>
      <c r="M29" s="495" t="str">
        <f>IF('[1]BASE'!GB29=0,"",'[1]BASE'!GB29)</f>
        <v>XXXX</v>
      </c>
      <c r="N29" s="495" t="str">
        <f>IF('[1]BASE'!GC29=0,"",'[1]BASE'!GC29)</f>
        <v>XXXX</v>
      </c>
      <c r="O29" s="495" t="str">
        <f>IF('[1]BASE'!GD29=0,"",'[1]BASE'!GD29)</f>
        <v>XXXX</v>
      </c>
      <c r="P29" s="495" t="str">
        <f>IF('[1]BASE'!GE29=0,"",'[1]BASE'!GE29)</f>
        <v>XXXX</v>
      </c>
      <c r="Q29" s="495" t="str">
        <f>IF('[1]BASE'!GF29=0,"",'[1]BASE'!GF29)</f>
        <v>XXXX</v>
      </c>
      <c r="R29" s="495" t="str">
        <f>IF('[1]BASE'!GG29=0,"",'[1]BASE'!GG29)</f>
        <v>XXXX</v>
      </c>
      <c r="S29" s="495" t="str">
        <f>IF('[1]BASE'!GH29=0,"",'[1]BASE'!GH29)</f>
        <v>XXXX</v>
      </c>
      <c r="T29" s="495" t="str">
        <f>IF('[1]BASE'!GI29=0,"",'[1]BASE'!GI29)</f>
        <v>XXXX</v>
      </c>
      <c r="U29" s="495" t="str">
        <f>IF('[1]BASE'!GJ29=0,"",'[1]BASE'!GJ29)</f>
        <v>XXXX</v>
      </c>
      <c r="V29" s="497"/>
      <c r="W29" s="491"/>
    </row>
    <row r="30" spans="2:23" s="485" customFormat="1" ht="18" customHeight="1">
      <c r="B30" s="486"/>
      <c r="C30" s="492">
        <f>IF('[1]BASE'!C30=0,"",'[1]BASE'!C30)</f>
        <v>79</v>
      </c>
      <c r="D30" s="493" t="str">
        <f>IF('[1]BASE'!D30=0,"",'[1]BASE'!D30)</f>
        <v>NUEVO PUERTO - AZOPARDO 1</v>
      </c>
      <c r="E30" s="493">
        <f>IF('[1]BASE'!E30=0,"",'[1]BASE'!E30)</f>
        <v>103</v>
      </c>
      <c r="F30" s="494" t="str">
        <f>IF('[1]BASE'!F30=0,"",'[1]BASE'!F30)</f>
        <v>C</v>
      </c>
      <c r="G30" s="494">
        <f>'[1]BASE'!G30</f>
        <v>0</v>
      </c>
      <c r="H30" s="493">
        <f>IF('[1]BASE'!H30=0,"",'[1]BASE'!H30)</f>
        <v>132</v>
      </c>
      <c r="I30" s="494">
        <f>IF('[1]BASE'!I30=0,"",'[1]BASE'!I30)</f>
        <v>6.7</v>
      </c>
      <c r="J30" s="495">
        <f>IF('[1]BASE'!FY30=0,"",'[1]BASE'!FY30)</f>
      </c>
      <c r="K30" s="495">
        <f>IF('[1]BASE'!FZ30=0,"",'[1]BASE'!FZ30)</f>
      </c>
      <c r="L30" s="495">
        <f>IF('[1]BASE'!GA30=0,"",'[1]BASE'!GA30)</f>
      </c>
      <c r="M30" s="495">
        <f>IF('[1]BASE'!GB30=0,"",'[1]BASE'!GB30)</f>
      </c>
      <c r="N30" s="495">
        <f>IF('[1]BASE'!GC30=0,"",'[1]BASE'!GC30)</f>
      </c>
      <c r="O30" s="495">
        <f>IF('[1]BASE'!GD30=0,"",'[1]BASE'!GD30)</f>
      </c>
      <c r="P30" s="495">
        <f>IF('[1]BASE'!GE30=0,"",'[1]BASE'!GE30)</f>
      </c>
      <c r="Q30" s="495">
        <f>IF('[1]BASE'!GF30=0,"",'[1]BASE'!GF30)</f>
      </c>
      <c r="R30" s="495">
        <f>IF('[1]BASE'!GG30=0,"",'[1]BASE'!GG30)</f>
      </c>
      <c r="S30" s="495">
        <f>IF('[1]BASE'!GH30=0,"",'[1]BASE'!GH30)</f>
      </c>
      <c r="T30" s="495">
        <f>IF('[1]BASE'!GI30=0,"",'[1]BASE'!GI30)</f>
      </c>
      <c r="U30" s="495">
        <f>IF('[1]BASE'!GJ30=0,"",'[1]BASE'!GJ30)</f>
      </c>
      <c r="V30" s="497"/>
      <c r="W30" s="491"/>
    </row>
    <row r="31" spans="2:23" s="485" customFormat="1" ht="18" customHeight="1" hidden="1">
      <c r="B31" s="486"/>
      <c r="C31" s="492">
        <f>IF('[1]BASE'!C31=0,"",'[1]BASE'!C31)</f>
        <v>14</v>
      </c>
      <c r="D31" s="493" t="str">
        <f>IF('[1]BASE'!D31=0,"",'[1]BASE'!D31)</f>
        <v>NUEVO PUERTO - PELLEGRINI 2 </v>
      </c>
      <c r="E31" s="493">
        <f>IF('[1]BASE'!E31=0,"",'[1]BASE'!E31)</f>
        <v>104</v>
      </c>
      <c r="F31" s="494" t="str">
        <f>IF('[1]BASE'!F31=0,"",'[1]BASE'!F31)</f>
        <v>C</v>
      </c>
      <c r="G31" s="494">
        <f>'[1]BASE'!G31</f>
        <v>0</v>
      </c>
      <c r="H31" s="493">
        <f>IF('[1]BASE'!H31=0,"",'[1]BASE'!H31)</f>
        <v>132</v>
      </c>
      <c r="I31" s="494">
        <f>IF('[1]BASE'!I31=0,"",'[1]BASE'!I31)</f>
        <v>5.8</v>
      </c>
      <c r="J31" s="495" t="str">
        <f>IF('[1]BASE'!FY31=0,"",'[1]BASE'!FY31)</f>
        <v>XXXX</v>
      </c>
      <c r="K31" s="495" t="str">
        <f>IF('[1]BASE'!FZ31=0,"",'[1]BASE'!FZ31)</f>
        <v>XXXX</v>
      </c>
      <c r="L31" s="495" t="str">
        <f>IF('[1]BASE'!GA31=0,"",'[1]BASE'!GA31)</f>
        <v>XXXX</v>
      </c>
      <c r="M31" s="495" t="str">
        <f>IF('[1]BASE'!GB31=0,"",'[1]BASE'!GB31)</f>
        <v>XXXX</v>
      </c>
      <c r="N31" s="495" t="str">
        <f>IF('[1]BASE'!GC31=0,"",'[1]BASE'!GC31)</f>
        <v>XXXX</v>
      </c>
      <c r="O31" s="495" t="str">
        <f>IF('[1]BASE'!GD31=0,"",'[1]BASE'!GD31)</f>
        <v>XXXX</v>
      </c>
      <c r="P31" s="495" t="str">
        <f>IF('[1]BASE'!GE31=0,"",'[1]BASE'!GE31)</f>
        <v>XXXX</v>
      </c>
      <c r="Q31" s="495" t="str">
        <f>IF('[1]BASE'!GF31=0,"",'[1]BASE'!GF31)</f>
        <v>XXXX</v>
      </c>
      <c r="R31" s="495" t="str">
        <f>IF('[1]BASE'!GG31=0,"",'[1]BASE'!GG31)</f>
        <v>XXXX</v>
      </c>
      <c r="S31" s="495" t="str">
        <f>IF('[1]BASE'!GH31=0,"",'[1]BASE'!GH31)</f>
        <v>XXXX</v>
      </c>
      <c r="T31" s="495" t="str">
        <f>IF('[1]BASE'!GI31=0,"",'[1]BASE'!GI31)</f>
        <v>XXXX</v>
      </c>
      <c r="U31" s="495" t="str">
        <f>IF('[1]BASE'!GJ31=0,"",'[1]BASE'!GJ31)</f>
        <v>XXXX</v>
      </c>
      <c r="V31" s="497"/>
      <c r="W31" s="491"/>
    </row>
    <row r="32" spans="2:23" s="485" customFormat="1" ht="18" customHeight="1">
      <c r="B32" s="486"/>
      <c r="C32" s="492">
        <f>IF('[1]BASE'!C32=0,"",'[1]BASE'!C32)</f>
        <v>80</v>
      </c>
      <c r="D32" s="493" t="str">
        <f>IF('[1]BASE'!D32=0,"",'[1]BASE'!D32)</f>
        <v>NUEVO PUERTO - AZOPARDO 2</v>
      </c>
      <c r="E32" s="493">
        <f>IF('[1]BASE'!E32=0,"",'[1]BASE'!E32)</f>
        <v>104</v>
      </c>
      <c r="F32" s="494" t="str">
        <f>IF('[1]BASE'!F32=0,"",'[1]BASE'!F32)</f>
        <v>C</v>
      </c>
      <c r="G32" s="494">
        <f>'[1]BASE'!G32</f>
        <v>0</v>
      </c>
      <c r="H32" s="493">
        <f>IF('[1]BASE'!H32=0,"",'[1]BASE'!H32)</f>
        <v>132</v>
      </c>
      <c r="I32" s="494">
        <f>IF('[1]BASE'!I32=0,"",'[1]BASE'!I32)</f>
        <v>7.3</v>
      </c>
      <c r="J32" s="495">
        <f>IF('[1]BASE'!FY32=0,"",'[1]BASE'!FY32)</f>
        <v>1</v>
      </c>
      <c r="K32" s="495">
        <f>IF('[1]BASE'!FZ32=0,"",'[1]BASE'!FZ32)</f>
      </c>
      <c r="L32" s="495">
        <f>IF('[1]BASE'!GA32=0,"",'[1]BASE'!GA32)</f>
      </c>
      <c r="M32" s="495">
        <f>IF('[1]BASE'!GB32=0,"",'[1]BASE'!GB32)</f>
      </c>
      <c r="N32" s="495">
        <f>IF('[1]BASE'!GC32=0,"",'[1]BASE'!GC32)</f>
        <v>1</v>
      </c>
      <c r="O32" s="495">
        <f>IF('[1]BASE'!GD32=0,"",'[1]BASE'!GD32)</f>
      </c>
      <c r="P32" s="495">
        <f>IF('[1]BASE'!GE32=0,"",'[1]BASE'!GE32)</f>
      </c>
      <c r="Q32" s="495">
        <f>IF('[1]BASE'!GF32=0,"",'[1]BASE'!GF32)</f>
      </c>
      <c r="R32" s="495">
        <f>IF('[1]BASE'!GG32=0,"",'[1]BASE'!GG32)</f>
      </c>
      <c r="S32" s="495">
        <f>IF('[1]BASE'!GH32=0,"",'[1]BASE'!GH32)</f>
      </c>
      <c r="T32" s="495">
        <f>IF('[1]BASE'!GI32=0,"",'[1]BASE'!GI32)</f>
        <v>1</v>
      </c>
      <c r="U32" s="495">
        <f>IF('[1]BASE'!GJ32=0,"",'[1]BASE'!GJ32)</f>
      </c>
      <c r="V32" s="497"/>
      <c r="W32" s="491"/>
    </row>
    <row r="33" spans="2:23" s="485" customFormat="1" ht="18" customHeight="1" hidden="1">
      <c r="B33" s="486"/>
      <c r="C33" s="492">
        <f>IF('[1]BASE'!C33=0,"",'[1]BASE'!C33)</f>
        <v>15</v>
      </c>
      <c r="D33" s="493" t="str">
        <f>IF('[1]BASE'!D33=0,"",'[1]BASE'!D33)</f>
        <v>NUEVO PUERTO - PELLEGRINI 3</v>
      </c>
      <c r="E33" s="493">
        <f>IF('[1]BASE'!E33=0,"",'[1]BASE'!E33)</f>
        <v>105</v>
      </c>
      <c r="F33" s="494" t="str">
        <f>IF('[1]BASE'!F33=0,"",'[1]BASE'!F33)</f>
        <v>C</v>
      </c>
      <c r="G33" s="494">
        <f>'[1]BASE'!G33</f>
        <v>0</v>
      </c>
      <c r="H33" s="493">
        <f>IF('[1]BASE'!H33=0,"",'[1]BASE'!H33)</f>
        <v>132</v>
      </c>
      <c r="I33" s="494">
        <f>IF('[1]BASE'!I33=0,"",'[1]BASE'!I33)</f>
        <v>5.8</v>
      </c>
      <c r="J33" s="495" t="str">
        <f>IF('[1]BASE'!FY33=0,"",'[1]BASE'!FY33)</f>
        <v>XXXX</v>
      </c>
      <c r="K33" s="495" t="str">
        <f>IF('[1]BASE'!FZ33=0,"",'[1]BASE'!FZ33)</f>
        <v>XXXX</v>
      </c>
      <c r="L33" s="495" t="str">
        <f>IF('[1]BASE'!GA33=0,"",'[1]BASE'!GA33)</f>
        <v>XXXX</v>
      </c>
      <c r="M33" s="495" t="str">
        <f>IF('[1]BASE'!GB33=0,"",'[1]BASE'!GB33)</f>
        <v>XXXX</v>
      </c>
      <c r="N33" s="495" t="str">
        <f>IF('[1]BASE'!GC33=0,"",'[1]BASE'!GC33)</f>
        <v>XXXX</v>
      </c>
      <c r="O33" s="495" t="str">
        <f>IF('[1]BASE'!GD33=0,"",'[1]BASE'!GD33)</f>
        <v>XXXX</v>
      </c>
      <c r="P33" s="495" t="str">
        <f>IF('[1]BASE'!GE33=0,"",'[1]BASE'!GE33)</f>
        <v>XXXX</v>
      </c>
      <c r="Q33" s="495" t="str">
        <f>IF('[1]BASE'!GF33=0,"",'[1]BASE'!GF33)</f>
        <v>XXXX</v>
      </c>
      <c r="R33" s="495" t="str">
        <f>IF('[1]BASE'!GG33=0,"",'[1]BASE'!GG33)</f>
        <v>XXXX</v>
      </c>
      <c r="S33" s="495" t="str">
        <f>IF('[1]BASE'!GH33=0,"",'[1]BASE'!GH33)</f>
        <v>XXXX</v>
      </c>
      <c r="T33" s="495" t="str">
        <f>IF('[1]BASE'!GI33=0,"",'[1]BASE'!GI33)</f>
        <v>XXXX</v>
      </c>
      <c r="U33" s="495" t="str">
        <f>IF('[1]BASE'!GJ33=0,"",'[1]BASE'!GJ33)</f>
        <v>XXXX</v>
      </c>
      <c r="V33" s="497"/>
      <c r="W33" s="491"/>
    </row>
    <row r="34" spans="2:23" s="485" customFormat="1" ht="18" customHeight="1">
      <c r="B34" s="486"/>
      <c r="C34" s="492">
        <f>IF('[1]BASE'!C34=0,"",'[1]BASE'!C34)</f>
        <v>81</v>
      </c>
      <c r="D34" s="493" t="str">
        <f>IF('[1]BASE'!D34=0,"",'[1]BASE'!D34)</f>
        <v>NUEVO PUERTO - AZOPARDO 3</v>
      </c>
      <c r="E34" s="493">
        <f>IF('[1]BASE'!E34=0,"",'[1]BASE'!E34)</f>
        <v>105</v>
      </c>
      <c r="F34" s="494" t="str">
        <f>IF('[1]BASE'!F34=0,"",'[1]BASE'!F34)</f>
        <v>C</v>
      </c>
      <c r="G34" s="494">
        <f>'[1]BASE'!G34</f>
        <v>0</v>
      </c>
      <c r="H34" s="493">
        <f>IF('[1]BASE'!H34=0,"",'[1]BASE'!H34)</f>
        <v>132</v>
      </c>
      <c r="I34" s="494">
        <f>IF('[1]BASE'!I34=0,"",'[1]BASE'!I34)</f>
        <v>7.3</v>
      </c>
      <c r="J34" s="495">
        <f>IF('[1]BASE'!FY34=0,"",'[1]BASE'!FY34)</f>
      </c>
      <c r="K34" s="495">
        <f>IF('[1]BASE'!FZ34=0,"",'[1]BASE'!FZ34)</f>
      </c>
      <c r="L34" s="495">
        <f>IF('[1]BASE'!GA34=0,"",'[1]BASE'!GA34)</f>
      </c>
      <c r="M34" s="495">
        <f>IF('[1]BASE'!GB34=0,"",'[1]BASE'!GB34)</f>
      </c>
      <c r="N34" s="495">
        <f>IF('[1]BASE'!GC34=0,"",'[1]BASE'!GC34)</f>
      </c>
      <c r="O34" s="495">
        <f>IF('[1]BASE'!GD34=0,"",'[1]BASE'!GD34)</f>
      </c>
      <c r="P34" s="495">
        <f>IF('[1]BASE'!GE34=0,"",'[1]BASE'!GE34)</f>
      </c>
      <c r="Q34" s="495">
        <f>IF('[1]BASE'!GF34=0,"",'[1]BASE'!GF34)</f>
      </c>
      <c r="R34" s="495">
        <f>IF('[1]BASE'!GG34=0,"",'[1]BASE'!GG34)</f>
      </c>
      <c r="S34" s="495">
        <f>IF('[1]BASE'!GH34=0,"",'[1]BASE'!GH34)</f>
      </c>
      <c r="T34" s="495">
        <f>IF('[1]BASE'!GI34=0,"",'[1]BASE'!GI34)</f>
      </c>
      <c r="U34" s="495">
        <f>IF('[1]BASE'!GJ34=0,"",'[1]BASE'!GJ34)</f>
      </c>
      <c r="V34" s="497"/>
      <c r="W34" s="491"/>
    </row>
    <row r="35" spans="2:23" s="485" customFormat="1" ht="18" customHeight="1">
      <c r="B35" s="486"/>
      <c r="C35" s="492">
        <f>IF('[1]BASE'!C35=0,"",'[1]BASE'!C35)</f>
        <v>16</v>
      </c>
      <c r="D35" s="493" t="str">
        <f>IF('[1]BASE'!D35=0,"",'[1]BASE'!D35)</f>
        <v>NUEVO PUERTO - AZCUENAGA 1</v>
      </c>
      <c r="E35" s="493">
        <f>IF('[1]BASE'!E35=0,"",'[1]BASE'!E35)</f>
        <v>106</v>
      </c>
      <c r="F35" s="494" t="str">
        <f>IF('[1]BASE'!F35=0,"",'[1]BASE'!F35)</f>
        <v>C</v>
      </c>
      <c r="G35" s="494">
        <f>'[1]BASE'!G35</f>
        <v>0</v>
      </c>
      <c r="H35" s="493">
        <f>IF('[1]BASE'!H35=0,"",'[1]BASE'!H35)</f>
        <v>132</v>
      </c>
      <c r="I35" s="494">
        <f>IF('[1]BASE'!I35=0,"",'[1]BASE'!I35)</f>
        <v>5</v>
      </c>
      <c r="J35" s="495">
        <f>IF('[1]BASE'!FY35=0,"",'[1]BASE'!FY35)</f>
      </c>
      <c r="K35" s="495">
        <f>IF('[1]BASE'!FZ35=0,"",'[1]BASE'!FZ35)</f>
      </c>
      <c r="L35" s="495">
        <f>IF('[1]BASE'!GA35=0,"",'[1]BASE'!GA35)</f>
      </c>
      <c r="M35" s="495">
        <f>IF('[1]BASE'!GB35=0,"",'[1]BASE'!GB35)</f>
      </c>
      <c r="N35" s="495">
        <f>IF('[1]BASE'!GC35=0,"",'[1]BASE'!GC35)</f>
      </c>
      <c r="O35" s="495">
        <f>IF('[1]BASE'!GD35=0,"",'[1]BASE'!GD35)</f>
      </c>
      <c r="P35" s="495">
        <f>IF('[1]BASE'!GE35=0,"",'[1]BASE'!GE35)</f>
      </c>
      <c r="Q35" s="495">
        <f>IF('[1]BASE'!GF35=0,"",'[1]BASE'!GF35)</f>
      </c>
      <c r="R35" s="495">
        <f>IF('[1]BASE'!GG35=0,"",'[1]BASE'!GG35)</f>
      </c>
      <c r="S35" s="495">
        <f>IF('[1]BASE'!GH35=0,"",'[1]BASE'!GH35)</f>
      </c>
      <c r="T35" s="495">
        <f>IF('[1]BASE'!GI35=0,"",'[1]BASE'!GI35)</f>
      </c>
      <c r="U35" s="495">
        <f>IF('[1]BASE'!GJ35=0,"",'[1]BASE'!GJ35)</f>
      </c>
      <c r="V35" s="497"/>
      <c r="W35" s="491"/>
    </row>
    <row r="36" spans="2:23" s="485" customFormat="1" ht="18" customHeight="1">
      <c r="B36" s="486"/>
      <c r="C36" s="492">
        <f>IF('[1]BASE'!C36=0,"",'[1]BASE'!C36)</f>
        <v>17</v>
      </c>
      <c r="D36" s="493" t="str">
        <f>IF('[1]BASE'!D36=0,"",'[1]BASE'!D36)</f>
        <v>NUEVO PUERTO - AZCUENAGA 2 </v>
      </c>
      <c r="E36" s="493">
        <f>IF('[1]BASE'!E36=0,"",'[1]BASE'!E36)</f>
        <v>107</v>
      </c>
      <c r="F36" s="494" t="str">
        <f>IF('[1]BASE'!F36=0,"",'[1]BASE'!F36)</f>
        <v>C</v>
      </c>
      <c r="G36" s="494">
        <f>'[1]BASE'!G36</f>
        <v>0</v>
      </c>
      <c r="H36" s="493">
        <f>IF('[1]BASE'!H36=0,"",'[1]BASE'!H36)</f>
        <v>132</v>
      </c>
      <c r="I36" s="494">
        <f>IF('[1]BASE'!I36=0,"",'[1]BASE'!I36)</f>
        <v>5</v>
      </c>
      <c r="J36" s="495">
        <f>IF('[1]BASE'!FY36=0,"",'[1]BASE'!FY36)</f>
      </c>
      <c r="K36" s="495">
        <f>IF('[1]BASE'!FZ36=0,"",'[1]BASE'!FZ36)</f>
      </c>
      <c r="L36" s="495">
        <f>IF('[1]BASE'!GA36=0,"",'[1]BASE'!GA36)</f>
      </c>
      <c r="M36" s="495">
        <f>IF('[1]BASE'!GB36=0,"",'[1]BASE'!GB36)</f>
      </c>
      <c r="N36" s="495">
        <f>IF('[1]BASE'!GC36=0,"",'[1]BASE'!GC36)</f>
      </c>
      <c r="O36" s="495">
        <f>IF('[1]BASE'!GD36=0,"",'[1]BASE'!GD36)</f>
      </c>
      <c r="P36" s="495">
        <f>IF('[1]BASE'!GE36=0,"",'[1]BASE'!GE36)</f>
      </c>
      <c r="Q36" s="495">
        <f>IF('[1]BASE'!GF36=0,"",'[1]BASE'!GF36)</f>
        <v>1</v>
      </c>
      <c r="R36" s="495">
        <f>IF('[1]BASE'!GG36=0,"",'[1]BASE'!GG36)</f>
      </c>
      <c r="S36" s="495">
        <f>IF('[1]BASE'!GH36=0,"",'[1]BASE'!GH36)</f>
      </c>
      <c r="T36" s="495">
        <f>IF('[1]BASE'!GI36=0,"",'[1]BASE'!GI36)</f>
      </c>
      <c r="U36" s="495">
        <f>IF('[1]BASE'!GJ36=0,"",'[1]BASE'!GJ36)</f>
      </c>
      <c r="V36" s="497"/>
      <c r="W36" s="491"/>
    </row>
    <row r="37" spans="2:23" s="485" customFormat="1" ht="18" customHeight="1">
      <c r="B37" s="486"/>
      <c r="C37" s="492">
        <f>IF('[1]BASE'!C37=0,"",'[1]BASE'!C37)</f>
        <v>18</v>
      </c>
      <c r="D37" s="493" t="str">
        <f>IF('[1]BASE'!D37=0,"",'[1]BASE'!D37)</f>
        <v>PUERTO NUEVO - COSTANERA </v>
      </c>
      <c r="E37" s="493">
        <f>IF('[1]BASE'!E37=0,"",'[1]BASE'!E37)</f>
        <v>111</v>
      </c>
      <c r="F37" s="494" t="str">
        <f>IF('[1]BASE'!F37=0,"",'[1]BASE'!F37)</f>
        <v>C</v>
      </c>
      <c r="G37" s="494">
        <f>'[1]BASE'!G37</f>
        <v>0</v>
      </c>
      <c r="H37" s="493">
        <f>IF('[1]BASE'!H37=0,"",'[1]BASE'!H37)</f>
        <v>132</v>
      </c>
      <c r="I37" s="494">
        <f>IF('[1]BASE'!I37=0,"",'[1]BASE'!I37)</f>
        <v>5.78</v>
      </c>
      <c r="J37" s="495">
        <f>IF('[1]BASE'!FY37=0,"",'[1]BASE'!FY37)</f>
      </c>
      <c r="K37" s="495">
        <f>IF('[1]BASE'!FZ37=0,"",'[1]BASE'!FZ37)</f>
        <v>1</v>
      </c>
      <c r="L37" s="495">
        <f>IF('[1]BASE'!GA37=0,"",'[1]BASE'!GA37)</f>
      </c>
      <c r="M37" s="495">
        <f>IF('[1]BASE'!GB37=0,"",'[1]BASE'!GB37)</f>
      </c>
      <c r="N37" s="495">
        <f>IF('[1]BASE'!GC37=0,"",'[1]BASE'!GC37)</f>
      </c>
      <c r="O37" s="495">
        <f>IF('[1]BASE'!GD37=0,"",'[1]BASE'!GD37)</f>
      </c>
      <c r="P37" s="495">
        <f>IF('[1]BASE'!GE37=0,"",'[1]BASE'!GE37)</f>
      </c>
      <c r="Q37" s="495">
        <f>IF('[1]BASE'!GF37=0,"",'[1]BASE'!GF37)</f>
      </c>
      <c r="R37" s="495">
        <f>IF('[1]BASE'!GG37=0,"",'[1]BASE'!GG37)</f>
      </c>
      <c r="S37" s="495">
        <f>IF('[1]BASE'!GH37=0,"",'[1]BASE'!GH37)</f>
      </c>
      <c r="T37" s="495">
        <f>IF('[1]BASE'!GI37=0,"",'[1]BASE'!GI37)</f>
      </c>
      <c r="U37" s="495">
        <f>IF('[1]BASE'!GJ37=0,"",'[1]BASE'!GJ37)</f>
      </c>
      <c r="V37" s="497"/>
      <c r="W37" s="491"/>
    </row>
    <row r="38" spans="2:23" s="485" customFormat="1" ht="18" customHeight="1" hidden="1">
      <c r="B38" s="486"/>
      <c r="C38" s="492">
        <f>IF('[1]BASE'!C38=0,"",'[1]BASE'!C38)</f>
        <v>19</v>
      </c>
      <c r="D38" s="493" t="str">
        <f>IF('[1]BASE'!D38=0,"",'[1]BASE'!D38)</f>
        <v>PUERTO NUEVO - COSTANERA 2 </v>
      </c>
      <c r="E38" s="493">
        <f>IF('[1]BASE'!E38=0,"",'[1]BASE'!E38)</f>
        <v>112</v>
      </c>
      <c r="F38" s="494" t="str">
        <f>IF('[1]BASE'!F38=0,"",'[1]BASE'!F38)</f>
        <v>C</v>
      </c>
      <c r="G38" s="494">
        <f>'[1]BASE'!G38</f>
        <v>0</v>
      </c>
      <c r="H38" s="493">
        <f>IF('[1]BASE'!H38=0,"",'[1]BASE'!H38)</f>
        <v>132</v>
      </c>
      <c r="I38" s="494">
        <f>IF('[1]BASE'!I38=0,"",'[1]BASE'!I38)</f>
        <v>7.4</v>
      </c>
      <c r="J38" s="495" t="str">
        <f>IF('[1]BASE'!FY38=0,"",'[1]BASE'!FY38)</f>
        <v>XXXX</v>
      </c>
      <c r="K38" s="495" t="str">
        <f>IF('[1]BASE'!FZ38=0,"",'[1]BASE'!FZ38)</f>
        <v>XXXX</v>
      </c>
      <c r="L38" s="495" t="str">
        <f>IF('[1]BASE'!GA38=0,"",'[1]BASE'!GA38)</f>
        <v>XXXX</v>
      </c>
      <c r="M38" s="495" t="str">
        <f>IF('[1]BASE'!GB38=0,"",'[1]BASE'!GB38)</f>
        <v>XXXX</v>
      </c>
      <c r="N38" s="495" t="str">
        <f>IF('[1]BASE'!GC38=0,"",'[1]BASE'!GC38)</f>
        <v>XXXX</v>
      </c>
      <c r="O38" s="495" t="str">
        <f>IF('[1]BASE'!GD38=0,"",'[1]BASE'!GD38)</f>
        <v>XXXX</v>
      </c>
      <c r="P38" s="495" t="str">
        <f>IF('[1]BASE'!GE38=0,"",'[1]BASE'!GE38)</f>
        <v>XXXX</v>
      </c>
      <c r="Q38" s="495" t="str">
        <f>IF('[1]BASE'!GF38=0,"",'[1]BASE'!GF38)</f>
        <v>XXXX</v>
      </c>
      <c r="R38" s="495" t="str">
        <f>IF('[1]BASE'!GG38=0,"",'[1]BASE'!GG38)</f>
        <v>XXXX</v>
      </c>
      <c r="S38" s="495" t="str">
        <f>IF('[1]BASE'!GH38=0,"",'[1]BASE'!GH38)</f>
        <v>XXXX</v>
      </c>
      <c r="T38" s="495" t="str">
        <f>IF('[1]BASE'!GI38=0,"",'[1]BASE'!GI38)</f>
        <v>XXXX</v>
      </c>
      <c r="U38" s="495" t="str">
        <f>IF('[1]BASE'!GJ38=0,"",'[1]BASE'!GJ38)</f>
        <v>XXXX</v>
      </c>
      <c r="V38" s="497"/>
      <c r="W38" s="491"/>
    </row>
    <row r="39" spans="2:23" s="485" customFormat="1" ht="18" customHeight="1">
      <c r="B39" s="486"/>
      <c r="C39" s="492">
        <f>IF('[1]BASE'!C39=0,"",'[1]BASE'!C39)</f>
        <v>72</v>
      </c>
      <c r="D39" s="493" t="str">
        <f>IF('[1]BASE'!D39=0,"",'[1]BASE'!D39)</f>
        <v>AZOPARDO - PUERTO NUEVO 2</v>
      </c>
      <c r="E39" s="493">
        <f>IF('[1]BASE'!E39=0,"",'[1]BASE'!E39)</f>
        <v>112</v>
      </c>
      <c r="F39" s="494" t="str">
        <f>IF('[1]BASE'!F39=0,"",'[1]BASE'!F39)</f>
        <v>C</v>
      </c>
      <c r="G39" s="494">
        <f>'[1]BASE'!G39</f>
        <v>0</v>
      </c>
      <c r="H39" s="493">
        <f>IF('[1]BASE'!H39=0,"",'[1]BASE'!H39)</f>
        <v>132</v>
      </c>
      <c r="I39" s="494">
        <f>IF('[1]BASE'!I39=0,"",'[1]BASE'!I39)</f>
        <v>5.8</v>
      </c>
      <c r="J39" s="495">
        <f>IF('[1]BASE'!FY39=0,"",'[1]BASE'!FY39)</f>
      </c>
      <c r="K39" s="495">
        <f>IF('[1]BASE'!FZ39=0,"",'[1]BASE'!FZ39)</f>
        <v>1</v>
      </c>
      <c r="L39" s="495">
        <f>IF('[1]BASE'!GA39=0,"",'[1]BASE'!GA39)</f>
      </c>
      <c r="M39" s="495">
        <f>IF('[1]BASE'!GB39=0,"",'[1]BASE'!GB39)</f>
      </c>
      <c r="N39" s="495">
        <f>IF('[1]BASE'!GC39=0,"",'[1]BASE'!GC39)</f>
      </c>
      <c r="O39" s="495">
        <f>IF('[1]BASE'!GD39=0,"",'[1]BASE'!GD39)</f>
      </c>
      <c r="P39" s="495">
        <f>IF('[1]BASE'!GE39=0,"",'[1]BASE'!GE39)</f>
      </c>
      <c r="Q39" s="495">
        <f>IF('[1]BASE'!GF39=0,"",'[1]BASE'!GF39)</f>
      </c>
      <c r="R39" s="495">
        <f>IF('[1]BASE'!GG39=0,"",'[1]BASE'!GG39)</f>
      </c>
      <c r="S39" s="495">
        <f>IF('[1]BASE'!GH39=0,"",'[1]BASE'!GH39)</f>
      </c>
      <c r="T39" s="495">
        <f>IF('[1]BASE'!GI39=0,"",'[1]BASE'!GI39)</f>
      </c>
      <c r="U39" s="495">
        <f>IF('[1]BASE'!GJ39=0,"",'[1]BASE'!GJ39)</f>
      </c>
      <c r="V39" s="497"/>
      <c r="W39" s="491"/>
    </row>
    <row r="40" spans="2:23" s="485" customFormat="1" ht="18" customHeight="1">
      <c r="B40" s="486"/>
      <c r="C40" s="492">
        <f>IF('[1]BASE'!C40=0,"",'[1]BASE'!C40)</f>
        <v>20</v>
      </c>
      <c r="D40" s="493" t="str">
        <f>IF('[1]BASE'!D40=0,"",'[1]BASE'!D40)</f>
        <v>PUERTO NUEVO - COSTANERA 3 </v>
      </c>
      <c r="E40" s="493">
        <f>IF('[1]BASE'!E40=0,"",'[1]BASE'!E40)</f>
        <v>113</v>
      </c>
      <c r="F40" s="494" t="str">
        <f>IF('[1]BASE'!F40=0,"",'[1]BASE'!F40)</f>
        <v>C</v>
      </c>
      <c r="G40" s="494">
        <f>'[1]BASE'!G40</f>
        <v>0</v>
      </c>
      <c r="H40" s="493">
        <f>IF('[1]BASE'!H40=0,"",'[1]BASE'!H40)</f>
        <v>132</v>
      </c>
      <c r="I40" s="494">
        <f>IF('[1]BASE'!I40=0,"",'[1]BASE'!I40)</f>
        <v>5.8</v>
      </c>
      <c r="J40" s="495">
        <f>IF('[1]BASE'!FY40=0,"",'[1]BASE'!FY40)</f>
      </c>
      <c r="K40" s="495">
        <f>IF('[1]BASE'!FZ40=0,"",'[1]BASE'!FZ40)</f>
        <v>1</v>
      </c>
      <c r="L40" s="495">
        <f>IF('[1]BASE'!GA40=0,"",'[1]BASE'!GA40)</f>
      </c>
      <c r="M40" s="495">
        <f>IF('[1]BASE'!GB40=0,"",'[1]BASE'!GB40)</f>
      </c>
      <c r="N40" s="495">
        <f>IF('[1]BASE'!GC40=0,"",'[1]BASE'!GC40)</f>
      </c>
      <c r="O40" s="495">
        <f>IF('[1]BASE'!GD40=0,"",'[1]BASE'!GD40)</f>
      </c>
      <c r="P40" s="495">
        <f>IF('[1]BASE'!GE40=0,"",'[1]BASE'!GE40)</f>
      </c>
      <c r="Q40" s="495">
        <f>IF('[1]BASE'!GF40=0,"",'[1]BASE'!GF40)</f>
      </c>
      <c r="R40" s="495">
        <f>IF('[1]BASE'!GG40=0,"",'[1]BASE'!GG40)</f>
      </c>
      <c r="S40" s="495">
        <f>IF('[1]BASE'!GH40=0,"",'[1]BASE'!GH40)</f>
      </c>
      <c r="T40" s="495">
        <f>IF('[1]BASE'!GI40=0,"",'[1]BASE'!GI40)</f>
      </c>
      <c r="U40" s="495">
        <f>IF('[1]BASE'!GJ40=0,"",'[1]BASE'!GJ40)</f>
      </c>
      <c r="V40" s="497"/>
      <c r="W40" s="491"/>
    </row>
    <row r="41" spans="2:23" s="485" customFormat="1" ht="18" customHeight="1">
      <c r="B41" s="486"/>
      <c r="C41" s="492">
        <f>IF('[1]BASE'!C41=0,"",'[1]BASE'!C41)</f>
        <v>21</v>
      </c>
      <c r="D41" s="493" t="str">
        <f>IF('[1]BASE'!D41=0,"",'[1]BASE'!D41)</f>
        <v>PUERTO NUEVO - AZOPARDO 1</v>
      </c>
      <c r="E41" s="493">
        <f>IF('[1]BASE'!E41=0,"",'[1]BASE'!E41)</f>
        <v>135</v>
      </c>
      <c r="F41" s="494" t="str">
        <f>IF('[1]BASE'!F41=0,"",'[1]BASE'!F41)</f>
        <v>C</v>
      </c>
      <c r="G41" s="494">
        <f>'[1]BASE'!G41</f>
        <v>0</v>
      </c>
      <c r="H41" s="493">
        <f>IF('[1]BASE'!H41=0,"",'[1]BASE'!H41)</f>
        <v>132</v>
      </c>
      <c r="I41" s="494">
        <f>IF('[1]BASE'!I41=0,"",'[1]BASE'!I41)</f>
        <v>16.7</v>
      </c>
      <c r="J41" s="495">
        <f>IF('[1]BASE'!FY41=0,"",'[1]BASE'!FY41)</f>
      </c>
      <c r="K41" s="495">
        <f>IF('[1]BASE'!FZ41=0,"",'[1]BASE'!FZ41)</f>
      </c>
      <c r="L41" s="495">
        <f>IF('[1]BASE'!GA41=0,"",'[1]BASE'!GA41)</f>
      </c>
      <c r="M41" s="495">
        <f>IF('[1]BASE'!GB41=0,"",'[1]BASE'!GB41)</f>
      </c>
      <c r="N41" s="495">
        <f>IF('[1]BASE'!GC41=0,"",'[1]BASE'!GC41)</f>
      </c>
      <c r="O41" s="495">
        <f>IF('[1]BASE'!GD41=0,"",'[1]BASE'!GD41)</f>
      </c>
      <c r="P41" s="495">
        <f>IF('[1]BASE'!GE41=0,"",'[1]BASE'!GE41)</f>
      </c>
      <c r="Q41" s="495">
        <f>IF('[1]BASE'!GF41=0,"",'[1]BASE'!GF41)</f>
      </c>
      <c r="R41" s="495">
        <f>IF('[1]BASE'!GG41=0,"",'[1]BASE'!GG41)</f>
      </c>
      <c r="S41" s="495">
        <f>IF('[1]BASE'!GH41=0,"",'[1]BASE'!GH41)</f>
      </c>
      <c r="T41" s="495">
        <f>IF('[1]BASE'!GI41=0,"",'[1]BASE'!GI41)</f>
      </c>
      <c r="U41" s="495">
        <f>IF('[1]BASE'!GJ41=0,"",'[1]BASE'!GJ41)</f>
      </c>
      <c r="V41" s="497"/>
      <c r="W41" s="491"/>
    </row>
    <row r="42" spans="2:23" s="485" customFormat="1" ht="18" customHeight="1">
      <c r="B42" s="486"/>
      <c r="C42" s="492">
        <f>IF('[1]BASE'!C42=0,"",'[1]BASE'!C42)</f>
        <v>22</v>
      </c>
      <c r="D42" s="493" t="str">
        <f>IF('[1]BASE'!D42=0,"",'[1]BASE'!D42)</f>
        <v>PUERTO NUEVO - AZOPARDO 2 </v>
      </c>
      <c r="E42" s="493">
        <f>IF('[1]BASE'!E42=0,"",'[1]BASE'!E42)</f>
        <v>136</v>
      </c>
      <c r="F42" s="494" t="str">
        <f>IF('[1]BASE'!F42=0,"",'[1]BASE'!F42)</f>
        <v>C</v>
      </c>
      <c r="G42" s="494">
        <f>'[1]BASE'!G42</f>
        <v>0</v>
      </c>
      <c r="H42" s="493">
        <f>IF('[1]BASE'!H42=0,"",'[1]BASE'!H42)</f>
        <v>132</v>
      </c>
      <c r="I42" s="494">
        <f>IF('[1]BASE'!I42=0,"",'[1]BASE'!I42)</f>
        <v>16.7</v>
      </c>
      <c r="J42" s="495">
        <f>IF('[1]BASE'!FY42=0,"",'[1]BASE'!FY42)</f>
      </c>
      <c r="K42" s="495">
        <f>IF('[1]BASE'!FZ42=0,"",'[1]BASE'!FZ42)</f>
      </c>
      <c r="L42" s="495">
        <f>IF('[1]BASE'!GA42=0,"",'[1]BASE'!GA42)</f>
      </c>
      <c r="M42" s="495">
        <f>IF('[1]BASE'!GB42=0,"",'[1]BASE'!GB42)</f>
      </c>
      <c r="N42" s="495">
        <f>IF('[1]BASE'!GC42=0,"",'[1]BASE'!GC42)</f>
      </c>
      <c r="O42" s="495">
        <f>IF('[1]BASE'!GD42=0,"",'[1]BASE'!GD42)</f>
      </c>
      <c r="P42" s="495">
        <f>IF('[1]BASE'!GE42=0,"",'[1]BASE'!GE42)</f>
      </c>
      <c r="Q42" s="495">
        <f>IF('[1]BASE'!GF42=0,"",'[1]BASE'!GF42)</f>
        <v>1</v>
      </c>
      <c r="R42" s="495">
        <f>IF('[1]BASE'!GG42=0,"",'[1]BASE'!GG42)</f>
      </c>
      <c r="S42" s="495">
        <f>IF('[1]BASE'!GH42=0,"",'[1]BASE'!GH42)</f>
      </c>
      <c r="T42" s="495">
        <f>IF('[1]BASE'!GI42=0,"",'[1]BASE'!GI42)</f>
      </c>
      <c r="U42" s="495">
        <f>IF('[1]BASE'!GJ42=0,"",'[1]BASE'!GJ42)</f>
      </c>
      <c r="V42" s="497"/>
      <c r="W42" s="491"/>
    </row>
    <row r="43" spans="2:23" s="485" customFormat="1" ht="18" customHeight="1">
      <c r="B43" s="486"/>
      <c r="C43" s="492">
        <f>IF('[1]BASE'!C43=0,"",'[1]BASE'!C43)</f>
        <v>86</v>
      </c>
      <c r="D43" s="493" t="str">
        <f>IF('[1]BASE'!D43=0,"",'[1]BASE'!D43)</f>
        <v>DOCK SUD - SOBRAL 1</v>
      </c>
      <c r="E43" s="493">
        <f>IF('[1]BASE'!E43=0,"",'[1]BASE'!E43)</f>
        <v>201</v>
      </c>
      <c r="F43" s="494" t="str">
        <f>IF('[1]BASE'!F43=0,"",'[1]BASE'!F43)</f>
        <v>L/C</v>
      </c>
      <c r="G43" s="494">
        <f>'[1]BASE'!G43</f>
        <v>79.44</v>
      </c>
      <c r="H43" s="493">
        <f>IF('[1]BASE'!H43=0,"",'[1]BASE'!H43)</f>
        <v>132</v>
      </c>
      <c r="I43" s="494">
        <f>IF('[1]BASE'!I43=0,"",'[1]BASE'!I43)</f>
        <v>18</v>
      </c>
      <c r="J43" s="495">
        <f>IF('[1]BASE'!FY43=0,"",'[1]BASE'!FY43)</f>
      </c>
      <c r="K43" s="495">
        <f>IF('[1]BASE'!FZ43=0,"",'[1]BASE'!FZ43)</f>
        <v>1</v>
      </c>
      <c r="L43" s="495">
        <f>IF('[1]BASE'!GA43=0,"",'[1]BASE'!GA43)</f>
      </c>
      <c r="M43" s="495">
        <f>IF('[1]BASE'!GB43=0,"",'[1]BASE'!GB43)</f>
      </c>
      <c r="N43" s="495">
        <f>IF('[1]BASE'!GC43=0,"",'[1]BASE'!GC43)</f>
      </c>
      <c r="O43" s="495">
        <f>IF('[1]BASE'!GD43=0,"",'[1]BASE'!GD43)</f>
      </c>
      <c r="P43" s="495">
        <f>IF('[1]BASE'!GE43=0,"",'[1]BASE'!GE43)</f>
      </c>
      <c r="Q43" s="495">
        <f>IF('[1]BASE'!GF43=0,"",'[1]BASE'!GF43)</f>
      </c>
      <c r="R43" s="495">
        <f>IF('[1]BASE'!GG43=0,"",'[1]BASE'!GG43)</f>
      </c>
      <c r="S43" s="495">
        <f>IF('[1]BASE'!GH43=0,"",'[1]BASE'!GH43)</f>
      </c>
      <c r="T43" s="495">
        <f>IF('[1]BASE'!GI43=0,"",'[1]BASE'!GI43)</f>
      </c>
      <c r="U43" s="495">
        <f>IF('[1]BASE'!GJ43=0,"",'[1]BASE'!GJ43)</f>
        <v>1</v>
      </c>
      <c r="V43" s="497"/>
      <c r="W43" s="491"/>
    </row>
    <row r="44" spans="2:23" s="485" customFormat="1" ht="18" customHeight="1">
      <c r="B44" s="486"/>
      <c r="C44" s="492">
        <f>IF('[1]BASE'!C44=0,"",'[1]BASE'!C44)</f>
        <v>87</v>
      </c>
      <c r="D44" s="493" t="str">
        <f>IF('[1]BASE'!D44=0,"",'[1]BASE'!D44)</f>
        <v>DOCK SUD - SOBRAL 2</v>
      </c>
      <c r="E44" s="493">
        <f>IF('[1]BASE'!E44=0,"",'[1]BASE'!E44)</f>
        <v>202</v>
      </c>
      <c r="F44" s="494" t="str">
        <f>IF('[1]BASE'!F44=0,"",'[1]BASE'!F44)</f>
        <v>L/C</v>
      </c>
      <c r="G44" s="494">
        <f>'[1]BASE'!G44</f>
        <v>79.44</v>
      </c>
      <c r="H44" s="493">
        <f>IF('[1]BASE'!H44=0,"",'[1]BASE'!H44)</f>
        <v>132</v>
      </c>
      <c r="I44" s="494">
        <f>IF('[1]BASE'!I44=0,"",'[1]BASE'!I44)</f>
        <v>18</v>
      </c>
      <c r="J44" s="495">
        <f>IF('[1]BASE'!FY44=0,"",'[1]BASE'!FY44)</f>
      </c>
      <c r="K44" s="495">
        <f>IF('[1]BASE'!FZ44=0,"",'[1]BASE'!FZ44)</f>
      </c>
      <c r="L44" s="495">
        <f>IF('[1]BASE'!GA44=0,"",'[1]BASE'!GA44)</f>
      </c>
      <c r="M44" s="495">
        <f>IF('[1]BASE'!GB44=0,"",'[1]BASE'!GB44)</f>
      </c>
      <c r="N44" s="495">
        <f>IF('[1]BASE'!GC44=0,"",'[1]BASE'!GC44)</f>
      </c>
      <c r="O44" s="495">
        <f>IF('[1]BASE'!GD44=0,"",'[1]BASE'!GD44)</f>
      </c>
      <c r="P44" s="495">
        <f>IF('[1]BASE'!GE44=0,"",'[1]BASE'!GE44)</f>
      </c>
      <c r="Q44" s="495">
        <f>IF('[1]BASE'!GF44=0,"",'[1]BASE'!GF44)</f>
      </c>
      <c r="R44" s="495">
        <f>IF('[1]BASE'!GG44=0,"",'[1]BASE'!GG44)</f>
      </c>
      <c r="S44" s="495">
        <f>IF('[1]BASE'!GH44=0,"",'[1]BASE'!GH44)</f>
      </c>
      <c r="T44" s="495">
        <f>IF('[1]BASE'!GI44=0,"",'[1]BASE'!GI44)</f>
      </c>
      <c r="U44" s="495">
        <f>IF('[1]BASE'!GJ44=0,"",'[1]BASE'!GJ44)</f>
      </c>
      <c r="V44" s="497"/>
      <c r="W44" s="491"/>
    </row>
    <row r="45" spans="2:23" s="485" customFormat="1" ht="18" customHeight="1">
      <c r="B45" s="486"/>
      <c r="C45" s="492">
        <f>IF('[1]BASE'!C45=0,"",'[1]BASE'!C45)</f>
        <v>88</v>
      </c>
      <c r="D45" s="493" t="str">
        <f>IF('[1]BASE'!D45=0,"",'[1]BASE'!D45)</f>
        <v>DOCK SUD - QUILMES 1</v>
      </c>
      <c r="E45" s="493">
        <f>IF('[1]BASE'!E45=0,"",'[1]BASE'!E45)</f>
        <v>203</v>
      </c>
      <c r="F45" s="494" t="str">
        <f>IF('[1]BASE'!F45=0,"",'[1]BASE'!F45)</f>
        <v>L/C</v>
      </c>
      <c r="G45" s="494">
        <f>'[1]BASE'!G45</f>
        <v>85.89</v>
      </c>
      <c r="H45" s="493">
        <f>IF('[1]BASE'!H45=0,"",'[1]BASE'!H45)</f>
        <v>132</v>
      </c>
      <c r="I45" s="494">
        <f>IF('[1]BASE'!I45=0,"",'[1]BASE'!I45)</f>
        <v>15.6</v>
      </c>
      <c r="J45" s="495">
        <f>IF('[1]BASE'!FY45=0,"",'[1]BASE'!FY45)</f>
      </c>
      <c r="K45" s="495">
        <f>IF('[1]BASE'!FZ45=0,"",'[1]BASE'!FZ45)</f>
      </c>
      <c r="L45" s="495">
        <f>IF('[1]BASE'!GA45=0,"",'[1]BASE'!GA45)</f>
        <v>1</v>
      </c>
      <c r="M45" s="495">
        <f>IF('[1]BASE'!GB45=0,"",'[1]BASE'!GB45)</f>
        <v>1</v>
      </c>
      <c r="N45" s="495">
        <f>IF('[1]BASE'!GC45=0,"",'[1]BASE'!GC45)</f>
      </c>
      <c r="O45" s="495">
        <f>IF('[1]BASE'!GD45=0,"",'[1]BASE'!GD45)</f>
      </c>
      <c r="P45" s="495">
        <f>IF('[1]BASE'!GE45=0,"",'[1]BASE'!GE45)</f>
      </c>
      <c r="Q45" s="495">
        <f>IF('[1]BASE'!GF45=0,"",'[1]BASE'!GF45)</f>
      </c>
      <c r="R45" s="495">
        <f>IF('[1]BASE'!GG45=0,"",'[1]BASE'!GG45)</f>
      </c>
      <c r="S45" s="495">
        <f>IF('[1]BASE'!GH45=0,"",'[1]BASE'!GH45)</f>
      </c>
      <c r="T45" s="495">
        <f>IF('[1]BASE'!GI45=0,"",'[1]BASE'!GI45)</f>
      </c>
      <c r="U45" s="495">
        <f>IF('[1]BASE'!GJ45=0,"",'[1]BASE'!GJ45)</f>
      </c>
      <c r="V45" s="497"/>
      <c r="W45" s="491"/>
    </row>
    <row r="46" spans="2:23" s="485" customFormat="1" ht="18" customHeight="1">
      <c r="B46" s="486"/>
      <c r="C46" s="492">
        <f>IF('[1]BASE'!C46=0,"",'[1]BASE'!C46)</f>
        <v>89</v>
      </c>
      <c r="D46" s="493" t="str">
        <f>IF('[1]BASE'!D46=0,"",'[1]BASE'!D46)</f>
        <v>DOCK SUD - QUILMES 2</v>
      </c>
      <c r="E46" s="493">
        <f>IF('[1]BASE'!E46=0,"",'[1]BASE'!E46)</f>
        <v>204</v>
      </c>
      <c r="F46" s="494" t="str">
        <f>IF('[1]BASE'!F46=0,"",'[1]BASE'!F46)</f>
        <v>L/C</v>
      </c>
      <c r="G46" s="494">
        <f>'[1]BASE'!G46</f>
        <v>85.89</v>
      </c>
      <c r="H46" s="493">
        <f>IF('[1]BASE'!H46=0,"",'[1]BASE'!H46)</f>
        <v>132</v>
      </c>
      <c r="I46" s="494">
        <f>IF('[1]BASE'!I46=0,"",'[1]BASE'!I46)</f>
        <v>15.6</v>
      </c>
      <c r="J46" s="495">
        <f>IF('[1]BASE'!FY46=0,"",'[1]BASE'!FY46)</f>
      </c>
      <c r="K46" s="495">
        <f>IF('[1]BASE'!FZ46=0,"",'[1]BASE'!FZ46)</f>
      </c>
      <c r="L46" s="495">
        <f>IF('[1]BASE'!GA46=0,"",'[1]BASE'!GA46)</f>
      </c>
      <c r="M46" s="495">
        <f>IF('[1]BASE'!GB46=0,"",'[1]BASE'!GB46)</f>
        <v>1</v>
      </c>
      <c r="N46" s="495">
        <f>IF('[1]BASE'!GC46=0,"",'[1]BASE'!GC46)</f>
      </c>
      <c r="O46" s="495">
        <f>IF('[1]BASE'!GD46=0,"",'[1]BASE'!GD46)</f>
      </c>
      <c r="P46" s="495">
        <f>IF('[1]BASE'!GE46=0,"",'[1]BASE'!GE46)</f>
      </c>
      <c r="Q46" s="495">
        <f>IF('[1]BASE'!GF46=0,"",'[1]BASE'!GF46)</f>
      </c>
      <c r="R46" s="495">
        <f>IF('[1]BASE'!GG46=0,"",'[1]BASE'!GG46)</f>
        <v>1</v>
      </c>
      <c r="S46" s="495">
        <f>IF('[1]BASE'!GH46=0,"",'[1]BASE'!GH46)</f>
      </c>
      <c r="T46" s="495">
        <f>IF('[1]BASE'!GI46=0,"",'[1]BASE'!GI46)</f>
      </c>
      <c r="U46" s="495">
        <f>IF('[1]BASE'!GJ46=0,"",'[1]BASE'!GJ46)</f>
      </c>
      <c r="V46" s="497"/>
      <c r="W46" s="491"/>
    </row>
    <row r="47" spans="2:23" s="485" customFormat="1" ht="18" customHeight="1">
      <c r="B47" s="486"/>
      <c r="C47" s="492">
        <f>IF('[1]BASE'!C47=0,"",'[1]BASE'!C47)</f>
        <v>23</v>
      </c>
      <c r="D47" s="493" t="str">
        <f>IF('[1]BASE'!D47=0,"",'[1]BASE'!D47)</f>
        <v>DOCK SUD - ESCALADA </v>
      </c>
      <c r="E47" s="493">
        <f>IF('[1]BASE'!E47=0,"",'[1]BASE'!E47)</f>
        <v>225</v>
      </c>
      <c r="F47" s="494" t="str">
        <f>IF('[1]BASE'!F47=0,"",'[1]BASE'!F47)</f>
        <v>C</v>
      </c>
      <c r="G47" s="494">
        <f>'[1]BASE'!G47</f>
        <v>0</v>
      </c>
      <c r="H47" s="493">
        <f>IF('[1]BASE'!H47=0,"",'[1]BASE'!H47)</f>
        <v>132</v>
      </c>
      <c r="I47" s="494">
        <f>IF('[1]BASE'!I47=0,"",'[1]BASE'!I47)</f>
        <v>10</v>
      </c>
      <c r="J47" s="495">
        <f>IF('[1]BASE'!FY47=0,"",'[1]BASE'!FY47)</f>
      </c>
      <c r="K47" s="495">
        <f>IF('[1]BASE'!FZ47=0,"",'[1]BASE'!FZ47)</f>
      </c>
      <c r="L47" s="495">
        <f>IF('[1]BASE'!GA47=0,"",'[1]BASE'!GA47)</f>
      </c>
      <c r="M47" s="495">
        <f>IF('[1]BASE'!GB47=0,"",'[1]BASE'!GB47)</f>
      </c>
      <c r="N47" s="495">
        <f>IF('[1]BASE'!GC47=0,"",'[1]BASE'!GC47)</f>
      </c>
      <c r="O47" s="495">
        <f>IF('[1]BASE'!GD47=0,"",'[1]BASE'!GD47)</f>
      </c>
      <c r="P47" s="495">
        <f>IF('[1]BASE'!GE47=0,"",'[1]BASE'!GE47)</f>
      </c>
      <c r="Q47" s="495">
        <f>IF('[1]BASE'!GF47=0,"",'[1]BASE'!GF47)</f>
      </c>
      <c r="R47" s="495">
        <f>IF('[1]BASE'!GG47=0,"",'[1]BASE'!GG47)</f>
      </c>
      <c r="S47" s="495">
        <f>IF('[1]BASE'!GH47=0,"",'[1]BASE'!GH47)</f>
      </c>
      <c r="T47" s="495">
        <f>IF('[1]BASE'!GI47=0,"",'[1]BASE'!GI47)</f>
      </c>
      <c r="U47" s="495">
        <f>IF('[1]BASE'!GJ47=0,"",'[1]BASE'!GJ47)</f>
      </c>
      <c r="V47" s="497"/>
      <c r="W47" s="491"/>
    </row>
    <row r="48" spans="2:23" s="485" customFormat="1" ht="18" customHeight="1">
      <c r="B48" s="486"/>
      <c r="C48" s="492">
        <f>IF('[1]BASE'!C48=0,"",'[1]BASE'!C48)</f>
        <v>24</v>
      </c>
      <c r="D48" s="493" t="str">
        <f>IF('[1]BASE'!D48=0,"",'[1]BASE'!D48)</f>
        <v>DOCK SUD - CORINA </v>
      </c>
      <c r="E48" s="493">
        <f>IF('[1]BASE'!E48=0,"",'[1]BASE'!E48)</f>
        <v>226</v>
      </c>
      <c r="F48" s="494" t="str">
        <f>IF('[1]BASE'!F48=0,"",'[1]BASE'!F48)</f>
        <v>C</v>
      </c>
      <c r="G48" s="494">
        <f>'[1]BASE'!G48</f>
        <v>0</v>
      </c>
      <c r="H48" s="493">
        <f>IF('[1]BASE'!H48=0,"",'[1]BASE'!H48)</f>
        <v>132</v>
      </c>
      <c r="I48" s="494">
        <f>IF('[1]BASE'!I48=0,"",'[1]BASE'!I48)</f>
        <v>6.5</v>
      </c>
      <c r="J48" s="495">
        <f>IF('[1]BASE'!FY48=0,"",'[1]BASE'!FY48)</f>
      </c>
      <c r="K48" s="495">
        <f>IF('[1]BASE'!FZ48=0,"",'[1]BASE'!FZ48)</f>
      </c>
      <c r="L48" s="495">
        <f>IF('[1]BASE'!GA48=0,"",'[1]BASE'!GA48)</f>
      </c>
      <c r="M48" s="495">
        <f>IF('[1]BASE'!GB48=0,"",'[1]BASE'!GB48)</f>
      </c>
      <c r="N48" s="495">
        <f>IF('[1]BASE'!GC48=0,"",'[1]BASE'!GC48)</f>
      </c>
      <c r="O48" s="495">
        <f>IF('[1]BASE'!GD48=0,"",'[1]BASE'!GD48)</f>
      </c>
      <c r="P48" s="495">
        <f>IF('[1]BASE'!GE48=0,"",'[1]BASE'!GE48)</f>
      </c>
      <c r="Q48" s="495">
        <f>IF('[1]BASE'!GF48=0,"",'[1]BASE'!GF48)</f>
      </c>
      <c r="R48" s="495">
        <f>IF('[1]BASE'!GG48=0,"",'[1]BASE'!GG48)</f>
      </c>
      <c r="S48" s="495">
        <f>IF('[1]BASE'!GH48=0,"",'[1]BASE'!GH48)</f>
      </c>
      <c r="T48" s="495">
        <f>IF('[1]BASE'!GI48=0,"",'[1]BASE'!GI48)</f>
      </c>
      <c r="U48" s="495">
        <f>IF('[1]BASE'!GJ48=0,"",'[1]BASE'!GJ48)</f>
      </c>
      <c r="V48" s="497"/>
      <c r="W48" s="491"/>
    </row>
    <row r="49" spans="2:23" s="485" customFormat="1" ht="18" customHeight="1">
      <c r="B49" s="486"/>
      <c r="C49" s="492">
        <f>IF('[1]BASE'!C49=0,"",'[1]BASE'!C49)</f>
        <v>25</v>
      </c>
      <c r="D49" s="493" t="str">
        <f>IF('[1]BASE'!D49=0,"",'[1]BASE'!D49)</f>
        <v>DOCK SUD - CITY BELL </v>
      </c>
      <c r="E49" s="493">
        <f>IF('[1]BASE'!E49=0,"",'[1]BASE'!E49)</f>
        <v>230</v>
      </c>
      <c r="F49" s="494" t="str">
        <f>IF('[1]BASE'!F49=0,"",'[1]BASE'!F49)</f>
        <v>C</v>
      </c>
      <c r="G49" s="494">
        <f>'[1]BASE'!G49</f>
        <v>0</v>
      </c>
      <c r="H49" s="493">
        <f>IF('[1]BASE'!H49=0,"",'[1]BASE'!H49)</f>
        <v>132</v>
      </c>
      <c r="I49" s="494">
        <f>IF('[1]BASE'!I49=0,"",'[1]BASE'!I49)</f>
        <v>42.2</v>
      </c>
      <c r="J49" s="495">
        <f>IF('[1]BASE'!FY49=0,"",'[1]BASE'!FY49)</f>
      </c>
      <c r="K49" s="495">
        <f>IF('[1]BASE'!FZ49=0,"",'[1]BASE'!FZ49)</f>
      </c>
      <c r="L49" s="495">
        <f>IF('[1]BASE'!GA49=0,"",'[1]BASE'!GA49)</f>
      </c>
      <c r="M49" s="495">
        <f>IF('[1]BASE'!GB49=0,"",'[1]BASE'!GB49)</f>
      </c>
      <c r="N49" s="495">
        <f>IF('[1]BASE'!GC49=0,"",'[1]BASE'!GC49)</f>
      </c>
      <c r="O49" s="495">
        <f>IF('[1]BASE'!GD49=0,"",'[1]BASE'!GD49)</f>
      </c>
      <c r="P49" s="495">
        <f>IF('[1]BASE'!GE49=0,"",'[1]BASE'!GE49)</f>
        <v>1</v>
      </c>
      <c r="Q49" s="495">
        <f>IF('[1]BASE'!GF49=0,"",'[1]BASE'!GF49)</f>
        <v>1</v>
      </c>
      <c r="R49" s="495">
        <f>IF('[1]BASE'!GG49=0,"",'[1]BASE'!GG49)</f>
      </c>
      <c r="S49" s="495">
        <f>IF('[1]BASE'!GH49=0,"",'[1]BASE'!GH49)</f>
      </c>
      <c r="T49" s="495">
        <f>IF('[1]BASE'!GI49=0,"",'[1]BASE'!GI49)</f>
      </c>
      <c r="U49" s="495">
        <f>IF('[1]BASE'!GJ49=0,"",'[1]BASE'!GJ49)</f>
      </c>
      <c r="V49" s="497"/>
      <c r="W49" s="491"/>
    </row>
    <row r="50" spans="2:23" s="485" customFormat="1" ht="18" customHeight="1">
      <c r="B50" s="486"/>
      <c r="C50" s="492">
        <f>IF('[1]BASE'!C50=0,"",'[1]BASE'!C50)</f>
        <v>26</v>
      </c>
      <c r="D50" s="493" t="str">
        <f>IF('[1]BASE'!D50=0,"",'[1]BASE'!D50)</f>
        <v>DOCK SUD - DON BOSCO 1</v>
      </c>
      <c r="E50" s="493">
        <f>IF('[1]BASE'!E50=0,"",'[1]BASE'!E50)</f>
        <v>231</v>
      </c>
      <c r="F50" s="494" t="str">
        <f>IF('[1]BASE'!F50=0,"",'[1]BASE'!F50)</f>
        <v>LC</v>
      </c>
      <c r="G50" s="494">
        <f>'[1]BASE'!G50</f>
        <v>64.08</v>
      </c>
      <c r="H50" s="493">
        <f>IF('[1]BASE'!H50=0,"",'[1]BASE'!H50)</f>
        <v>132</v>
      </c>
      <c r="I50" s="494">
        <f>IF('[1]BASE'!I50=0,"",'[1]BASE'!I50)</f>
        <v>10.3</v>
      </c>
      <c r="J50" s="495">
        <f>IF('[1]BASE'!FY50=0,"",'[1]BASE'!FY50)</f>
      </c>
      <c r="K50" s="495">
        <f>IF('[1]BASE'!FZ50=0,"",'[1]BASE'!FZ50)</f>
        <v>1</v>
      </c>
      <c r="L50" s="495">
        <f>IF('[1]BASE'!GA50=0,"",'[1]BASE'!GA50)</f>
      </c>
      <c r="M50" s="495">
        <f>IF('[1]BASE'!GB50=0,"",'[1]BASE'!GB50)</f>
      </c>
      <c r="N50" s="495">
        <f>IF('[1]BASE'!GC50=0,"",'[1]BASE'!GC50)</f>
      </c>
      <c r="O50" s="495">
        <f>IF('[1]BASE'!GD50=0,"",'[1]BASE'!GD50)</f>
      </c>
      <c r="P50" s="495">
        <f>IF('[1]BASE'!GE50=0,"",'[1]BASE'!GE50)</f>
      </c>
      <c r="Q50" s="495">
        <f>IF('[1]BASE'!GF50=0,"",'[1]BASE'!GF50)</f>
      </c>
      <c r="R50" s="495">
        <f>IF('[1]BASE'!GG50=0,"",'[1]BASE'!GG50)</f>
      </c>
      <c r="S50" s="495">
        <f>IF('[1]BASE'!GH50=0,"",'[1]BASE'!GH50)</f>
      </c>
      <c r="T50" s="495">
        <f>IF('[1]BASE'!GI50=0,"",'[1]BASE'!GI50)</f>
      </c>
      <c r="U50" s="495">
        <f>IF('[1]BASE'!GJ50=0,"",'[1]BASE'!GJ50)</f>
      </c>
      <c r="V50" s="497"/>
      <c r="W50" s="491"/>
    </row>
    <row r="51" spans="2:23" s="485" customFormat="1" ht="18" customHeight="1">
      <c r="B51" s="486"/>
      <c r="C51" s="492">
        <f>IF('[1]BASE'!C51=0,"",'[1]BASE'!C51)</f>
        <v>27</v>
      </c>
      <c r="D51" s="493" t="str">
        <f>IF('[1]BASE'!D51=0,"",'[1]BASE'!D51)</f>
        <v>DOCK SUD - DON BOSCO 2 </v>
      </c>
      <c r="E51" s="493">
        <f>IF('[1]BASE'!E51=0,"",'[1]BASE'!E51)</f>
        <v>232</v>
      </c>
      <c r="F51" s="494" t="str">
        <f>IF('[1]BASE'!F51=0,"",'[1]BASE'!F51)</f>
        <v>LC</v>
      </c>
      <c r="G51" s="494">
        <f>'[1]BASE'!G51</f>
        <v>64.08</v>
      </c>
      <c r="H51" s="493">
        <f>IF('[1]BASE'!H51=0,"",'[1]BASE'!H51)</f>
        <v>132</v>
      </c>
      <c r="I51" s="494">
        <f>IF('[1]BASE'!I51=0,"",'[1]BASE'!I51)</f>
        <v>10.3</v>
      </c>
      <c r="J51" s="495">
        <f>IF('[1]BASE'!FY51=0,"",'[1]BASE'!FY51)</f>
      </c>
      <c r="K51" s="495">
        <f>IF('[1]BASE'!FZ51=0,"",'[1]BASE'!FZ51)</f>
      </c>
      <c r="L51" s="495">
        <f>IF('[1]BASE'!GA51=0,"",'[1]BASE'!GA51)</f>
      </c>
      <c r="M51" s="495">
        <f>IF('[1]BASE'!GB51=0,"",'[1]BASE'!GB51)</f>
      </c>
      <c r="N51" s="495">
        <f>IF('[1]BASE'!GC51=0,"",'[1]BASE'!GC51)</f>
      </c>
      <c r="O51" s="495">
        <f>IF('[1]BASE'!GD51=0,"",'[1]BASE'!GD51)</f>
      </c>
      <c r="P51" s="495">
        <f>IF('[1]BASE'!GE51=0,"",'[1]BASE'!GE51)</f>
      </c>
      <c r="Q51" s="495">
        <f>IF('[1]BASE'!GF51=0,"",'[1]BASE'!GF51)</f>
      </c>
      <c r="R51" s="495">
        <f>IF('[1]BASE'!GG51=0,"",'[1]BASE'!GG51)</f>
      </c>
      <c r="S51" s="495">
        <f>IF('[1]BASE'!GH51=0,"",'[1]BASE'!GH51)</f>
        <v>1</v>
      </c>
      <c r="T51" s="495">
        <f>IF('[1]BASE'!GI51=0,"",'[1]BASE'!GI51)</f>
      </c>
      <c r="U51" s="495">
        <f>IF('[1]BASE'!GJ51=0,"",'[1]BASE'!GJ51)</f>
        <v>2</v>
      </c>
      <c r="V51" s="497"/>
      <c r="W51" s="491"/>
    </row>
    <row r="52" spans="2:23" s="485" customFormat="1" ht="18" customHeight="1">
      <c r="B52" s="486"/>
      <c r="C52" s="492">
        <f>IF('[1]BASE'!C52=0,"",'[1]BASE'!C52)</f>
        <v>28</v>
      </c>
      <c r="D52" s="493" t="str">
        <f>IF('[1]BASE'!D52=0,"",'[1]BASE'!D52)</f>
        <v>DOCK SUD - 9 DE JULIO </v>
      </c>
      <c r="E52" s="493">
        <f>IF('[1]BASE'!E52=0,"",'[1]BASE'!E52)</f>
        <v>233</v>
      </c>
      <c r="F52" s="494" t="str">
        <f>IF('[1]BASE'!F52=0,"",'[1]BASE'!F52)</f>
        <v>C</v>
      </c>
      <c r="G52" s="494">
        <f>'[1]BASE'!G52</f>
        <v>0</v>
      </c>
      <c r="H52" s="493">
        <f>IF('[1]BASE'!H52=0,"",'[1]BASE'!H52)</f>
        <v>132</v>
      </c>
      <c r="I52" s="494">
        <f>IF('[1]BASE'!I52=0,"",'[1]BASE'!I52)</f>
        <v>3.5</v>
      </c>
      <c r="J52" s="495">
        <f>IF('[1]BASE'!FY52=0,"",'[1]BASE'!FY52)</f>
      </c>
      <c r="K52" s="495">
        <f>IF('[1]BASE'!FZ52=0,"",'[1]BASE'!FZ52)</f>
      </c>
      <c r="L52" s="495">
        <f>IF('[1]BASE'!GA52=0,"",'[1]BASE'!GA52)</f>
      </c>
      <c r="M52" s="495">
        <f>IF('[1]BASE'!GB52=0,"",'[1]BASE'!GB52)</f>
      </c>
      <c r="N52" s="495">
        <f>IF('[1]BASE'!GC52=0,"",'[1]BASE'!GC52)</f>
        <v>1</v>
      </c>
      <c r="O52" s="495">
        <f>IF('[1]BASE'!GD52=0,"",'[1]BASE'!GD52)</f>
      </c>
      <c r="P52" s="495">
        <f>IF('[1]BASE'!GE52=0,"",'[1]BASE'!GE52)</f>
      </c>
      <c r="Q52" s="495">
        <f>IF('[1]BASE'!GF52=0,"",'[1]BASE'!GF52)</f>
      </c>
      <c r="R52" s="495">
        <f>IF('[1]BASE'!GG52=0,"",'[1]BASE'!GG52)</f>
      </c>
      <c r="S52" s="495">
        <f>IF('[1]BASE'!GH52=0,"",'[1]BASE'!GH52)</f>
      </c>
      <c r="T52" s="495">
        <f>IF('[1]BASE'!GI52=0,"",'[1]BASE'!GI52)</f>
      </c>
      <c r="U52" s="495">
        <f>IF('[1]BASE'!GJ52=0,"",'[1]BASE'!GJ52)</f>
      </c>
      <c r="V52" s="497"/>
      <c r="W52" s="491"/>
    </row>
    <row r="53" spans="2:23" s="485" customFormat="1" ht="18" customHeight="1">
      <c r="B53" s="486"/>
      <c r="C53" s="492">
        <f>IF('[1]BASE'!C53=0,"",'[1]BASE'!C53)</f>
        <v>29</v>
      </c>
      <c r="D53" s="493" t="str">
        <f>IF('[1]BASE'!D53=0,"",'[1]BASE'!D53)</f>
        <v>COSTANERA - DOCK SUD 1</v>
      </c>
      <c r="E53" s="493">
        <f>IF('[1]BASE'!E53=0,"",'[1]BASE'!E53)</f>
        <v>321</v>
      </c>
      <c r="F53" s="494" t="str">
        <f>IF('[1]BASE'!F53=0,"",'[1]BASE'!F53)</f>
        <v>C</v>
      </c>
      <c r="G53" s="494">
        <f>'[1]BASE'!G53</f>
        <v>0</v>
      </c>
      <c r="H53" s="493">
        <f>IF('[1]BASE'!H53=0,"",'[1]BASE'!H53)</f>
        <v>132</v>
      </c>
      <c r="I53" s="494">
        <f>IF('[1]BASE'!I53=0,"",'[1]BASE'!I53)</f>
        <v>5.3</v>
      </c>
      <c r="J53" s="495">
        <f>IF('[1]BASE'!FY53=0,"",'[1]BASE'!FY53)</f>
      </c>
      <c r="K53" s="495">
        <f>IF('[1]BASE'!FZ53=0,"",'[1]BASE'!FZ53)</f>
      </c>
      <c r="L53" s="495">
        <f>IF('[1]BASE'!GA53=0,"",'[1]BASE'!GA53)</f>
      </c>
      <c r="M53" s="495">
        <f>IF('[1]BASE'!GB53=0,"",'[1]BASE'!GB53)</f>
      </c>
      <c r="N53" s="495">
        <f>IF('[1]BASE'!GC53=0,"",'[1]BASE'!GC53)</f>
      </c>
      <c r="O53" s="495">
        <f>IF('[1]BASE'!GD53=0,"",'[1]BASE'!GD53)</f>
      </c>
      <c r="P53" s="495">
        <f>IF('[1]BASE'!GE53=0,"",'[1]BASE'!GE53)</f>
      </c>
      <c r="Q53" s="495">
        <f>IF('[1]BASE'!GF53=0,"",'[1]BASE'!GF53)</f>
        <v>1</v>
      </c>
      <c r="R53" s="495">
        <f>IF('[1]BASE'!GG53=0,"",'[1]BASE'!GG53)</f>
        <v>1</v>
      </c>
      <c r="S53" s="495">
        <f>IF('[1]BASE'!GH53=0,"",'[1]BASE'!GH53)</f>
      </c>
      <c r="T53" s="495">
        <f>IF('[1]BASE'!GI53=0,"",'[1]BASE'!GI53)</f>
      </c>
      <c r="U53" s="495">
        <f>IF('[1]BASE'!GJ53=0,"",'[1]BASE'!GJ53)</f>
      </c>
      <c r="V53" s="497"/>
      <c r="W53" s="491"/>
    </row>
    <row r="54" spans="2:23" s="485" customFormat="1" ht="18" customHeight="1">
      <c r="B54" s="486"/>
      <c r="C54" s="492">
        <f>IF('[1]BASE'!C54=0,"",'[1]BASE'!C54)</f>
        <v>30</v>
      </c>
      <c r="D54" s="493" t="str">
        <f>IF('[1]BASE'!D54=0,"",'[1]BASE'!D54)</f>
        <v>COSTANERA - DOCK SUD 2 </v>
      </c>
      <c r="E54" s="493">
        <f>IF('[1]BASE'!E54=0,"",'[1]BASE'!E54)</f>
        <v>322</v>
      </c>
      <c r="F54" s="494" t="str">
        <f>IF('[1]BASE'!F54=0,"",'[1]BASE'!F54)</f>
        <v>C</v>
      </c>
      <c r="G54" s="494">
        <f>'[1]BASE'!G54</f>
        <v>0</v>
      </c>
      <c r="H54" s="493">
        <f>IF('[1]BASE'!H54=0,"",'[1]BASE'!H54)</f>
        <v>132</v>
      </c>
      <c r="I54" s="494">
        <f>IF('[1]BASE'!I54=0,"",'[1]BASE'!I54)</f>
        <v>5.3</v>
      </c>
      <c r="J54" s="495">
        <f>IF('[1]BASE'!FY54=0,"",'[1]BASE'!FY54)</f>
      </c>
      <c r="K54" s="495">
        <f>IF('[1]BASE'!FZ54=0,"",'[1]BASE'!FZ54)</f>
      </c>
      <c r="L54" s="495">
        <f>IF('[1]BASE'!GA54=0,"",'[1]BASE'!GA54)</f>
      </c>
      <c r="M54" s="495">
        <f>IF('[1]BASE'!GB54=0,"",'[1]BASE'!GB54)</f>
      </c>
      <c r="N54" s="495">
        <f>IF('[1]BASE'!GC54=0,"",'[1]BASE'!GC54)</f>
      </c>
      <c r="O54" s="495">
        <f>IF('[1]BASE'!GD54=0,"",'[1]BASE'!GD54)</f>
      </c>
      <c r="P54" s="495">
        <f>IF('[1]BASE'!GE54=0,"",'[1]BASE'!GE54)</f>
      </c>
      <c r="Q54" s="495">
        <f>IF('[1]BASE'!GF54=0,"",'[1]BASE'!GF54)</f>
      </c>
      <c r="R54" s="495">
        <f>IF('[1]BASE'!GG54=0,"",'[1]BASE'!GG54)</f>
      </c>
      <c r="S54" s="495">
        <f>IF('[1]BASE'!GH54=0,"",'[1]BASE'!GH54)</f>
        <v>1</v>
      </c>
      <c r="T54" s="495">
        <f>IF('[1]BASE'!GI54=0,"",'[1]BASE'!GI54)</f>
      </c>
      <c r="U54" s="495">
        <f>IF('[1]BASE'!GJ54=0,"",'[1]BASE'!GJ54)</f>
      </c>
      <c r="V54" s="497"/>
      <c r="W54" s="491"/>
    </row>
    <row r="55" spans="2:23" s="485" customFormat="1" ht="18" customHeight="1">
      <c r="B55" s="486"/>
      <c r="C55" s="492">
        <f>IF('[1]BASE'!C55=0,"",'[1]BASE'!C55)</f>
        <v>31</v>
      </c>
      <c r="D55" s="493" t="str">
        <f>IF('[1]BASE'!D55=0,"",'[1]BASE'!D55)</f>
        <v>COSTANERA - DOCK SUD 3</v>
      </c>
      <c r="E55" s="493">
        <f>IF('[1]BASE'!E55=0,"",'[1]BASE'!E55)</f>
        <v>323</v>
      </c>
      <c r="F55" s="494" t="str">
        <f>IF('[1]BASE'!F55=0,"",'[1]BASE'!F55)</f>
        <v>C</v>
      </c>
      <c r="G55" s="494">
        <f>'[1]BASE'!G55</f>
        <v>0</v>
      </c>
      <c r="H55" s="493">
        <f>IF('[1]BASE'!H55=0,"",'[1]BASE'!H55)</f>
        <v>132</v>
      </c>
      <c r="I55" s="494">
        <f>IF('[1]BASE'!I55=0,"",'[1]BASE'!I55)</f>
        <v>5.4</v>
      </c>
      <c r="J55" s="495">
        <f>IF('[1]BASE'!FY55=0,"",'[1]BASE'!FY55)</f>
      </c>
      <c r="K55" s="495">
        <f>IF('[1]BASE'!FZ55=0,"",'[1]BASE'!FZ55)</f>
      </c>
      <c r="L55" s="495">
        <f>IF('[1]BASE'!GA55=0,"",'[1]BASE'!GA55)</f>
      </c>
      <c r="M55" s="495">
        <f>IF('[1]BASE'!GB55=0,"",'[1]BASE'!GB55)</f>
      </c>
      <c r="N55" s="495">
        <f>IF('[1]BASE'!GC55=0,"",'[1]BASE'!GC55)</f>
        <v>1</v>
      </c>
      <c r="O55" s="495">
        <f>IF('[1]BASE'!GD55=0,"",'[1]BASE'!GD55)</f>
      </c>
      <c r="P55" s="495">
        <f>IF('[1]BASE'!GE55=0,"",'[1]BASE'!GE55)</f>
      </c>
      <c r="Q55" s="495">
        <f>IF('[1]BASE'!GF55=0,"",'[1]BASE'!GF55)</f>
      </c>
      <c r="R55" s="495">
        <f>IF('[1]BASE'!GG55=0,"",'[1]BASE'!GG55)</f>
      </c>
      <c r="S55" s="495">
        <f>IF('[1]BASE'!GH55=0,"",'[1]BASE'!GH55)</f>
      </c>
      <c r="T55" s="495">
        <f>IF('[1]BASE'!GI55=0,"",'[1]BASE'!GI55)</f>
      </c>
      <c r="U55" s="495">
        <f>IF('[1]BASE'!GJ55=0,"",'[1]BASE'!GJ55)</f>
      </c>
      <c r="V55" s="497"/>
      <c r="W55" s="491"/>
    </row>
    <row r="56" spans="2:23" s="485" customFormat="1" ht="18" customHeight="1">
      <c r="B56" s="486"/>
      <c r="C56" s="492">
        <f>IF('[1]BASE'!C56=0,"",'[1]BASE'!C56)</f>
        <v>32</v>
      </c>
      <c r="D56" s="493" t="str">
        <f>IF('[1]BASE'!D56=0,"",'[1]BASE'!D56)</f>
        <v>COSTANERA - DOCK SUD 4</v>
      </c>
      <c r="E56" s="493">
        <f>IF('[1]BASE'!E56=0,"",'[1]BASE'!E56)</f>
        <v>324</v>
      </c>
      <c r="F56" s="494" t="str">
        <f>IF('[1]BASE'!F56=0,"",'[1]BASE'!F56)</f>
        <v>C</v>
      </c>
      <c r="G56" s="494">
        <f>'[1]BASE'!G56</f>
        <v>0</v>
      </c>
      <c r="H56" s="493">
        <f>IF('[1]BASE'!H56=0,"",'[1]BASE'!H56)</f>
        <v>132</v>
      </c>
      <c r="I56" s="494">
        <f>IF('[1]BASE'!I56=0,"",'[1]BASE'!I56)</f>
        <v>5.4</v>
      </c>
      <c r="J56" s="495">
        <f>IF('[1]BASE'!FY56=0,"",'[1]BASE'!FY56)</f>
      </c>
      <c r="K56" s="495">
        <f>IF('[1]BASE'!FZ56=0,"",'[1]BASE'!FZ56)</f>
      </c>
      <c r="L56" s="495">
        <f>IF('[1]BASE'!GA56=0,"",'[1]BASE'!GA56)</f>
      </c>
      <c r="M56" s="495">
        <f>IF('[1]BASE'!GB56=0,"",'[1]BASE'!GB56)</f>
      </c>
      <c r="N56" s="495">
        <f>IF('[1]BASE'!GC56=0,"",'[1]BASE'!GC56)</f>
      </c>
      <c r="O56" s="495">
        <f>IF('[1]BASE'!GD56=0,"",'[1]BASE'!GD56)</f>
      </c>
      <c r="P56" s="495">
        <f>IF('[1]BASE'!GE56=0,"",'[1]BASE'!GE56)</f>
      </c>
      <c r="Q56" s="495">
        <f>IF('[1]BASE'!GF56=0,"",'[1]BASE'!GF56)</f>
      </c>
      <c r="R56" s="495">
        <f>IF('[1]BASE'!GG56=0,"",'[1]BASE'!GG56)</f>
      </c>
      <c r="S56" s="495">
        <f>IF('[1]BASE'!GH56=0,"",'[1]BASE'!GH56)</f>
      </c>
      <c r="T56" s="495">
        <f>IF('[1]BASE'!GI56=0,"",'[1]BASE'!GI56)</f>
      </c>
      <c r="U56" s="495">
        <f>IF('[1]BASE'!GJ56=0,"",'[1]BASE'!GJ56)</f>
      </c>
      <c r="V56" s="497"/>
      <c r="W56" s="491"/>
    </row>
    <row r="57" spans="2:23" s="485" customFormat="1" ht="18" customHeight="1">
      <c r="B57" s="486"/>
      <c r="C57" s="492">
        <f>IF('[1]BASE'!C57=0,"",'[1]BASE'!C57)</f>
        <v>33</v>
      </c>
      <c r="D57" s="493" t="str">
        <f>IF('[1]BASE'!D57=0,"",'[1]BASE'!D57)</f>
        <v>COSTANERA - PERITO MORENO 1</v>
      </c>
      <c r="E57" s="493">
        <f>IF('[1]BASE'!E57=0,"",'[1]BASE'!E57)</f>
        <v>333</v>
      </c>
      <c r="F57" s="494" t="str">
        <f>IF('[1]BASE'!F57=0,"",'[1]BASE'!F57)</f>
        <v>C</v>
      </c>
      <c r="G57" s="494">
        <f>'[1]BASE'!G57</f>
        <v>0</v>
      </c>
      <c r="H57" s="493">
        <f>IF('[1]BASE'!H57=0,"",'[1]BASE'!H57)</f>
        <v>132</v>
      </c>
      <c r="I57" s="494">
        <f>IF('[1]BASE'!I57=0,"",'[1]BASE'!I57)</f>
        <v>14.9</v>
      </c>
      <c r="J57" s="495">
        <f>IF('[1]BASE'!FY57=0,"",'[1]BASE'!FY57)</f>
        <v>1</v>
      </c>
      <c r="K57" s="495">
        <f>IF('[1]BASE'!FZ57=0,"",'[1]BASE'!FZ57)</f>
      </c>
      <c r="L57" s="495">
        <f>IF('[1]BASE'!GA57=0,"",'[1]BASE'!GA57)</f>
        <v>1</v>
      </c>
      <c r="M57" s="495">
        <f>IF('[1]BASE'!GB57=0,"",'[1]BASE'!GB57)</f>
      </c>
      <c r="N57" s="495">
        <f>IF('[1]BASE'!GC57=0,"",'[1]BASE'!GC57)</f>
      </c>
      <c r="O57" s="495">
        <f>IF('[1]BASE'!GD57=0,"",'[1]BASE'!GD57)</f>
      </c>
      <c r="P57" s="495">
        <f>IF('[1]BASE'!GE57=0,"",'[1]BASE'!GE57)</f>
      </c>
      <c r="Q57" s="495">
        <f>IF('[1]BASE'!GF57=0,"",'[1]BASE'!GF57)</f>
      </c>
      <c r="R57" s="495">
        <f>IF('[1]BASE'!GG57=0,"",'[1]BASE'!GG57)</f>
      </c>
      <c r="S57" s="495">
        <f>IF('[1]BASE'!GH57=0,"",'[1]BASE'!GH57)</f>
      </c>
      <c r="T57" s="495">
        <f>IF('[1]BASE'!GI57=0,"",'[1]BASE'!GI57)</f>
      </c>
      <c r="U57" s="495">
        <f>IF('[1]BASE'!GJ57=0,"",'[1]BASE'!GJ57)</f>
      </c>
      <c r="V57" s="497"/>
      <c r="W57" s="491"/>
    </row>
    <row r="58" spans="2:23" s="485" customFormat="1" ht="18" customHeight="1">
      <c r="B58" s="486"/>
      <c r="C58" s="492">
        <f>IF('[1]BASE'!C58=0,"",'[1]BASE'!C58)</f>
        <v>90</v>
      </c>
      <c r="D58" s="493" t="str">
        <f>IF('[1]BASE'!D58=0,"",'[1]BASE'!D58)</f>
        <v>COSTANERA - PERITO MORENO 2</v>
      </c>
      <c r="E58" s="493">
        <f>IF('[1]BASE'!E58=0,"",'[1]BASE'!E58)</f>
        <v>333</v>
      </c>
      <c r="F58" s="494" t="str">
        <f>IF('[1]BASE'!F58=0,"",'[1]BASE'!F58)</f>
        <v>C</v>
      </c>
      <c r="G58" s="494">
        <f>'[1]BASE'!G58</f>
        <v>0</v>
      </c>
      <c r="H58" s="493">
        <f>IF('[1]BASE'!H58=0,"",'[1]BASE'!H58)</f>
        <v>132</v>
      </c>
      <c r="I58" s="494">
        <f>IF('[1]BASE'!I58=0,"",'[1]BASE'!I58)</f>
        <v>14.9</v>
      </c>
      <c r="J58" s="495">
        <f>IF('[1]BASE'!FY58=0,"",'[1]BASE'!FY58)</f>
      </c>
      <c r="K58" s="495">
        <f>IF('[1]BASE'!FZ58=0,"",'[1]BASE'!FZ58)</f>
      </c>
      <c r="L58" s="495">
        <f>IF('[1]BASE'!GA58=0,"",'[1]BASE'!GA58)</f>
      </c>
      <c r="M58" s="495">
        <f>IF('[1]BASE'!GB58=0,"",'[1]BASE'!GB58)</f>
      </c>
      <c r="N58" s="495">
        <f>IF('[1]BASE'!GC58=0,"",'[1]BASE'!GC58)</f>
      </c>
      <c r="O58" s="495">
        <f>IF('[1]BASE'!GD58=0,"",'[1]BASE'!GD58)</f>
      </c>
      <c r="P58" s="495">
        <f>IF('[1]BASE'!GE58=0,"",'[1]BASE'!GE58)</f>
      </c>
      <c r="Q58" s="495">
        <f>IF('[1]BASE'!GF58=0,"",'[1]BASE'!GF58)</f>
        <v>3</v>
      </c>
      <c r="R58" s="495">
        <f>IF('[1]BASE'!GG58=0,"",'[1]BASE'!GG58)</f>
        <v>1</v>
      </c>
      <c r="S58" s="495">
        <f>IF('[1]BASE'!GH58=0,"",'[1]BASE'!GH58)</f>
      </c>
      <c r="T58" s="495">
        <f>IF('[1]BASE'!GI58=0,"",'[1]BASE'!GI58)</f>
      </c>
      <c r="U58" s="495">
        <f>IF('[1]BASE'!GJ58=0,"",'[1]BASE'!GJ58)</f>
      </c>
      <c r="V58" s="497"/>
      <c r="W58" s="491"/>
    </row>
    <row r="59" spans="2:23" s="485" customFormat="1" ht="18" customHeight="1">
      <c r="B59" s="486"/>
      <c r="C59" s="492">
        <f>IF('[1]BASE'!C59=0,"",'[1]BASE'!C59)</f>
        <v>34</v>
      </c>
      <c r="D59" s="493" t="str">
        <f>IF('[1]BASE'!D59=0,"",'[1]BASE'!D59)</f>
        <v>COSTANERA - CONSTITUCIÓN 2 </v>
      </c>
      <c r="E59" s="493">
        <f>IF('[1]BASE'!E59=0,"",'[1]BASE'!E59)</f>
        <v>334</v>
      </c>
      <c r="F59" s="494" t="str">
        <f>IF('[1]BASE'!F59=0,"",'[1]BASE'!F59)</f>
        <v>C</v>
      </c>
      <c r="G59" s="494">
        <f>'[1]BASE'!G59</f>
        <v>0</v>
      </c>
      <c r="H59" s="493">
        <f>IF('[1]BASE'!H59=0,"",'[1]BASE'!H59)</f>
        <v>132</v>
      </c>
      <c r="I59" s="494">
        <f>IF('[1]BASE'!I59=0,"",'[1]BASE'!I59)</f>
        <v>14.9</v>
      </c>
      <c r="J59" s="495">
        <f>IF('[1]BASE'!FY59=0,"",'[1]BASE'!FY59)</f>
        <v>1</v>
      </c>
      <c r="K59" s="495">
        <f>IF('[1]BASE'!FZ59=0,"",'[1]BASE'!FZ59)</f>
      </c>
      <c r="L59" s="495">
        <f>IF('[1]BASE'!GA59=0,"",'[1]BASE'!GA59)</f>
      </c>
      <c r="M59" s="495">
        <f>IF('[1]BASE'!GB59=0,"",'[1]BASE'!GB59)</f>
      </c>
      <c r="N59" s="495">
        <f>IF('[1]BASE'!GC59=0,"",'[1]BASE'!GC59)</f>
      </c>
      <c r="O59" s="495">
        <f>IF('[1]BASE'!GD59=0,"",'[1]BASE'!GD59)</f>
      </c>
      <c r="P59" s="495">
        <f>IF('[1]BASE'!GE59=0,"",'[1]BASE'!GE59)</f>
      </c>
      <c r="Q59" s="495">
        <f>IF('[1]BASE'!GF59=0,"",'[1]BASE'!GF59)</f>
      </c>
      <c r="R59" s="495">
        <f>IF('[1]BASE'!GG59=0,"",'[1]BASE'!GG59)</f>
      </c>
      <c r="S59" s="495">
        <f>IF('[1]BASE'!GH59=0,"",'[1]BASE'!GH59)</f>
      </c>
      <c r="T59" s="495">
        <f>IF('[1]BASE'!GI59=0,"",'[1]BASE'!GI59)</f>
      </c>
      <c r="U59" s="495">
        <f>IF('[1]BASE'!GJ59=0,"",'[1]BASE'!GJ59)</f>
      </c>
      <c r="V59" s="497"/>
      <c r="W59" s="491"/>
    </row>
    <row r="60" spans="2:23" s="485" customFormat="1" ht="18" customHeight="1">
      <c r="B60" s="486"/>
      <c r="C60" s="492">
        <f>IF('[1]BASE'!C60=0,"",'[1]BASE'!C60)</f>
        <v>35</v>
      </c>
      <c r="D60" s="493" t="str">
        <f>IF('[1]BASE'!D60=0,"",'[1]BASE'!D60)</f>
        <v>COSTANERA - P. PATRICIOS </v>
      </c>
      <c r="E60" s="493">
        <f>IF('[1]BASE'!E60=0,"",'[1]BASE'!E60)</f>
        <v>335</v>
      </c>
      <c r="F60" s="494" t="str">
        <f>IF('[1]BASE'!F60=0,"",'[1]BASE'!F60)</f>
        <v>C</v>
      </c>
      <c r="G60" s="494">
        <f>'[1]BASE'!G60</f>
        <v>0</v>
      </c>
      <c r="H60" s="493">
        <f>IF('[1]BASE'!H60=0,"",'[1]BASE'!H60)</f>
        <v>132</v>
      </c>
      <c r="I60" s="494">
        <f>IF('[1]BASE'!I60=0,"",'[1]BASE'!I60)</f>
        <v>8.5</v>
      </c>
      <c r="J60" s="495">
        <f>IF('[1]BASE'!FY60=0,"",'[1]BASE'!FY60)</f>
      </c>
      <c r="K60" s="495">
        <f>IF('[1]BASE'!FZ60=0,"",'[1]BASE'!FZ60)</f>
      </c>
      <c r="L60" s="495">
        <f>IF('[1]BASE'!GA60=0,"",'[1]BASE'!GA60)</f>
      </c>
      <c r="M60" s="495">
        <f>IF('[1]BASE'!GB60=0,"",'[1]BASE'!GB60)</f>
      </c>
      <c r="N60" s="495">
        <f>IF('[1]BASE'!GC60=0,"",'[1]BASE'!GC60)</f>
      </c>
      <c r="O60" s="495">
        <f>IF('[1]BASE'!GD60=0,"",'[1]BASE'!GD60)</f>
      </c>
      <c r="P60" s="495">
        <f>IF('[1]BASE'!GE60=0,"",'[1]BASE'!GE60)</f>
      </c>
      <c r="Q60" s="495">
        <f>IF('[1]BASE'!GF60=0,"",'[1]BASE'!GF60)</f>
        <v>2</v>
      </c>
      <c r="R60" s="495">
        <f>IF('[1]BASE'!GG60=0,"",'[1]BASE'!GG60)</f>
      </c>
      <c r="S60" s="495">
        <f>IF('[1]BASE'!GH60=0,"",'[1]BASE'!GH60)</f>
      </c>
      <c r="T60" s="495">
        <f>IF('[1]BASE'!GI60=0,"",'[1]BASE'!GI60)</f>
      </c>
      <c r="U60" s="495">
        <f>IF('[1]BASE'!GJ60=0,"",'[1]BASE'!GJ60)</f>
      </c>
      <c r="V60" s="497"/>
      <c r="W60" s="491"/>
    </row>
    <row r="61" spans="2:23" s="485" customFormat="1" ht="18" customHeight="1">
      <c r="B61" s="486"/>
      <c r="C61" s="492">
        <f>IF('[1]BASE'!C61=0,"",'[1]BASE'!C61)</f>
        <v>36</v>
      </c>
      <c r="D61" s="493" t="str">
        <f>IF('[1]BASE'!D61=0,"",'[1]BASE'!D61)</f>
        <v>COSTANERA - GURMENDI 1</v>
      </c>
      <c r="E61" s="493">
        <f>IF('[1]BASE'!E61=0,"",'[1]BASE'!E61)</f>
        <v>338</v>
      </c>
      <c r="F61" s="494" t="str">
        <f>IF('[1]BASE'!F61=0,"",'[1]BASE'!F61)</f>
        <v>C</v>
      </c>
      <c r="G61" s="494">
        <f>'[1]BASE'!G61</f>
        <v>0</v>
      </c>
      <c r="H61" s="493">
        <f>IF('[1]BASE'!H61=0,"",'[1]BASE'!H61)</f>
        <v>132</v>
      </c>
      <c r="I61" s="494">
        <f>IF('[1]BASE'!I61=0,"",'[1]BASE'!I61)</f>
        <v>10</v>
      </c>
      <c r="J61" s="495">
        <f>IF('[1]BASE'!FY61=0,"",'[1]BASE'!FY61)</f>
      </c>
      <c r="K61" s="495">
        <f>IF('[1]BASE'!FZ61=0,"",'[1]BASE'!FZ61)</f>
      </c>
      <c r="L61" s="495">
        <f>IF('[1]BASE'!GA61=0,"",'[1]BASE'!GA61)</f>
      </c>
      <c r="M61" s="495">
        <f>IF('[1]BASE'!GB61=0,"",'[1]BASE'!GB61)</f>
      </c>
      <c r="N61" s="495">
        <f>IF('[1]BASE'!GC61=0,"",'[1]BASE'!GC61)</f>
        <v>1</v>
      </c>
      <c r="O61" s="495">
        <f>IF('[1]BASE'!GD61=0,"",'[1]BASE'!GD61)</f>
      </c>
      <c r="P61" s="495">
        <f>IF('[1]BASE'!GE61=0,"",'[1]BASE'!GE61)</f>
      </c>
      <c r="Q61" s="495">
        <f>IF('[1]BASE'!GF61=0,"",'[1]BASE'!GF61)</f>
      </c>
      <c r="R61" s="495">
        <f>IF('[1]BASE'!GG61=0,"",'[1]BASE'!GG61)</f>
      </c>
      <c r="S61" s="495">
        <f>IF('[1]BASE'!GH61=0,"",'[1]BASE'!GH61)</f>
      </c>
      <c r="T61" s="495">
        <f>IF('[1]BASE'!GI61=0,"",'[1]BASE'!GI61)</f>
      </c>
      <c r="U61" s="495">
        <f>IF('[1]BASE'!GJ61=0,"",'[1]BASE'!GJ61)</f>
      </c>
      <c r="V61" s="497"/>
      <c r="W61" s="491"/>
    </row>
    <row r="62" spans="2:23" s="485" customFormat="1" ht="18" customHeight="1">
      <c r="B62" s="486"/>
      <c r="C62" s="492">
        <f>IF('[1]BASE'!C62=0,"",'[1]BASE'!C62)</f>
        <v>37</v>
      </c>
      <c r="D62" s="493" t="str">
        <f>IF('[1]BASE'!D62=0,"",'[1]BASE'!D62)</f>
        <v>COSTANERA - HERNANDARIAS 2 </v>
      </c>
      <c r="E62" s="493">
        <f>IF('[1]BASE'!E62=0,"",'[1]BASE'!E62)</f>
        <v>339</v>
      </c>
      <c r="F62" s="494" t="str">
        <f>IF('[1]BASE'!F62=0,"",'[1]BASE'!F62)</f>
        <v>C</v>
      </c>
      <c r="G62" s="494">
        <f>'[1]BASE'!G62</f>
        <v>0</v>
      </c>
      <c r="H62" s="493">
        <f>IF('[1]BASE'!H62=0,"",'[1]BASE'!H62)</f>
        <v>132</v>
      </c>
      <c r="I62" s="494">
        <f>IF('[1]BASE'!I62=0,"",'[1]BASE'!I62)</f>
        <v>11</v>
      </c>
      <c r="J62" s="495">
        <f>IF('[1]BASE'!FY62=0,"",'[1]BASE'!FY62)</f>
      </c>
      <c r="K62" s="495">
        <f>IF('[1]BASE'!FZ62=0,"",'[1]BASE'!FZ62)</f>
      </c>
      <c r="L62" s="495">
        <f>IF('[1]BASE'!GA62=0,"",'[1]BASE'!GA62)</f>
      </c>
      <c r="M62" s="495">
        <f>IF('[1]BASE'!GB62=0,"",'[1]BASE'!GB62)</f>
      </c>
      <c r="N62" s="495">
        <f>IF('[1]BASE'!GC62=0,"",'[1]BASE'!GC62)</f>
      </c>
      <c r="O62" s="495">
        <f>IF('[1]BASE'!GD62=0,"",'[1]BASE'!GD62)</f>
      </c>
      <c r="P62" s="495">
        <f>IF('[1]BASE'!GE62=0,"",'[1]BASE'!GE62)</f>
      </c>
      <c r="Q62" s="495">
        <f>IF('[1]BASE'!GF62=0,"",'[1]BASE'!GF62)</f>
      </c>
      <c r="R62" s="495">
        <f>IF('[1]BASE'!GG62=0,"",'[1]BASE'!GG62)</f>
      </c>
      <c r="S62" s="495">
        <f>IF('[1]BASE'!GH62=0,"",'[1]BASE'!GH62)</f>
      </c>
      <c r="T62" s="495">
        <f>IF('[1]BASE'!GI62=0,"",'[1]BASE'!GI62)</f>
      </c>
      <c r="U62" s="495">
        <f>IF('[1]BASE'!GJ62=0,"",'[1]BASE'!GJ62)</f>
      </c>
      <c r="V62" s="497"/>
      <c r="W62" s="491"/>
    </row>
    <row r="63" spans="2:23" s="485" customFormat="1" ht="18" customHeight="1">
      <c r="B63" s="486"/>
      <c r="C63" s="492">
        <f>IF('[1]BASE'!C63=0,"",'[1]BASE'!C63)</f>
        <v>73</v>
      </c>
      <c r="D63" s="493" t="str">
        <f>IF('[1]BASE'!D63=0,"",'[1]BASE'!D63)</f>
        <v>AZOPARDO - COSTANERA 1</v>
      </c>
      <c r="E63" s="493">
        <f>IF('[1]BASE'!E63=0,"",'[1]BASE'!E63)</f>
        <v>341</v>
      </c>
      <c r="F63" s="494" t="str">
        <f>IF('[1]BASE'!F63=0,"",'[1]BASE'!F63)</f>
        <v>C</v>
      </c>
      <c r="G63" s="494">
        <f>'[1]BASE'!G63</f>
        <v>0</v>
      </c>
      <c r="H63" s="493">
        <f>IF('[1]BASE'!H63=0,"",'[1]BASE'!H63)</f>
        <v>132</v>
      </c>
      <c r="I63" s="494">
        <f>IF('[1]BASE'!I63=0,"",'[1]BASE'!I63)</f>
        <v>3.6</v>
      </c>
      <c r="J63" s="495">
        <f>IF('[1]BASE'!FY63=0,"",'[1]BASE'!FY63)</f>
      </c>
      <c r="K63" s="495">
        <f>IF('[1]BASE'!FZ63=0,"",'[1]BASE'!FZ63)</f>
      </c>
      <c r="L63" s="495">
        <f>IF('[1]BASE'!GA63=0,"",'[1]BASE'!GA63)</f>
      </c>
      <c r="M63" s="495">
        <f>IF('[1]BASE'!GB63=0,"",'[1]BASE'!GB63)</f>
      </c>
      <c r="N63" s="495">
        <f>IF('[1]BASE'!GC63=0,"",'[1]BASE'!GC63)</f>
      </c>
      <c r="O63" s="495">
        <f>IF('[1]BASE'!GD63=0,"",'[1]BASE'!GD63)</f>
      </c>
      <c r="P63" s="495">
        <f>IF('[1]BASE'!GE63=0,"",'[1]BASE'!GE63)</f>
      </c>
      <c r="Q63" s="495">
        <f>IF('[1]BASE'!GF63=0,"",'[1]BASE'!GF63)</f>
      </c>
      <c r="R63" s="495">
        <f>IF('[1]BASE'!GG63=0,"",'[1]BASE'!GG63)</f>
      </c>
      <c r="S63" s="495">
        <f>IF('[1]BASE'!GH63=0,"",'[1]BASE'!GH63)</f>
      </c>
      <c r="T63" s="495">
        <f>IF('[1]BASE'!GI63=0,"",'[1]BASE'!GI63)</f>
      </c>
      <c r="U63" s="495">
        <f>IF('[1]BASE'!GJ63=0,"",'[1]BASE'!GJ63)</f>
      </c>
      <c r="V63" s="497"/>
      <c r="W63" s="491"/>
    </row>
    <row r="64" spans="2:23" s="485" customFormat="1" ht="18" customHeight="1">
      <c r="B64" s="486"/>
      <c r="C64" s="492">
        <f>IF('[1]BASE'!C64=0,"",'[1]BASE'!C64)</f>
        <v>82</v>
      </c>
      <c r="D64" s="493" t="str">
        <f>IF('[1]BASE'!D64=0,"",'[1]BASE'!D64)</f>
        <v>AZOPARDO - COSTANERA 2</v>
      </c>
      <c r="E64" s="493">
        <f>IF('[1]BASE'!E64=0,"",'[1]BASE'!E64)</f>
        <v>342</v>
      </c>
      <c r="F64" s="494" t="str">
        <f>IF('[1]BASE'!F64=0,"",'[1]BASE'!F64)</f>
        <v>C</v>
      </c>
      <c r="G64" s="494">
        <f>'[1]BASE'!G64</f>
        <v>0</v>
      </c>
      <c r="H64" s="493">
        <f>IF('[1]BASE'!H64=0,"",'[1]BASE'!H64)</f>
        <v>132</v>
      </c>
      <c r="I64" s="494">
        <f>IF('[1]BASE'!I64=0,"",'[1]BASE'!I64)</f>
        <v>3.6</v>
      </c>
      <c r="J64" s="495">
        <f>IF('[1]BASE'!FY64=0,"",'[1]BASE'!FY64)</f>
      </c>
      <c r="K64" s="495">
        <f>IF('[1]BASE'!FZ64=0,"",'[1]BASE'!FZ64)</f>
      </c>
      <c r="L64" s="495">
        <f>IF('[1]BASE'!GA64=0,"",'[1]BASE'!GA64)</f>
      </c>
      <c r="M64" s="495">
        <f>IF('[1]BASE'!GB64=0,"",'[1]BASE'!GB64)</f>
      </c>
      <c r="N64" s="495">
        <f>IF('[1]BASE'!GC64=0,"",'[1]BASE'!GC64)</f>
      </c>
      <c r="O64" s="495">
        <f>IF('[1]BASE'!GD64=0,"",'[1]BASE'!GD64)</f>
      </c>
      <c r="P64" s="495">
        <f>IF('[1]BASE'!GE64=0,"",'[1]BASE'!GE64)</f>
      </c>
      <c r="Q64" s="495">
        <f>IF('[1]BASE'!GF64=0,"",'[1]BASE'!GF64)</f>
      </c>
      <c r="R64" s="495">
        <f>IF('[1]BASE'!GG64=0,"",'[1]BASE'!GG64)</f>
        <v>1</v>
      </c>
      <c r="S64" s="495">
        <f>IF('[1]BASE'!GH64=0,"",'[1]BASE'!GH64)</f>
      </c>
      <c r="T64" s="495">
        <f>IF('[1]BASE'!GI64=0,"",'[1]BASE'!GI64)</f>
      </c>
      <c r="U64" s="495">
        <f>IF('[1]BASE'!GJ64=0,"",'[1]BASE'!GJ64)</f>
      </c>
      <c r="V64" s="497"/>
      <c r="W64" s="491"/>
    </row>
    <row r="65" spans="2:23" s="485" customFormat="1" ht="18" customHeight="1">
      <c r="B65" s="486"/>
      <c r="C65" s="492">
        <f>IF('[1]BASE'!C65=0,"",'[1]BASE'!C65)</f>
        <v>83</v>
      </c>
      <c r="D65" s="493" t="str">
        <f>IF('[1]BASE'!D65=0,"",'[1]BASE'!D65)</f>
        <v>AZOPARDO - COSTANERA 3</v>
      </c>
      <c r="E65" s="493">
        <f>IF('[1]BASE'!E65=0,"",'[1]BASE'!E65)</f>
        <v>343</v>
      </c>
      <c r="F65" s="494" t="str">
        <f>IF('[1]BASE'!F65=0,"",'[1]BASE'!F65)</f>
        <v>C</v>
      </c>
      <c r="G65" s="494">
        <f>'[1]BASE'!G65</f>
        <v>0</v>
      </c>
      <c r="H65" s="493">
        <f>IF('[1]BASE'!H65=0,"",'[1]BASE'!H65)</f>
        <v>132</v>
      </c>
      <c r="I65" s="494">
        <f>IF('[1]BASE'!I65=0,"",'[1]BASE'!I65)</f>
        <v>3.6</v>
      </c>
      <c r="J65" s="495">
        <f>IF('[1]BASE'!FY65=0,"",'[1]BASE'!FY65)</f>
      </c>
      <c r="K65" s="495">
        <f>IF('[1]BASE'!FZ65=0,"",'[1]BASE'!FZ65)</f>
      </c>
      <c r="L65" s="495">
        <f>IF('[1]BASE'!GA65=0,"",'[1]BASE'!GA65)</f>
      </c>
      <c r="M65" s="495">
        <f>IF('[1]BASE'!GB65=0,"",'[1]BASE'!GB65)</f>
      </c>
      <c r="N65" s="495">
        <f>IF('[1]BASE'!GC65=0,"",'[1]BASE'!GC65)</f>
      </c>
      <c r="O65" s="495">
        <f>IF('[1]BASE'!GD65=0,"",'[1]BASE'!GD65)</f>
      </c>
      <c r="P65" s="495">
        <f>IF('[1]BASE'!GE65=0,"",'[1]BASE'!GE65)</f>
      </c>
      <c r="Q65" s="495">
        <f>IF('[1]BASE'!GF65=0,"",'[1]BASE'!GF65)</f>
      </c>
      <c r="R65" s="495">
        <f>IF('[1]BASE'!GG65=0,"",'[1]BASE'!GG65)</f>
      </c>
      <c r="S65" s="495">
        <f>IF('[1]BASE'!GH65=0,"",'[1]BASE'!GH65)</f>
      </c>
      <c r="T65" s="495">
        <f>IF('[1]BASE'!GI65=0,"",'[1]BASE'!GI65)</f>
      </c>
      <c r="U65" s="495">
        <f>IF('[1]BASE'!GJ65=0,"",'[1]BASE'!GJ65)</f>
      </c>
      <c r="V65" s="497"/>
      <c r="W65" s="491"/>
    </row>
    <row r="66" spans="2:23" s="485" customFormat="1" ht="18" customHeight="1">
      <c r="B66" s="486"/>
      <c r="C66" s="492">
        <f>IF('[1]BASE'!C66=0,"",'[1]BASE'!C66)</f>
        <v>84</v>
      </c>
      <c r="D66" s="493" t="str">
        <f>IF('[1]BASE'!D66=0,"",'[1]BASE'!D66)</f>
        <v>AZOPARDO - COSTANERA</v>
      </c>
      <c r="E66" s="493">
        <f>IF('[1]BASE'!E66=0,"",'[1]BASE'!E66)</f>
        <v>351</v>
      </c>
      <c r="F66" s="494" t="str">
        <f>IF('[1]BASE'!F66=0,"",'[1]BASE'!F66)</f>
        <v>C</v>
      </c>
      <c r="G66" s="494">
        <f>'[1]BASE'!G66</f>
        <v>0</v>
      </c>
      <c r="H66" s="493">
        <f>IF('[1]BASE'!H66=0,"",'[1]BASE'!H66)</f>
        <v>132</v>
      </c>
      <c r="I66" s="494">
        <f>IF('[1]BASE'!I66=0,"",'[1]BASE'!I66)</f>
        <v>4.2</v>
      </c>
      <c r="J66" s="495">
        <f>IF('[1]BASE'!FY66=0,"",'[1]BASE'!FY66)</f>
      </c>
      <c r="K66" s="495">
        <f>IF('[1]BASE'!FZ66=0,"",'[1]BASE'!FZ66)</f>
      </c>
      <c r="L66" s="495">
        <f>IF('[1]BASE'!GA66=0,"",'[1]BASE'!GA66)</f>
      </c>
      <c r="M66" s="495">
        <f>IF('[1]BASE'!GB66=0,"",'[1]BASE'!GB66)</f>
      </c>
      <c r="N66" s="495">
        <f>IF('[1]BASE'!GC66=0,"",'[1]BASE'!GC66)</f>
      </c>
      <c r="O66" s="495">
        <f>IF('[1]BASE'!GD66=0,"",'[1]BASE'!GD66)</f>
      </c>
      <c r="P66" s="495">
        <f>IF('[1]BASE'!GE66=0,"",'[1]BASE'!GE66)</f>
      </c>
      <c r="Q66" s="495">
        <f>IF('[1]BASE'!GF66=0,"",'[1]BASE'!GF66)</f>
      </c>
      <c r="R66" s="495">
        <f>IF('[1]BASE'!GG66=0,"",'[1]BASE'!GG66)</f>
      </c>
      <c r="S66" s="495">
        <f>IF('[1]BASE'!GH66=0,"",'[1]BASE'!GH66)</f>
      </c>
      <c r="T66" s="495">
        <f>IF('[1]BASE'!GI66=0,"",'[1]BASE'!GI66)</f>
      </c>
      <c r="U66" s="495">
        <f>IF('[1]BASE'!GJ66=0,"",'[1]BASE'!GJ66)</f>
      </c>
      <c r="V66" s="497"/>
      <c r="W66" s="491"/>
    </row>
    <row r="67" spans="2:23" s="485" customFormat="1" ht="18" customHeight="1">
      <c r="B67" s="486"/>
      <c r="C67" s="492">
        <f>IF('[1]BASE'!C67=0,"",'[1]BASE'!C67)</f>
        <v>85</v>
      </c>
      <c r="D67" s="493" t="str">
        <f>IF('[1]BASE'!D67=0,"",'[1]BASE'!D67)</f>
        <v>AZOPARDO - COSTANERA</v>
      </c>
      <c r="E67" s="493">
        <f>IF('[1]BASE'!E67=0,"",'[1]BASE'!E67)</f>
        <v>352</v>
      </c>
      <c r="F67" s="494" t="str">
        <f>IF('[1]BASE'!F67=0,"",'[1]BASE'!F67)</f>
        <v>C</v>
      </c>
      <c r="G67" s="494">
        <f>'[1]BASE'!G67</f>
        <v>0</v>
      </c>
      <c r="H67" s="493">
        <f>IF('[1]BASE'!H67=0,"",'[1]BASE'!H67)</f>
        <v>132</v>
      </c>
      <c r="I67" s="494">
        <f>IF('[1]BASE'!I67=0,"",'[1]BASE'!I67)</f>
        <v>4.2</v>
      </c>
      <c r="J67" s="495">
        <f>IF('[1]BASE'!FY67=0,"",'[1]BASE'!FY67)</f>
      </c>
      <c r="K67" s="495">
        <f>IF('[1]BASE'!FZ67=0,"",'[1]BASE'!FZ67)</f>
      </c>
      <c r="L67" s="495">
        <f>IF('[1]BASE'!GA67=0,"",'[1]BASE'!GA67)</f>
      </c>
      <c r="M67" s="495">
        <f>IF('[1]BASE'!GB67=0,"",'[1]BASE'!GB67)</f>
      </c>
      <c r="N67" s="495">
        <f>IF('[1]BASE'!GC67=0,"",'[1]BASE'!GC67)</f>
      </c>
      <c r="O67" s="495">
        <f>IF('[1]BASE'!GD67=0,"",'[1]BASE'!GD67)</f>
      </c>
      <c r="P67" s="495">
        <f>IF('[1]BASE'!GE67=0,"",'[1]BASE'!GE67)</f>
      </c>
      <c r="Q67" s="495">
        <f>IF('[1]BASE'!GF67=0,"",'[1]BASE'!GF67)</f>
      </c>
      <c r="R67" s="495">
        <f>IF('[1]BASE'!GG67=0,"",'[1]BASE'!GG67)</f>
      </c>
      <c r="S67" s="495">
        <f>IF('[1]BASE'!GH67=0,"",'[1]BASE'!GH67)</f>
      </c>
      <c r="T67" s="495">
        <f>IF('[1]BASE'!GI67=0,"",'[1]BASE'!GI67)</f>
      </c>
      <c r="U67" s="495">
        <f>IF('[1]BASE'!GJ67=0,"",'[1]BASE'!GJ67)</f>
      </c>
      <c r="V67" s="497"/>
      <c r="W67" s="491"/>
    </row>
    <row r="68" spans="2:23" s="485" customFormat="1" ht="18" customHeight="1">
      <c r="B68" s="486"/>
      <c r="C68" s="492">
        <f>IF('[1]BASE'!C68=0,"",'[1]BASE'!C68)</f>
        <v>78</v>
      </c>
      <c r="D68" s="493" t="str">
        <f>IF('[1]BASE'!D68=0,"",'[1]BASE'!D68)</f>
        <v>PERITO MORENO - LURO GBA 2</v>
      </c>
      <c r="E68" s="493">
        <f>IF('[1]BASE'!E68=0,"",'[1]BASE'!E68)</f>
        <v>412</v>
      </c>
      <c r="F68" s="494" t="str">
        <f>IF('[1]BASE'!F68=0,"",'[1]BASE'!F68)</f>
        <v>C</v>
      </c>
      <c r="G68" s="494">
        <f>'[1]BASE'!G68</f>
        <v>0</v>
      </c>
      <c r="H68" s="493">
        <f>IF('[1]BASE'!H68=0,"",'[1]BASE'!H68)</f>
        <v>132</v>
      </c>
      <c r="I68" s="494">
        <f>IF('[1]BASE'!I68=0,"",'[1]BASE'!I68)</f>
        <v>5.3</v>
      </c>
      <c r="J68" s="495">
        <f>IF('[1]BASE'!FY68=0,"",'[1]BASE'!FY68)</f>
      </c>
      <c r="K68" s="495">
        <f>IF('[1]BASE'!FZ68=0,"",'[1]BASE'!FZ68)</f>
      </c>
      <c r="L68" s="495">
        <f>IF('[1]BASE'!GA68=0,"",'[1]BASE'!GA68)</f>
      </c>
      <c r="M68" s="495">
        <f>IF('[1]BASE'!GB68=0,"",'[1]BASE'!GB68)</f>
      </c>
      <c r="N68" s="495">
        <f>IF('[1]BASE'!GC68=0,"",'[1]BASE'!GC68)</f>
      </c>
      <c r="O68" s="495">
        <f>IF('[1]BASE'!GD68=0,"",'[1]BASE'!GD68)</f>
      </c>
      <c r="P68" s="495">
        <f>IF('[1]BASE'!GE68=0,"",'[1]BASE'!GE68)</f>
      </c>
      <c r="Q68" s="495">
        <f>IF('[1]BASE'!GF68=0,"",'[1]BASE'!GF68)</f>
      </c>
      <c r="R68" s="495">
        <f>IF('[1]BASE'!GG68=0,"",'[1]BASE'!GG68)</f>
      </c>
      <c r="S68" s="495">
        <f>IF('[1]BASE'!GH68=0,"",'[1]BASE'!GH68)</f>
      </c>
      <c r="T68" s="495">
        <f>IF('[1]BASE'!GI68=0,"",'[1]BASE'!GI68)</f>
      </c>
      <c r="U68" s="495">
        <f>IF('[1]BASE'!GJ68=0,"",'[1]BASE'!GJ68)</f>
      </c>
      <c r="V68" s="497"/>
      <c r="W68" s="491"/>
    </row>
    <row r="69" spans="2:23" s="485" customFormat="1" ht="18" customHeight="1">
      <c r="B69" s="486"/>
      <c r="C69" s="492">
        <f>IF('[1]BASE'!C69=0,"",'[1]BASE'!C69)</f>
        <v>91</v>
      </c>
      <c r="D69" s="493" t="str">
        <f>IF('[1]BASE'!D69=0,"",'[1]BASE'!D69)</f>
        <v>PERITO MORENO - LURO GBA 1</v>
      </c>
      <c r="E69" s="493">
        <f>IF('[1]BASE'!E69=0,"",'[1]BASE'!E69)</f>
        <v>411</v>
      </c>
      <c r="F69" s="494" t="str">
        <f>IF('[1]BASE'!F69=0,"",'[1]BASE'!F69)</f>
        <v>C</v>
      </c>
      <c r="G69" s="494">
        <f>'[1]BASE'!G69</f>
        <v>0</v>
      </c>
      <c r="H69" s="493">
        <f>IF('[1]BASE'!H69=0,"",'[1]BASE'!H69)</f>
        <v>132</v>
      </c>
      <c r="I69" s="494">
        <f>IF('[1]BASE'!I69=0,"",'[1]BASE'!I69)</f>
        <v>5.3</v>
      </c>
      <c r="J69" s="495">
        <f>IF('[1]BASE'!FY69=0,"",'[1]BASE'!FY69)</f>
      </c>
      <c r="K69" s="495">
        <f>IF('[1]BASE'!FZ69=0,"",'[1]BASE'!FZ69)</f>
      </c>
      <c r="L69" s="495">
        <f>IF('[1]BASE'!GA69=0,"",'[1]BASE'!GA69)</f>
      </c>
      <c r="M69" s="495">
        <f>IF('[1]BASE'!GB69=0,"",'[1]BASE'!GB69)</f>
      </c>
      <c r="N69" s="495">
        <f>IF('[1]BASE'!GC69=0,"",'[1]BASE'!GC69)</f>
      </c>
      <c r="O69" s="495">
        <f>IF('[1]BASE'!GD69=0,"",'[1]BASE'!GD69)</f>
      </c>
      <c r="P69" s="495">
        <f>IF('[1]BASE'!GE69=0,"",'[1]BASE'!GE69)</f>
      </c>
      <c r="Q69" s="495">
        <f>IF('[1]BASE'!GF69=0,"",'[1]BASE'!GF69)</f>
      </c>
      <c r="R69" s="495">
        <f>IF('[1]BASE'!GG69=0,"",'[1]BASE'!GG69)</f>
      </c>
      <c r="S69" s="495">
        <f>IF('[1]BASE'!GH69=0,"",'[1]BASE'!GH69)</f>
      </c>
      <c r="T69" s="495">
        <f>IF('[1]BASE'!GI69=0,"",'[1]BASE'!GI69)</f>
      </c>
      <c r="U69" s="495">
        <f>IF('[1]BASE'!GJ69=0,"",'[1]BASE'!GJ69)</f>
      </c>
      <c r="V69" s="497"/>
      <c r="W69" s="491"/>
    </row>
    <row r="70" spans="2:23" s="485" customFormat="1" ht="18" customHeight="1">
      <c r="B70" s="486"/>
      <c r="C70" s="492">
        <f>IF('[1]BASE'!C70=0,"",'[1]BASE'!C70)</f>
        <v>38</v>
      </c>
      <c r="D70" s="493" t="str">
        <f>IF('[1]BASE'!D70=0,"",'[1]BASE'!D70)</f>
        <v>CENTENARIO COLEGIALES</v>
      </c>
      <c r="E70" s="493">
        <f>IF('[1]BASE'!E70=0,"",'[1]BASE'!E70)</f>
        <v>433</v>
      </c>
      <c r="F70" s="494" t="str">
        <f>IF('[1]BASE'!F70=0,"",'[1]BASE'!F70)</f>
        <v>C</v>
      </c>
      <c r="G70" s="494">
        <f>'[1]BASE'!G70</f>
        <v>0</v>
      </c>
      <c r="H70" s="493">
        <f>IF('[1]BASE'!H70=0,"",'[1]BASE'!H70)</f>
        <v>132</v>
      </c>
      <c r="I70" s="494">
        <f>IF('[1]BASE'!I70=0,"",'[1]BASE'!I70)</f>
        <v>4.8</v>
      </c>
      <c r="J70" s="495">
        <f>IF('[1]BASE'!FY70=0,"",'[1]BASE'!FY70)</f>
      </c>
      <c r="K70" s="495">
        <f>IF('[1]BASE'!FZ70=0,"",'[1]BASE'!FZ70)</f>
      </c>
      <c r="L70" s="495">
        <f>IF('[1]BASE'!GA70=0,"",'[1]BASE'!GA70)</f>
      </c>
      <c r="M70" s="495">
        <f>IF('[1]BASE'!GB70=0,"",'[1]BASE'!GB70)</f>
      </c>
      <c r="N70" s="495">
        <f>IF('[1]BASE'!GC70=0,"",'[1]BASE'!GC70)</f>
      </c>
      <c r="O70" s="495">
        <f>IF('[1]BASE'!GD70=0,"",'[1]BASE'!GD70)</f>
      </c>
      <c r="P70" s="495">
        <f>IF('[1]BASE'!GE70=0,"",'[1]BASE'!GE70)</f>
      </c>
      <c r="Q70" s="495">
        <f>IF('[1]BASE'!GF70=0,"",'[1]BASE'!GF70)</f>
      </c>
      <c r="R70" s="495">
        <f>IF('[1]BASE'!GG70=0,"",'[1]BASE'!GG70)</f>
      </c>
      <c r="S70" s="495">
        <f>IF('[1]BASE'!GH70=0,"",'[1]BASE'!GH70)</f>
      </c>
      <c r="T70" s="495">
        <f>IF('[1]BASE'!GI70=0,"",'[1]BASE'!GI70)</f>
      </c>
      <c r="U70" s="495">
        <f>IF('[1]BASE'!GJ70=0,"",'[1]BASE'!GJ70)</f>
      </c>
      <c r="V70" s="497"/>
      <c r="W70" s="491"/>
    </row>
    <row r="71" spans="2:23" s="485" customFormat="1" ht="18" customHeight="1">
      <c r="B71" s="486"/>
      <c r="C71" s="492">
        <f>IF('[1]BASE'!C71=0,"",'[1]BASE'!C71)</f>
        <v>39</v>
      </c>
      <c r="D71" s="493" t="str">
        <f>IF('[1]BASE'!D71=0,"",'[1]BASE'!D71)</f>
        <v>CENTENARIO COLEGIALES</v>
      </c>
      <c r="E71" s="493">
        <f>IF('[1]BASE'!E71=0,"",'[1]BASE'!E71)</f>
        <v>434</v>
      </c>
      <c r="F71" s="494" t="str">
        <f>IF('[1]BASE'!F71=0,"",'[1]BASE'!F71)</f>
        <v>C</v>
      </c>
      <c r="G71" s="494">
        <f>'[1]BASE'!G71</f>
        <v>0</v>
      </c>
      <c r="H71" s="493">
        <f>IF('[1]BASE'!H71=0,"",'[1]BASE'!H71)</f>
        <v>132</v>
      </c>
      <c r="I71" s="494">
        <f>IF('[1]BASE'!I71=0,"",'[1]BASE'!I71)</f>
        <v>4.9</v>
      </c>
      <c r="J71" s="495">
        <f>IF('[1]BASE'!FY71=0,"",'[1]BASE'!FY71)</f>
      </c>
      <c r="K71" s="495">
        <f>IF('[1]BASE'!FZ71=0,"",'[1]BASE'!FZ71)</f>
      </c>
      <c r="L71" s="495">
        <f>IF('[1]BASE'!GA71=0,"",'[1]BASE'!GA71)</f>
      </c>
      <c r="M71" s="495">
        <f>IF('[1]BASE'!GB71=0,"",'[1]BASE'!GB71)</f>
      </c>
      <c r="N71" s="495">
        <f>IF('[1]BASE'!GC71=0,"",'[1]BASE'!GC71)</f>
        <v>1</v>
      </c>
      <c r="O71" s="495">
        <f>IF('[1]BASE'!GD71=0,"",'[1]BASE'!GD71)</f>
      </c>
      <c r="P71" s="495">
        <f>IF('[1]BASE'!GE71=0,"",'[1]BASE'!GE71)</f>
      </c>
      <c r="Q71" s="495">
        <f>IF('[1]BASE'!GF71=0,"",'[1]BASE'!GF71)</f>
      </c>
      <c r="R71" s="495">
        <f>IF('[1]BASE'!GG71=0,"",'[1]BASE'!GG71)</f>
      </c>
      <c r="S71" s="495">
        <f>IF('[1]BASE'!GH71=0,"",'[1]BASE'!GH71)</f>
      </c>
      <c r="T71" s="495">
        <f>IF('[1]BASE'!GI71=0,"",'[1]BASE'!GI71)</f>
      </c>
      <c r="U71" s="495">
        <f>IF('[1]BASE'!GJ71=0,"",'[1]BASE'!GJ71)</f>
      </c>
      <c r="V71" s="497"/>
      <c r="W71" s="491"/>
    </row>
    <row r="72" spans="2:23" s="485" customFormat="1" ht="18" customHeight="1">
      <c r="B72" s="486"/>
      <c r="C72" s="492">
        <f>IF('[1]BASE'!C72=0,"",'[1]BASE'!C72)</f>
        <v>40</v>
      </c>
      <c r="D72" s="493" t="str">
        <f>IF('[1]BASE'!D72=0,"",'[1]BASE'!D72)</f>
        <v>PERITO MORENO - POMPEYA </v>
      </c>
      <c r="E72" s="493">
        <f>IF('[1]BASE'!E72=0,"",'[1]BASE'!E72)</f>
        <v>441</v>
      </c>
      <c r="F72" s="494" t="str">
        <f>IF('[1]BASE'!F72=0,"",'[1]BASE'!F72)</f>
        <v>C</v>
      </c>
      <c r="G72" s="494">
        <f>'[1]BASE'!G72</f>
        <v>0</v>
      </c>
      <c r="H72" s="493">
        <f>IF('[1]BASE'!H72=0,"",'[1]BASE'!H72)</f>
        <v>132</v>
      </c>
      <c r="I72" s="494">
        <f>IF('[1]BASE'!I72=0,"",'[1]BASE'!I72)</f>
        <v>4.7</v>
      </c>
      <c r="J72" s="495">
        <f>IF('[1]BASE'!FY72=0,"",'[1]BASE'!FY72)</f>
      </c>
      <c r="K72" s="495">
        <f>IF('[1]BASE'!FZ72=0,"",'[1]BASE'!FZ72)</f>
      </c>
      <c r="L72" s="495">
        <f>IF('[1]BASE'!GA72=0,"",'[1]BASE'!GA72)</f>
      </c>
      <c r="M72" s="495">
        <f>IF('[1]BASE'!GB72=0,"",'[1]BASE'!GB72)</f>
      </c>
      <c r="N72" s="495">
        <f>IF('[1]BASE'!GC72=0,"",'[1]BASE'!GC72)</f>
      </c>
      <c r="O72" s="495">
        <f>IF('[1]BASE'!GD72=0,"",'[1]BASE'!GD72)</f>
      </c>
      <c r="P72" s="495">
        <f>IF('[1]BASE'!GE72=0,"",'[1]BASE'!GE72)</f>
        <v>1</v>
      </c>
      <c r="Q72" s="495">
        <f>IF('[1]BASE'!GF72=0,"",'[1]BASE'!GF72)</f>
      </c>
      <c r="R72" s="495">
        <f>IF('[1]BASE'!GG72=0,"",'[1]BASE'!GG72)</f>
      </c>
      <c r="S72" s="495">
        <f>IF('[1]BASE'!GH72=0,"",'[1]BASE'!GH72)</f>
      </c>
      <c r="T72" s="495">
        <f>IF('[1]BASE'!GI72=0,"",'[1]BASE'!GI72)</f>
      </c>
      <c r="U72" s="495">
        <f>IF('[1]BASE'!GJ72=0,"",'[1]BASE'!GJ72)</f>
      </c>
      <c r="V72" s="497"/>
      <c r="W72" s="491"/>
    </row>
    <row r="73" spans="2:23" s="485" customFormat="1" ht="18" customHeight="1">
      <c r="B73" s="486"/>
      <c r="C73" s="492">
        <f>IF('[1]BASE'!C73=0,"",'[1]BASE'!C73)</f>
        <v>41</v>
      </c>
      <c r="D73" s="493" t="str">
        <f>IF('[1]BASE'!D73=0,"",'[1]BASE'!D73)</f>
        <v>POMPEYA - P. PATRICIOS </v>
      </c>
      <c r="E73" s="493">
        <f>IF('[1]BASE'!E73=0,"",'[1]BASE'!E73)</f>
        <v>442</v>
      </c>
      <c r="F73" s="494" t="str">
        <f>IF('[1]BASE'!F73=0,"",'[1]BASE'!F73)</f>
        <v>C</v>
      </c>
      <c r="G73" s="494">
        <f>'[1]BASE'!G73</f>
        <v>0</v>
      </c>
      <c r="H73" s="493">
        <f>IF('[1]BASE'!H73=0,"",'[1]BASE'!H73)</f>
        <v>132</v>
      </c>
      <c r="I73" s="494">
        <f>IF('[1]BASE'!I73=0,"",'[1]BASE'!I73)</f>
        <v>3.9</v>
      </c>
      <c r="J73" s="495">
        <f>IF('[1]BASE'!FY73=0,"",'[1]BASE'!FY73)</f>
      </c>
      <c r="K73" s="495">
        <f>IF('[1]BASE'!FZ73=0,"",'[1]BASE'!FZ73)</f>
      </c>
      <c r="L73" s="495">
        <f>IF('[1]BASE'!GA73=0,"",'[1]BASE'!GA73)</f>
      </c>
      <c r="M73" s="495">
        <f>IF('[1]BASE'!GB73=0,"",'[1]BASE'!GB73)</f>
      </c>
      <c r="N73" s="495">
        <f>IF('[1]BASE'!GC73=0,"",'[1]BASE'!GC73)</f>
      </c>
      <c r="O73" s="495">
        <f>IF('[1]BASE'!GD73=0,"",'[1]BASE'!GD73)</f>
      </c>
      <c r="P73" s="495">
        <f>IF('[1]BASE'!GE73=0,"",'[1]BASE'!GE73)</f>
      </c>
      <c r="Q73" s="495">
        <f>IF('[1]BASE'!GF73=0,"",'[1]BASE'!GF73)</f>
      </c>
      <c r="R73" s="495">
        <f>IF('[1]BASE'!GG73=0,"",'[1]BASE'!GG73)</f>
        <v>1</v>
      </c>
      <c r="S73" s="495">
        <f>IF('[1]BASE'!GH73=0,"",'[1]BASE'!GH73)</f>
      </c>
      <c r="T73" s="495">
        <f>IF('[1]BASE'!GI73=0,"",'[1]BASE'!GI73)</f>
      </c>
      <c r="U73" s="495">
        <f>IF('[1]BASE'!GJ73=0,"",'[1]BASE'!GJ73)</f>
      </c>
      <c r="V73" s="497"/>
      <c r="W73" s="491"/>
    </row>
    <row r="74" spans="2:23" s="485" customFormat="1" ht="18" customHeight="1">
      <c r="B74" s="486"/>
      <c r="C74" s="492">
        <f>IF('[1]BASE'!C74=0,"",'[1]BASE'!C74)</f>
        <v>42</v>
      </c>
      <c r="D74" s="493" t="str">
        <f>IF('[1]BASE'!D74=0,"",'[1]BASE'!D74)</f>
        <v>PERITO MORENO - CABALLITO 1 </v>
      </c>
      <c r="E74" s="493">
        <f>IF('[1]BASE'!E74=0,"",'[1]BASE'!E74)</f>
        <v>445</v>
      </c>
      <c r="F74" s="494" t="str">
        <f>IF('[1]BASE'!F74=0,"",'[1]BASE'!F74)</f>
        <v>C</v>
      </c>
      <c r="G74" s="494">
        <f>'[1]BASE'!G74</f>
        <v>0</v>
      </c>
      <c r="H74" s="493">
        <f>IF('[1]BASE'!H74=0,"",'[1]BASE'!H74)</f>
        <v>132</v>
      </c>
      <c r="I74" s="494">
        <f>IF('[1]BASE'!I74=0,"",'[1]BASE'!I74)</f>
        <v>6.3</v>
      </c>
      <c r="J74" s="495">
        <f>IF('[1]BASE'!FY74=0,"",'[1]BASE'!FY74)</f>
      </c>
      <c r="K74" s="495">
        <f>IF('[1]BASE'!FZ74=0,"",'[1]BASE'!FZ74)</f>
      </c>
      <c r="L74" s="495">
        <f>IF('[1]BASE'!GA74=0,"",'[1]BASE'!GA74)</f>
      </c>
      <c r="M74" s="495">
        <f>IF('[1]BASE'!GB74=0,"",'[1]BASE'!GB74)</f>
      </c>
      <c r="N74" s="495">
        <f>IF('[1]BASE'!GC74=0,"",'[1]BASE'!GC74)</f>
      </c>
      <c r="O74" s="495">
        <f>IF('[1]BASE'!GD74=0,"",'[1]BASE'!GD74)</f>
      </c>
      <c r="P74" s="495">
        <f>IF('[1]BASE'!GE74=0,"",'[1]BASE'!GE74)</f>
      </c>
      <c r="Q74" s="495">
        <f>IF('[1]BASE'!GF74=0,"",'[1]BASE'!GF74)</f>
      </c>
      <c r="R74" s="495">
        <f>IF('[1]BASE'!GG74=0,"",'[1]BASE'!GG74)</f>
      </c>
      <c r="S74" s="495">
        <f>IF('[1]BASE'!GH74=0,"",'[1]BASE'!GH74)</f>
      </c>
      <c r="T74" s="495">
        <f>IF('[1]BASE'!GI74=0,"",'[1]BASE'!GI74)</f>
      </c>
      <c r="U74" s="495">
        <f>IF('[1]BASE'!GJ74=0,"",'[1]BASE'!GJ74)</f>
      </c>
      <c r="V74" s="497"/>
      <c r="W74" s="491"/>
    </row>
    <row r="75" spans="2:23" s="485" customFormat="1" ht="18" customHeight="1">
      <c r="B75" s="486"/>
      <c r="C75" s="492">
        <f>IF('[1]BASE'!C75=0,"",'[1]BASE'!C75)</f>
        <v>43</v>
      </c>
      <c r="D75" s="493" t="str">
        <f>IF('[1]BASE'!D75=0,"",'[1]BASE'!D75)</f>
        <v>PERITO MORENO - CABALLITO 2 </v>
      </c>
      <c r="E75" s="493">
        <f>IF('[1]BASE'!E75=0,"",'[1]BASE'!E75)</f>
        <v>446</v>
      </c>
      <c r="F75" s="494" t="str">
        <f>IF('[1]BASE'!F75=0,"",'[1]BASE'!F75)</f>
        <v>C</v>
      </c>
      <c r="G75" s="494">
        <f>'[1]BASE'!G75</f>
        <v>0</v>
      </c>
      <c r="H75" s="493">
        <f>IF('[1]BASE'!H75=0,"",'[1]BASE'!H75)</f>
        <v>132</v>
      </c>
      <c r="I75" s="494">
        <f>IF('[1]BASE'!I75=0,"",'[1]BASE'!I75)</f>
        <v>6.3</v>
      </c>
      <c r="J75" s="495">
        <f>IF('[1]BASE'!FY75=0,"",'[1]BASE'!FY75)</f>
      </c>
      <c r="K75" s="495">
        <f>IF('[1]BASE'!FZ75=0,"",'[1]BASE'!FZ75)</f>
      </c>
      <c r="L75" s="495">
        <f>IF('[1]BASE'!GA75=0,"",'[1]BASE'!GA75)</f>
      </c>
      <c r="M75" s="495">
        <f>IF('[1]BASE'!GB75=0,"",'[1]BASE'!GB75)</f>
      </c>
      <c r="N75" s="495">
        <f>IF('[1]BASE'!GC75=0,"",'[1]BASE'!GC75)</f>
      </c>
      <c r="O75" s="495">
        <f>IF('[1]BASE'!GD75=0,"",'[1]BASE'!GD75)</f>
      </c>
      <c r="P75" s="495">
        <f>IF('[1]BASE'!GE75=0,"",'[1]BASE'!GE75)</f>
      </c>
      <c r="Q75" s="495">
        <f>IF('[1]BASE'!GF75=0,"",'[1]BASE'!GF75)</f>
      </c>
      <c r="R75" s="495">
        <f>IF('[1]BASE'!GG75=0,"",'[1]BASE'!GG75)</f>
      </c>
      <c r="S75" s="495">
        <f>IF('[1]BASE'!GH75=0,"",'[1]BASE'!GH75)</f>
      </c>
      <c r="T75" s="495">
        <f>IF('[1]BASE'!GI75=0,"",'[1]BASE'!GI75)</f>
      </c>
      <c r="U75" s="495">
        <f>IF('[1]BASE'!GJ75=0,"",'[1]BASE'!GJ75)</f>
      </c>
      <c r="V75" s="497"/>
      <c r="W75" s="491"/>
    </row>
    <row r="76" spans="2:23" s="485" customFormat="1" ht="18" customHeight="1">
      <c r="B76" s="486"/>
      <c r="C76" s="492">
        <f>IF('[1]BASE'!C76=0,"",'[1]BASE'!C76)</f>
        <v>44</v>
      </c>
      <c r="D76" s="493" t="str">
        <f>IF('[1]BASE'!D76=0,"",'[1]BASE'!D76)</f>
        <v>PERITO MORENO - LINIERS 1</v>
      </c>
      <c r="E76" s="493">
        <f>IF('[1]BASE'!E76=0,"",'[1]BASE'!E76)</f>
        <v>447</v>
      </c>
      <c r="F76" s="494" t="str">
        <f>IF('[1]BASE'!F76=0,"",'[1]BASE'!F76)</f>
        <v>C</v>
      </c>
      <c r="G76" s="494">
        <f>'[1]BASE'!G76</f>
        <v>0</v>
      </c>
      <c r="H76" s="493">
        <f>IF('[1]BASE'!H76=0,"",'[1]BASE'!H76)</f>
        <v>132</v>
      </c>
      <c r="I76" s="494">
        <f>IF('[1]BASE'!I76=0,"",'[1]BASE'!I76)</f>
        <v>2.8</v>
      </c>
      <c r="J76" s="495">
        <f>IF('[1]BASE'!FY76=0,"",'[1]BASE'!FY76)</f>
      </c>
      <c r="K76" s="495">
        <f>IF('[1]BASE'!FZ76=0,"",'[1]BASE'!FZ76)</f>
      </c>
      <c r="L76" s="495">
        <f>IF('[1]BASE'!GA76=0,"",'[1]BASE'!GA76)</f>
      </c>
      <c r="M76" s="495">
        <f>IF('[1]BASE'!GB76=0,"",'[1]BASE'!GB76)</f>
      </c>
      <c r="N76" s="495">
        <f>IF('[1]BASE'!GC76=0,"",'[1]BASE'!GC76)</f>
      </c>
      <c r="O76" s="495">
        <f>IF('[1]BASE'!GD76=0,"",'[1]BASE'!GD76)</f>
      </c>
      <c r="P76" s="495">
        <f>IF('[1]BASE'!GE76=0,"",'[1]BASE'!GE76)</f>
      </c>
      <c r="Q76" s="495">
        <f>IF('[1]BASE'!GF76=0,"",'[1]BASE'!GF76)</f>
      </c>
      <c r="R76" s="495">
        <f>IF('[1]BASE'!GG76=0,"",'[1]BASE'!GG76)</f>
      </c>
      <c r="S76" s="495">
        <f>IF('[1]BASE'!GH76=0,"",'[1]BASE'!GH76)</f>
      </c>
      <c r="T76" s="495">
        <f>IF('[1]BASE'!GI76=0,"",'[1]BASE'!GI76)</f>
      </c>
      <c r="U76" s="495">
        <f>IF('[1]BASE'!GJ76=0,"",'[1]BASE'!GJ76)</f>
      </c>
      <c r="V76" s="497"/>
      <c r="W76" s="491"/>
    </row>
    <row r="77" spans="2:23" s="485" customFormat="1" ht="18" customHeight="1">
      <c r="B77" s="486"/>
      <c r="C77" s="492">
        <f>IF('[1]BASE'!C77=0,"",'[1]BASE'!C77)</f>
        <v>45</v>
      </c>
      <c r="D77" s="493" t="str">
        <f>IF('[1]BASE'!D77=0,"",'[1]BASE'!D77)</f>
        <v>PERITO MORENO - LINIERS 2</v>
      </c>
      <c r="E77" s="493">
        <f>IF('[1]BASE'!E77=0,"",'[1]BASE'!E77)</f>
        <v>448</v>
      </c>
      <c r="F77" s="494" t="str">
        <f>IF('[1]BASE'!F77=0,"",'[1]BASE'!F77)</f>
        <v>C</v>
      </c>
      <c r="G77" s="494">
        <f>'[1]BASE'!G77</f>
        <v>0</v>
      </c>
      <c r="H77" s="493">
        <f>IF('[1]BASE'!H77=0,"",'[1]BASE'!H77)</f>
        <v>132</v>
      </c>
      <c r="I77" s="494">
        <f>IF('[1]BASE'!I77=0,"",'[1]BASE'!I77)</f>
        <v>2.8</v>
      </c>
      <c r="J77" s="495">
        <f>IF('[1]BASE'!FY77=0,"",'[1]BASE'!FY77)</f>
      </c>
      <c r="K77" s="495">
        <f>IF('[1]BASE'!FZ77=0,"",'[1]BASE'!FZ77)</f>
      </c>
      <c r="L77" s="495">
        <f>IF('[1]BASE'!GA77=0,"",'[1]BASE'!GA77)</f>
      </c>
      <c r="M77" s="495">
        <f>IF('[1]BASE'!GB77=0,"",'[1]BASE'!GB77)</f>
      </c>
      <c r="N77" s="495">
        <f>IF('[1]BASE'!GC77=0,"",'[1]BASE'!GC77)</f>
      </c>
      <c r="O77" s="495">
        <f>IF('[1]BASE'!GD77=0,"",'[1]BASE'!GD77)</f>
      </c>
      <c r="P77" s="495">
        <f>IF('[1]BASE'!GE77=0,"",'[1]BASE'!GE77)</f>
      </c>
      <c r="Q77" s="495">
        <f>IF('[1]BASE'!GF77=0,"",'[1]BASE'!GF77)</f>
      </c>
      <c r="R77" s="495">
        <f>IF('[1]BASE'!GG77=0,"",'[1]BASE'!GG77)</f>
      </c>
      <c r="S77" s="495">
        <f>IF('[1]BASE'!GH77=0,"",'[1]BASE'!GH77)</f>
      </c>
      <c r="T77" s="495">
        <f>IF('[1]BASE'!GI77=0,"",'[1]BASE'!GI77)</f>
      </c>
      <c r="U77" s="495">
        <f>IF('[1]BASE'!GJ77=0,"",'[1]BASE'!GJ77)</f>
      </c>
      <c r="V77" s="497"/>
      <c r="W77" s="491"/>
    </row>
    <row r="78" spans="2:23" s="485" customFormat="1" ht="18" customHeight="1">
      <c r="B78" s="486"/>
      <c r="C78" s="492">
        <f>IF('[1]BASE'!C78=0,"",'[1]BASE'!C78)</f>
        <v>76</v>
      </c>
      <c r="D78" s="493" t="str">
        <f>IF('[1]BASE'!D78=0,"",'[1]BASE'!D78)</f>
        <v>AZOPARDO II CHARCAS </v>
      </c>
      <c r="E78" s="493">
        <f>IF('[1]BASE'!E78=0,"",'[1]BASE'!E78)</f>
        <v>451</v>
      </c>
      <c r="F78" s="494" t="str">
        <f>IF('[1]BASE'!F78=0,"",'[1]BASE'!F78)</f>
        <v>C</v>
      </c>
      <c r="G78" s="494">
        <f>'[1]BASE'!G78</f>
        <v>0</v>
      </c>
      <c r="H78" s="493">
        <f>IF('[1]BASE'!H78=0,"",'[1]BASE'!H78)</f>
        <v>132</v>
      </c>
      <c r="I78" s="494">
        <f>IF('[1]BASE'!I78=0,"",'[1]BASE'!I78)</f>
        <v>2.4</v>
      </c>
      <c r="J78" s="495">
        <f>IF('[1]BASE'!FY78=0,"",'[1]BASE'!FY78)</f>
      </c>
      <c r="K78" s="495">
        <f>IF('[1]BASE'!FZ78=0,"",'[1]BASE'!FZ78)</f>
      </c>
      <c r="L78" s="495">
        <f>IF('[1]BASE'!GA78=0,"",'[1]BASE'!GA78)</f>
      </c>
      <c r="M78" s="495">
        <f>IF('[1]BASE'!GB78=0,"",'[1]BASE'!GB78)</f>
      </c>
      <c r="N78" s="495">
        <f>IF('[1]BASE'!GC78=0,"",'[1]BASE'!GC78)</f>
      </c>
      <c r="O78" s="495">
        <f>IF('[1]BASE'!GD78=0,"",'[1]BASE'!GD78)</f>
      </c>
      <c r="P78" s="495">
        <f>IF('[1]BASE'!GE78=0,"",'[1]BASE'!GE78)</f>
      </c>
      <c r="Q78" s="495">
        <f>IF('[1]BASE'!GF78=0,"",'[1]BASE'!GF78)</f>
      </c>
      <c r="R78" s="495">
        <f>IF('[1]BASE'!GG78=0,"",'[1]BASE'!GG78)</f>
      </c>
      <c r="S78" s="495">
        <f>IF('[1]BASE'!GH78=0,"",'[1]BASE'!GH78)</f>
      </c>
      <c r="T78" s="495">
        <f>IF('[1]BASE'!GI78=0,"",'[1]BASE'!GI78)</f>
      </c>
      <c r="U78" s="495">
        <f>IF('[1]BASE'!GJ78=0,"",'[1]BASE'!GJ78)</f>
      </c>
      <c r="V78" s="497"/>
      <c r="W78" s="491"/>
    </row>
    <row r="79" spans="2:23" s="485" customFormat="1" ht="18" customHeight="1">
      <c r="B79" s="486"/>
      <c r="C79" s="492">
        <f>IF('[1]BASE'!C79=0,"",'[1]BASE'!C79)</f>
        <v>77</v>
      </c>
      <c r="D79" s="493" t="str">
        <f>IF('[1]BASE'!D79=0,"",'[1]BASE'!D79)</f>
        <v>AZOPARDO II CHARCAS </v>
      </c>
      <c r="E79" s="493">
        <f>IF('[1]BASE'!E79=0,"",'[1]BASE'!E79)</f>
        <v>452</v>
      </c>
      <c r="F79" s="494" t="str">
        <f>IF('[1]BASE'!F79=0,"",'[1]BASE'!F79)</f>
        <v>C</v>
      </c>
      <c r="G79" s="494">
        <f>'[1]BASE'!G79</f>
        <v>0</v>
      </c>
      <c r="H79" s="493">
        <f>IF('[1]BASE'!H79=0,"",'[1]BASE'!H79)</f>
        <v>132</v>
      </c>
      <c r="I79" s="494">
        <f>IF('[1]BASE'!I79=0,"",'[1]BASE'!I79)</f>
        <v>2.4</v>
      </c>
      <c r="J79" s="495">
        <f>IF('[1]BASE'!FY79=0,"",'[1]BASE'!FY79)</f>
      </c>
      <c r="K79" s="495">
        <f>IF('[1]BASE'!FZ79=0,"",'[1]BASE'!FZ79)</f>
      </c>
      <c r="L79" s="495">
        <f>IF('[1]BASE'!GA79=0,"",'[1]BASE'!GA79)</f>
      </c>
      <c r="M79" s="495">
        <f>IF('[1]BASE'!GB79=0,"",'[1]BASE'!GB79)</f>
      </c>
      <c r="N79" s="495">
        <f>IF('[1]BASE'!GC79=0,"",'[1]BASE'!GC79)</f>
      </c>
      <c r="O79" s="495">
        <f>IF('[1]BASE'!GD79=0,"",'[1]BASE'!GD79)</f>
      </c>
      <c r="P79" s="495">
        <f>IF('[1]BASE'!GE79=0,"",'[1]BASE'!GE79)</f>
      </c>
      <c r="Q79" s="495">
        <f>IF('[1]BASE'!GF79=0,"",'[1]BASE'!GF79)</f>
      </c>
      <c r="R79" s="495">
        <f>IF('[1]BASE'!GG79=0,"",'[1]BASE'!GG79)</f>
      </c>
      <c r="S79" s="495">
        <f>IF('[1]BASE'!GH79=0,"",'[1]BASE'!GH79)</f>
      </c>
      <c r="T79" s="495">
        <f>IF('[1]BASE'!GI79=0,"",'[1]BASE'!GI79)</f>
      </c>
      <c r="U79" s="495">
        <f>IF('[1]BASE'!GJ79=0,"",'[1]BASE'!GJ79)</f>
      </c>
      <c r="V79" s="497"/>
      <c r="W79" s="491"/>
    </row>
    <row r="80" spans="2:23" s="485" customFormat="1" ht="18" customHeight="1">
      <c r="B80" s="486"/>
      <c r="C80" s="492">
        <f>IF('[1]BASE'!C80=0,"",'[1]BASE'!C80)</f>
        <v>46</v>
      </c>
      <c r="D80" s="493" t="str">
        <f>IF('[1]BASE'!D80=0,"",'[1]BASE'!D80)</f>
        <v>AZOPARDO II - PELLEGRINI 1</v>
      </c>
      <c r="E80" s="493">
        <f>IF('[1]BASE'!E80=0,"",'[1]BASE'!E80)</f>
        <v>457</v>
      </c>
      <c r="F80" s="494" t="str">
        <f>IF('[1]BASE'!F80=0,"",'[1]BASE'!F80)</f>
        <v>C</v>
      </c>
      <c r="G80" s="494">
        <f>'[1]BASE'!G80</f>
        <v>0</v>
      </c>
      <c r="H80" s="493">
        <f>IF('[1]BASE'!H80=0,"",'[1]BASE'!H80)</f>
        <v>132</v>
      </c>
      <c r="I80" s="494">
        <f>IF('[1]BASE'!I80=0,"",'[1]BASE'!I80)</f>
        <v>2</v>
      </c>
      <c r="J80" s="495">
        <f>IF('[1]BASE'!FY80=0,"",'[1]BASE'!FY80)</f>
      </c>
      <c r="K80" s="495">
        <f>IF('[1]BASE'!FZ80=0,"",'[1]BASE'!FZ80)</f>
      </c>
      <c r="L80" s="495">
        <f>IF('[1]BASE'!GA80=0,"",'[1]BASE'!GA80)</f>
      </c>
      <c r="M80" s="495">
        <f>IF('[1]BASE'!GB80=0,"",'[1]BASE'!GB80)</f>
      </c>
      <c r="N80" s="495">
        <f>IF('[1]BASE'!GC80=0,"",'[1]BASE'!GC80)</f>
      </c>
      <c r="O80" s="495">
        <f>IF('[1]BASE'!GD80=0,"",'[1]BASE'!GD80)</f>
      </c>
      <c r="P80" s="495">
        <f>IF('[1]BASE'!GE80=0,"",'[1]BASE'!GE80)</f>
      </c>
      <c r="Q80" s="495">
        <f>IF('[1]BASE'!GF80=0,"",'[1]BASE'!GF80)</f>
      </c>
      <c r="R80" s="495">
        <f>IF('[1]BASE'!GG80=0,"",'[1]BASE'!GG80)</f>
      </c>
      <c r="S80" s="495">
        <f>IF('[1]BASE'!GH80=0,"",'[1]BASE'!GH80)</f>
      </c>
      <c r="T80" s="495">
        <f>IF('[1]BASE'!GI80=0,"",'[1]BASE'!GI80)</f>
      </c>
      <c r="U80" s="495">
        <f>IF('[1]BASE'!GJ80=0,"",'[1]BASE'!GJ80)</f>
      </c>
      <c r="V80" s="497"/>
      <c r="W80" s="491"/>
    </row>
    <row r="81" spans="2:23" s="485" customFormat="1" ht="18" customHeight="1">
      <c r="B81" s="486"/>
      <c r="C81" s="492">
        <f>IF('[1]BASE'!C81=0,"",'[1]BASE'!C81)</f>
        <v>47</v>
      </c>
      <c r="D81" s="493" t="str">
        <f>IF('[1]BASE'!D81=0,"",'[1]BASE'!D81)</f>
        <v>AZOPARDO II - PELLEGRINI 2</v>
      </c>
      <c r="E81" s="493">
        <f>IF('[1]BASE'!E81=0,"",'[1]BASE'!E81)</f>
        <v>458</v>
      </c>
      <c r="F81" s="494" t="str">
        <f>IF('[1]BASE'!F81=0,"",'[1]BASE'!F81)</f>
        <v>C</v>
      </c>
      <c r="G81" s="494">
        <f>'[1]BASE'!G81</f>
        <v>0</v>
      </c>
      <c r="H81" s="493">
        <f>IF('[1]BASE'!H81=0,"",'[1]BASE'!H81)</f>
        <v>132</v>
      </c>
      <c r="I81" s="494">
        <f>IF('[1]BASE'!I81=0,"",'[1]BASE'!I81)</f>
        <v>2</v>
      </c>
      <c r="J81" s="495">
        <f>IF('[1]BASE'!FY81=0,"",'[1]BASE'!FY81)</f>
      </c>
      <c r="K81" s="495">
        <f>IF('[1]BASE'!FZ81=0,"",'[1]BASE'!FZ81)</f>
      </c>
      <c r="L81" s="495">
        <f>IF('[1]BASE'!GA81=0,"",'[1]BASE'!GA81)</f>
      </c>
      <c r="M81" s="495">
        <f>IF('[1]BASE'!GB81=0,"",'[1]BASE'!GB81)</f>
      </c>
      <c r="N81" s="495">
        <f>IF('[1]BASE'!GC81=0,"",'[1]BASE'!GC81)</f>
      </c>
      <c r="O81" s="495">
        <f>IF('[1]BASE'!GD81=0,"",'[1]BASE'!GD81)</f>
      </c>
      <c r="P81" s="495">
        <f>IF('[1]BASE'!GE81=0,"",'[1]BASE'!GE81)</f>
      </c>
      <c r="Q81" s="495">
        <f>IF('[1]BASE'!GF81=0,"",'[1]BASE'!GF81)</f>
      </c>
      <c r="R81" s="495">
        <f>IF('[1]BASE'!GG81=0,"",'[1]BASE'!GG81)</f>
      </c>
      <c r="S81" s="495">
        <f>IF('[1]BASE'!GH81=0,"",'[1]BASE'!GH81)</f>
      </c>
      <c r="T81" s="495">
        <f>IF('[1]BASE'!GI81=0,"",'[1]BASE'!GI81)</f>
      </c>
      <c r="U81" s="495">
        <f>IF('[1]BASE'!GJ81=0,"",'[1]BASE'!GJ81)</f>
      </c>
      <c r="V81" s="497"/>
      <c r="W81" s="491"/>
    </row>
    <row r="82" spans="2:23" s="485" customFormat="1" ht="18" customHeight="1">
      <c r="B82" s="486"/>
      <c r="C82" s="492">
        <f>IF('[1]BASE'!C82=0,"",'[1]BASE'!C82)</f>
        <v>48</v>
      </c>
      <c r="D82" s="493" t="str">
        <f>IF('[1]BASE'!D82=0,"",'[1]BASE'!D82)</f>
        <v>SANTA RITA - AGRONOMIA 1</v>
      </c>
      <c r="E82" s="493">
        <f>IF('[1]BASE'!E82=0,"",'[1]BASE'!E82)</f>
        <v>461</v>
      </c>
      <c r="F82" s="494" t="str">
        <f>IF('[1]BASE'!F82=0,"",'[1]BASE'!F82)</f>
        <v>C</v>
      </c>
      <c r="G82" s="494">
        <f>'[1]BASE'!G82</f>
        <v>0</v>
      </c>
      <c r="H82" s="493">
        <f>IF('[1]BASE'!H82=0,"",'[1]BASE'!H82)</f>
        <v>132</v>
      </c>
      <c r="I82" s="494">
        <f>IF('[1]BASE'!I82=0,"",'[1]BASE'!I82)</f>
        <v>2.4</v>
      </c>
      <c r="J82" s="495">
        <f>IF('[1]BASE'!FY82=0,"",'[1]BASE'!FY82)</f>
      </c>
      <c r="K82" s="495">
        <f>IF('[1]BASE'!FZ82=0,"",'[1]BASE'!FZ82)</f>
      </c>
      <c r="L82" s="495">
        <f>IF('[1]BASE'!GA82=0,"",'[1]BASE'!GA82)</f>
      </c>
      <c r="M82" s="495">
        <f>IF('[1]BASE'!GB82=0,"",'[1]BASE'!GB82)</f>
      </c>
      <c r="N82" s="495">
        <f>IF('[1]BASE'!GC82=0,"",'[1]BASE'!GC82)</f>
      </c>
      <c r="O82" s="495">
        <f>IF('[1]BASE'!GD82=0,"",'[1]BASE'!GD82)</f>
      </c>
      <c r="P82" s="495">
        <f>IF('[1]BASE'!GE82=0,"",'[1]BASE'!GE82)</f>
      </c>
      <c r="Q82" s="495">
        <f>IF('[1]BASE'!GF82=0,"",'[1]BASE'!GF82)</f>
      </c>
      <c r="R82" s="495">
        <f>IF('[1]BASE'!GG82=0,"",'[1]BASE'!GG82)</f>
      </c>
      <c r="S82" s="495">
        <f>IF('[1]BASE'!GH82=0,"",'[1]BASE'!GH82)</f>
      </c>
      <c r="T82" s="495">
        <f>IF('[1]BASE'!GI82=0,"",'[1]BASE'!GI82)</f>
      </c>
      <c r="U82" s="495">
        <f>IF('[1]BASE'!GJ82=0,"",'[1]BASE'!GJ82)</f>
      </c>
      <c r="V82" s="497"/>
      <c r="W82" s="491"/>
    </row>
    <row r="83" spans="2:23" s="485" customFormat="1" ht="18" customHeight="1">
      <c r="B83" s="486"/>
      <c r="C83" s="492">
        <f>IF('[1]BASE'!C83=0,"",'[1]BASE'!C83)</f>
        <v>49</v>
      </c>
      <c r="D83" s="493" t="str">
        <f>IF('[1]BASE'!D83=0,"",'[1]BASE'!D83)</f>
        <v>SANTA RITA - AGRONOMIA 2 </v>
      </c>
      <c r="E83" s="493">
        <f>IF('[1]BASE'!E83=0,"",'[1]BASE'!E83)</f>
        <v>462</v>
      </c>
      <c r="F83" s="494" t="str">
        <f>IF('[1]BASE'!F83=0,"",'[1]BASE'!F83)</f>
        <v>C</v>
      </c>
      <c r="G83" s="494">
        <f>'[1]BASE'!G83</f>
        <v>0</v>
      </c>
      <c r="H83" s="493">
        <f>IF('[1]BASE'!H83=0,"",'[1]BASE'!H83)</f>
        <v>132</v>
      </c>
      <c r="I83" s="494">
        <f>IF('[1]BASE'!I83=0,"",'[1]BASE'!I83)</f>
        <v>2.4</v>
      </c>
      <c r="J83" s="495">
        <f>IF('[1]BASE'!FY83=0,"",'[1]BASE'!FY83)</f>
      </c>
      <c r="K83" s="495">
        <f>IF('[1]BASE'!FZ83=0,"",'[1]BASE'!FZ83)</f>
      </c>
      <c r="L83" s="495">
        <f>IF('[1]BASE'!GA83=0,"",'[1]BASE'!GA83)</f>
      </c>
      <c r="M83" s="495">
        <f>IF('[1]BASE'!GB83=0,"",'[1]BASE'!GB83)</f>
      </c>
      <c r="N83" s="495">
        <f>IF('[1]BASE'!GC83=0,"",'[1]BASE'!GC83)</f>
      </c>
      <c r="O83" s="495">
        <f>IF('[1]BASE'!GD83=0,"",'[1]BASE'!GD83)</f>
      </c>
      <c r="P83" s="495">
        <f>IF('[1]BASE'!GE83=0,"",'[1]BASE'!GE83)</f>
      </c>
      <c r="Q83" s="495">
        <f>IF('[1]BASE'!GF83=0,"",'[1]BASE'!GF83)</f>
      </c>
      <c r="R83" s="495">
        <f>IF('[1]BASE'!GG83=0,"",'[1]BASE'!GG83)</f>
      </c>
      <c r="S83" s="495">
        <f>IF('[1]BASE'!GH83=0,"",'[1]BASE'!GH83)</f>
      </c>
      <c r="T83" s="495">
        <f>IF('[1]BASE'!GI83=0,"",'[1]BASE'!GI83)</f>
      </c>
      <c r="U83" s="495">
        <f>IF('[1]BASE'!GJ83=0,"",'[1]BASE'!GJ83)</f>
      </c>
      <c r="V83" s="497"/>
      <c r="W83" s="491"/>
    </row>
    <row r="84" spans="2:23" s="485" customFormat="1" ht="18" customHeight="1" hidden="1">
      <c r="B84" s="486"/>
      <c r="C84" s="492">
        <f>IF('[1]BASE'!C84=0,"",'[1]BASE'!C84)</f>
        <v>50</v>
      </c>
      <c r="D84" s="493" t="str">
        <f>IF('[1]BASE'!D84=0,"",'[1]BASE'!D84)</f>
        <v>BOSQUES - QUILMES 1 </v>
      </c>
      <c r="E84" s="493">
        <f>IF('[1]BASE'!E84=0,"",'[1]BASE'!E84)</f>
        <v>511</v>
      </c>
      <c r="F84" s="494" t="str">
        <f>IF('[1]BASE'!F84=0,"",'[1]BASE'!F84)</f>
        <v>L</v>
      </c>
      <c r="G84" s="494">
        <f>'[1]BASE'!G84</f>
        <v>100</v>
      </c>
      <c r="H84" s="493">
        <f>IF('[1]BASE'!H84=0,"",'[1]BASE'!H84)</f>
        <v>132</v>
      </c>
      <c r="I84" s="494">
        <f>IF('[1]BASE'!I84=0,"",'[1]BASE'!I84)</f>
        <v>29.2</v>
      </c>
      <c r="J84" s="495" t="str">
        <f>IF('[1]BASE'!FY84=0,"",'[1]BASE'!FY84)</f>
        <v>XXXX</v>
      </c>
      <c r="K84" s="495" t="str">
        <f>IF('[1]BASE'!FZ84=0,"",'[1]BASE'!FZ84)</f>
        <v>XXXX</v>
      </c>
      <c r="L84" s="495" t="str">
        <f>IF('[1]BASE'!GA84=0,"",'[1]BASE'!GA84)</f>
        <v>XXXX</v>
      </c>
      <c r="M84" s="495" t="str">
        <f>IF('[1]BASE'!GB84=0,"",'[1]BASE'!GB84)</f>
        <v>XXXX</v>
      </c>
      <c r="N84" s="495" t="str">
        <f>IF('[1]BASE'!GC84=0,"",'[1]BASE'!GC84)</f>
        <v>XXXX</v>
      </c>
      <c r="O84" s="495" t="str">
        <f>IF('[1]BASE'!GD84=0,"",'[1]BASE'!GD84)</f>
        <v>XXXX</v>
      </c>
      <c r="P84" s="495" t="str">
        <f>IF('[1]BASE'!GE84=0,"",'[1]BASE'!GE84)</f>
        <v>XXXX</v>
      </c>
      <c r="Q84" s="495" t="str">
        <f>IF('[1]BASE'!GF84=0,"",'[1]BASE'!GF84)</f>
        <v>XXXX</v>
      </c>
      <c r="R84" s="495" t="str">
        <f>IF('[1]BASE'!GG84=0,"",'[1]BASE'!GG84)</f>
        <v>XXXX</v>
      </c>
      <c r="S84" s="495" t="str">
        <f>IF('[1]BASE'!GH84=0,"",'[1]BASE'!GH84)</f>
        <v>XXXX</v>
      </c>
      <c r="T84" s="495" t="str">
        <f>IF('[1]BASE'!GI84=0,"",'[1]BASE'!GI84)</f>
        <v>XXXX</v>
      </c>
      <c r="U84" s="495" t="str">
        <f>IF('[1]BASE'!GJ84=0,"",'[1]BASE'!GJ84)</f>
        <v>XXXX</v>
      </c>
      <c r="V84" s="497"/>
      <c r="W84" s="491"/>
    </row>
    <row r="85" spans="2:23" s="485" customFormat="1" ht="18" customHeight="1" hidden="1">
      <c r="B85" s="486"/>
      <c r="C85" s="492">
        <f>IF('[1]BASE'!C85=0,"",'[1]BASE'!C85)</f>
        <v>51</v>
      </c>
      <c r="D85" s="493" t="str">
        <f>IF('[1]BASE'!D85=0,"",'[1]BASE'!D85)</f>
        <v>BOSQUES - QUILMES 2 </v>
      </c>
      <c r="E85" s="493">
        <f>IF('[1]BASE'!E85=0,"",'[1]BASE'!E85)</f>
        <v>512</v>
      </c>
      <c r="F85" s="494" t="str">
        <f>IF('[1]BASE'!F85=0,"",'[1]BASE'!F85)</f>
        <v>L</v>
      </c>
      <c r="G85" s="494">
        <f>'[1]BASE'!G85</f>
        <v>100</v>
      </c>
      <c r="H85" s="493">
        <f>IF('[1]BASE'!H85=0,"",'[1]BASE'!H85)</f>
        <v>132</v>
      </c>
      <c r="I85" s="494">
        <f>IF('[1]BASE'!I85=0,"",'[1]BASE'!I85)</f>
        <v>28.6</v>
      </c>
      <c r="J85" s="495" t="str">
        <f>IF('[1]BASE'!FY85=0,"",'[1]BASE'!FY85)</f>
        <v>XXXX</v>
      </c>
      <c r="K85" s="495" t="str">
        <f>IF('[1]BASE'!FZ85=0,"",'[1]BASE'!FZ85)</f>
        <v>XXXX</v>
      </c>
      <c r="L85" s="495" t="str">
        <f>IF('[1]BASE'!GA85=0,"",'[1]BASE'!GA85)</f>
        <v>XXXX</v>
      </c>
      <c r="M85" s="495" t="str">
        <f>IF('[1]BASE'!GB85=0,"",'[1]BASE'!GB85)</f>
        <v>XXXX</v>
      </c>
      <c r="N85" s="495" t="str">
        <f>IF('[1]BASE'!GC85=0,"",'[1]BASE'!GC85)</f>
        <v>XXXX</v>
      </c>
      <c r="O85" s="495" t="str">
        <f>IF('[1]BASE'!GD85=0,"",'[1]BASE'!GD85)</f>
        <v>XXXX</v>
      </c>
      <c r="P85" s="495" t="str">
        <f>IF('[1]BASE'!GE85=0,"",'[1]BASE'!GE85)</f>
        <v>XXXX</v>
      </c>
      <c r="Q85" s="495" t="str">
        <f>IF('[1]BASE'!GF85=0,"",'[1]BASE'!GF85)</f>
        <v>XXXX</v>
      </c>
      <c r="R85" s="495" t="str">
        <f>IF('[1]BASE'!GG85=0,"",'[1]BASE'!GG85)</f>
        <v>XXXX</v>
      </c>
      <c r="S85" s="495" t="str">
        <f>IF('[1]BASE'!GH85=0,"",'[1]BASE'!GH85)</f>
        <v>XXXX</v>
      </c>
      <c r="T85" s="495" t="str">
        <f>IF('[1]BASE'!GI85=0,"",'[1]BASE'!GI85)</f>
        <v>XXXX</v>
      </c>
      <c r="U85" s="495" t="str">
        <f>IF('[1]BASE'!GJ85=0,"",'[1]BASE'!GJ85)</f>
        <v>XXXX</v>
      </c>
      <c r="V85" s="497"/>
      <c r="W85" s="491"/>
    </row>
    <row r="86" spans="2:23" s="485" customFormat="1" ht="18" customHeight="1">
      <c r="B86" s="486"/>
      <c r="C86" s="492">
        <f>IF('[1]BASE'!C86=0,"",'[1]BASE'!C86)</f>
        <v>92</v>
      </c>
      <c r="D86" s="493" t="str">
        <f>IF('[1]BASE'!D86=0,"",'[1]BASE'!D86)</f>
        <v>BOSQUES - QUILMES 1 </v>
      </c>
      <c r="E86" s="493">
        <f>IF('[1]BASE'!E86=0,"",'[1]BASE'!E86)</f>
        <v>511</v>
      </c>
      <c r="F86" s="494" t="str">
        <f>IF('[1]BASE'!F86=0,"",'[1]BASE'!F86)</f>
        <v>L</v>
      </c>
      <c r="G86" s="494">
        <f>'[1]BASE'!G86</f>
        <v>100</v>
      </c>
      <c r="H86" s="493">
        <f>IF('[1]BASE'!H86=0,"",'[1]BASE'!H86)</f>
        <v>132</v>
      </c>
      <c r="I86" s="494">
        <f>IF('[1]BASE'!I86=0,"",'[1]BASE'!I86)</f>
        <v>17.4</v>
      </c>
      <c r="J86" s="495">
        <f>IF('[1]BASE'!FY86=0,"",'[1]BASE'!FY86)</f>
      </c>
      <c r="K86" s="495">
        <f>IF('[1]BASE'!FZ86=0,"",'[1]BASE'!FZ86)</f>
      </c>
      <c r="L86" s="495">
        <f>IF('[1]BASE'!GA86=0,"",'[1]BASE'!GA86)</f>
        <v>1</v>
      </c>
      <c r="M86" s="495">
        <f>IF('[1]BASE'!GB86=0,"",'[1]BASE'!GB86)</f>
        <v>1</v>
      </c>
      <c r="N86" s="495">
        <f>IF('[1]BASE'!GC86=0,"",'[1]BASE'!GC86)</f>
      </c>
      <c r="O86" s="495">
        <f>IF('[1]BASE'!GD86=0,"",'[1]BASE'!GD86)</f>
      </c>
      <c r="P86" s="495">
        <f>IF('[1]BASE'!GE86=0,"",'[1]BASE'!GE86)</f>
      </c>
      <c r="Q86" s="495">
        <f>IF('[1]BASE'!GF86=0,"",'[1]BASE'!GF86)</f>
      </c>
      <c r="R86" s="495">
        <f>IF('[1]BASE'!GG86=0,"",'[1]BASE'!GG86)</f>
      </c>
      <c r="S86" s="495">
        <f>IF('[1]BASE'!GH86=0,"",'[1]BASE'!GH86)</f>
      </c>
      <c r="T86" s="495">
        <f>IF('[1]BASE'!GI86=0,"",'[1]BASE'!GI86)</f>
      </c>
      <c r="U86" s="495">
        <f>IF('[1]BASE'!GJ86=0,"",'[1]BASE'!GJ86)</f>
      </c>
      <c r="V86" s="497"/>
      <c r="W86" s="491"/>
    </row>
    <row r="87" spans="2:23" s="485" customFormat="1" ht="18" customHeight="1">
      <c r="B87" s="486"/>
      <c r="C87" s="492">
        <f>IF('[1]BASE'!C87=0,"",'[1]BASE'!C87)</f>
        <v>93</v>
      </c>
      <c r="D87" s="493" t="str">
        <f>IF('[1]BASE'!D87=0,"",'[1]BASE'!D87)</f>
        <v>BOSQUES - QUILMES 2 </v>
      </c>
      <c r="E87" s="493">
        <f>IF('[1]BASE'!E87=0,"",'[1]BASE'!E87)</f>
        <v>512</v>
      </c>
      <c r="F87" s="494" t="str">
        <f>IF('[1]BASE'!F87=0,"",'[1]BASE'!F87)</f>
        <v>L</v>
      </c>
      <c r="G87" s="494">
        <f>'[1]BASE'!G87</f>
        <v>100</v>
      </c>
      <c r="H87" s="493">
        <f>IF('[1]BASE'!H87=0,"",'[1]BASE'!H87)</f>
        <v>132</v>
      </c>
      <c r="I87" s="494">
        <f>IF('[1]BASE'!I87=0,"",'[1]BASE'!I87)</f>
        <v>16.8</v>
      </c>
      <c r="J87" s="495">
        <f>IF('[1]BASE'!FY87=0,"",'[1]BASE'!FY87)</f>
      </c>
      <c r="K87" s="495">
        <f>IF('[1]BASE'!FZ87=0,"",'[1]BASE'!FZ87)</f>
      </c>
      <c r="L87" s="495">
        <f>IF('[1]BASE'!GA87=0,"",'[1]BASE'!GA87)</f>
      </c>
      <c r="M87" s="495">
        <f>IF('[1]BASE'!GB87=0,"",'[1]BASE'!GB87)</f>
        <v>1</v>
      </c>
      <c r="N87" s="495">
        <f>IF('[1]BASE'!GC87=0,"",'[1]BASE'!GC87)</f>
      </c>
      <c r="O87" s="495">
        <f>IF('[1]BASE'!GD87=0,"",'[1]BASE'!GD87)</f>
      </c>
      <c r="P87" s="495">
        <f>IF('[1]BASE'!GE87=0,"",'[1]BASE'!GE87)</f>
      </c>
      <c r="Q87" s="495">
        <f>IF('[1]BASE'!GF87=0,"",'[1]BASE'!GF87)</f>
      </c>
      <c r="R87" s="495">
        <f>IF('[1]BASE'!GG87=0,"",'[1]BASE'!GG87)</f>
        <v>1</v>
      </c>
      <c r="S87" s="495">
        <f>IF('[1]BASE'!GH87=0,"",'[1]BASE'!GH87)</f>
      </c>
      <c r="T87" s="495">
        <f>IF('[1]BASE'!GI87=0,"",'[1]BASE'!GI87)</f>
      </c>
      <c r="U87" s="495">
        <f>IF('[1]BASE'!GJ87=0,"",'[1]BASE'!GJ87)</f>
      </c>
      <c r="V87" s="497"/>
      <c r="W87" s="491"/>
    </row>
    <row r="88" spans="2:23" s="485" customFormat="1" ht="18" customHeight="1">
      <c r="B88" s="486"/>
      <c r="C88" s="492">
        <f>IF('[1]BASE'!C88=0,"",'[1]BASE'!C88)</f>
        <v>74</v>
      </c>
      <c r="D88" s="493" t="str">
        <f>IF('[1]BASE'!D88=0,"",'[1]BASE'!D88)</f>
        <v>EZEIZA - SPEGAZZINI 1</v>
      </c>
      <c r="E88" s="493">
        <f>IF('[1]BASE'!E88=0,"",'[1]BASE'!E88)</f>
        <v>545</v>
      </c>
      <c r="F88" s="494" t="str">
        <f>IF('[1]BASE'!F88=0,"",'[1]BASE'!F88)</f>
        <v>L</v>
      </c>
      <c r="G88" s="494">
        <f>'[1]BASE'!G88</f>
        <v>100</v>
      </c>
      <c r="H88" s="493">
        <f>IF('[1]BASE'!H88=0,"",'[1]BASE'!H88)</f>
        <v>132</v>
      </c>
      <c r="I88" s="494">
        <f>IF('[1]BASE'!I88=0,"",'[1]BASE'!I88)</f>
        <v>12.6</v>
      </c>
      <c r="J88" s="495">
        <f>IF('[1]BASE'!FY88=0,"",'[1]BASE'!FY88)</f>
      </c>
      <c r="K88" s="495">
        <f>IF('[1]BASE'!FZ88=0,"",'[1]BASE'!FZ88)</f>
      </c>
      <c r="L88" s="495">
        <f>IF('[1]BASE'!GA88=0,"",'[1]BASE'!GA88)</f>
      </c>
      <c r="M88" s="495">
        <f>IF('[1]BASE'!GB88=0,"",'[1]BASE'!GB88)</f>
      </c>
      <c r="N88" s="495">
        <f>IF('[1]BASE'!GC88=0,"",'[1]BASE'!GC88)</f>
      </c>
      <c r="O88" s="495">
        <f>IF('[1]BASE'!GD88=0,"",'[1]BASE'!GD88)</f>
      </c>
      <c r="P88" s="495">
        <f>IF('[1]BASE'!GE88=0,"",'[1]BASE'!GE88)</f>
      </c>
      <c r="Q88" s="495">
        <f>IF('[1]BASE'!GF88=0,"",'[1]BASE'!GF88)</f>
      </c>
      <c r="R88" s="495">
        <f>IF('[1]BASE'!GG88=0,"",'[1]BASE'!GG88)</f>
      </c>
      <c r="S88" s="495">
        <f>IF('[1]BASE'!GH88=0,"",'[1]BASE'!GH88)</f>
      </c>
      <c r="T88" s="495">
        <f>IF('[1]BASE'!GI88=0,"",'[1]BASE'!GI88)</f>
      </c>
      <c r="U88" s="495">
        <f>IF('[1]BASE'!GJ88=0,"",'[1]BASE'!GJ88)</f>
      </c>
      <c r="V88" s="497"/>
      <c r="W88" s="491"/>
    </row>
    <row r="89" spans="2:23" s="485" customFormat="1" ht="18" customHeight="1">
      <c r="B89" s="486"/>
      <c r="C89" s="492">
        <f>IF('[1]BASE'!C89=0,"",'[1]BASE'!C89)</f>
        <v>75</v>
      </c>
      <c r="D89" s="493" t="str">
        <f>IF('[1]BASE'!D89=0,"",'[1]BASE'!D89)</f>
        <v>EZEIZA - SPEGAZZINI 2</v>
      </c>
      <c r="E89" s="493">
        <f>IF('[1]BASE'!E89=0,"",'[1]BASE'!E89)</f>
        <v>546</v>
      </c>
      <c r="F89" s="494" t="str">
        <f>IF('[1]BASE'!F89=0,"",'[1]BASE'!F89)</f>
        <v>L</v>
      </c>
      <c r="G89" s="494">
        <f>'[1]BASE'!G89</f>
        <v>100</v>
      </c>
      <c r="H89" s="493">
        <f>IF('[1]BASE'!H89=0,"",'[1]BASE'!H89)</f>
        <v>132</v>
      </c>
      <c r="I89" s="494">
        <f>IF('[1]BASE'!I89=0,"",'[1]BASE'!I89)</f>
        <v>12.6</v>
      </c>
      <c r="J89" s="495">
        <f>IF('[1]BASE'!FY89=0,"",'[1]BASE'!FY89)</f>
      </c>
      <c r="K89" s="495">
        <f>IF('[1]BASE'!FZ89=0,"",'[1]BASE'!FZ89)</f>
        <v>1</v>
      </c>
      <c r="L89" s="495">
        <f>IF('[1]BASE'!GA89=0,"",'[1]BASE'!GA89)</f>
      </c>
      <c r="M89" s="495">
        <f>IF('[1]BASE'!GB89=0,"",'[1]BASE'!GB89)</f>
        <v>2</v>
      </c>
      <c r="N89" s="495">
        <f>IF('[1]BASE'!GC89=0,"",'[1]BASE'!GC89)</f>
      </c>
      <c r="O89" s="495">
        <f>IF('[1]BASE'!GD89=0,"",'[1]BASE'!GD89)</f>
        <v>3</v>
      </c>
      <c r="P89" s="495">
        <f>IF('[1]BASE'!GE89=0,"",'[1]BASE'!GE89)</f>
      </c>
      <c r="Q89" s="495">
        <f>IF('[1]BASE'!GF89=0,"",'[1]BASE'!GF89)</f>
      </c>
      <c r="R89" s="495">
        <f>IF('[1]BASE'!GG89=0,"",'[1]BASE'!GG89)</f>
      </c>
      <c r="S89" s="495">
        <f>IF('[1]BASE'!GH89=0,"",'[1]BASE'!GH89)</f>
      </c>
      <c r="T89" s="495">
        <f>IF('[1]BASE'!GI89=0,"",'[1]BASE'!GI89)</f>
      </c>
      <c r="U89" s="495">
        <f>IF('[1]BASE'!GJ89=0,"",'[1]BASE'!GJ89)</f>
      </c>
      <c r="V89" s="497"/>
      <c r="W89" s="491"/>
    </row>
    <row r="90" spans="2:23" s="485" customFormat="1" ht="18" customHeight="1">
      <c r="B90" s="486"/>
      <c r="C90" s="492">
        <f>IF('[1]BASE'!C90=0,"",'[1]BASE'!C90)</f>
        <v>94</v>
      </c>
      <c r="D90" s="493" t="str">
        <f>IF('[1]BASE'!D90=0,"",'[1]BASE'!D90)</f>
        <v>ALTE. BROWN - GLEW 1 </v>
      </c>
      <c r="E90" s="493">
        <f>IF('[1]BASE'!E90=0,"",'[1]BASE'!E90)</f>
        <v>547</v>
      </c>
      <c r="F90" s="494" t="str">
        <f>IF('[1]BASE'!F90=0,"",'[1]BASE'!F90)</f>
        <v>C</v>
      </c>
      <c r="G90" s="494">
        <f>'[1]BASE'!G90</f>
        <v>0</v>
      </c>
      <c r="H90" s="493">
        <f>IF('[1]BASE'!H90=0,"",'[1]BASE'!H90)</f>
        <v>132</v>
      </c>
      <c r="I90" s="494">
        <f>IF('[1]BASE'!I90=0,"",'[1]BASE'!I90)</f>
        <v>7.5</v>
      </c>
      <c r="J90" s="495">
        <f>IF('[1]BASE'!FY90=0,"",'[1]BASE'!FY90)</f>
      </c>
      <c r="K90" s="495">
        <f>IF('[1]BASE'!FZ90=0,"",'[1]BASE'!FZ90)</f>
      </c>
      <c r="L90" s="495">
        <f>IF('[1]BASE'!GA90=0,"",'[1]BASE'!GA90)</f>
      </c>
      <c r="M90" s="495">
        <f>IF('[1]BASE'!GB90=0,"",'[1]BASE'!GB90)</f>
      </c>
      <c r="N90" s="495">
        <f>IF('[1]BASE'!GC90=0,"",'[1]BASE'!GC90)</f>
      </c>
      <c r="O90" s="495">
        <f>IF('[1]BASE'!GD90=0,"",'[1]BASE'!GD90)</f>
      </c>
      <c r="P90" s="495">
        <f>IF('[1]BASE'!GE90=0,"",'[1]BASE'!GE90)</f>
      </c>
      <c r="Q90" s="495">
        <f>IF('[1]BASE'!GF90=0,"",'[1]BASE'!GF90)</f>
      </c>
      <c r="R90" s="495">
        <f>IF('[1]BASE'!GG90=0,"",'[1]BASE'!GG90)</f>
      </c>
      <c r="S90" s="495">
        <f>IF('[1]BASE'!GH90=0,"",'[1]BASE'!GH90)</f>
      </c>
      <c r="T90" s="495">
        <f>IF('[1]BASE'!GI90=0,"",'[1]BASE'!GI90)</f>
      </c>
      <c r="U90" s="495">
        <f>IF('[1]BASE'!GJ90=0,"",'[1]BASE'!GJ90)</f>
      </c>
      <c r="V90" s="497"/>
      <c r="W90" s="491"/>
    </row>
    <row r="91" spans="2:23" s="485" customFormat="1" ht="18" customHeight="1">
      <c r="B91" s="486"/>
      <c r="C91" s="492">
        <f>IF('[1]BASE'!C91=0,"",'[1]BASE'!C91)</f>
        <v>95</v>
      </c>
      <c r="D91" s="493" t="str">
        <f>IF('[1]BASE'!D91=0,"",'[1]BASE'!D91)</f>
        <v>ALTE. BROWN - GLEW 2 </v>
      </c>
      <c r="E91" s="493">
        <f>IF('[1]BASE'!E91=0,"",'[1]BASE'!E91)</f>
        <v>548</v>
      </c>
      <c r="F91" s="494" t="str">
        <f>IF('[1]BASE'!F91=0,"",'[1]BASE'!F91)</f>
        <v>C</v>
      </c>
      <c r="G91" s="494">
        <f>'[1]BASE'!G91</f>
        <v>0</v>
      </c>
      <c r="H91" s="493">
        <f>IF('[1]BASE'!H91=0,"",'[1]BASE'!H91)</f>
        <v>132</v>
      </c>
      <c r="I91" s="494">
        <f>IF('[1]BASE'!I91=0,"",'[1]BASE'!I91)</f>
        <v>7.5</v>
      </c>
      <c r="J91" s="495">
        <f>IF('[1]BASE'!FY91=0,"",'[1]BASE'!FY91)</f>
      </c>
      <c r="K91" s="495">
        <f>IF('[1]BASE'!FZ91=0,"",'[1]BASE'!FZ91)</f>
      </c>
      <c r="L91" s="495">
        <f>IF('[1]BASE'!GA91=0,"",'[1]BASE'!GA91)</f>
      </c>
      <c r="M91" s="495">
        <f>IF('[1]BASE'!GB91=0,"",'[1]BASE'!GB91)</f>
      </c>
      <c r="N91" s="495">
        <f>IF('[1]BASE'!GC91=0,"",'[1]BASE'!GC91)</f>
      </c>
      <c r="O91" s="495">
        <f>IF('[1]BASE'!GD91=0,"",'[1]BASE'!GD91)</f>
      </c>
      <c r="P91" s="495">
        <f>IF('[1]BASE'!GE91=0,"",'[1]BASE'!GE91)</f>
      </c>
      <c r="Q91" s="495">
        <f>IF('[1]BASE'!GF91=0,"",'[1]BASE'!GF91)</f>
      </c>
      <c r="R91" s="495">
        <f>IF('[1]BASE'!GG91=0,"",'[1]BASE'!GG91)</f>
      </c>
      <c r="S91" s="495">
        <f>IF('[1]BASE'!GH91=0,"",'[1]BASE'!GH91)</f>
      </c>
      <c r="T91" s="495">
        <f>IF('[1]BASE'!GI91=0,"",'[1]BASE'!GI91)</f>
      </c>
      <c r="U91" s="495">
        <f>IF('[1]BASE'!GJ91=0,"",'[1]BASE'!GJ91)</f>
      </c>
      <c r="V91" s="497"/>
      <c r="W91" s="491"/>
    </row>
    <row r="92" spans="2:23" s="485" customFormat="1" ht="18" customHeight="1">
      <c r="B92" s="486"/>
      <c r="C92" s="492">
        <f>IF('[1]BASE'!C92=0,"",'[1]BASE'!C92)</f>
        <v>52</v>
      </c>
      <c r="D92" s="493" t="str">
        <f>IF('[1]BASE'!D92=0,"",'[1]BASE'!D92)</f>
        <v>BOSQUES - MONTE CHINGOLO 1 </v>
      </c>
      <c r="E92" s="493">
        <f>IF('[1]BASE'!E92=0,"",'[1]BASE'!E92)</f>
        <v>553</v>
      </c>
      <c r="F92" s="494" t="str">
        <f>IF('[1]BASE'!F92=0,"",'[1]BASE'!F92)</f>
        <v>L</v>
      </c>
      <c r="G92" s="494">
        <f>'[1]BASE'!G92</f>
        <v>100</v>
      </c>
      <c r="H92" s="493">
        <f>IF('[1]BASE'!H92=0,"",'[1]BASE'!H92)</f>
        <v>132</v>
      </c>
      <c r="I92" s="494">
        <f>IF('[1]BASE'!I92=0,"",'[1]BASE'!I92)</f>
        <v>20.6</v>
      </c>
      <c r="J92" s="495">
        <f>IF('[1]BASE'!FY92=0,"",'[1]BASE'!FY92)</f>
      </c>
      <c r="K92" s="495">
        <f>IF('[1]BASE'!FZ92=0,"",'[1]BASE'!FZ92)</f>
      </c>
      <c r="L92" s="495">
        <f>IF('[1]BASE'!GA92=0,"",'[1]BASE'!GA92)</f>
      </c>
      <c r="M92" s="495">
        <f>IF('[1]BASE'!GB92=0,"",'[1]BASE'!GB92)</f>
      </c>
      <c r="N92" s="495">
        <f>IF('[1]BASE'!GC92=0,"",'[1]BASE'!GC92)</f>
      </c>
      <c r="O92" s="495">
        <f>IF('[1]BASE'!GD92=0,"",'[1]BASE'!GD92)</f>
      </c>
      <c r="P92" s="495">
        <f>IF('[1]BASE'!GE92=0,"",'[1]BASE'!GE92)</f>
      </c>
      <c r="Q92" s="495">
        <f>IF('[1]BASE'!GF92=0,"",'[1]BASE'!GF92)</f>
      </c>
      <c r="R92" s="495">
        <f>IF('[1]BASE'!GG92=0,"",'[1]BASE'!GG92)</f>
      </c>
      <c r="S92" s="495">
        <f>IF('[1]BASE'!GH92=0,"",'[1]BASE'!GH92)</f>
      </c>
      <c r="T92" s="495">
        <f>IF('[1]BASE'!GI92=0,"",'[1]BASE'!GI92)</f>
      </c>
      <c r="U92" s="495">
        <f>IF('[1]BASE'!GJ92=0,"",'[1]BASE'!GJ92)</f>
      </c>
      <c r="V92" s="497"/>
      <c r="W92" s="491"/>
    </row>
    <row r="93" spans="2:23" s="485" customFormat="1" ht="18" customHeight="1">
      <c r="B93" s="486"/>
      <c r="C93" s="492">
        <f>IF('[1]BASE'!C93=0,"",'[1]BASE'!C93)</f>
        <v>53</v>
      </c>
      <c r="D93" s="493" t="str">
        <f>IF('[1]BASE'!D93=0,"",'[1]BASE'!D93)</f>
        <v>BOSQUES - MONTE CHINGOLO 2 </v>
      </c>
      <c r="E93" s="493">
        <f>IF('[1]BASE'!E93=0,"",'[1]BASE'!E93)</f>
        <v>554</v>
      </c>
      <c r="F93" s="494" t="str">
        <f>IF('[1]BASE'!F93=0,"",'[1]BASE'!F93)</f>
        <v>L</v>
      </c>
      <c r="G93" s="494">
        <f>'[1]BASE'!G93</f>
        <v>100</v>
      </c>
      <c r="H93" s="493">
        <f>IF('[1]BASE'!H93=0,"",'[1]BASE'!H93)</f>
        <v>132</v>
      </c>
      <c r="I93" s="494">
        <f>IF('[1]BASE'!I93=0,"",'[1]BASE'!I93)</f>
        <v>20.4</v>
      </c>
      <c r="J93" s="495">
        <f>IF('[1]BASE'!FY93=0,"",'[1]BASE'!FY93)</f>
      </c>
      <c r="K93" s="495">
        <f>IF('[1]BASE'!FZ93=0,"",'[1]BASE'!FZ93)</f>
      </c>
      <c r="L93" s="495">
        <f>IF('[1]BASE'!GA93=0,"",'[1]BASE'!GA93)</f>
      </c>
      <c r="M93" s="495">
        <f>IF('[1]BASE'!GB93=0,"",'[1]BASE'!GB93)</f>
      </c>
      <c r="N93" s="495">
        <f>IF('[1]BASE'!GC93=0,"",'[1]BASE'!GC93)</f>
      </c>
      <c r="O93" s="495">
        <f>IF('[1]BASE'!GD93=0,"",'[1]BASE'!GD93)</f>
      </c>
      <c r="P93" s="495">
        <f>IF('[1]BASE'!GE93=0,"",'[1]BASE'!GE93)</f>
      </c>
      <c r="Q93" s="495">
        <f>IF('[1]BASE'!GF93=0,"",'[1]BASE'!GF93)</f>
        <v>1</v>
      </c>
      <c r="R93" s="495">
        <f>IF('[1]BASE'!GG93=0,"",'[1]BASE'!GG93)</f>
      </c>
      <c r="S93" s="495">
        <f>IF('[1]BASE'!GH93=0,"",'[1]BASE'!GH93)</f>
      </c>
      <c r="T93" s="495">
        <f>IF('[1]BASE'!GI93=0,"",'[1]BASE'!GI93)</f>
      </c>
      <c r="U93" s="495">
        <f>IF('[1]BASE'!GJ93=0,"",'[1]BASE'!GJ93)</f>
      </c>
      <c r="V93" s="497"/>
      <c r="W93" s="491"/>
    </row>
    <row r="94" spans="2:23" s="485" customFormat="1" ht="18" customHeight="1">
      <c r="B94" s="486"/>
      <c r="C94" s="492">
        <f>IF('[1]BASE'!C94=0,"",'[1]BASE'!C94)</f>
        <v>54</v>
      </c>
      <c r="D94" s="493" t="str">
        <f>IF('[1]BASE'!D94=0,"",'[1]BASE'!D94)</f>
        <v>ESCALADA - GERLI 1</v>
      </c>
      <c r="E94" s="493">
        <f>IF('[1]BASE'!E94=0,"",'[1]BASE'!E94)</f>
        <v>555</v>
      </c>
      <c r="F94" s="494" t="str">
        <f>IF('[1]BASE'!F94=0,"",'[1]BASE'!F94)</f>
        <v>C</v>
      </c>
      <c r="G94" s="494">
        <f>'[1]BASE'!G94</f>
        <v>0</v>
      </c>
      <c r="H94" s="493">
        <f>IF('[1]BASE'!H94=0,"",'[1]BASE'!H94)</f>
        <v>132</v>
      </c>
      <c r="I94" s="494">
        <f>IF('[1]BASE'!I94=0,"",'[1]BASE'!I94)</f>
        <v>4.8</v>
      </c>
      <c r="J94" s="495">
        <f>IF('[1]BASE'!FY94=0,"",'[1]BASE'!FY94)</f>
      </c>
      <c r="K94" s="495">
        <f>IF('[1]BASE'!FZ94=0,"",'[1]BASE'!FZ94)</f>
      </c>
      <c r="L94" s="495">
        <f>IF('[1]BASE'!GA94=0,"",'[1]BASE'!GA94)</f>
      </c>
      <c r="M94" s="495">
        <f>IF('[1]BASE'!GB94=0,"",'[1]BASE'!GB94)</f>
      </c>
      <c r="N94" s="495">
        <f>IF('[1]BASE'!GC94=0,"",'[1]BASE'!GC94)</f>
      </c>
      <c r="O94" s="495">
        <f>IF('[1]BASE'!GD94=0,"",'[1]BASE'!GD94)</f>
      </c>
      <c r="P94" s="495">
        <f>IF('[1]BASE'!GE94=0,"",'[1]BASE'!GE94)</f>
      </c>
      <c r="Q94" s="495">
        <f>IF('[1]BASE'!GF94=0,"",'[1]BASE'!GF94)</f>
      </c>
      <c r="R94" s="495">
        <f>IF('[1]BASE'!GG94=0,"",'[1]BASE'!GG94)</f>
      </c>
      <c r="S94" s="495">
        <f>IF('[1]BASE'!GH94=0,"",'[1]BASE'!GH94)</f>
      </c>
      <c r="T94" s="495">
        <f>IF('[1]BASE'!GI94=0,"",'[1]BASE'!GI94)</f>
      </c>
      <c r="U94" s="495">
        <f>IF('[1]BASE'!GJ94=0,"",'[1]BASE'!GJ94)</f>
      </c>
      <c r="V94" s="497"/>
      <c r="W94" s="491"/>
    </row>
    <row r="95" spans="2:23" s="485" customFormat="1" ht="18" customHeight="1">
      <c r="B95" s="486"/>
      <c r="C95" s="492">
        <f>IF('[1]BASE'!C95=0,"",'[1]BASE'!C95)</f>
        <v>55</v>
      </c>
      <c r="D95" s="493" t="str">
        <f>IF('[1]BASE'!D95=0,"",'[1]BASE'!D95)</f>
        <v>ESCALADA - GERLI 2 </v>
      </c>
      <c r="E95" s="493">
        <f>IF('[1]BASE'!E95=0,"",'[1]BASE'!E95)</f>
        <v>556</v>
      </c>
      <c r="F95" s="494" t="str">
        <f>IF('[1]BASE'!F95=0,"",'[1]BASE'!F95)</f>
        <v>C</v>
      </c>
      <c r="G95" s="494">
        <f>'[1]BASE'!G95</f>
        <v>0</v>
      </c>
      <c r="H95" s="493">
        <f>IF('[1]BASE'!H95=0,"",'[1]BASE'!H95)</f>
        <v>132</v>
      </c>
      <c r="I95" s="494">
        <f>IF('[1]BASE'!I95=0,"",'[1]BASE'!I95)</f>
        <v>4.8</v>
      </c>
      <c r="J95" s="495">
        <f>IF('[1]BASE'!FY95=0,"",'[1]BASE'!FY95)</f>
      </c>
      <c r="K95" s="495">
        <f>IF('[1]BASE'!FZ95=0,"",'[1]BASE'!FZ95)</f>
      </c>
      <c r="L95" s="495">
        <f>IF('[1]BASE'!GA95=0,"",'[1]BASE'!GA95)</f>
      </c>
      <c r="M95" s="495">
        <f>IF('[1]BASE'!GB95=0,"",'[1]BASE'!GB95)</f>
      </c>
      <c r="N95" s="495">
        <f>IF('[1]BASE'!GC95=0,"",'[1]BASE'!GC95)</f>
      </c>
      <c r="O95" s="495">
        <f>IF('[1]BASE'!GD95=0,"",'[1]BASE'!GD95)</f>
      </c>
      <c r="P95" s="495">
        <f>IF('[1]BASE'!GE95=0,"",'[1]BASE'!GE95)</f>
      </c>
      <c r="Q95" s="495">
        <f>IF('[1]BASE'!GF95=0,"",'[1]BASE'!GF95)</f>
      </c>
      <c r="R95" s="495">
        <f>IF('[1]BASE'!GG95=0,"",'[1]BASE'!GG95)</f>
      </c>
      <c r="S95" s="495">
        <f>IF('[1]BASE'!GH95=0,"",'[1]BASE'!GH95)</f>
      </c>
      <c r="T95" s="495">
        <f>IF('[1]BASE'!GI95=0,"",'[1]BASE'!GI95)</f>
      </c>
      <c r="U95" s="495">
        <f>IF('[1]BASE'!GJ95=0,"",'[1]BASE'!GJ95)</f>
      </c>
      <c r="V95" s="497"/>
      <c r="W95" s="491"/>
    </row>
    <row r="96" spans="2:23" s="485" customFormat="1" ht="18" customHeight="1">
      <c r="B96" s="486"/>
      <c r="C96" s="492">
        <f>IF('[1]BASE'!C96=0,"",'[1]BASE'!C96)</f>
        <v>56</v>
      </c>
      <c r="D96" s="493" t="str">
        <f>IF('[1]BASE'!D96=0,"",'[1]BASE'!D96)</f>
        <v>CORINA - ESCALADA </v>
      </c>
      <c r="E96" s="493">
        <f>IF('[1]BASE'!E96=0,"",'[1]BASE'!E96)</f>
        <v>574</v>
      </c>
      <c r="F96" s="494" t="str">
        <f>IF('[1]BASE'!F96=0,"",'[1]BASE'!F96)</f>
        <v>C</v>
      </c>
      <c r="G96" s="494">
        <f>'[1]BASE'!G96</f>
        <v>0</v>
      </c>
      <c r="H96" s="493">
        <f>IF('[1]BASE'!H96=0,"",'[1]BASE'!H96)</f>
        <v>132</v>
      </c>
      <c r="I96" s="494">
        <f>IF('[1]BASE'!I96=0,"",'[1]BASE'!I96)</f>
        <v>3.6</v>
      </c>
      <c r="J96" s="495">
        <f>IF('[1]BASE'!FY96=0,"",'[1]BASE'!FY96)</f>
      </c>
      <c r="K96" s="495">
        <f>IF('[1]BASE'!FZ96=0,"",'[1]BASE'!FZ96)</f>
      </c>
      <c r="L96" s="495">
        <f>IF('[1]BASE'!GA96=0,"",'[1]BASE'!GA96)</f>
      </c>
      <c r="M96" s="495">
        <f>IF('[1]BASE'!GB96=0,"",'[1]BASE'!GB96)</f>
      </c>
      <c r="N96" s="495">
        <f>IF('[1]BASE'!GC96=0,"",'[1]BASE'!GC96)</f>
      </c>
      <c r="O96" s="495">
        <f>IF('[1]BASE'!GD96=0,"",'[1]BASE'!GD96)</f>
      </c>
      <c r="P96" s="495">
        <f>IF('[1]BASE'!GE96=0,"",'[1]BASE'!GE96)</f>
      </c>
      <c r="Q96" s="495">
        <f>IF('[1]BASE'!GF96=0,"",'[1]BASE'!GF96)</f>
      </c>
      <c r="R96" s="495">
        <f>IF('[1]BASE'!GG96=0,"",'[1]BASE'!GG96)</f>
      </c>
      <c r="S96" s="495">
        <f>IF('[1]BASE'!GH96=0,"",'[1]BASE'!GH96)</f>
      </c>
      <c r="T96" s="495">
        <f>IF('[1]BASE'!GI96=0,"",'[1]BASE'!GI96)</f>
      </c>
      <c r="U96" s="495">
        <f>IF('[1]BASE'!GJ96=0,"",'[1]BASE'!GJ96)</f>
      </c>
      <c r="V96" s="497"/>
      <c r="W96" s="491"/>
    </row>
    <row r="97" spans="2:23" s="485" customFormat="1" ht="18" customHeight="1">
      <c r="B97" s="486"/>
      <c r="C97" s="492">
        <f>IF('[1]BASE'!C97=0,"",'[1]BASE'!C97)</f>
        <v>57</v>
      </c>
      <c r="D97" s="493" t="str">
        <f>IF('[1]BASE'!D97=0,"",'[1]BASE'!D97)</f>
        <v>V. ALSINA - 9 DE JULIO </v>
      </c>
      <c r="E97" s="493">
        <f>IF('[1]BASE'!E97=0,"",'[1]BASE'!E97)</f>
        <v>577</v>
      </c>
      <c r="F97" s="494" t="str">
        <f>IF('[1]BASE'!F97=0,"",'[1]BASE'!F97)</f>
        <v>C</v>
      </c>
      <c r="G97" s="494">
        <f>'[1]BASE'!G97</f>
        <v>0</v>
      </c>
      <c r="H97" s="493">
        <f>IF('[1]BASE'!H97=0,"",'[1]BASE'!H97)</f>
        <v>132</v>
      </c>
      <c r="I97" s="494">
        <f>IF('[1]BASE'!I97=0,"",'[1]BASE'!I97)</f>
        <v>8.1</v>
      </c>
      <c r="J97" s="495">
        <f>IF('[1]BASE'!FY97=0,"",'[1]BASE'!FY97)</f>
      </c>
      <c r="K97" s="495">
        <f>IF('[1]BASE'!FZ97=0,"",'[1]BASE'!FZ97)</f>
      </c>
      <c r="L97" s="495">
        <f>IF('[1]BASE'!GA97=0,"",'[1]BASE'!GA97)</f>
      </c>
      <c r="M97" s="495">
        <f>IF('[1]BASE'!GB97=0,"",'[1]BASE'!GB97)</f>
      </c>
      <c r="N97" s="495">
        <f>IF('[1]BASE'!GC97=0,"",'[1]BASE'!GC97)</f>
      </c>
      <c r="O97" s="495">
        <f>IF('[1]BASE'!GD97=0,"",'[1]BASE'!GD97)</f>
      </c>
      <c r="P97" s="495">
        <f>IF('[1]BASE'!GE97=0,"",'[1]BASE'!GE97)</f>
      </c>
      <c r="Q97" s="495">
        <f>IF('[1]BASE'!GF97=0,"",'[1]BASE'!GF97)</f>
      </c>
      <c r="R97" s="495">
        <f>IF('[1]BASE'!GG97=0,"",'[1]BASE'!GG97)</f>
      </c>
      <c r="S97" s="495">
        <f>IF('[1]BASE'!GH97=0,"",'[1]BASE'!GH97)</f>
      </c>
      <c r="T97" s="495">
        <f>IF('[1]BASE'!GI97=0,"",'[1]BASE'!GI97)</f>
      </c>
      <c r="U97" s="495">
        <f>IF('[1]BASE'!GJ97=0,"",'[1]BASE'!GJ97)</f>
      </c>
      <c r="V97" s="497"/>
      <c r="W97" s="491"/>
    </row>
    <row r="98" spans="2:23" s="485" customFormat="1" ht="18" customHeight="1">
      <c r="B98" s="486"/>
      <c r="C98" s="492">
        <f>IF('[1]BASE'!C98=0,"",'[1]BASE'!C98)</f>
        <v>58</v>
      </c>
      <c r="D98" s="493" t="str">
        <f>IF('[1]BASE'!D98=0,"",'[1]BASE'!D98)</f>
        <v>V. ALSINA - ESCALADA </v>
      </c>
      <c r="E98" s="493">
        <f>IF('[1]BASE'!E98=0,"",'[1]BASE'!E98)</f>
        <v>578</v>
      </c>
      <c r="F98" s="494" t="str">
        <f>IF('[1]BASE'!F98=0,"",'[1]BASE'!F98)</f>
        <v>C</v>
      </c>
      <c r="G98" s="494">
        <f>'[1]BASE'!G98</f>
        <v>0</v>
      </c>
      <c r="H98" s="493">
        <f>IF('[1]BASE'!H98=0,"",'[1]BASE'!H98)</f>
        <v>132</v>
      </c>
      <c r="I98" s="494">
        <f>IF('[1]BASE'!I98=0,"",'[1]BASE'!I98)</f>
        <v>6.6</v>
      </c>
      <c r="J98" s="495">
        <f>IF('[1]BASE'!FY98=0,"",'[1]BASE'!FY98)</f>
      </c>
      <c r="K98" s="495">
        <f>IF('[1]BASE'!FZ98=0,"",'[1]BASE'!FZ98)</f>
      </c>
      <c r="L98" s="495">
        <f>IF('[1]BASE'!GA98=0,"",'[1]BASE'!GA98)</f>
      </c>
      <c r="M98" s="495">
        <f>IF('[1]BASE'!GB98=0,"",'[1]BASE'!GB98)</f>
      </c>
      <c r="N98" s="495">
        <f>IF('[1]BASE'!GC98=0,"",'[1]BASE'!GC98)</f>
      </c>
      <c r="O98" s="495">
        <f>IF('[1]BASE'!GD98=0,"",'[1]BASE'!GD98)</f>
      </c>
      <c r="P98" s="495">
        <f>IF('[1]BASE'!GE98=0,"",'[1]BASE'!GE98)</f>
      </c>
      <c r="Q98" s="495">
        <f>IF('[1]BASE'!GF98=0,"",'[1]BASE'!GF98)</f>
      </c>
      <c r="R98" s="495">
        <f>IF('[1]BASE'!GG98=0,"",'[1]BASE'!GG98)</f>
      </c>
      <c r="S98" s="495">
        <f>IF('[1]BASE'!GH98=0,"",'[1]BASE'!GH98)</f>
      </c>
      <c r="T98" s="495">
        <f>IF('[1]BASE'!GI98=0,"",'[1]BASE'!GI98)</f>
      </c>
      <c r="U98" s="495">
        <f>IF('[1]BASE'!GJ98=0,"",'[1]BASE'!GJ98)</f>
      </c>
      <c r="V98" s="497"/>
      <c r="W98" s="491"/>
    </row>
    <row r="99" spans="2:23" s="485" customFormat="1" ht="18" customHeight="1">
      <c r="B99" s="486"/>
      <c r="C99" s="492">
        <f>IF('[1]BASE'!C99=0,"",'[1]BASE'!C99)</f>
        <v>59</v>
      </c>
      <c r="D99" s="493" t="str">
        <f>IF('[1]BASE'!D99=0,"",'[1]BASE'!D99)</f>
        <v>ALTE. BROWN - ESCALADA 1 </v>
      </c>
      <c r="E99" s="493">
        <f>IF('[1]BASE'!E99=0,"",'[1]BASE'!E99)</f>
        <v>579</v>
      </c>
      <c r="F99" s="494" t="str">
        <f>IF('[1]BASE'!F99=0,"",'[1]BASE'!F99)</f>
        <v>C</v>
      </c>
      <c r="G99" s="494">
        <f>'[1]BASE'!G99</f>
        <v>0</v>
      </c>
      <c r="H99" s="493">
        <f>IF('[1]BASE'!H99=0,"",'[1]BASE'!H99)</f>
        <v>132</v>
      </c>
      <c r="I99" s="494">
        <f>IF('[1]BASE'!I99=0,"",'[1]BASE'!I99)</f>
        <v>16.7</v>
      </c>
      <c r="J99" s="495">
        <f>IF('[1]BASE'!FY99=0,"",'[1]BASE'!FY99)</f>
      </c>
      <c r="K99" s="495">
        <f>IF('[1]BASE'!FZ99=0,"",'[1]BASE'!FZ99)</f>
        <v>1</v>
      </c>
      <c r="L99" s="495">
        <f>IF('[1]BASE'!GA99=0,"",'[1]BASE'!GA99)</f>
      </c>
      <c r="M99" s="495">
        <f>IF('[1]BASE'!GB99=0,"",'[1]BASE'!GB99)</f>
      </c>
      <c r="N99" s="495">
        <f>IF('[1]BASE'!GC99=0,"",'[1]BASE'!GC99)</f>
      </c>
      <c r="O99" s="495">
        <f>IF('[1]BASE'!GD99=0,"",'[1]BASE'!GD99)</f>
        <v>1</v>
      </c>
      <c r="P99" s="495">
        <f>IF('[1]BASE'!GE99=0,"",'[1]BASE'!GE99)</f>
      </c>
      <c r="Q99" s="495">
        <f>IF('[1]BASE'!GF99=0,"",'[1]BASE'!GF99)</f>
      </c>
      <c r="R99" s="495">
        <f>IF('[1]BASE'!GG99=0,"",'[1]BASE'!GG99)</f>
      </c>
      <c r="S99" s="495">
        <f>IF('[1]BASE'!GH99=0,"",'[1]BASE'!GH99)</f>
      </c>
      <c r="T99" s="495">
        <f>IF('[1]BASE'!GI99=0,"",'[1]BASE'!GI99)</f>
      </c>
      <c r="U99" s="495">
        <f>IF('[1]BASE'!GJ99=0,"",'[1]BASE'!GJ99)</f>
      </c>
      <c r="V99" s="497"/>
      <c r="W99" s="491"/>
    </row>
    <row r="100" spans="2:23" s="485" customFormat="1" ht="18" customHeight="1">
      <c r="B100" s="486"/>
      <c r="C100" s="492">
        <f>IF('[1]BASE'!C100=0,"",'[1]BASE'!C100)</f>
        <v>60</v>
      </c>
      <c r="D100" s="493" t="str">
        <f>IF('[1]BASE'!D100=0,"",'[1]BASE'!D100)</f>
        <v>ALTE. BROWN - ESCALADA 2 </v>
      </c>
      <c r="E100" s="493">
        <f>IF('[1]BASE'!E100=0,"",'[1]BASE'!E100)</f>
        <v>580</v>
      </c>
      <c r="F100" s="494" t="str">
        <f>IF('[1]BASE'!F100=0,"",'[1]BASE'!F100)</f>
        <v>C</v>
      </c>
      <c r="G100" s="494">
        <f>'[1]BASE'!G100</f>
        <v>0</v>
      </c>
      <c r="H100" s="493">
        <f>IF('[1]BASE'!H100=0,"",'[1]BASE'!H100)</f>
        <v>132</v>
      </c>
      <c r="I100" s="494">
        <f>IF('[1]BASE'!I100=0,"",'[1]BASE'!I100)</f>
        <v>16.6</v>
      </c>
      <c r="J100" s="495">
        <f>IF('[1]BASE'!FY100=0,"",'[1]BASE'!FY100)</f>
      </c>
      <c r="K100" s="495">
        <f>IF('[1]BASE'!FZ100=0,"",'[1]BASE'!FZ100)</f>
        <v>1</v>
      </c>
      <c r="L100" s="495">
        <f>IF('[1]BASE'!GA100=0,"",'[1]BASE'!GA100)</f>
      </c>
      <c r="M100" s="495">
        <f>IF('[1]BASE'!GB100=0,"",'[1]BASE'!GB100)</f>
      </c>
      <c r="N100" s="495">
        <f>IF('[1]BASE'!GC100=0,"",'[1]BASE'!GC100)</f>
      </c>
      <c r="O100" s="495">
        <f>IF('[1]BASE'!GD100=0,"",'[1]BASE'!GD100)</f>
      </c>
      <c r="P100" s="495">
        <f>IF('[1]BASE'!GE100=0,"",'[1]BASE'!GE100)</f>
      </c>
      <c r="Q100" s="495">
        <f>IF('[1]BASE'!GF100=0,"",'[1]BASE'!GF100)</f>
      </c>
      <c r="R100" s="495">
        <f>IF('[1]BASE'!GG100=0,"",'[1]BASE'!GG100)</f>
      </c>
      <c r="S100" s="495">
        <f>IF('[1]BASE'!GH100=0,"",'[1]BASE'!GH100)</f>
      </c>
      <c r="T100" s="495">
        <f>IF('[1]BASE'!GI100=0,"",'[1]BASE'!GI100)</f>
        <v>1</v>
      </c>
      <c r="U100" s="495">
        <f>IF('[1]BASE'!GJ100=0,"",'[1]BASE'!GJ100)</f>
      </c>
      <c r="V100" s="497"/>
      <c r="W100" s="491"/>
    </row>
    <row r="101" spans="2:23" s="485" customFormat="1" ht="18" customHeight="1" hidden="1">
      <c r="B101" s="486"/>
      <c r="C101" s="492">
        <f>IF('[1]BASE'!C101=0,"",'[1]BASE'!C101)</f>
        <v>61</v>
      </c>
      <c r="D101" s="493" t="str">
        <f>IF('[1]BASE'!D101=0,"",'[1]BASE'!D101)</f>
        <v>ALTE. BROWN - ECHEVERRÍA 1 </v>
      </c>
      <c r="E101" s="493">
        <f>IF('[1]BASE'!E101=0,"",'[1]BASE'!E101)</f>
        <v>581</v>
      </c>
      <c r="F101" s="494" t="str">
        <f>IF('[1]BASE'!F101=0,"",'[1]BASE'!F101)</f>
        <v>LC</v>
      </c>
      <c r="G101" s="494">
        <f>'[1]BASE'!G101</f>
        <v>70.23</v>
      </c>
      <c r="H101" s="493">
        <f>IF('[1]BASE'!H101=0,"",'[1]BASE'!H101)</f>
        <v>132</v>
      </c>
      <c r="I101" s="494">
        <f>IF('[1]BASE'!I101=0,"",'[1]BASE'!I101)</f>
        <v>8.4</v>
      </c>
      <c r="J101" s="495" t="str">
        <f>IF('[1]BASE'!FY101=0,"",'[1]BASE'!FY101)</f>
        <v>XXXX</v>
      </c>
      <c r="K101" s="495" t="str">
        <f>IF('[1]BASE'!FZ101=0,"",'[1]BASE'!FZ101)</f>
        <v>XXXX</v>
      </c>
      <c r="L101" s="495" t="str">
        <f>IF('[1]BASE'!GA101=0,"",'[1]BASE'!GA101)</f>
        <v>XXXX</v>
      </c>
      <c r="M101" s="495" t="str">
        <f>IF('[1]BASE'!GB101=0,"",'[1]BASE'!GB101)</f>
        <v>XXXX</v>
      </c>
      <c r="N101" s="495" t="str">
        <f>IF('[1]BASE'!GC101=0,"",'[1]BASE'!GC101)</f>
        <v>XXXX</v>
      </c>
      <c r="O101" s="495" t="str">
        <f>IF('[1]BASE'!GD101=0,"",'[1]BASE'!GD101)</f>
        <v>XXXX</v>
      </c>
      <c r="P101" s="495" t="str">
        <f>IF('[1]BASE'!GE101=0,"",'[1]BASE'!GE101)</f>
        <v>XXXX</v>
      </c>
      <c r="Q101" s="495" t="str">
        <f>IF('[1]BASE'!GF101=0,"",'[1]BASE'!GF101)</f>
        <v>XXXX</v>
      </c>
      <c r="R101" s="495" t="str">
        <f>IF('[1]BASE'!GG101=0,"",'[1]BASE'!GG101)</f>
        <v>XXXX</v>
      </c>
      <c r="S101" s="495" t="str">
        <f>IF('[1]BASE'!GH101=0,"",'[1]BASE'!GH101)</f>
        <v>XXXX</v>
      </c>
      <c r="T101" s="495" t="str">
        <f>IF('[1]BASE'!GI101=0,"",'[1]BASE'!GI101)</f>
        <v>XXXX</v>
      </c>
      <c r="U101" s="495" t="str">
        <f>IF('[1]BASE'!GJ101=0,"",'[1]BASE'!GJ101)</f>
        <v>XXXX</v>
      </c>
      <c r="V101" s="497"/>
      <c r="W101" s="491"/>
    </row>
    <row r="102" spans="2:23" s="485" customFormat="1" ht="18" customHeight="1" hidden="1">
      <c r="B102" s="486"/>
      <c r="C102" s="492">
        <f>IF('[1]BASE'!C102=0,"",'[1]BASE'!C102)</f>
        <v>62</v>
      </c>
      <c r="D102" s="493" t="str">
        <f>IF('[1]BASE'!D102=0,"",'[1]BASE'!D102)</f>
        <v>ALTE. BROWN - ECHEVERRÍA 2 </v>
      </c>
      <c r="E102" s="493">
        <f>IF('[1]BASE'!E102=0,"",'[1]BASE'!E102)</f>
        <v>582</v>
      </c>
      <c r="F102" s="494" t="str">
        <f>IF('[1]BASE'!F102=0,"",'[1]BASE'!F102)</f>
        <v>LC</v>
      </c>
      <c r="G102" s="494">
        <f>'[1]BASE'!G102</f>
        <v>88.46153846153845</v>
      </c>
      <c r="H102" s="493">
        <f>IF('[1]BASE'!H102=0,"",'[1]BASE'!H102)</f>
        <v>132</v>
      </c>
      <c r="I102" s="494">
        <f>IF('[1]BASE'!I102=0,"",'[1]BASE'!I102)</f>
        <v>7.800000000000001</v>
      </c>
      <c r="J102" s="495" t="str">
        <f>IF('[1]BASE'!FY102=0,"",'[1]BASE'!FY102)</f>
        <v>XXXX</v>
      </c>
      <c r="K102" s="495" t="str">
        <f>IF('[1]BASE'!FZ102=0,"",'[1]BASE'!FZ102)</f>
        <v>XXXX</v>
      </c>
      <c r="L102" s="495" t="str">
        <f>IF('[1]BASE'!GA102=0,"",'[1]BASE'!GA102)</f>
        <v>XXXX</v>
      </c>
      <c r="M102" s="495" t="str">
        <f>IF('[1]BASE'!GB102=0,"",'[1]BASE'!GB102)</f>
        <v>XXXX</v>
      </c>
      <c r="N102" s="495" t="str">
        <f>IF('[1]BASE'!GC102=0,"",'[1]BASE'!GC102)</f>
        <v>XXXX</v>
      </c>
      <c r="O102" s="495" t="str">
        <f>IF('[1]BASE'!GD102=0,"",'[1]BASE'!GD102)</f>
        <v>XXXX</v>
      </c>
      <c r="P102" s="495" t="str">
        <f>IF('[1]BASE'!GE102=0,"",'[1]BASE'!GE102)</f>
        <v>XXXX</v>
      </c>
      <c r="Q102" s="495" t="str">
        <f>IF('[1]BASE'!GF102=0,"",'[1]BASE'!GF102)</f>
        <v>XXXX</v>
      </c>
      <c r="R102" s="495" t="str">
        <f>IF('[1]BASE'!GG102=0,"",'[1]BASE'!GG102)</f>
        <v>XXXX</v>
      </c>
      <c r="S102" s="495" t="str">
        <f>IF('[1]BASE'!GH102=0,"",'[1]BASE'!GH102)</f>
        <v>XXXX</v>
      </c>
      <c r="T102" s="495" t="str">
        <f>IF('[1]BASE'!GI102=0,"",'[1]BASE'!GI102)</f>
        <v>XXXX</v>
      </c>
      <c r="U102" s="495" t="str">
        <f>IF('[1]BASE'!GJ102=0,"",'[1]BASE'!GJ102)</f>
        <v>XXXX</v>
      </c>
      <c r="V102" s="497"/>
      <c r="W102" s="491"/>
    </row>
    <row r="103" spans="2:23" s="485" customFormat="1" ht="18" customHeight="1">
      <c r="B103" s="486"/>
      <c r="C103" s="492">
        <f>IF('[1]BASE'!C103=0,"",'[1]BASE'!C103)</f>
        <v>98</v>
      </c>
      <c r="D103" s="493" t="str">
        <f>IF('[1]BASE'!D103=0,"",'[1]BASE'!D103)</f>
        <v>CALZADA - ALTE BROWN 1</v>
      </c>
      <c r="E103" s="493">
        <f>IF('[1]BASE'!E103=0,"",'[1]BASE'!E103)</f>
        <v>581</v>
      </c>
      <c r="F103" s="494" t="str">
        <f>IF('[1]BASE'!F103=0,"",'[1]BASE'!F103)</f>
        <v>LC</v>
      </c>
      <c r="G103" s="494">
        <f>'[1]BASE'!G103</f>
        <v>84.52</v>
      </c>
      <c r="H103" s="493">
        <f>IF('[1]BASE'!H103=0,"",'[1]BASE'!H103)</f>
        <v>132</v>
      </c>
      <c r="I103" s="494">
        <f>IF('[1]BASE'!I103=0,"",'[1]BASE'!I103)</f>
        <v>8.4</v>
      </c>
      <c r="J103" s="495">
        <f>IF('[1]BASE'!FY103=0,"",'[1]BASE'!FY103)</f>
      </c>
      <c r="K103" s="495">
        <f>IF('[1]BASE'!FZ103=0,"",'[1]BASE'!FZ103)</f>
      </c>
      <c r="L103" s="495">
        <f>IF('[1]BASE'!GA103=0,"",'[1]BASE'!GA103)</f>
      </c>
      <c r="M103" s="495">
        <f>IF('[1]BASE'!GB103=0,"",'[1]BASE'!GB103)</f>
      </c>
      <c r="N103" s="495">
        <f>IF('[1]BASE'!GC103=0,"",'[1]BASE'!GC103)</f>
      </c>
      <c r="O103" s="495">
        <f>IF('[1]BASE'!GD103=0,"",'[1]BASE'!GD103)</f>
      </c>
      <c r="P103" s="495">
        <f>IF('[1]BASE'!GE103=0,"",'[1]BASE'!GE103)</f>
      </c>
      <c r="Q103" s="495">
        <f>IF('[1]BASE'!GF103=0,"",'[1]BASE'!GF103)</f>
      </c>
      <c r="R103" s="495">
        <f>IF('[1]BASE'!GG103=0,"",'[1]BASE'!GG103)</f>
      </c>
      <c r="S103" s="495">
        <f>IF('[1]BASE'!GH103=0,"",'[1]BASE'!GH103)</f>
      </c>
      <c r="T103" s="495">
        <f>IF('[1]BASE'!GI103=0,"",'[1]BASE'!GI103)</f>
      </c>
      <c r="U103" s="495">
        <f>IF('[1]BASE'!GJ103=0,"",'[1]BASE'!GJ103)</f>
      </c>
      <c r="V103" s="497"/>
      <c r="W103" s="491"/>
    </row>
    <row r="104" spans="2:23" s="485" customFormat="1" ht="18" customHeight="1">
      <c r="B104" s="486"/>
      <c r="C104" s="492">
        <f>IF('[1]BASE'!C104=0,"",'[1]BASE'!C104)</f>
        <v>99</v>
      </c>
      <c r="D104" s="493" t="str">
        <f>IF('[1]BASE'!D104=0,"",'[1]BASE'!D104)</f>
        <v>CALZADA - ALTE BROWN 2</v>
      </c>
      <c r="E104" s="493">
        <f>IF('[1]BASE'!E104=0,"",'[1]BASE'!E104)</f>
        <v>582</v>
      </c>
      <c r="F104" s="494" t="str">
        <f>IF('[1]BASE'!F104=0,"",'[1]BASE'!F104)</f>
        <v>LC</v>
      </c>
      <c r="G104" s="494">
        <f>'[1]BASE'!G104</f>
        <v>88.46</v>
      </c>
      <c r="H104" s="493">
        <f>IF('[1]BASE'!H104=0,"",'[1]BASE'!H104)</f>
        <v>132</v>
      </c>
      <c r="I104" s="494">
        <f>IF('[1]BASE'!I104=0,"",'[1]BASE'!I104)</f>
        <v>7.8</v>
      </c>
      <c r="J104" s="495">
        <f>IF('[1]BASE'!FY104=0,"",'[1]BASE'!FY104)</f>
      </c>
      <c r="K104" s="495">
        <f>IF('[1]BASE'!FZ104=0,"",'[1]BASE'!FZ104)</f>
      </c>
      <c r="L104" s="495">
        <f>IF('[1]BASE'!GA104=0,"",'[1]BASE'!GA104)</f>
      </c>
      <c r="M104" s="495">
        <f>IF('[1]BASE'!GB104=0,"",'[1]BASE'!GB104)</f>
      </c>
      <c r="N104" s="495">
        <f>IF('[1]BASE'!GC104=0,"",'[1]BASE'!GC104)</f>
      </c>
      <c r="O104" s="495">
        <f>IF('[1]BASE'!GD104=0,"",'[1]BASE'!GD104)</f>
      </c>
      <c r="P104" s="495">
        <f>IF('[1]BASE'!GE104=0,"",'[1]BASE'!GE104)</f>
      </c>
      <c r="Q104" s="495">
        <f>IF('[1]BASE'!GF104=0,"",'[1]BASE'!GF104)</f>
      </c>
      <c r="R104" s="495">
        <f>IF('[1]BASE'!GG104=0,"",'[1]BASE'!GG104)</f>
      </c>
      <c r="S104" s="495">
        <f>IF('[1]BASE'!GH104=0,"",'[1]BASE'!GH104)</f>
      </c>
      <c r="T104" s="495">
        <f>IF('[1]BASE'!GI104=0,"",'[1]BASE'!GI104)</f>
      </c>
      <c r="U104" s="495">
        <f>IF('[1]BASE'!GJ104=0,"",'[1]BASE'!GJ104)</f>
      </c>
      <c r="V104" s="497"/>
      <c r="W104" s="491"/>
    </row>
    <row r="105" spans="2:23" s="485" customFormat="1" ht="18" customHeight="1" hidden="1">
      <c r="B105" s="486"/>
      <c r="C105" s="492">
        <f>IF('[1]BASE'!C105=0,"",'[1]BASE'!C105)</f>
        <v>63</v>
      </c>
      <c r="D105" s="493" t="str">
        <f>IF('[1]BASE'!D105=0,"",'[1]BASE'!D105)</f>
        <v>ALTE. BROWN - SANTA CATALINA 1 </v>
      </c>
      <c r="E105" s="493">
        <f>IF('[1]BASE'!E105=0,"",'[1]BASE'!E105)</f>
        <v>585</v>
      </c>
      <c r="F105" s="494" t="str">
        <f>IF('[1]BASE'!F105=0,"",'[1]BASE'!F105)</f>
        <v>L</v>
      </c>
      <c r="G105" s="494">
        <f>'[1]BASE'!G105</f>
        <v>100</v>
      </c>
      <c r="H105" s="493">
        <f>IF('[1]BASE'!H105=0,"",'[1]BASE'!H105)</f>
        <v>132</v>
      </c>
      <c r="I105" s="494">
        <f>IF('[1]BASE'!I105=0,"",'[1]BASE'!I105)</f>
        <v>19.5</v>
      </c>
      <c r="J105" s="495" t="str">
        <f>IF('[1]BASE'!FY105=0,"",'[1]BASE'!FY105)</f>
        <v>XXXX</v>
      </c>
      <c r="K105" s="495" t="str">
        <f>IF('[1]BASE'!FZ105=0,"",'[1]BASE'!FZ105)</f>
        <v>XXXX</v>
      </c>
      <c r="L105" s="495" t="str">
        <f>IF('[1]BASE'!GA105=0,"",'[1]BASE'!GA105)</f>
        <v>XXXX</v>
      </c>
      <c r="M105" s="495" t="str">
        <f>IF('[1]BASE'!GB105=0,"",'[1]BASE'!GB105)</f>
        <v>XXXX</v>
      </c>
      <c r="N105" s="495" t="str">
        <f>IF('[1]BASE'!GC105=0,"",'[1]BASE'!GC105)</f>
        <v>XXXX</v>
      </c>
      <c r="O105" s="495" t="str">
        <f>IF('[1]BASE'!GD105=0,"",'[1]BASE'!GD105)</f>
        <v>XXXX</v>
      </c>
      <c r="P105" s="495" t="str">
        <f>IF('[1]BASE'!GE105=0,"",'[1]BASE'!GE105)</f>
        <v>XXXX</v>
      </c>
      <c r="Q105" s="495" t="str">
        <f>IF('[1]BASE'!GF105=0,"",'[1]BASE'!GF105)</f>
        <v>XXXX</v>
      </c>
      <c r="R105" s="495" t="str">
        <f>IF('[1]BASE'!GG105=0,"",'[1]BASE'!GG105)</f>
        <v>XXXX</v>
      </c>
      <c r="S105" s="495" t="str">
        <f>IF('[1]BASE'!GH105=0,"",'[1]BASE'!GH105)</f>
        <v>XXXX</v>
      </c>
      <c r="T105" s="495" t="str">
        <f>IF('[1]BASE'!GI105=0,"",'[1]BASE'!GI105)</f>
        <v>XXXX</v>
      </c>
      <c r="U105" s="495" t="str">
        <f>IF('[1]BASE'!GJ105=0,"",'[1]BASE'!GJ105)</f>
        <v>XXXX</v>
      </c>
      <c r="V105" s="497"/>
      <c r="W105" s="491"/>
    </row>
    <row r="106" spans="2:23" s="485" customFormat="1" ht="18" customHeight="1" hidden="1">
      <c r="B106" s="486"/>
      <c r="C106" s="492">
        <f>IF('[1]BASE'!C106=0,"",'[1]BASE'!C106)</f>
        <v>64</v>
      </c>
      <c r="D106" s="493" t="str">
        <f>IF('[1]BASE'!D106=0,"",'[1]BASE'!D106)</f>
        <v>ALTE. BROWN - SANTA CATALINA 2 </v>
      </c>
      <c r="E106" s="493">
        <f>IF('[1]BASE'!E106=0,"",'[1]BASE'!E106)</f>
        <v>586</v>
      </c>
      <c r="F106" s="494" t="str">
        <f>IF('[1]BASE'!F106=0,"",'[1]BASE'!F106)</f>
        <v>L</v>
      </c>
      <c r="G106" s="494">
        <f>'[1]BASE'!G106</f>
        <v>100</v>
      </c>
      <c r="H106" s="493">
        <f>IF('[1]BASE'!H106=0,"",'[1]BASE'!H106)</f>
        <v>132</v>
      </c>
      <c r="I106" s="494">
        <f>IF('[1]BASE'!I106=0,"",'[1]BASE'!I106)</f>
        <v>20.6</v>
      </c>
      <c r="J106" s="495" t="str">
        <f>IF('[1]BASE'!FY106=0,"",'[1]BASE'!FY106)</f>
        <v>XXXX</v>
      </c>
      <c r="K106" s="495" t="str">
        <f>IF('[1]BASE'!FZ106=0,"",'[1]BASE'!FZ106)</f>
        <v>XXXX</v>
      </c>
      <c r="L106" s="495" t="str">
        <f>IF('[1]BASE'!GA106=0,"",'[1]BASE'!GA106)</f>
        <v>XXXX</v>
      </c>
      <c r="M106" s="495" t="str">
        <f>IF('[1]BASE'!GB106=0,"",'[1]BASE'!GB106)</f>
        <v>XXXX</v>
      </c>
      <c r="N106" s="495" t="str">
        <f>IF('[1]BASE'!GC106=0,"",'[1]BASE'!GC106)</f>
        <v>XXXX</v>
      </c>
      <c r="O106" s="495" t="str">
        <f>IF('[1]BASE'!GD106=0,"",'[1]BASE'!GD106)</f>
        <v>XXXX</v>
      </c>
      <c r="P106" s="495" t="str">
        <f>IF('[1]BASE'!GE106=0,"",'[1]BASE'!GE106)</f>
        <v>XXXX</v>
      </c>
      <c r="Q106" s="495" t="str">
        <f>IF('[1]BASE'!GF106=0,"",'[1]BASE'!GF106)</f>
        <v>XXXX</v>
      </c>
      <c r="R106" s="495" t="str">
        <f>IF('[1]BASE'!GG106=0,"",'[1]BASE'!GG106)</f>
        <v>XXXX</v>
      </c>
      <c r="S106" s="495" t="str">
        <f>IF('[1]BASE'!GH106=0,"",'[1]BASE'!GH106)</f>
        <v>XXXX</v>
      </c>
      <c r="T106" s="495" t="str">
        <f>IF('[1]BASE'!GI106=0,"",'[1]BASE'!GI106)</f>
        <v>XXXX</v>
      </c>
      <c r="U106" s="495" t="str">
        <f>IF('[1]BASE'!GJ106=0,"",'[1]BASE'!GJ106)</f>
        <v>XXXX</v>
      </c>
      <c r="V106" s="497"/>
      <c r="W106" s="491"/>
    </row>
    <row r="107" spans="2:23" s="485" customFormat="1" ht="18" customHeight="1">
      <c r="B107" s="486"/>
      <c r="C107" s="492">
        <f>IF('[1]BASE'!C107=0,"",'[1]BASE'!C107)</f>
        <v>96</v>
      </c>
      <c r="D107" s="493" t="str">
        <f>IF('[1]BASE'!D107=0,"",'[1]BASE'!D107)</f>
        <v>ALTE. BROWN - TRANSRADIO 1 </v>
      </c>
      <c r="E107" s="493">
        <f>IF('[1]BASE'!E107=0,"",'[1]BASE'!E107)</f>
        <v>585</v>
      </c>
      <c r="F107" s="494" t="str">
        <f>IF('[1]BASE'!F107=0,"",'[1]BASE'!F107)</f>
        <v>LC</v>
      </c>
      <c r="G107" s="494">
        <f>'[1]BASE'!G107</f>
        <v>79.59183673469387</v>
      </c>
      <c r="H107" s="493">
        <f>IF('[1]BASE'!H107=0,"",'[1]BASE'!H107)</f>
        <v>132</v>
      </c>
      <c r="I107" s="494">
        <f>IF('[1]BASE'!I107=0,"",'[1]BASE'!I107)</f>
        <v>24.5</v>
      </c>
      <c r="J107" s="495">
        <f>IF('[1]BASE'!FY107=0,"",'[1]BASE'!FY107)</f>
      </c>
      <c r="K107" s="495">
        <f>IF('[1]BASE'!FZ107=0,"",'[1]BASE'!FZ107)</f>
      </c>
      <c r="L107" s="495">
        <f>IF('[1]BASE'!GA107=0,"",'[1]BASE'!GA107)</f>
        <v>1</v>
      </c>
      <c r="M107" s="495">
        <f>IF('[1]BASE'!GB107=0,"",'[1]BASE'!GB107)</f>
      </c>
      <c r="N107" s="495">
        <f>IF('[1]BASE'!GC107=0,"",'[1]BASE'!GC107)</f>
      </c>
      <c r="O107" s="495">
        <f>IF('[1]BASE'!GD107=0,"",'[1]BASE'!GD107)</f>
      </c>
      <c r="P107" s="495">
        <f>IF('[1]BASE'!GE107=0,"",'[1]BASE'!GE107)</f>
      </c>
      <c r="Q107" s="495">
        <f>IF('[1]BASE'!GF107=0,"",'[1]BASE'!GF107)</f>
      </c>
      <c r="R107" s="495">
        <f>IF('[1]BASE'!GG107=0,"",'[1]BASE'!GG107)</f>
      </c>
      <c r="S107" s="495">
        <f>IF('[1]BASE'!GH107=0,"",'[1]BASE'!GH107)</f>
      </c>
      <c r="T107" s="495">
        <f>IF('[1]BASE'!GI107=0,"",'[1]BASE'!GI107)</f>
      </c>
      <c r="U107" s="495">
        <f>IF('[1]BASE'!GJ107=0,"",'[1]BASE'!GJ107)</f>
      </c>
      <c r="V107" s="497"/>
      <c r="W107" s="491"/>
    </row>
    <row r="108" spans="2:23" s="485" customFormat="1" ht="18" customHeight="1">
      <c r="B108" s="486"/>
      <c r="C108" s="492">
        <f>IF('[1]BASE'!C108=0,"",'[1]BASE'!C108)</f>
        <v>97</v>
      </c>
      <c r="D108" s="493" t="str">
        <f>IF('[1]BASE'!D108=0,"",'[1]BASE'!D108)</f>
        <v>ALTE. BROWN - TRANSRADIO 2 </v>
      </c>
      <c r="E108" s="493">
        <f>IF('[1]BASE'!E108=0,"",'[1]BASE'!E108)</f>
        <v>586</v>
      </c>
      <c r="F108" s="494" t="str">
        <f>IF('[1]BASE'!F108=0,"",'[1]BASE'!F108)</f>
        <v>LC</v>
      </c>
      <c r="G108" s="494">
        <f>'[1]BASE'!G108</f>
        <v>80.47</v>
      </c>
      <c r="H108" s="493">
        <f>IF('[1]BASE'!H108=0,"",'[1]BASE'!H108)</f>
        <v>132</v>
      </c>
      <c r="I108" s="494">
        <f>IF('[1]BASE'!I108=0,"",'[1]BASE'!I108)</f>
        <v>25.6</v>
      </c>
      <c r="J108" s="495">
        <f>IF('[1]BASE'!FY108=0,"",'[1]BASE'!FY108)</f>
      </c>
      <c r="K108" s="495">
        <f>IF('[1]BASE'!FZ108=0,"",'[1]BASE'!FZ108)</f>
      </c>
      <c r="L108" s="495">
        <f>IF('[1]BASE'!GA108=0,"",'[1]BASE'!GA108)</f>
      </c>
      <c r="M108" s="495">
        <f>IF('[1]BASE'!GB108=0,"",'[1]BASE'!GB108)</f>
        <v>1</v>
      </c>
      <c r="N108" s="495">
        <f>IF('[1]BASE'!GC108=0,"",'[1]BASE'!GC108)</f>
      </c>
      <c r="O108" s="495">
        <f>IF('[1]BASE'!GD108=0,"",'[1]BASE'!GD108)</f>
      </c>
      <c r="P108" s="495">
        <f>IF('[1]BASE'!GE108=0,"",'[1]BASE'!GE108)</f>
        <v>1</v>
      </c>
      <c r="Q108" s="495">
        <f>IF('[1]BASE'!GF108=0,"",'[1]BASE'!GF108)</f>
      </c>
      <c r="R108" s="495">
        <f>IF('[1]BASE'!GG108=0,"",'[1]BASE'!GG108)</f>
      </c>
      <c r="S108" s="495">
        <f>IF('[1]BASE'!GH108=0,"",'[1]BASE'!GH108)</f>
        <v>1</v>
      </c>
      <c r="T108" s="495">
        <f>IF('[1]BASE'!GI108=0,"",'[1]BASE'!GI108)</f>
      </c>
      <c r="U108" s="495">
        <f>IF('[1]BASE'!GJ108=0,"",'[1]BASE'!GJ108)</f>
      </c>
      <c r="V108" s="497"/>
      <c r="W108" s="491"/>
    </row>
    <row r="109" spans="2:23" s="485" customFormat="1" ht="18" customHeight="1" hidden="1">
      <c r="B109" s="486"/>
      <c r="C109" s="492">
        <f>IF('[1]BASE'!C109=0,"",'[1]BASE'!C109)</f>
        <v>65</v>
      </c>
      <c r="D109" s="493" t="str">
        <f>IF('[1]BASE'!D109=0,"",'[1]BASE'!D109)</f>
        <v>BOSQUES - SOBRAL 1 </v>
      </c>
      <c r="E109" s="493">
        <f>IF('[1]BASE'!E109=0,"",'[1]BASE'!E109)</f>
        <v>587</v>
      </c>
      <c r="F109" s="494" t="str">
        <f>IF('[1]BASE'!F109=0,"",'[1]BASE'!F109)</f>
        <v>L</v>
      </c>
      <c r="G109" s="494">
        <f>'[1]BASE'!G109</f>
        <v>100</v>
      </c>
      <c r="H109" s="493">
        <f>IF('[1]BASE'!H109=0,"",'[1]BASE'!H109)</f>
        <v>132</v>
      </c>
      <c r="I109" s="494">
        <f>IF('[1]BASE'!I109=0,"",'[1]BASE'!I109)</f>
        <v>17.4</v>
      </c>
      <c r="J109" s="495">
        <f>IF('[1]BASE'!FY109=0,"",'[1]BASE'!FY109)</f>
      </c>
      <c r="K109" s="495">
        <f>IF('[1]BASE'!FZ109=0,"",'[1]BASE'!FZ109)</f>
        <v>1</v>
      </c>
      <c r="L109" s="495">
        <f>IF('[1]BASE'!GA109=0,"",'[1]BASE'!GA109)</f>
      </c>
      <c r="M109" s="495">
        <f>IF('[1]BASE'!GB109=0,"",'[1]BASE'!GB109)</f>
      </c>
      <c r="N109" s="495">
        <f>IF('[1]BASE'!GC109=0,"",'[1]BASE'!GC109)</f>
      </c>
      <c r="O109" s="495">
        <f>IF('[1]BASE'!GD109=0,"",'[1]BASE'!GD109)</f>
      </c>
      <c r="P109" s="495">
        <f>IF('[1]BASE'!GE109=0,"",'[1]BASE'!GE109)</f>
      </c>
      <c r="Q109" s="495">
        <f>IF('[1]BASE'!GF109=0,"",'[1]BASE'!GF109)</f>
      </c>
      <c r="R109" s="495" t="str">
        <f>IF('[1]BASE'!GG109=0,"",'[1]BASE'!GG109)</f>
        <v>XXXX</v>
      </c>
      <c r="S109" s="495" t="str">
        <f>IF('[1]BASE'!GH109=0,"",'[1]BASE'!GH109)</f>
        <v>XXXX</v>
      </c>
      <c r="T109" s="495" t="str">
        <f>IF('[1]BASE'!GI109=0,"",'[1]BASE'!GI109)</f>
        <v>XXXX</v>
      </c>
      <c r="U109" s="495" t="str">
        <f>IF('[1]BASE'!GJ109=0,"",'[1]BASE'!GJ109)</f>
        <v>XXXX</v>
      </c>
      <c r="V109" s="497"/>
      <c r="W109" s="491"/>
    </row>
    <row r="110" spans="2:23" s="485" customFormat="1" ht="18" customHeight="1" hidden="1">
      <c r="B110" s="486"/>
      <c r="C110" s="492">
        <f>IF('[1]BASE'!C110=0,"",'[1]BASE'!C110)</f>
        <v>66</v>
      </c>
      <c r="D110" s="493" t="str">
        <f>IF('[1]BASE'!D110=0,"",'[1]BASE'!D110)</f>
        <v>BOSQUES - SOBRAL 2 </v>
      </c>
      <c r="E110" s="493">
        <f>IF('[1]BASE'!E110=0,"",'[1]BASE'!E110)</f>
        <v>588</v>
      </c>
      <c r="F110" s="494" t="str">
        <f>IF('[1]BASE'!F110=0,"",'[1]BASE'!F110)</f>
        <v>L</v>
      </c>
      <c r="G110" s="494">
        <f>'[1]BASE'!G110</f>
        <v>100</v>
      </c>
      <c r="H110" s="493">
        <f>IF('[1]BASE'!H110=0,"",'[1]BASE'!H110)</f>
        <v>132</v>
      </c>
      <c r="I110" s="494">
        <f>IF('[1]BASE'!I110=0,"",'[1]BASE'!I110)</f>
        <v>17.4</v>
      </c>
      <c r="J110" s="495">
        <f>IF('[1]BASE'!FY110=0,"",'[1]BASE'!FY110)</f>
      </c>
      <c r="K110" s="495">
        <f>IF('[1]BASE'!FZ110=0,"",'[1]BASE'!FZ110)</f>
      </c>
      <c r="L110" s="495">
        <f>IF('[1]BASE'!GA110=0,"",'[1]BASE'!GA110)</f>
      </c>
      <c r="M110" s="495">
        <f>IF('[1]BASE'!GB110=0,"",'[1]BASE'!GB110)</f>
      </c>
      <c r="N110" s="495">
        <f>IF('[1]BASE'!GC110=0,"",'[1]BASE'!GC110)</f>
      </c>
      <c r="O110" s="495">
        <f>IF('[1]BASE'!GD110=0,"",'[1]BASE'!GD110)</f>
      </c>
      <c r="P110" s="495">
        <f>IF('[1]BASE'!GE110=0,"",'[1]BASE'!GE110)</f>
      </c>
      <c r="Q110" s="495">
        <f>IF('[1]BASE'!GF110=0,"",'[1]BASE'!GF110)</f>
      </c>
      <c r="R110" s="495" t="str">
        <f>IF('[1]BASE'!GG110=0,"",'[1]BASE'!GG110)</f>
        <v>XXXX</v>
      </c>
      <c r="S110" s="495" t="str">
        <f>IF('[1]BASE'!GH110=0,"",'[1]BASE'!GH110)</f>
        <v>XXXX</v>
      </c>
      <c r="T110" s="495" t="str">
        <f>IF('[1]BASE'!GI110=0,"",'[1]BASE'!GI110)</f>
        <v>XXXX</v>
      </c>
      <c r="U110" s="495" t="str">
        <f>IF('[1]BASE'!GJ110=0,"",'[1]BASE'!GJ110)</f>
        <v>XXXX</v>
      </c>
      <c r="V110" s="497"/>
      <c r="W110" s="491"/>
    </row>
    <row r="111" spans="2:23" s="485" customFormat="1" ht="18" customHeight="1" hidden="1">
      <c r="B111" s="486"/>
      <c r="C111" s="492">
        <f>IF('[1]BASE'!C111=0,"",'[1]BASE'!C111)</f>
        <v>67</v>
      </c>
      <c r="D111" s="493" t="str">
        <f>IF('[1]BASE'!D111=0,"",'[1]BASE'!D111)</f>
        <v>PERITO MORENO - AUTODROMO 1</v>
      </c>
      <c r="E111" s="493">
        <f>IF('[1]BASE'!E111=0,"",'[1]BASE'!E111)</f>
        <v>648</v>
      </c>
      <c r="F111" s="494" t="str">
        <f>IF('[1]BASE'!F111=0,"",'[1]BASE'!F111)</f>
        <v>C</v>
      </c>
      <c r="G111" s="494">
        <f>'[1]BASE'!G111</f>
        <v>0</v>
      </c>
      <c r="H111" s="493">
        <f>IF('[1]BASE'!H111=0,"",'[1]BASE'!H111)</f>
        <v>132</v>
      </c>
      <c r="I111" s="494">
        <f>IF('[1]BASE'!I111=0,"",'[1]BASE'!I111)</f>
        <v>5.4</v>
      </c>
      <c r="J111" s="495" t="str">
        <f>IF('[1]BASE'!FY111=0,"",'[1]BASE'!FY111)</f>
        <v>XXXX</v>
      </c>
      <c r="K111" s="495" t="str">
        <f>IF('[1]BASE'!FZ111=0,"",'[1]BASE'!FZ111)</f>
        <v>XXXX</v>
      </c>
      <c r="L111" s="495" t="str">
        <f>IF('[1]BASE'!GA111=0,"",'[1]BASE'!GA111)</f>
        <v>XXXX</v>
      </c>
      <c r="M111" s="495" t="str">
        <f>IF('[1]BASE'!GB111=0,"",'[1]BASE'!GB111)</f>
        <v>XXXX</v>
      </c>
      <c r="N111" s="495" t="str">
        <f>IF('[1]BASE'!GC111=0,"",'[1]BASE'!GC111)</f>
        <v>XXXX</v>
      </c>
      <c r="O111" s="495" t="str">
        <f>IF('[1]BASE'!GD111=0,"",'[1]BASE'!GD111)</f>
        <v>XXXX</v>
      </c>
      <c r="P111" s="495" t="str">
        <f>IF('[1]BASE'!GE111=0,"",'[1]BASE'!GE111)</f>
        <v>XXXX</v>
      </c>
      <c r="Q111" s="495" t="str">
        <f>IF('[1]BASE'!GF111=0,"",'[1]BASE'!GF111)</f>
        <v>XXXX</v>
      </c>
      <c r="R111" s="495" t="str">
        <f>IF('[1]BASE'!GG111=0,"",'[1]BASE'!GG111)</f>
        <v>XXXX</v>
      </c>
      <c r="S111" s="495" t="str">
        <f>IF('[1]BASE'!GH111=0,"",'[1]BASE'!GH111)</f>
        <v>XXXX</v>
      </c>
      <c r="T111" s="495" t="str">
        <f>IF('[1]BASE'!GI111=0,"",'[1]BASE'!GI111)</f>
        <v>XXXX</v>
      </c>
      <c r="U111" s="495" t="str">
        <f>IF('[1]BASE'!GJ111=0,"",'[1]BASE'!GJ111)</f>
        <v>XXXX</v>
      </c>
      <c r="V111" s="497"/>
      <c r="W111" s="491"/>
    </row>
    <row r="112" spans="2:23" s="485" customFormat="1" ht="18" customHeight="1" hidden="1">
      <c r="B112" s="486"/>
      <c r="C112" s="492">
        <f>IF('[1]BASE'!C112=0,"",'[1]BASE'!C112)</f>
        <v>68</v>
      </c>
      <c r="D112" s="493" t="str">
        <f>IF('[1]BASE'!D112=0,"",'[1]BASE'!D112)</f>
        <v>PERITO MORENO - AUTODROMO 2 </v>
      </c>
      <c r="E112" s="493">
        <f>IF('[1]BASE'!E112=0,"",'[1]BASE'!E112)</f>
        <v>649</v>
      </c>
      <c r="F112" s="494" t="str">
        <f>IF('[1]BASE'!F112=0,"",'[1]BASE'!F112)</f>
        <v>C</v>
      </c>
      <c r="G112" s="494">
        <f>'[1]BASE'!G112</f>
        <v>0</v>
      </c>
      <c r="H112" s="493">
        <f>IF('[1]BASE'!H112=0,"",'[1]BASE'!H112)</f>
        <v>132</v>
      </c>
      <c r="I112" s="494">
        <f>IF('[1]BASE'!I112=0,"",'[1]BASE'!I112)</f>
        <v>5.5</v>
      </c>
      <c r="J112" s="495" t="str">
        <f>IF('[1]BASE'!FY112=0,"",'[1]BASE'!FY112)</f>
        <v>XXXX</v>
      </c>
      <c r="K112" s="495" t="str">
        <f>IF('[1]BASE'!FZ112=0,"",'[1]BASE'!FZ112)</f>
        <v>XXXX</v>
      </c>
      <c r="L112" s="495" t="str">
        <f>IF('[1]BASE'!GA112=0,"",'[1]BASE'!GA112)</f>
        <v>XXXX</v>
      </c>
      <c r="M112" s="495" t="str">
        <f>IF('[1]BASE'!GB112=0,"",'[1]BASE'!GB112)</f>
        <v>XXXX</v>
      </c>
      <c r="N112" s="495" t="str">
        <f>IF('[1]BASE'!GC112=0,"",'[1]BASE'!GC112)</f>
        <v>XXXX</v>
      </c>
      <c r="O112" s="495" t="str">
        <f>IF('[1]BASE'!GD112=0,"",'[1]BASE'!GD112)</f>
        <v>XXXX</v>
      </c>
      <c r="P112" s="495" t="str">
        <f>IF('[1]BASE'!GE112=0,"",'[1]BASE'!GE112)</f>
        <v>XXXX</v>
      </c>
      <c r="Q112" s="495" t="str">
        <f>IF('[1]BASE'!GF112=0,"",'[1]BASE'!GF112)</f>
        <v>XXXX</v>
      </c>
      <c r="R112" s="495" t="str">
        <f>IF('[1]BASE'!GG112=0,"",'[1]BASE'!GG112)</f>
        <v>XXXX</v>
      </c>
      <c r="S112" s="495" t="str">
        <f>IF('[1]BASE'!GH112=0,"",'[1]BASE'!GH112)</f>
        <v>XXXX</v>
      </c>
      <c r="T112" s="495" t="str">
        <f>IF('[1]BASE'!GI112=0,"",'[1]BASE'!GI112)</f>
        <v>XXXX</v>
      </c>
      <c r="U112" s="495" t="str">
        <f>IF('[1]BASE'!GJ112=0,"",'[1]BASE'!GJ112)</f>
        <v>XXXX</v>
      </c>
      <c r="V112" s="497"/>
      <c r="W112" s="491"/>
    </row>
    <row r="113" spans="2:23" s="485" customFormat="1" ht="18" customHeight="1">
      <c r="B113" s="486"/>
      <c r="C113" s="492">
        <f>IF('[1]BASE'!C113=0,"",'[1]BASE'!C113)</f>
        <v>100</v>
      </c>
      <c r="D113" s="493" t="str">
        <f>IF('[1]BASE'!D113=0,"",'[1]BASE'!D113)</f>
        <v>PERITO MORENO - MATANZA 1</v>
      </c>
      <c r="E113" s="493">
        <f>IF('[1]BASE'!E113=0,"",'[1]BASE'!E113)</f>
        <v>648</v>
      </c>
      <c r="F113" s="494" t="str">
        <f>IF('[1]BASE'!F113=0,"",'[1]BASE'!F113)</f>
        <v>C</v>
      </c>
      <c r="G113" s="494">
        <f>'[1]BASE'!G113</f>
        <v>0</v>
      </c>
      <c r="H113" s="493">
        <f>IF('[1]BASE'!H113=0,"",'[1]BASE'!H113)</f>
        <v>132</v>
      </c>
      <c r="I113" s="494">
        <f>IF('[1]BASE'!I113=0,"",'[1]BASE'!I113)</f>
        <v>10.2</v>
      </c>
      <c r="J113" s="495">
        <f>IF('[1]BASE'!FY113=0,"",'[1]BASE'!FY113)</f>
      </c>
      <c r="K113" s="495">
        <f>IF('[1]BASE'!FZ113=0,"",'[1]BASE'!FZ113)</f>
      </c>
      <c r="L113" s="495">
        <f>IF('[1]BASE'!GA113=0,"",'[1]BASE'!GA113)</f>
        <v>1</v>
      </c>
      <c r="M113" s="495">
        <f>IF('[1]BASE'!GB113=0,"",'[1]BASE'!GB113)</f>
      </c>
      <c r="N113" s="495">
        <f>IF('[1]BASE'!GC113=0,"",'[1]BASE'!GC113)</f>
      </c>
      <c r="O113" s="495">
        <f>IF('[1]BASE'!GD113=0,"",'[1]BASE'!GD113)</f>
      </c>
      <c r="P113" s="495">
        <f>IF('[1]BASE'!GE113=0,"",'[1]BASE'!GE113)</f>
      </c>
      <c r="Q113" s="495">
        <f>IF('[1]BASE'!GF113=0,"",'[1]BASE'!GF113)</f>
      </c>
      <c r="R113" s="495">
        <f>IF('[1]BASE'!GG113=0,"",'[1]BASE'!GG113)</f>
      </c>
      <c r="S113" s="495">
        <f>IF('[1]BASE'!GH113=0,"",'[1]BASE'!GH113)</f>
      </c>
      <c r="T113" s="495">
        <f>IF('[1]BASE'!GI113=0,"",'[1]BASE'!GI113)</f>
      </c>
      <c r="U113" s="495">
        <f>IF('[1]BASE'!GJ113=0,"",'[1]BASE'!GJ113)</f>
      </c>
      <c r="V113" s="497"/>
      <c r="W113" s="491"/>
    </row>
    <row r="114" spans="2:23" s="485" customFormat="1" ht="18" customHeight="1">
      <c r="B114" s="486"/>
      <c r="C114" s="492">
        <f>IF('[1]BASE'!C114=0,"",'[1]BASE'!C114)</f>
        <v>101</v>
      </c>
      <c r="D114" s="493" t="str">
        <f>IF('[1]BASE'!D114=0,"",'[1]BASE'!D114)</f>
        <v>PERITO MORENO - MATANZA 2 </v>
      </c>
      <c r="E114" s="493">
        <f>IF('[1]BASE'!E114=0,"",'[1]BASE'!E114)</f>
        <v>649</v>
      </c>
      <c r="F114" s="494" t="str">
        <f>IF('[1]BASE'!F114=0,"",'[1]BASE'!F114)</f>
        <v>C</v>
      </c>
      <c r="G114" s="494">
        <f>'[1]BASE'!G114</f>
        <v>0</v>
      </c>
      <c r="H114" s="493">
        <f>IF('[1]BASE'!H114=0,"",'[1]BASE'!H114)</f>
        <v>132</v>
      </c>
      <c r="I114" s="494">
        <f>IF('[1]BASE'!I114=0,"",'[1]BASE'!I114)</f>
        <v>10.32</v>
      </c>
      <c r="J114" s="495">
        <f>IF('[1]BASE'!FY114=0,"",'[1]BASE'!FY114)</f>
      </c>
      <c r="K114" s="495">
        <f>IF('[1]BASE'!FZ114=0,"",'[1]BASE'!FZ114)</f>
      </c>
      <c r="L114" s="495">
        <f>IF('[1]BASE'!GA114=0,"",'[1]BASE'!GA114)</f>
      </c>
      <c r="M114" s="495">
        <f>IF('[1]BASE'!GB114=0,"",'[1]BASE'!GB114)</f>
      </c>
      <c r="N114" s="495">
        <f>IF('[1]BASE'!GC114=0,"",'[1]BASE'!GC114)</f>
      </c>
      <c r="O114" s="495">
        <f>IF('[1]BASE'!GD114=0,"",'[1]BASE'!GD114)</f>
      </c>
      <c r="P114" s="495">
        <f>IF('[1]BASE'!GE114=0,"",'[1]BASE'!GE114)</f>
      </c>
      <c r="Q114" s="495">
        <f>IF('[1]BASE'!GF114=0,"",'[1]BASE'!GF114)</f>
      </c>
      <c r="R114" s="495">
        <f>IF('[1]BASE'!GG114=0,"",'[1]BASE'!GG114)</f>
      </c>
      <c r="S114" s="495">
        <f>IF('[1]BASE'!GH114=0,"",'[1]BASE'!GH114)</f>
      </c>
      <c r="T114" s="495">
        <f>IF('[1]BASE'!GI114=0,"",'[1]BASE'!GI114)</f>
      </c>
      <c r="U114" s="495">
        <f>IF('[1]BASE'!GJ114=0,"",'[1]BASE'!GJ114)</f>
      </c>
      <c r="V114" s="497"/>
      <c r="W114" s="491"/>
    </row>
    <row r="115" spans="2:23" s="485" customFormat="1" ht="18" customHeight="1" hidden="1">
      <c r="B115" s="486"/>
      <c r="C115" s="492">
        <f>IF('[1]BASE'!C115=0,"",'[1]BASE'!C115)</f>
        <v>69</v>
      </c>
      <c r="D115" s="493" t="str">
        <f>IF('[1]BASE'!D115=0,"",'[1]BASE'!D115)</f>
        <v>NUEVO PUERTO - GALDOS 1</v>
      </c>
      <c r="E115" s="493">
        <f>IF('[1]BASE'!E115=0,"",'[1]BASE'!E115)</f>
        <v>727</v>
      </c>
      <c r="F115" s="494" t="str">
        <f>IF('[1]BASE'!F115=0,"",'[1]BASE'!F115)</f>
        <v>C</v>
      </c>
      <c r="G115" s="494">
        <f>'[1]BASE'!G115</f>
        <v>0</v>
      </c>
      <c r="H115" s="493">
        <f>IF('[1]BASE'!H115=0,"",'[1]BASE'!H115)</f>
        <v>28</v>
      </c>
      <c r="I115" s="494">
        <f>IF('[1]BASE'!I115=0,"",'[1]BASE'!I115)</f>
        <v>7.7</v>
      </c>
      <c r="J115" s="495" t="str">
        <f>IF('[1]BASE'!FY115=0,"",'[1]BASE'!FY115)</f>
        <v>XXXX</v>
      </c>
      <c r="K115" s="495" t="str">
        <f>IF('[1]BASE'!FZ115=0,"",'[1]BASE'!FZ115)</f>
        <v>XXXX</v>
      </c>
      <c r="L115" s="495" t="str">
        <f>IF('[1]BASE'!GA115=0,"",'[1]BASE'!GA115)</f>
        <v>XXXX</v>
      </c>
      <c r="M115" s="495" t="str">
        <f>IF('[1]BASE'!GB115=0,"",'[1]BASE'!GB115)</f>
        <v>XXXX</v>
      </c>
      <c r="N115" s="495" t="str">
        <f>IF('[1]BASE'!GC115=0,"",'[1]BASE'!GC115)</f>
        <v>XXXX</v>
      </c>
      <c r="O115" s="495" t="str">
        <f>IF('[1]BASE'!GD115=0,"",'[1]BASE'!GD115)</f>
        <v>XXXX</v>
      </c>
      <c r="P115" s="495" t="str">
        <f>IF('[1]BASE'!GE115=0,"",'[1]BASE'!GE115)</f>
        <v>XXXX</v>
      </c>
      <c r="Q115" s="495" t="str">
        <f>IF('[1]BASE'!GF115=0,"",'[1]BASE'!GF115)</f>
        <v>XXXX</v>
      </c>
      <c r="R115" s="495" t="str">
        <f>IF('[1]BASE'!GG115=0,"",'[1]BASE'!GG115)</f>
        <v>XXXX</v>
      </c>
      <c r="S115" s="495" t="str">
        <f>IF('[1]BASE'!GH115=0,"",'[1]BASE'!GH115)</f>
        <v>XXXX</v>
      </c>
      <c r="T115" s="495" t="str">
        <f>IF('[1]BASE'!GI115=0,"",'[1]BASE'!GI115)</f>
        <v>XXXX</v>
      </c>
      <c r="U115" s="495" t="str">
        <f>IF('[1]BASE'!GJ115=0,"",'[1]BASE'!GJ115)</f>
        <v>XXXX</v>
      </c>
      <c r="V115" s="497"/>
      <c r="W115" s="491"/>
    </row>
    <row r="116" spans="2:23" s="485" customFormat="1" ht="18" customHeight="1" hidden="1">
      <c r="B116" s="486"/>
      <c r="C116" s="492">
        <f>IF('[1]BASE'!C116=0,"",'[1]BASE'!C116)</f>
        <v>70</v>
      </c>
      <c r="D116" s="493" t="str">
        <f>IF('[1]BASE'!D116=0,"",'[1]BASE'!D116)</f>
        <v>NUEVO PUERTO - GALDOS 2 </v>
      </c>
      <c r="E116" s="493">
        <f>IF('[1]BASE'!E116=0,"",'[1]BASE'!E116)</f>
        <v>729</v>
      </c>
      <c r="F116" s="494" t="str">
        <f>IF('[1]BASE'!F116=0,"",'[1]BASE'!F116)</f>
        <v>C</v>
      </c>
      <c r="G116" s="494">
        <f>'[1]BASE'!G116</f>
        <v>0</v>
      </c>
      <c r="H116" s="493">
        <f>IF('[1]BASE'!H116=0,"",'[1]BASE'!H116)</f>
        <v>28</v>
      </c>
      <c r="I116" s="494">
        <f>IF('[1]BASE'!I116=0,"",'[1]BASE'!I116)</f>
        <v>7.8</v>
      </c>
      <c r="J116" s="495" t="str">
        <f>IF('[1]BASE'!FY116=0,"",'[1]BASE'!FY116)</f>
        <v>XXXX</v>
      </c>
      <c r="K116" s="495" t="str">
        <f>IF('[1]BASE'!FZ116=0,"",'[1]BASE'!FZ116)</f>
        <v>XXXX</v>
      </c>
      <c r="L116" s="495" t="str">
        <f>IF('[1]BASE'!GA116=0,"",'[1]BASE'!GA116)</f>
        <v>XXXX</v>
      </c>
      <c r="M116" s="495" t="str">
        <f>IF('[1]BASE'!GB116=0,"",'[1]BASE'!GB116)</f>
        <v>XXXX</v>
      </c>
      <c r="N116" s="495" t="str">
        <f>IF('[1]BASE'!GC116=0,"",'[1]BASE'!GC116)</f>
        <v>XXXX</v>
      </c>
      <c r="O116" s="495" t="str">
        <f>IF('[1]BASE'!GD116=0,"",'[1]BASE'!GD116)</f>
        <v>XXXX</v>
      </c>
      <c r="P116" s="495" t="str">
        <f>IF('[1]BASE'!GE116=0,"",'[1]BASE'!GE116)</f>
        <v>XXXX</v>
      </c>
      <c r="Q116" s="495" t="str">
        <f>IF('[1]BASE'!GF116=0,"",'[1]BASE'!GF116)</f>
        <v>XXXX</v>
      </c>
      <c r="R116" s="495" t="str">
        <f>IF('[1]BASE'!GG116=0,"",'[1]BASE'!GG116)</f>
        <v>XXXX</v>
      </c>
      <c r="S116" s="495" t="str">
        <f>IF('[1]BASE'!GH116=0,"",'[1]BASE'!GH116)</f>
        <v>XXXX</v>
      </c>
      <c r="T116" s="495" t="str">
        <f>IF('[1]BASE'!GI116=0,"",'[1]BASE'!GI116)</f>
        <v>XXXX</v>
      </c>
      <c r="U116" s="495" t="str">
        <f>IF('[1]BASE'!GJ116=0,"",'[1]BASE'!GJ116)</f>
        <v>XXXX</v>
      </c>
      <c r="V116" s="497"/>
      <c r="W116" s="491"/>
    </row>
    <row r="117" spans="2:23" s="485" customFormat="1" ht="18" customHeight="1" hidden="1">
      <c r="B117" s="486"/>
      <c r="C117" s="492">
        <f>IF('[1]BASE'!C117=0,"",'[1]BASE'!C117)</f>
        <v>71</v>
      </c>
      <c r="D117" s="493" t="str">
        <f>IF('[1]BASE'!D117=0,"",'[1]BASE'!D117)</f>
        <v>NUEVO PUERTO - GALDOS 3 </v>
      </c>
      <c r="E117" s="493">
        <f>IF('[1]BASE'!E117=0,"",'[1]BASE'!E117)</f>
        <v>731</v>
      </c>
      <c r="F117" s="494" t="str">
        <f>IF('[1]BASE'!F117=0,"",'[1]BASE'!F117)</f>
        <v>C</v>
      </c>
      <c r="G117" s="494">
        <f>'[1]BASE'!G117</f>
        <v>0</v>
      </c>
      <c r="H117" s="493">
        <f>IF('[1]BASE'!H117=0,"",'[1]BASE'!H117)</f>
        <v>37.4</v>
      </c>
      <c r="I117" s="494">
        <f>IF('[1]BASE'!I117=0,"",'[1]BASE'!I117)</f>
        <v>7.4</v>
      </c>
      <c r="J117" s="495" t="str">
        <f>IF('[1]BASE'!FY117=0,"",'[1]BASE'!FY117)</f>
        <v>XXXX</v>
      </c>
      <c r="K117" s="495" t="str">
        <f>IF('[1]BASE'!FZ117=0,"",'[1]BASE'!FZ117)</f>
        <v>XXXX</v>
      </c>
      <c r="L117" s="495" t="str">
        <f>IF('[1]BASE'!GA117=0,"",'[1]BASE'!GA117)</f>
        <v>XXXX</v>
      </c>
      <c r="M117" s="495" t="str">
        <f>IF('[1]BASE'!GB117=0,"",'[1]BASE'!GB117)</f>
        <v>XXXX</v>
      </c>
      <c r="N117" s="495" t="str">
        <f>IF('[1]BASE'!GC117=0,"",'[1]BASE'!GC117)</f>
        <v>XXXX</v>
      </c>
      <c r="O117" s="495" t="str">
        <f>IF('[1]BASE'!GD117=0,"",'[1]BASE'!GD117)</f>
        <v>XXXX</v>
      </c>
      <c r="P117" s="495" t="str">
        <f>IF('[1]BASE'!GE117=0,"",'[1]BASE'!GE117)</f>
        <v>XXXX</v>
      </c>
      <c r="Q117" s="495" t="str">
        <f>IF('[1]BASE'!GF117=0,"",'[1]BASE'!GF117)</f>
        <v>XXXX</v>
      </c>
      <c r="R117" s="495" t="str">
        <f>IF('[1]BASE'!GG117=0,"",'[1]BASE'!GG117)</f>
        <v>XXXX</v>
      </c>
      <c r="S117" s="495" t="str">
        <f>IF('[1]BASE'!GH117=0,"",'[1]BASE'!GH117)</f>
        <v>XXXX</v>
      </c>
      <c r="T117" s="495" t="str">
        <f>IF('[1]BASE'!GI117=0,"",'[1]BASE'!GI117)</f>
        <v>XXXX</v>
      </c>
      <c r="U117" s="495" t="str">
        <f>IF('[1]BASE'!GJ117=0,"",'[1]BASE'!GJ117)</f>
        <v>XXXX</v>
      </c>
      <c r="V117" s="497"/>
      <c r="W117" s="491"/>
    </row>
    <row r="118" spans="2:23" s="485" customFormat="1" ht="18" customHeight="1">
      <c r="B118" s="486"/>
      <c r="C118" s="492">
        <f>IF('[1]BASE'!C118=0,"",'[1]BASE'!C118)</f>
        <v>102</v>
      </c>
      <c r="D118" s="493" t="str">
        <f>IF('[1]BASE'!D118=0,"",'[1]BASE'!D118)</f>
        <v>BOSQUES - SOBRAL 1 </v>
      </c>
      <c r="E118" s="493">
        <f>IF('[1]BASE'!E118=0,"",'[1]BASE'!E118)</f>
        <v>587</v>
      </c>
      <c r="F118" s="494" t="str">
        <f>IF('[1]BASE'!F118=0,"",'[1]BASE'!F118)</f>
        <v>LC</v>
      </c>
      <c r="G118" s="494">
        <f>'[1]BASE'!G118</f>
        <v>88.16</v>
      </c>
      <c r="H118" s="493">
        <f>IF('[1]BASE'!H118=0,"",'[1]BASE'!H118)</f>
        <v>132</v>
      </c>
      <c r="I118" s="494">
        <f>IF('[1]BASE'!I118=0,"",'[1]BASE'!I118)</f>
        <v>16.9</v>
      </c>
      <c r="J118" s="495" t="str">
        <f>IF('[1]BASE'!FY118=0,"",'[1]BASE'!FY118)</f>
        <v>XXXX</v>
      </c>
      <c r="K118" s="495" t="str">
        <f>IF('[1]BASE'!FZ118=0,"",'[1]BASE'!FZ118)</f>
        <v>XXXX</v>
      </c>
      <c r="L118" s="495" t="str">
        <f>IF('[1]BASE'!GA118=0,"",'[1]BASE'!GA118)</f>
        <v>XXXX</v>
      </c>
      <c r="M118" s="495" t="str">
        <f>IF('[1]BASE'!GB118=0,"",'[1]BASE'!GB118)</f>
        <v>XXXX</v>
      </c>
      <c r="N118" s="495" t="str">
        <f>IF('[1]BASE'!GC118=0,"",'[1]BASE'!GC118)</f>
        <v>XXXX</v>
      </c>
      <c r="O118" s="495" t="str">
        <f>IF('[1]BASE'!GD118=0,"",'[1]BASE'!GD118)</f>
        <v>XXXX</v>
      </c>
      <c r="P118" s="495" t="str">
        <f>IF('[1]BASE'!GE118=0,"",'[1]BASE'!GE118)</f>
        <v>XXXX</v>
      </c>
      <c r="Q118" s="495" t="str">
        <f>IF('[1]BASE'!GF118=0,"",'[1]BASE'!GF118)</f>
        <v>XXXX</v>
      </c>
      <c r="R118" s="495">
        <f>IF('[1]BASE'!GG118=0,"",'[1]BASE'!GG118)</f>
      </c>
      <c r="S118" s="495">
        <f>IF('[1]BASE'!GH118=0,"",'[1]BASE'!GH118)</f>
      </c>
      <c r="T118" s="495">
        <f>IF('[1]BASE'!GI118=0,"",'[1]BASE'!GI118)</f>
      </c>
      <c r="U118" s="495">
        <f>IF('[1]BASE'!GJ118=0,"",'[1]BASE'!GJ118)</f>
        <v>1</v>
      </c>
      <c r="V118" s="497"/>
      <c r="W118" s="491"/>
    </row>
    <row r="119" spans="2:23" s="485" customFormat="1" ht="18" customHeight="1">
      <c r="B119" s="486"/>
      <c r="C119" s="492">
        <f>IF('[1]BASE'!C119=0,"",'[1]BASE'!C119)</f>
        <v>103</v>
      </c>
      <c r="D119" s="493" t="str">
        <f>IF('[1]BASE'!D119=0,"",'[1]BASE'!D119)</f>
        <v>BOSQUES - SOBRAL 2 </v>
      </c>
      <c r="E119" s="493">
        <f>IF('[1]BASE'!E119=0,"",'[1]BASE'!E119)</f>
        <v>588</v>
      </c>
      <c r="F119" s="494" t="str">
        <f>IF('[1]BASE'!F119=0,"",'[1]BASE'!F119)</f>
        <v>LC</v>
      </c>
      <c r="G119" s="494">
        <f>'[1]BASE'!G119</f>
        <v>88.16</v>
      </c>
      <c r="H119" s="493">
        <f>IF('[1]BASE'!H119=0,"",'[1]BASE'!H119)</f>
        <v>132</v>
      </c>
      <c r="I119" s="494">
        <f>IF('[1]BASE'!I119=0,"",'[1]BASE'!I119)</f>
        <v>16.9</v>
      </c>
      <c r="J119" s="495" t="str">
        <f>IF('[1]BASE'!FY119=0,"",'[1]BASE'!FY119)</f>
        <v>XXXX</v>
      </c>
      <c r="K119" s="495" t="str">
        <f>IF('[1]BASE'!FZ119=0,"",'[1]BASE'!FZ119)</f>
        <v>XXXX</v>
      </c>
      <c r="L119" s="495" t="str">
        <f>IF('[1]BASE'!GA119=0,"",'[1]BASE'!GA119)</f>
        <v>XXXX</v>
      </c>
      <c r="M119" s="495" t="str">
        <f>IF('[1]BASE'!GB119=0,"",'[1]BASE'!GB119)</f>
        <v>XXXX</v>
      </c>
      <c r="N119" s="495" t="str">
        <f>IF('[1]BASE'!GC119=0,"",'[1]BASE'!GC119)</f>
        <v>XXXX</v>
      </c>
      <c r="O119" s="495" t="str">
        <f>IF('[1]BASE'!GD119=0,"",'[1]BASE'!GD119)</f>
        <v>XXXX</v>
      </c>
      <c r="P119" s="495" t="str">
        <f>IF('[1]BASE'!GE119=0,"",'[1]BASE'!GE119)</f>
        <v>XXXX</v>
      </c>
      <c r="Q119" s="495" t="str">
        <f>IF('[1]BASE'!GF119=0,"",'[1]BASE'!GF119)</f>
        <v>XXXX</v>
      </c>
      <c r="R119" s="495">
        <f>IF('[1]BASE'!GG119=0,"",'[1]BASE'!GG119)</f>
      </c>
      <c r="S119" s="495">
        <f>IF('[1]BASE'!GH119=0,"",'[1]BASE'!GH119)</f>
      </c>
      <c r="T119" s="495">
        <f>IF('[1]BASE'!GI119=0,"",'[1]BASE'!GI119)</f>
      </c>
      <c r="U119" s="495">
        <f>IF('[1]BASE'!GJ119=0,"",'[1]BASE'!GJ119)</f>
      </c>
      <c r="V119" s="497"/>
      <c r="W119" s="491"/>
    </row>
    <row r="120" spans="2:23" s="485" customFormat="1" ht="18" customHeight="1" thickBot="1">
      <c r="B120" s="486"/>
      <c r="C120" s="498"/>
      <c r="D120" s="499"/>
      <c r="E120" s="499"/>
      <c r="F120" s="500"/>
      <c r="G120" s="500"/>
      <c r="H120" s="499"/>
      <c r="I120" s="500"/>
      <c r="J120" s="495"/>
      <c r="K120" s="495"/>
      <c r="L120" s="495"/>
      <c r="M120" s="495"/>
      <c r="N120" s="495"/>
      <c r="O120" s="495"/>
      <c r="P120" s="495"/>
      <c r="Q120" s="495"/>
      <c r="R120" s="495"/>
      <c r="S120" s="495"/>
      <c r="T120" s="495"/>
      <c r="U120" s="495"/>
      <c r="V120" s="497"/>
      <c r="W120" s="491"/>
    </row>
    <row r="121" spans="2:23" s="485" customFormat="1" ht="18" customHeight="1" thickBot="1" thickTop="1">
      <c r="B121" s="486"/>
      <c r="C121" s="501"/>
      <c r="D121" s="502"/>
      <c r="E121" s="502"/>
      <c r="F121" s="503"/>
      <c r="G121" s="503"/>
      <c r="H121" s="504" t="s">
        <v>191</v>
      </c>
      <c r="I121" s="505">
        <f>SUM(I16:I120)-I17-I18-I29-I31-I33-I38-I84-I85-I101-I102-I105-I106-I109-I110-I111-I112-I115-I116-I117</f>
        <v>996.0999999999996</v>
      </c>
      <c r="J121" s="506"/>
      <c r="K121" s="506"/>
      <c r="L121" s="506"/>
      <c r="M121" s="506"/>
      <c r="N121" s="506"/>
      <c r="O121" s="506"/>
      <c r="P121" s="506"/>
      <c r="Q121" s="506"/>
      <c r="R121" s="506"/>
      <c r="S121" s="506"/>
      <c r="T121" s="506"/>
      <c r="U121" s="506"/>
      <c r="V121" s="497"/>
      <c r="W121" s="491"/>
    </row>
    <row r="122" spans="2:23" s="485" customFormat="1" ht="18" customHeight="1" thickBot="1" thickTop="1">
      <c r="B122" s="486"/>
      <c r="C122" s="501"/>
      <c r="D122" s="502"/>
      <c r="E122" s="502"/>
      <c r="F122" s="503"/>
      <c r="G122" s="503"/>
      <c r="H122" s="507"/>
      <c r="I122" s="508" t="s">
        <v>192</v>
      </c>
      <c r="J122" s="509">
        <f aca="true" t="shared" si="0" ref="J122:U122">SUM(J16:J120)</f>
        <v>8</v>
      </c>
      <c r="K122" s="509">
        <f t="shared" si="0"/>
        <v>10</v>
      </c>
      <c r="L122" s="509">
        <f t="shared" si="0"/>
        <v>7</v>
      </c>
      <c r="M122" s="509">
        <f t="shared" si="0"/>
        <v>9</v>
      </c>
      <c r="N122" s="509">
        <f t="shared" si="0"/>
        <v>5</v>
      </c>
      <c r="O122" s="509">
        <f t="shared" si="0"/>
        <v>7</v>
      </c>
      <c r="P122" s="509">
        <f t="shared" si="0"/>
        <v>4</v>
      </c>
      <c r="Q122" s="509">
        <f t="shared" si="0"/>
        <v>12</v>
      </c>
      <c r="R122" s="509">
        <f t="shared" si="0"/>
        <v>11</v>
      </c>
      <c r="S122" s="509">
        <f t="shared" si="0"/>
        <v>3</v>
      </c>
      <c r="T122" s="509">
        <f t="shared" si="0"/>
        <v>3</v>
      </c>
      <c r="U122" s="509">
        <f t="shared" si="0"/>
        <v>4</v>
      </c>
      <c r="V122" s="510"/>
      <c r="W122" s="491"/>
    </row>
    <row r="123" spans="2:23" ht="17.25" thickBot="1" thickTop="1">
      <c r="B123" s="477"/>
      <c r="C123" s="478"/>
      <c r="D123" s="511"/>
      <c r="E123" s="511"/>
      <c r="F123" s="512"/>
      <c r="G123" s="512"/>
      <c r="H123" s="511"/>
      <c r="I123" s="513" t="s">
        <v>193</v>
      </c>
      <c r="J123" s="514">
        <f>'[1]BASE'!FY123</f>
        <v>7.220940728111526</v>
      </c>
      <c r="K123" s="514">
        <f>'[1]BASE'!FZ123</f>
        <v>7.421522415003512</v>
      </c>
      <c r="L123" s="514">
        <f>'[1]BASE'!GA123</f>
        <v>7.421522415003512</v>
      </c>
      <c r="M123" s="514">
        <f>'[1]BASE'!GB123</f>
        <v>7.220940728111526</v>
      </c>
      <c r="N123" s="514">
        <f>'[1]BASE'!GC123</f>
        <v>7.421522415003512</v>
      </c>
      <c r="O123" s="514">
        <f>'[1]BASE'!GD123</f>
        <v>7.521813258449505</v>
      </c>
      <c r="P123" s="514">
        <f>'[1]BASE'!GE123</f>
        <v>7.822685788787487</v>
      </c>
      <c r="Q123" s="514">
        <f>'[1]BASE'!GF123</f>
        <v>7.822685788787487</v>
      </c>
      <c r="R123" s="514">
        <f>'[1]BASE'!GG123</f>
        <v>7.822685788787487</v>
      </c>
      <c r="S123" s="514">
        <f>'[1]BASE'!GH123</f>
        <v>8.934845899006126</v>
      </c>
      <c r="T123" s="514">
        <f>'[1]BASE'!GI123</f>
        <v>8.734062845095877</v>
      </c>
      <c r="U123" s="514">
        <f>'[1]BASE'!GJ123</f>
        <v>8.633671318140753</v>
      </c>
      <c r="V123" s="514">
        <f>'[1]BASE'!GK123</f>
        <v>8.332496737275378</v>
      </c>
      <c r="W123" s="479"/>
    </row>
    <row r="124" spans="2:23" ht="18.75" customHeight="1" thickBot="1" thickTop="1">
      <c r="B124" s="477"/>
      <c r="C124" s="515"/>
      <c r="D124" s="516" t="s">
        <v>194</v>
      </c>
      <c r="E124" s="511"/>
      <c r="F124" s="512"/>
      <c r="G124" s="512"/>
      <c r="H124" s="511"/>
      <c r="I124" s="512"/>
      <c r="J124" s="478"/>
      <c r="K124" s="478"/>
      <c r="L124" s="478"/>
      <c r="M124" s="478"/>
      <c r="N124" s="478"/>
      <c r="O124" s="478"/>
      <c r="P124" s="478"/>
      <c r="Q124" s="478"/>
      <c r="R124" s="478"/>
      <c r="S124" s="478"/>
      <c r="T124" s="478"/>
      <c r="U124" s="478"/>
      <c r="V124" s="478"/>
      <c r="W124" s="479"/>
    </row>
    <row r="125" spans="2:23" ht="20.25" thickBot="1" thickTop="1">
      <c r="B125" s="477"/>
      <c r="C125" s="478"/>
      <c r="D125" s="511"/>
      <c r="E125" s="511"/>
      <c r="F125" s="512"/>
      <c r="J125" s="517"/>
      <c r="K125" s="518" t="s">
        <v>195</v>
      </c>
      <c r="L125" s="518"/>
      <c r="M125" s="519">
        <f>V123</f>
        <v>8.332496737275378</v>
      </c>
      <c r="N125" s="520" t="s">
        <v>196</v>
      </c>
      <c r="O125" s="520"/>
      <c r="P125" s="521"/>
      <c r="Q125" s="522"/>
      <c r="R125" s="478"/>
      <c r="S125" s="478"/>
      <c r="T125" s="478"/>
      <c r="U125" s="523"/>
      <c r="V125" s="524"/>
      <c r="W125" s="479"/>
    </row>
    <row r="126" spans="2:23" ht="18.75" customHeight="1" thickBot="1" thickTop="1">
      <c r="B126" s="525"/>
      <c r="C126" s="526"/>
      <c r="D126" s="527"/>
      <c r="E126" s="527"/>
      <c r="F126" s="528"/>
      <c r="G126" s="528"/>
      <c r="H126" s="527"/>
      <c r="I126" s="528"/>
      <c r="J126" s="526"/>
      <c r="K126" s="526"/>
      <c r="L126" s="526"/>
      <c r="M126" s="526"/>
      <c r="N126" s="526"/>
      <c r="O126" s="526"/>
      <c r="P126" s="526"/>
      <c r="Q126" s="526"/>
      <c r="R126" s="526"/>
      <c r="S126" s="526"/>
      <c r="T126" s="526"/>
      <c r="U126" s="526"/>
      <c r="V126" s="526"/>
      <c r="W126" s="529"/>
    </row>
    <row r="127" ht="13.5" thickTop="1"/>
  </sheetData>
  <printOptions horizontalCentered="1"/>
  <pageMargins left="0.6692913385826772" right="0" top="0.31496062992125984" bottom="0.31496062992125984" header="0.1968503937007874" footer="0.1968503937007874"/>
  <pageSetup horizontalDpi="1200" verticalDpi="1200" orientation="portrait" paperSize="9" scale="40" r:id="rId2"/>
  <headerFooter alignWithMargins="0">
    <oddFooter>&amp;L&amp;"Times New Roman,Normal"&amp;7&amp;Z&amp;F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3"/>
  <dimension ref="A1:AC21"/>
  <sheetViews>
    <sheetView zoomScale="85" zoomScaleNormal="85" workbookViewId="0" topLeftCell="A1">
      <selection activeCell="A1" sqref="A1"/>
    </sheetView>
  </sheetViews>
  <sheetFormatPr defaultColWidth="11.421875" defaultRowHeight="12.75"/>
  <cols>
    <col min="1" max="1" width="21.7109375" style="428" customWidth="1"/>
    <col min="2" max="2" width="9.28125" style="428" customWidth="1"/>
    <col min="3" max="3" width="11.8515625" style="428" bestFit="1" customWidth="1"/>
    <col min="4" max="4" width="9.57421875" style="428" bestFit="1" customWidth="1"/>
    <col min="5" max="5" width="14.8515625" style="428" bestFit="1" customWidth="1"/>
    <col min="6" max="6" width="49.421875" style="428" bestFit="1" customWidth="1"/>
    <col min="7" max="16384" width="11.421875" style="428" customWidth="1"/>
  </cols>
  <sheetData>
    <row r="1" spans="1:8" ht="12.75">
      <c r="A1" s="427" t="s">
        <v>80</v>
      </c>
      <c r="B1" s="427" t="s">
        <v>80</v>
      </c>
      <c r="C1" s="427" t="s">
        <v>81</v>
      </c>
      <c r="D1" s="427" t="s">
        <v>82</v>
      </c>
      <c r="G1" s="442" t="s">
        <v>76</v>
      </c>
      <c r="H1" s="443"/>
    </row>
    <row r="2" spans="1:8" ht="12.75">
      <c r="A2" s="429" t="s">
        <v>34</v>
      </c>
      <c r="B2" s="430" t="s">
        <v>83</v>
      </c>
      <c r="C2" s="429">
        <v>31</v>
      </c>
      <c r="D2" s="429">
        <v>2006</v>
      </c>
      <c r="G2" s="444" t="s">
        <v>77</v>
      </c>
      <c r="H2" s="445"/>
    </row>
    <row r="3" spans="1:8" ht="12.75">
      <c r="A3" s="429" t="s">
        <v>35</v>
      </c>
      <c r="B3" s="430" t="s">
        <v>84</v>
      </c>
      <c r="C3" s="429">
        <f>IF(MOD(E14,4)=0,29,28)</f>
        <v>28</v>
      </c>
      <c r="D3" s="429">
        <f>+D2+1</f>
        <v>2007</v>
      </c>
      <c r="E3" s="428">
        <v>2</v>
      </c>
      <c r="F3" s="428" t="str">
        <f>CHOOSE(E3,"EDENOR","EDESUR","EDELAP","CCP")</f>
        <v>EDESUR</v>
      </c>
      <c r="G3" s="444" t="s">
        <v>46</v>
      </c>
      <c r="H3" s="445"/>
    </row>
    <row r="4" spans="1:8" ht="12.75">
      <c r="A4" s="429" t="s">
        <v>36</v>
      </c>
      <c r="B4" s="430" t="s">
        <v>85</v>
      </c>
      <c r="C4" s="429">
        <v>31</v>
      </c>
      <c r="D4" s="429">
        <v>2008</v>
      </c>
      <c r="F4" s="428" t="str">
        <f>CHOOSE(E3,"NOR","SUR","LAP","CCP")</f>
        <v>SUR</v>
      </c>
      <c r="G4" s="444" t="s">
        <v>47</v>
      </c>
      <c r="H4" s="445"/>
    </row>
    <row r="5" spans="1:8" ht="12.75">
      <c r="A5" s="429" t="s">
        <v>37</v>
      </c>
      <c r="B5" s="430" t="s">
        <v>86</v>
      </c>
      <c r="C5" s="429">
        <v>30</v>
      </c>
      <c r="D5" s="429">
        <v>2009</v>
      </c>
      <c r="F5" t="str">
        <f>CHOOSE(E3,"EDENOR S.A.","EDESUR S.A.","EDELAP S.A.","CENTRAL CASA DE PIEDRA")</f>
        <v>EDESUR S.A.</v>
      </c>
      <c r="G5" s="444" t="s">
        <v>130</v>
      </c>
      <c r="H5" s="445"/>
    </row>
    <row r="6" spans="1:8" ht="12.75">
      <c r="A6" s="429" t="s">
        <v>38</v>
      </c>
      <c r="B6" s="430" t="s">
        <v>87</v>
      </c>
      <c r="C6" s="429">
        <v>31</v>
      </c>
      <c r="D6" s="429">
        <v>2010</v>
      </c>
      <c r="G6" s="452"/>
      <c r="H6" s="453"/>
    </row>
    <row r="7" spans="1:8" ht="12.75">
      <c r="A7" s="429" t="s">
        <v>39</v>
      </c>
      <c r="B7" s="430" t="s">
        <v>88</v>
      </c>
      <c r="C7" s="429">
        <v>30</v>
      </c>
      <c r="D7" s="429">
        <v>2011</v>
      </c>
      <c r="G7" s="452"/>
      <c r="H7" s="453"/>
    </row>
    <row r="8" spans="1:8" ht="12.75">
      <c r="A8" s="429" t="s">
        <v>40</v>
      </c>
      <c r="B8" s="430" t="s">
        <v>89</v>
      </c>
      <c r="C8" s="429">
        <v>31</v>
      </c>
      <c r="D8" s="429"/>
      <c r="G8" s="452"/>
      <c r="H8" s="453"/>
    </row>
    <row r="9" spans="1:8" ht="12.75">
      <c r="A9" s="429" t="s">
        <v>41</v>
      </c>
      <c r="B9" s="430" t="s">
        <v>90</v>
      </c>
      <c r="C9" s="429">
        <v>31</v>
      </c>
      <c r="D9" s="429"/>
      <c r="G9" s="452"/>
      <c r="H9" s="453"/>
    </row>
    <row r="10" spans="1:8" ht="12.75">
      <c r="A10" s="429" t="s">
        <v>42</v>
      </c>
      <c r="B10" s="430" t="s">
        <v>91</v>
      </c>
      <c r="C10" s="429">
        <v>30</v>
      </c>
      <c r="D10" s="429"/>
      <c r="G10" s="452"/>
      <c r="H10" s="453"/>
    </row>
    <row r="11" spans="1:8" ht="12.75">
      <c r="A11" s="429" t="s">
        <v>43</v>
      </c>
      <c r="B11" s="430" t="s">
        <v>92</v>
      </c>
      <c r="C11" s="429">
        <v>31</v>
      </c>
      <c r="D11" s="429"/>
      <c r="G11" s="452"/>
      <c r="H11" s="453"/>
    </row>
    <row r="12" spans="1:8" ht="12.75">
      <c r="A12" s="429" t="s">
        <v>44</v>
      </c>
      <c r="B12" s="430" t="s">
        <v>93</v>
      </c>
      <c r="C12" s="429">
        <v>30</v>
      </c>
      <c r="D12" s="429"/>
      <c r="G12" s="452"/>
      <c r="H12" s="453"/>
    </row>
    <row r="13" spans="1:9" ht="12.75">
      <c r="A13" s="429" t="s">
        <v>45</v>
      </c>
      <c r="B13" s="430" t="s">
        <v>94</v>
      </c>
      <c r="C13" s="429">
        <v>31</v>
      </c>
      <c r="D13" s="429"/>
      <c r="I13" s="431" t="s">
        <v>95</v>
      </c>
    </row>
    <row r="14" spans="1:9" ht="12.75">
      <c r="A14" s="432">
        <v>5</v>
      </c>
      <c r="B14" s="433">
        <v>5</v>
      </c>
      <c r="C14" s="432" t="str">
        <f ca="1">CELL("CONTENIDO",OFFSET(A1,B14,0))</f>
        <v>mayo</v>
      </c>
      <c r="D14" s="432">
        <f ca="1">CELL("CONTENIDO",OFFSET(C1,B14,0))</f>
        <v>31</v>
      </c>
      <c r="E14" s="446">
        <f ca="1">CELL("CONTENIDO",OFFSET(D1,A14,0))</f>
        <v>2010</v>
      </c>
      <c r="F14" s="432" t="str">
        <f>"Desde el 01 al "&amp;D14&amp;" de "&amp;C14&amp;" de "&amp;E14</f>
        <v>Desde el 01 al 31 de mayo de 2010</v>
      </c>
      <c r="G14" s="432" t="str">
        <f ca="1">CELL("CONTENIDO",OFFSET(B1,B14,0))</f>
        <v>05</v>
      </c>
      <c r="H14" s="432" t="str">
        <f>RIGHT(E14,2)</f>
        <v>10</v>
      </c>
      <c r="I14" s="434" t="s">
        <v>96</v>
      </c>
    </row>
    <row r="15" spans="1:8" ht="12.75">
      <c r="A15" s="432"/>
      <c r="B15" s="435" t="str">
        <f>"\\fileserver\files\Transporte\Transporte\AA PROCESO AUT ARCHIVOS J\"&amp;F3&amp;"\"&amp;E14</f>
        <v>\\fileserver\files\Transporte\Transporte\AA PROCESO AUT ARCHIVOS J\EDESUR\2010</v>
      </c>
      <c r="C15" s="432"/>
      <c r="D15" s="432"/>
      <c r="E15" s="432"/>
      <c r="F15" s="432"/>
      <c r="G15" s="432" t="str">
        <f>"J"&amp;H14&amp;G14&amp;F4</f>
        <v>J1005SUR</v>
      </c>
      <c r="H15" s="432"/>
    </row>
    <row r="16" spans="1:8" ht="12.75">
      <c r="A16" s="432"/>
      <c r="B16" s="435" t="str">
        <f>"\\fileserver\files\Transporte\transporte\AA PROCESO AUT\INTERCAMBIO\"&amp;H14&amp;G14</f>
        <v>\\fileserver\files\Transporte\transporte\AA PROCESO AUT\INTERCAMBIO\1005</v>
      </c>
      <c r="C16" s="432"/>
      <c r="D16" s="432"/>
      <c r="E16" s="432"/>
      <c r="F16" s="432"/>
      <c r="G16" s="432"/>
      <c r="H16" s="432"/>
    </row>
    <row r="17" spans="1:29" s="436" customFormat="1" ht="12.75">
      <c r="A17" s="427" t="s">
        <v>97</v>
      </c>
      <c r="B17" s="427" t="s">
        <v>98</v>
      </c>
      <c r="C17" s="427" t="s">
        <v>99</v>
      </c>
      <c r="D17" s="427" t="s">
        <v>100</v>
      </c>
      <c r="E17" s="427" t="s">
        <v>101</v>
      </c>
      <c r="F17" s="427" t="s">
        <v>102</v>
      </c>
      <c r="G17" s="427" t="s">
        <v>103</v>
      </c>
      <c r="H17" s="427" t="s">
        <v>104</v>
      </c>
      <c r="I17" s="427" t="s">
        <v>105</v>
      </c>
      <c r="J17" s="427" t="s">
        <v>106</v>
      </c>
      <c r="K17" s="427" t="s">
        <v>107</v>
      </c>
      <c r="L17" s="427" t="s">
        <v>108</v>
      </c>
      <c r="M17" s="427" t="s">
        <v>109</v>
      </c>
      <c r="N17" s="427" t="s">
        <v>110</v>
      </c>
      <c r="O17" s="427" t="s">
        <v>111</v>
      </c>
      <c r="P17" s="427" t="s">
        <v>112</v>
      </c>
      <c r="Q17" s="427" t="s">
        <v>113</v>
      </c>
      <c r="R17" s="427" t="s">
        <v>114</v>
      </c>
      <c r="S17" s="427" t="s">
        <v>115</v>
      </c>
      <c r="T17" s="427" t="s">
        <v>116</v>
      </c>
      <c r="U17" s="427" t="s">
        <v>117</v>
      </c>
      <c r="V17" s="427" t="s">
        <v>118</v>
      </c>
      <c r="W17" s="427" t="s">
        <v>119</v>
      </c>
      <c r="X17" s="427" t="s">
        <v>120</v>
      </c>
      <c r="Y17" s="427" t="s">
        <v>121</v>
      </c>
      <c r="Z17" s="427" t="s">
        <v>122</v>
      </c>
      <c r="AA17" s="427" t="s">
        <v>123</v>
      </c>
      <c r="AB17" s="427" t="s">
        <v>124</v>
      </c>
      <c r="AC17" s="427" t="s">
        <v>125</v>
      </c>
    </row>
    <row r="18" spans="1:29" ht="12.75">
      <c r="A18" s="437" t="s">
        <v>128</v>
      </c>
      <c r="B18" s="441">
        <v>23</v>
      </c>
      <c r="C18" s="441">
        <v>20</v>
      </c>
      <c r="D18" s="441">
        <v>14</v>
      </c>
      <c r="E18" s="437" t="str">
        <f>"LI-"&amp;$G$14</f>
        <v>LI-05</v>
      </c>
      <c r="F18" s="437" t="str">
        <f>F3&amp;"_INDISPONIBILIDADES_LINEAS_"&amp;F3&amp;"_PAFFT.XLS"</f>
        <v>EDESUR_INDISPONIBILIDADES_LINEAS_EDESUR_PAFFT.XLS</v>
      </c>
      <c r="G18" s="441">
        <v>3</v>
      </c>
      <c r="H18" s="449">
        <v>5</v>
      </c>
      <c r="I18" s="449">
        <v>4</v>
      </c>
      <c r="J18" s="441">
        <v>6</v>
      </c>
      <c r="K18" s="441">
        <v>7</v>
      </c>
      <c r="L18" s="441">
        <v>8</v>
      </c>
      <c r="M18" s="441">
        <v>9</v>
      </c>
      <c r="N18" s="441">
        <v>10</v>
      </c>
      <c r="O18" s="441">
        <v>11</v>
      </c>
      <c r="P18" s="441">
        <v>0</v>
      </c>
      <c r="Q18" s="441">
        <v>13</v>
      </c>
      <c r="R18" s="441">
        <v>14</v>
      </c>
      <c r="S18" s="441">
        <v>17</v>
      </c>
      <c r="T18" s="441">
        <v>0</v>
      </c>
      <c r="U18" s="441">
        <v>29</v>
      </c>
      <c r="V18" s="441">
        <v>18</v>
      </c>
      <c r="W18" s="441">
        <v>18</v>
      </c>
      <c r="X18" s="441">
        <v>10</v>
      </c>
      <c r="Y18" s="441">
        <v>44</v>
      </c>
      <c r="Z18" s="441">
        <v>30</v>
      </c>
      <c r="AA18" s="441">
        <v>21</v>
      </c>
      <c r="AB18" s="441">
        <v>30</v>
      </c>
      <c r="AC18" s="441">
        <v>17</v>
      </c>
    </row>
    <row r="19" spans="1:29" ht="12.75">
      <c r="A19" s="439" t="s">
        <v>127</v>
      </c>
      <c r="B19" s="441">
        <v>23</v>
      </c>
      <c r="C19" s="441">
        <v>20</v>
      </c>
      <c r="D19" s="439">
        <v>13</v>
      </c>
      <c r="E19" s="439" t="str">
        <f>"T-"&amp;$G$14</f>
        <v>T-05</v>
      </c>
      <c r="F19" s="437" t="str">
        <f>F3&amp;"_INDISPONIBILIDADES_TRAFOS_"&amp;F3&amp;"_PAFFT.XLS"</f>
        <v>EDESUR_INDISPONIBILIDADES_TRAFOS_EDESUR_PAFFT.XLS</v>
      </c>
      <c r="G19" s="437">
        <v>3</v>
      </c>
      <c r="H19" s="438">
        <v>5</v>
      </c>
      <c r="I19" s="438">
        <v>4</v>
      </c>
      <c r="J19" s="439">
        <v>6</v>
      </c>
      <c r="K19" s="441">
        <v>7</v>
      </c>
      <c r="L19" s="441">
        <v>8</v>
      </c>
      <c r="M19" s="441">
        <v>9</v>
      </c>
      <c r="N19" s="441">
        <v>11</v>
      </c>
      <c r="O19" s="441">
        <v>12</v>
      </c>
      <c r="P19" s="441">
        <v>15</v>
      </c>
      <c r="Q19" s="441">
        <v>16</v>
      </c>
      <c r="R19" s="441">
        <v>18</v>
      </c>
      <c r="S19" s="441">
        <v>28</v>
      </c>
      <c r="T19" s="441">
        <v>17</v>
      </c>
      <c r="U19" s="441">
        <v>0</v>
      </c>
      <c r="V19" s="441">
        <v>0</v>
      </c>
      <c r="W19" s="439">
        <v>22</v>
      </c>
      <c r="X19" s="437">
        <v>10</v>
      </c>
      <c r="Y19" s="441">
        <v>44</v>
      </c>
      <c r="Z19" s="439">
        <v>29</v>
      </c>
      <c r="AA19" s="441">
        <v>21</v>
      </c>
      <c r="AB19" s="439">
        <v>29</v>
      </c>
      <c r="AC19" s="439">
        <v>15</v>
      </c>
    </row>
    <row r="20" spans="1:29" ht="12.75">
      <c r="A20" s="437" t="s">
        <v>129</v>
      </c>
      <c r="B20" s="441">
        <v>23</v>
      </c>
      <c r="C20" s="441">
        <v>20</v>
      </c>
      <c r="D20" s="437">
        <v>10</v>
      </c>
      <c r="E20" s="437" t="str">
        <f>"SA-"&amp;$G$14</f>
        <v>SA-05</v>
      </c>
      <c r="F20" s="437" t="str">
        <f>F3&amp;"_INDISPONIBILIDADES_SALIDAS_"&amp;F3&amp;"_PAFFT.XLS"</f>
        <v>EDESUR_INDISPONIBILIDADES_SALIDAS_EDESUR_PAFFT.XLS</v>
      </c>
      <c r="G20" s="437">
        <v>3</v>
      </c>
      <c r="H20" s="438">
        <v>5</v>
      </c>
      <c r="I20" s="438">
        <v>4</v>
      </c>
      <c r="J20" s="437">
        <v>6</v>
      </c>
      <c r="K20" s="437">
        <v>7</v>
      </c>
      <c r="L20" s="437">
        <v>8</v>
      </c>
      <c r="M20" s="437">
        <v>10</v>
      </c>
      <c r="N20" s="437">
        <v>11</v>
      </c>
      <c r="O20" s="437">
        <v>14</v>
      </c>
      <c r="P20" s="437">
        <v>15</v>
      </c>
      <c r="Q20" s="437">
        <v>21</v>
      </c>
      <c r="R20" s="437">
        <v>0</v>
      </c>
      <c r="S20" s="437">
        <v>0</v>
      </c>
      <c r="T20" s="437">
        <v>0</v>
      </c>
      <c r="U20" s="437">
        <v>0</v>
      </c>
      <c r="V20" s="437">
        <v>0</v>
      </c>
      <c r="W20" s="437">
        <v>24</v>
      </c>
      <c r="X20" s="437">
        <v>10</v>
      </c>
      <c r="Y20" s="441">
        <v>44</v>
      </c>
      <c r="Z20" s="437">
        <v>22</v>
      </c>
      <c r="AA20" s="441">
        <v>21</v>
      </c>
      <c r="AB20" s="437">
        <v>22</v>
      </c>
      <c r="AC20" s="437">
        <v>14</v>
      </c>
    </row>
    <row r="21" spans="1:29" s="436" customFormat="1" ht="12.75">
      <c r="A21" s="440" t="s">
        <v>126</v>
      </c>
      <c r="B21" s="447">
        <v>19</v>
      </c>
      <c r="C21" s="447">
        <v>24</v>
      </c>
      <c r="D21" s="448">
        <v>4</v>
      </c>
      <c r="E21" s="440" t="str">
        <f>"CAUSAS-VST-"&amp;$G$14</f>
        <v>CAUSAS-VST-05</v>
      </c>
      <c r="F21" s="440" t="str">
        <f>F3&amp;"_PAFFT_CAUSAS_VST.XLS"</f>
        <v>EDESUR_PAFFT_CAUSAS_VST.XLS</v>
      </c>
      <c r="G21" s="447">
        <v>3</v>
      </c>
      <c r="H21" s="447">
        <v>4</v>
      </c>
      <c r="I21" s="447">
        <v>5</v>
      </c>
      <c r="J21" s="447">
        <v>6</v>
      </c>
      <c r="K21" s="447">
        <v>7</v>
      </c>
      <c r="L21" s="447">
        <v>0</v>
      </c>
      <c r="M21" s="447">
        <v>0</v>
      </c>
      <c r="N21" s="447">
        <v>0</v>
      </c>
      <c r="O21" s="447">
        <v>0</v>
      </c>
      <c r="P21" s="447">
        <v>0</v>
      </c>
      <c r="Q21" s="447">
        <v>0</v>
      </c>
      <c r="R21" s="447">
        <v>0</v>
      </c>
      <c r="S21" s="447">
        <v>0</v>
      </c>
      <c r="T21" s="447">
        <v>0</v>
      </c>
      <c r="U21" s="447">
        <v>0</v>
      </c>
      <c r="V21" s="447">
        <v>0</v>
      </c>
      <c r="W21" s="447">
        <v>999</v>
      </c>
      <c r="X21" s="447">
        <v>999</v>
      </c>
      <c r="Y21" s="447">
        <v>0</v>
      </c>
      <c r="Z21" s="447">
        <v>0</v>
      </c>
      <c r="AA21" s="447">
        <v>0</v>
      </c>
      <c r="AB21" s="447">
        <v>0</v>
      </c>
      <c r="AC21" s="447">
        <v>0</v>
      </c>
    </row>
  </sheetData>
  <hyperlinks>
    <hyperlink ref="D5" r:id="rId1" display="\\fileserver\files\Transporte\transporte\AA PROCESO AUT\DISTROCUYO\FABIAN"/>
  </hyperlinks>
  <printOptions gridLines="1"/>
  <pageMargins left="0.75" right="0.75" top="1" bottom="1" header="0.511811024" footer="0.511811024"/>
  <pageSetup horizontalDpi="600" verticalDpi="600" orientation="landscape" paperSize="9" r:id="rId2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hantunez</cp:lastModifiedBy>
  <cp:lastPrinted>2011-04-25T12:49:42Z</cp:lastPrinted>
  <dcterms:created xsi:type="dcterms:W3CDTF">1999-04-29T21:02:14Z</dcterms:created>
  <dcterms:modified xsi:type="dcterms:W3CDTF">2011-05-23T19:44:33Z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