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928" activeTab="9"/>
  </bookViews>
  <sheets>
    <sheet name="TOT-0709" sheetId="1" r:id="rId1"/>
    <sheet name="LI-07 (1)" sheetId="2" r:id="rId2"/>
    <sheet name="TR-07 (1)" sheetId="3" r:id="rId3"/>
    <sheet name="SA-07 (1)" sheetId="4" r:id="rId4"/>
    <sheet name="LI-EDERSA-07 (1)" sheetId="5" r:id="rId5"/>
    <sheet name="SA-EDERSA-07 (1)" sheetId="6" r:id="rId6"/>
    <sheet name="RE-07 (1)" sheetId="7" r:id="rId7"/>
    <sheet name="CAUSAS-VST-07 (1)" sheetId="8" r:id="rId8"/>
    <sheet name="CAUSAS-VST-07 (2)" sheetId="9" r:id="rId9"/>
    <sheet name="SUP-EDERSA" sheetId="10" r:id="rId10"/>
    <sheet name="TASA FALLA" sheetId="11" r:id="rId11"/>
    <sheet name="DATO" sheetId="12" r:id="rId12"/>
  </sheets>
  <externalReferences>
    <externalReference r:id="rId15"/>
    <externalReference r:id="rId16"/>
  </externalReferences>
  <definedNames>
    <definedName name="_xlnm.Print_Area" localSheetId="7">'CAUSAS-VST-07 (1)'!$A$1:$I$46</definedName>
    <definedName name="_xlnm.Print_Area" localSheetId="8">'CAUSAS-VST-07 (2)'!$A$1:$I$46</definedName>
    <definedName name="_xlnm.Print_Area" localSheetId="1">'LI-07 (1)'!$A$1:$AB$45</definedName>
    <definedName name="_xlnm.Print_Area" localSheetId="4">'LI-EDERSA-07 (1)'!$A$1:$AB$45</definedName>
    <definedName name="_xlnm.Print_Area" localSheetId="6">'RE-07 (1)'!$A$1:$W$45</definedName>
    <definedName name="_xlnm.Print_Area" localSheetId="3">'SA-07 (1)'!$A$1:$W$47</definedName>
    <definedName name="_xlnm.Print_Area" localSheetId="5">'SA-EDERSA-07 (1)'!$A$1:$W$47</definedName>
    <definedName name="_xlnm.Print_Area" localSheetId="9">'SUP-EDERSA'!$A$1:$P$58</definedName>
    <definedName name="_xlnm.Print_Area" localSheetId="10">'TASA FALLA'!$A$1:$T$57</definedName>
    <definedName name="_xlnm.Print_Area" localSheetId="0">'TOT-0709'!$A$1:$K$39</definedName>
    <definedName name="_xlnm.Print_Area" localSheetId="2">'TR-07 (1)'!$A$1:$AD$47</definedName>
    <definedName name="DD" localSheetId="7">'CAUSAS-VST-07 (1)'!DD</definedName>
    <definedName name="DD" localSheetId="8">'CAUSAS-VST-07 (2)'!DD</definedName>
    <definedName name="DD" localSheetId="11">'DATO'!DD</definedName>
    <definedName name="DD" localSheetId="1">'LI-07 (1)'!DD</definedName>
    <definedName name="DD" localSheetId="4">'LI-EDERSA-07 (1)'!DD</definedName>
    <definedName name="DD" localSheetId="6">'RE-07 (1)'!DD</definedName>
    <definedName name="DD" localSheetId="3">'SA-07 (1)'!DD</definedName>
    <definedName name="DD" localSheetId="5">'SA-EDERSA-07 (1)'!DD</definedName>
    <definedName name="DD" localSheetId="10">'TASA FALLA'!DD</definedName>
    <definedName name="DD" localSheetId="2">'TR-07 (1)'!DD</definedName>
    <definedName name="DD">[0]!DD</definedName>
    <definedName name="DDD" localSheetId="7">'CAUSAS-VST-07 (1)'!DDD</definedName>
    <definedName name="DDD" localSheetId="8">'CAUSAS-VST-07 (2)'!DDD</definedName>
    <definedName name="DDD" localSheetId="11">'DATO'!DDD</definedName>
    <definedName name="DDD" localSheetId="1">'LI-07 (1)'!DDD</definedName>
    <definedName name="DDD" localSheetId="4">'LI-EDERSA-07 (1)'!DDD</definedName>
    <definedName name="DDD" localSheetId="6">'RE-07 (1)'!DDD</definedName>
    <definedName name="DDD" localSheetId="3">'SA-07 (1)'!DDD</definedName>
    <definedName name="DDD" localSheetId="5">'SA-EDERSA-07 (1)'!DDD</definedName>
    <definedName name="DDD" localSheetId="10">'TASA FALLA'!DDD</definedName>
    <definedName name="DDD" localSheetId="2">'TR-07 (1)'!DDD</definedName>
    <definedName name="DDD">[0]!DDD</definedName>
    <definedName name="DISTROCUYO" localSheetId="7">'CAUSAS-VST-07 (1)'!DISTROCUYO</definedName>
    <definedName name="DISTROCUYO" localSheetId="8">'CAUSAS-VST-07 (2)'!DISTROCUYO</definedName>
    <definedName name="DISTROCUYO" localSheetId="11">'DATO'!DISTROCUYO</definedName>
    <definedName name="DISTROCUYO" localSheetId="1">'LI-07 (1)'!DISTROCUYO</definedName>
    <definedName name="DISTROCUYO" localSheetId="4">'LI-EDERSA-07 (1)'!DISTROCUYO</definedName>
    <definedName name="DISTROCUYO" localSheetId="6">'RE-07 (1)'!DISTROCUYO</definedName>
    <definedName name="DISTROCUYO" localSheetId="3">'SA-07 (1)'!DISTROCUYO</definedName>
    <definedName name="DISTROCUYO" localSheetId="5">'SA-EDERSA-07 (1)'!DISTROCUYO</definedName>
    <definedName name="DISTROCUYO" localSheetId="10">'TASA FALLA'!DISTROCUYO</definedName>
    <definedName name="DISTROCUYO" localSheetId="2">'TR-07 (1)'!DISTROCUYO</definedName>
    <definedName name="DISTROCUYO">[0]!DISTROCUYO</definedName>
    <definedName name="INICIO" localSheetId="7">'CAUSAS-VST-07 (1)'!INICIO</definedName>
    <definedName name="INICIO" localSheetId="8">'CAUSAS-VST-07 (2)'!INICIO</definedName>
    <definedName name="INICIO" localSheetId="11">'DATO'!INICIO</definedName>
    <definedName name="INICIO" localSheetId="1">'LI-07 (1)'!INICIO</definedName>
    <definedName name="INICIO" localSheetId="4">'LI-EDERSA-07 (1)'!INICIO</definedName>
    <definedName name="INICIO" localSheetId="6">'RE-07 (1)'!INICIO</definedName>
    <definedName name="INICIO" localSheetId="3">'SA-07 (1)'!INICIO</definedName>
    <definedName name="INICIO" localSheetId="5">'SA-EDERSA-07 (1)'!INICIO</definedName>
    <definedName name="INICIO" localSheetId="10">'TASA FALLA'!INICIO</definedName>
    <definedName name="INICIO" localSheetId="2">'TR-07 (1)'!INICIO</definedName>
    <definedName name="INICIO">[0]!INICIO</definedName>
    <definedName name="INICIOTI" localSheetId="7">'CAUSAS-VST-07 (1)'!INICIOTI</definedName>
    <definedName name="INICIOTI" localSheetId="8">'CAUSAS-VST-07 (2)'!INICIOTI</definedName>
    <definedName name="INICIOTI" localSheetId="11">'DATO'!INICIOTI</definedName>
    <definedName name="INICIOTI" localSheetId="1">'LI-07 (1)'!INICIOTI</definedName>
    <definedName name="INICIOTI" localSheetId="4">'LI-EDERSA-07 (1)'!INICIOTI</definedName>
    <definedName name="INICIOTI" localSheetId="6">'RE-07 (1)'!INICIOTI</definedName>
    <definedName name="INICIOTI" localSheetId="3">'SA-07 (1)'!INICIOTI</definedName>
    <definedName name="INICIOTI" localSheetId="5">'SA-EDERSA-07 (1)'!INICIOTI</definedName>
    <definedName name="INICIOTI" localSheetId="10">'TASA FALLA'!INICIOTI</definedName>
    <definedName name="INICIOTI" localSheetId="2">'TR-07 (1)'!INICIOTI</definedName>
    <definedName name="INICIOTI">[0]!INICIOTI</definedName>
    <definedName name="LINEAS" localSheetId="7">'CAUSAS-VST-07 (1)'!LINEAS</definedName>
    <definedName name="LINEAS" localSheetId="8">'CAUSAS-VST-07 (2)'!LINEAS</definedName>
    <definedName name="LINEAS" localSheetId="11">'DATO'!LINEAS</definedName>
    <definedName name="LINEAS" localSheetId="1">'LI-07 (1)'!LINEAS</definedName>
    <definedName name="LINEAS" localSheetId="4">'LI-EDERSA-07 (1)'!LINEAS</definedName>
    <definedName name="LINEAS" localSheetId="6">'RE-07 (1)'!LINEAS</definedName>
    <definedName name="LINEAS" localSheetId="3">'SA-07 (1)'!LINEAS</definedName>
    <definedName name="LINEAS" localSheetId="5">'SA-EDERSA-07 (1)'!LINEAS</definedName>
    <definedName name="LINEAS" localSheetId="10">'TASA FALLA'!LINEAS</definedName>
    <definedName name="LINEAS" localSheetId="2">'TR-07 (1)'!LINEAS</definedName>
    <definedName name="LINEAS">[0]!LINEAS</definedName>
    <definedName name="NAME_L" localSheetId="7">'CAUSAS-VST-07 (1)'!NAME_L</definedName>
    <definedName name="NAME_L" localSheetId="8">'CAUSAS-VST-07 (2)'!NAME_L</definedName>
    <definedName name="NAME_L" localSheetId="11">'DATO'!NAME_L</definedName>
    <definedName name="NAME_L" localSheetId="1">'LI-07 (1)'!NAME_L</definedName>
    <definedName name="NAME_L" localSheetId="4">'LI-EDERSA-07 (1)'!NAME_L</definedName>
    <definedName name="NAME_L" localSheetId="6">'RE-07 (1)'!NAME_L</definedName>
    <definedName name="NAME_L" localSheetId="3">'SA-07 (1)'!NAME_L</definedName>
    <definedName name="NAME_L" localSheetId="5">'SA-EDERSA-07 (1)'!NAME_L</definedName>
    <definedName name="NAME_L" localSheetId="10">'TASA FALLA'!NAME_L</definedName>
    <definedName name="NAME_L" localSheetId="2">'TR-07 (1)'!NAME_L</definedName>
    <definedName name="NAME_L">[0]!NAME_L</definedName>
    <definedName name="NAME_L_TI" localSheetId="7">'CAUSAS-VST-07 (1)'!NAME_L_TI</definedName>
    <definedName name="NAME_L_TI" localSheetId="8">'CAUSAS-VST-07 (2)'!NAME_L_TI</definedName>
    <definedName name="NAME_L_TI" localSheetId="11">'DATO'!NAME_L_TI</definedName>
    <definedName name="NAME_L_TI" localSheetId="1">'LI-07 (1)'!NAME_L_TI</definedName>
    <definedName name="NAME_L_TI" localSheetId="4">'LI-EDERSA-07 (1)'!NAME_L_TI</definedName>
    <definedName name="NAME_L_TI" localSheetId="6">'RE-07 (1)'!NAME_L_TI</definedName>
    <definedName name="NAME_L_TI" localSheetId="3">'SA-07 (1)'!NAME_L_TI</definedName>
    <definedName name="NAME_L_TI" localSheetId="5">'SA-EDERSA-07 (1)'!NAME_L_TI</definedName>
    <definedName name="NAME_L_TI" localSheetId="10">'TASA FALLA'!NAME_L_TI</definedName>
    <definedName name="NAME_L_TI" localSheetId="2">'TR-07 (1)'!NAME_L_TI</definedName>
    <definedName name="NAME_L_TI">[0]!NAME_L_TI</definedName>
    <definedName name="TRAN" localSheetId="7">'CAUSAS-VST-07 (1)'!TRAN</definedName>
    <definedName name="TRAN" localSheetId="8">'CAUSAS-VST-07 (2)'!TRAN</definedName>
    <definedName name="TRAN" localSheetId="1">'LI-07 (1)'!TRAN</definedName>
    <definedName name="TRAN" localSheetId="4">'LI-EDERSA-07 (1)'!TRAN</definedName>
    <definedName name="TRAN" localSheetId="6">'RE-07 (1)'!TRAN</definedName>
    <definedName name="TRAN" localSheetId="3">'SA-07 (1)'!TRAN</definedName>
    <definedName name="TRAN" localSheetId="5">'SA-EDERSA-07 (1)'!TRAN</definedName>
    <definedName name="TRAN" localSheetId="10">'TASA FALLA'!TRAN</definedName>
    <definedName name="TRAN" localSheetId="2">'TR-07 (1)'!TRAN</definedName>
    <definedName name="TRAN">[0]!TRAN</definedName>
    <definedName name="TRANSNOA" localSheetId="7">'CAUSAS-VST-07 (1)'!TRANSNOA</definedName>
    <definedName name="TRANSNOA" localSheetId="8">'CAUSAS-VST-07 (2)'!TRANSNOA</definedName>
    <definedName name="TRANSNOA" localSheetId="11">'DATO'!TRANSNOA</definedName>
    <definedName name="TRANSNOA" localSheetId="1">'LI-07 (1)'!TRANSNOA</definedName>
    <definedName name="TRANSNOA" localSheetId="4">'LI-EDERSA-07 (1)'!TRANSNOA</definedName>
    <definedName name="TRANSNOA" localSheetId="6">'RE-07 (1)'!TRANSNOA</definedName>
    <definedName name="TRANSNOA" localSheetId="3">'SA-07 (1)'!TRANSNOA</definedName>
    <definedName name="TRANSNOA" localSheetId="5">'SA-EDERSA-07 (1)'!TRANSNOA</definedName>
    <definedName name="TRANSNOA" localSheetId="10">'TASA FALLA'!TRANSNOA</definedName>
    <definedName name="TRANSNOA" localSheetId="2">'TR-07 (1)'!TRANSNOA</definedName>
    <definedName name="TRANSNOA">[0]!TRANSNOA</definedName>
    <definedName name="x" localSheetId="7">'CAUSAS-VST-07 (1)'!x</definedName>
    <definedName name="x" localSheetId="8">'CAUSAS-VST-07 (2)'!x</definedName>
    <definedName name="x" localSheetId="1">'LI-07 (1)'!x</definedName>
    <definedName name="x" localSheetId="4">'LI-EDERSA-07 (1)'!x</definedName>
    <definedName name="x" localSheetId="6">'RE-07 (1)'!x</definedName>
    <definedName name="x" localSheetId="3">'SA-07 (1)'!x</definedName>
    <definedName name="x" localSheetId="5">'SA-EDERSA-07 (1)'!x</definedName>
    <definedName name="x" localSheetId="10">'TASA FALLA'!x</definedName>
    <definedName name="x" localSheetId="2">'TR-07 (1)'!x</definedName>
    <definedName name="x">[0]!x</definedName>
    <definedName name="XX" localSheetId="7">'CAUSAS-VST-07 (1)'!XX</definedName>
    <definedName name="XX" localSheetId="8">'CAUSAS-VST-07 (2)'!XX</definedName>
    <definedName name="XX" localSheetId="1">'LI-07 (1)'!XX</definedName>
    <definedName name="XX" localSheetId="4">'LI-EDERSA-07 (1)'!XX</definedName>
    <definedName name="XX" localSheetId="6">'RE-07 (1)'!XX</definedName>
    <definedName name="XX" localSheetId="3">'SA-07 (1)'!XX</definedName>
    <definedName name="XX" localSheetId="5">'SA-EDERSA-07 (1)'!XX</definedName>
    <definedName name="XX" localSheetId="10">'TASA FALLA'!XX</definedName>
    <definedName name="XX" localSheetId="2">'TR-07 (1)'!XX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4.xml><?xml version="1.0" encoding="utf-8"?>
<comments xmlns="http://schemas.openxmlformats.org/spreadsheetml/2006/main">
  <authors>
    <author>jmessina</author>
  </authors>
  <commentLis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6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sharedStrings.xml><?xml version="1.0" encoding="utf-8"?>
<sst xmlns="http://schemas.openxmlformats.org/spreadsheetml/2006/main" count="581" uniqueCount="288">
  <si>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</si>
  <si>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</si>
  <si>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</si>
  <si>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</si>
  <si>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</si>
  <si>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</si>
  <si>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</si>
  <si>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</si>
  <si>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</si>
  <si>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</si>
  <si>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</si>
  <si>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</si>
  <si>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</si>
  <si>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</si>
  <si>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</si>
  <si>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</si>
  <si>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</si>
  <si>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</si>
  <si>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</si>
  <si>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</si>
  <si>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</si>
  <si>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</si>
  <si>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Transportista Independiente E.D.E.R.S.A.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</si>
  <si>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</si>
  <si>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</si>
  <si>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</si>
  <si>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</si>
  <si>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</si>
  <si>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</si>
  <si>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</si>
  <si>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</si>
  <si>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>2.2.2.-</t>
  </si>
  <si>
    <t>3.-</t>
  </si>
  <si>
    <t>POTENCIA REACTIVA</t>
  </si>
  <si>
    <t>4.-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</si>
  <si>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</si>
  <si>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</si>
  <si>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</si>
  <si>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</si>
  <si>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</si>
  <si>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</si>
  <si>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</si>
  <si>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</si>
  <si>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</si>
  <si>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</si>
  <si>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</si>
  <si>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</si>
  <si>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</si>
  <si>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</si>
  <si>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</si>
  <si>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</si>
  <si>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</si>
  <si>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</si>
  <si>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</si>
  <si>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</si>
  <si>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</si>
  <si>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</si>
  <si>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</si>
  <si>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</si>
  <si>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</si>
  <si>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</si>
  <si>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</si>
  <si>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</si>
  <si>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</si>
  <si>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</si>
  <si>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</si>
  <si>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</si>
  <si>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</si>
  <si>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</si>
  <si>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</si>
  <si>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</si>
  <si>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</si>
  <si>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</si>
  <si>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</si>
  <si>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</si>
  <si>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</si>
  <si>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</si>
  <si>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</si>
  <si>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</si>
  <si>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>2.2.- Salidas</t>
  </si>
  <si>
    <t>2.2.1.- Equipamiento propio</t>
  </si>
  <si>
    <t>Salida en 330 kV</t>
  </si>
  <si>
    <t xml:space="preserve">Salida en 132 kV o 66 kV = </t>
  </si>
  <si>
    <t xml:space="preserve">Salida en 33 kV </t>
  </si>
  <si>
    <t>Salida en 13,2 kV =</t>
  </si>
  <si>
    <t>K (U)</t>
  </si>
  <si>
    <t>3.- POTENCIA REACTIVA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</si>
  <si>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</si>
  <si>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</si>
  <si>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</si>
  <si>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</si>
  <si>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</si>
  <si>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</si>
  <si>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</si>
  <si>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</si>
  <si>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</si>
  <si>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</si>
  <si>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</si>
  <si>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</si>
  <si>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</si>
  <si>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</si>
  <si>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</si>
  <si>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</si>
  <si>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SEGÚN 2.2.2.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</si>
  <si>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</si>
  <si>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</si>
  <si>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</si>
  <si>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</si>
  <si>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</si>
  <si>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</si>
  <si>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</si>
  <si>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</si>
  <si>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</si>
  <si>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</si>
  <si>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</si>
  <si>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</si>
  <si>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</si>
  <si>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</si>
  <si>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</si>
  <si>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</si>
  <si>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</si>
  <si>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</si>
  <si>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</si>
  <si>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</si>
  <si>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</si>
  <si>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</si>
  <si>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</si>
  <si>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</si>
  <si>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</si>
  <si>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</si>
  <si>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</si>
  <si>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</si>
  <si>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</si>
  <si>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</si>
  <si>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</si>
  <si>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</si>
  <si>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</si>
  <si>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</si>
  <si>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</si>
  <si>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</si>
  <si>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</si>
  <si>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</si>
  <si>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</si>
  <si>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</si>
  <si>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</si>
  <si>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</si>
  <si>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4.1.- SUPERVISIÓN - Transportista Independiente E.D.E.R.S.A.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</si>
  <si>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</si>
  <si>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</si>
  <si>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</si>
  <si>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</si>
  <si>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</si>
  <si>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</si>
  <si>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</si>
  <si>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</si>
  <si>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</si>
  <si>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</si>
  <si>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</si>
  <si>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</si>
  <si>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</si>
  <si>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</si>
  <si>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</si>
  <si>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</si>
  <si>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</si>
  <si>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</si>
  <si>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</si>
  <si>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</si>
  <si>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</si>
  <si>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</si>
  <si>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</si>
  <si>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</si>
  <si>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</si>
  <si>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</si>
  <si>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</si>
  <si>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</si>
  <si>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</si>
  <si>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</si>
  <si>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</si>
  <si>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</si>
  <si>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</si>
  <si>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</si>
  <si>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</si>
  <si>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</si>
  <si>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</si>
  <si>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</si>
  <si>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</si>
  <si>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</si>
  <si>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</si>
  <si>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</si>
  <si>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</si>
  <si>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</si>
  <si>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</si>
  <si>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</si>
  <si>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</si>
  <si>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</si>
  <si>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R</t>
  </si>
  <si>
    <t>MODELO VST</t>
  </si>
  <si>
    <t>DAG</t>
  </si>
  <si>
    <t>2.2.2.- Transportista Independiente E.D.E.R.S.A.</t>
  </si>
  <si>
    <t>MODELO L EDERSA</t>
  </si>
  <si>
    <t>MODELO L SPSE</t>
  </si>
  <si>
    <t>MODELO L TRANSACUE</t>
  </si>
  <si>
    <t>MODELO T EDERSA</t>
  </si>
  <si>
    <t>MODELO T SPSE</t>
  </si>
  <si>
    <t>MODELO S EDERSA</t>
  </si>
  <si>
    <t>MODELO S SPSE</t>
  </si>
  <si>
    <t>MODELO S TRANSACUE</t>
  </si>
  <si>
    <t>TRANSPA_INDSIPONIBILIDADES_LINEAS_TRANSPA.XLS</t>
  </si>
  <si>
    <t>TRANSPA_INDSIPONIBILIDADES_TRAFOS_TRANSPA.XLS</t>
  </si>
  <si>
    <t>TRANSPA_INDSIPONIBILIDADES_SALIDAS_TRANSPA.XLS</t>
  </si>
  <si>
    <t>TRANSPA_INDSIPONIBILIDADES_REACTIVOS_TRANSPA.XLS</t>
  </si>
  <si>
    <t>TRANSPA_CAUSAS_VST.XLS</t>
  </si>
  <si>
    <t>TRANSPA_INDSIPONIBILIDADES_DAG.XLS</t>
  </si>
  <si>
    <t>TRANSPA_INDSIPONIBILIDADES_LINEAS_EDERSA.XLS</t>
  </si>
  <si>
    <t>TRANSPA_INDSIPONIBILIDADES_LINEAS_SPSE.XLS</t>
  </si>
  <si>
    <t>TRANSPA_INDSIPONIBILIDADES_LINEAS_TRANSACUE.XLS</t>
  </si>
  <si>
    <t>TRANSPA_INDSIPONIBILIDADES_TRAFOS_EDERSA.XLS</t>
  </si>
  <si>
    <t>TRANSPA_INDSIPONIBILIDADES_TRAFOS_SPSE.XLS</t>
  </si>
  <si>
    <t>TRANSPA_INDSIPONIBILIDADES_SALIDAS_EDERSA.XLS</t>
  </si>
  <si>
    <t>TRANSPA_INDSIPONIBILIDADES_SALIDAS_SPSE.XLS</t>
  </si>
  <si>
    <t>TRANSPA_INDSIPONIBILIDADES_SALIDAS_TRANSACUE.XLS</t>
  </si>
  <si>
    <t>ID EQUIPO</t>
  </si>
  <si>
    <t>INDISP</t>
  </si>
  <si>
    <t>AGENTE</t>
  </si>
  <si>
    <t>CAUSA</t>
  </si>
  <si>
    <t xml:space="preserve">        DE LA ELECTRICIDAD</t>
  </si>
  <si>
    <t xml:space="preserve">              DE LA ELECTRICIDAD</t>
  </si>
  <si>
    <t xml:space="preserve">           ENTE NACIONAL REGULADOR </t>
  </si>
  <si>
    <t>(DTE 0609)</t>
  </si>
  <si>
    <t>Col09</t>
  </si>
  <si>
    <t>Indisponibilidades Descartadas por Causa "Vinculado y Sin Tensión"</t>
  </si>
  <si>
    <t>Id</t>
  </si>
  <si>
    <t>Desde el 01 al 31 de julio de 2009</t>
  </si>
  <si>
    <t>FLORENTINO AMEGHINO - ESTACION PATAGONIA</t>
  </si>
  <si>
    <t>F</t>
  </si>
  <si>
    <t>SI</t>
  </si>
  <si>
    <t>PTO. MADRYN - SIERRA GRANDE</t>
  </si>
  <si>
    <t>COMODORO RIVADAVIA A1</t>
  </si>
  <si>
    <t>132/33/13,2</t>
  </si>
  <si>
    <t>RP</t>
  </si>
  <si>
    <t>PICO TRUNCADO 1</t>
  </si>
  <si>
    <t>AUTOTRAFO 7</t>
  </si>
  <si>
    <t>132/66/13,2</t>
  </si>
  <si>
    <t>TRELEW</t>
  </si>
  <si>
    <t>TRAFO 3</t>
  </si>
  <si>
    <t>P</t>
  </si>
  <si>
    <t>TRAFO 4</t>
  </si>
  <si>
    <t>CDORO. RIVADAVIA CENT</t>
  </si>
  <si>
    <t>ALIMENT. 3 YPF</t>
  </si>
  <si>
    <t>ALIMENT. 6 YPF</t>
  </si>
  <si>
    <t>ALIMENT. 7 YPF</t>
  </si>
  <si>
    <t>PUERTO MADRYN</t>
  </si>
  <si>
    <t>Reactor 2</t>
  </si>
  <si>
    <t>EDERSA</t>
  </si>
  <si>
    <t>S/TENSION, C/SUS INT. CERRADOS Y S/NINGUNA PROTEC.ASOC. ACTUADA</t>
  </si>
  <si>
    <t>AUTOTRAFO 6</t>
  </si>
  <si>
    <t>P.ALUMINIO APPA</t>
  </si>
  <si>
    <t>AUTOTRAFO 2</t>
  </si>
  <si>
    <t>330/132/33</t>
  </si>
  <si>
    <t>SALIDA ALIM. VIEDMA 4</t>
  </si>
  <si>
    <t>1.2.- Transportista Independiente E.D.E.R.S.A.</t>
  </si>
  <si>
    <t>S. A. ESTE - VIEDMA</t>
  </si>
  <si>
    <t>S.A. OESTE - S.A. ESTE</t>
  </si>
  <si>
    <t xml:space="preserve">P - PROGRAMADA </t>
  </si>
  <si>
    <t>F - FORZADA</t>
  </si>
  <si>
    <t>P - PROGRAMADA ;   RP - REDUCCIÓN PROGRAMADA ;   F - FORZADA</t>
  </si>
  <si>
    <t>P - PROGRAMADA ;   F - FORZADA</t>
  </si>
  <si>
    <t>Valores remuneratorios según Decreto PEN N° 1779/07 -  Res. ENRE N° 330/08  y Res. ENRE Nº 645/08</t>
  </si>
  <si>
    <t xml:space="preserve">SISTEMA DE TRANSPORTE DE ENERGÍA ELÉCTRICA POR DISTRIBUCIÓN TRONCAL </t>
  </si>
  <si>
    <t>INDISPONIBILIDADES FORZADAS DE LÍNEAS - TASA DE FALLA</t>
  </si>
  <si>
    <t>Tasa de falla correspondiente al mes de julio de 2009 (provisoria).-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</si>
  <si>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</si>
  <si>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</si>
  <si>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</si>
  <si>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</si>
  <si>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</si>
  <si>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VALOR PROVISORIO</t>
  </si>
  <si>
    <t>TASA DE FALLA</t>
  </si>
  <si>
    <t>SALIDAS x AÑO / 100 km</t>
  </si>
  <si>
    <t>TOTAL DE PENALIZACIONES A APLICAR</t>
  </si>
  <si>
    <t>SALIDA ALIM. 1 RURAL</t>
  </si>
  <si>
    <t>SALIDA ALIM. 2 C. PATAGONES</t>
  </si>
  <si>
    <t>SALIDA ALIM. 3 VIEDMA 3</t>
  </si>
  <si>
    <t>S.A. OESTE</t>
  </si>
  <si>
    <t xml:space="preserve">SALIDA ALIM. S.A. OESTE </t>
  </si>
  <si>
    <t>S. GRANDE</t>
  </si>
  <si>
    <t>SALIDA PTO. MADRYN</t>
  </si>
  <si>
    <t>ANEXO I al Memorándum D.T.E.E. N°  166    /2011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</si>
</sst>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sz val="10"/>
      <color indexed="3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sz val="10"/>
      <color indexed="48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sz val="9"/>
      <name val="MS Sans Serif"/>
      <family val="0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125">
        <fgColor indexed="8"/>
      </patternFill>
    </fill>
  </fills>
  <borders count="8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72" fontId="9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8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6" xfId="0" applyNumberFormat="1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5" xfId="0" applyFont="1" applyFill="1" applyBorder="1" applyAlignment="1" applyProtection="1">
      <alignment horizontal="center"/>
      <protection/>
    </xf>
    <xf numFmtId="22" fontId="7" fillId="0" borderId="7" xfId="0" applyNumberFormat="1" applyFont="1" applyFill="1" applyBorder="1" applyAlignment="1">
      <alignment horizontal="center"/>
    </xf>
    <xf numFmtId="22" fontId="7" fillId="0" borderId="8" xfId="0" applyNumberFormat="1" applyFont="1" applyFill="1" applyBorder="1" applyAlignment="1" applyProtection="1">
      <alignment horizontal="center"/>
      <protection/>
    </xf>
    <xf numFmtId="2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7" fontId="7" fillId="0" borderId="17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8" fontId="10" fillId="0" borderId="3" xfId="0" applyNumberFormat="1" applyFont="1" applyFill="1" applyBorder="1" applyAlignment="1">
      <alignment horizontal="right"/>
    </xf>
    <xf numFmtId="7" fontId="7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7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 horizontal="center"/>
      <protection/>
    </xf>
    <xf numFmtId="0" fontId="13" fillId="0" borderId="7" xfId="0" applyFont="1" applyBorder="1" applyAlignment="1" applyProtection="1">
      <alignment horizontal="center"/>
      <protection/>
    </xf>
    <xf numFmtId="168" fontId="7" fillId="0" borderId="7" xfId="0" applyNumberFormat="1" applyFont="1" applyBorder="1" applyAlignment="1" applyProtection="1">
      <alignment horizontal="center"/>
      <protection/>
    </xf>
    <xf numFmtId="22" fontId="7" fillId="0" borderId="20" xfId="0" applyNumberFormat="1" applyFont="1" applyBorder="1" applyAlignment="1">
      <alignment horizontal="center"/>
    </xf>
    <xf numFmtId="22" fontId="7" fillId="0" borderId="19" xfId="0" applyNumberFormat="1" applyFont="1" applyBorder="1" applyAlignment="1" applyProtection="1">
      <alignment horizontal="center"/>
      <protection/>
    </xf>
    <xf numFmtId="2" fontId="7" fillId="0" borderId="7" xfId="0" applyNumberFormat="1" applyFont="1" applyFill="1" applyBorder="1" applyAlignment="1" applyProtection="1" quotePrefix="1">
      <alignment horizontal="center"/>
      <protection/>
    </xf>
    <xf numFmtId="164" fontId="7" fillId="0" borderId="7" xfId="0" applyNumberFormat="1" applyFont="1" applyFill="1" applyBorder="1" applyAlignment="1" applyProtection="1" quotePrefix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 quotePrefix="1">
      <alignment horizontal="center"/>
      <protection/>
    </xf>
    <xf numFmtId="4" fontId="18" fillId="0" borderId="3" xfId="0" applyNumberFormat="1" applyFont="1" applyFill="1" applyBorder="1" applyAlignment="1">
      <alignment horizontal="right"/>
    </xf>
    <xf numFmtId="168" fontId="7" fillId="0" borderId="22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" xfId="0" applyFont="1" applyBorder="1" applyAlignment="1" applyProtection="1">
      <alignment horizontal="centerContinuous"/>
      <protection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2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7" fontId="8" fillId="0" borderId="26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16" fillId="0" borderId="2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 horizontal="centerContinuous"/>
    </xf>
    <xf numFmtId="0" fontId="0" fillId="0" borderId="25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 quotePrefix="1">
      <alignment horizontal="left"/>
      <protection/>
    </xf>
    <xf numFmtId="0" fontId="0" fillId="0" borderId="24" xfId="0" applyFont="1" applyFill="1" applyBorder="1" applyAlignment="1" applyProtection="1">
      <alignment horizontal="center"/>
      <protection/>
    </xf>
    <xf numFmtId="164" fontId="0" fillId="0" borderId="23" xfId="0" applyNumberFormat="1" applyFont="1" applyFill="1" applyBorder="1" applyAlignment="1" applyProtection="1">
      <alignment horizont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 quotePrefix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 applyProtection="1" quotePrefix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25" xfId="0" applyFont="1" applyBorder="1" applyAlignment="1" applyProtection="1">
      <alignment horizontal="left"/>
      <protection/>
    </xf>
    <xf numFmtId="171" fontId="0" fillId="0" borderId="28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/>
    </xf>
    <xf numFmtId="171" fontId="25" fillId="0" borderId="2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/>
      <protection/>
    </xf>
    <xf numFmtId="168" fontId="10" fillId="0" borderId="3" xfId="0" applyNumberFormat="1" applyFont="1" applyFill="1" applyBorder="1" applyAlignment="1">
      <alignment horizontal="center"/>
    </xf>
    <xf numFmtId="0" fontId="26" fillId="0" borderId="26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Continuous"/>
    </xf>
    <xf numFmtId="2" fontId="7" fillId="0" borderId="29" xfId="0" applyNumberFormat="1" applyFont="1" applyFill="1" applyBorder="1" applyAlignment="1" applyProtection="1" quotePrefix="1">
      <alignment horizontal="center"/>
      <protection/>
    </xf>
    <xf numFmtId="0" fontId="7" fillId="0" borderId="3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 applyProtection="1" quotePrefix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0" fontId="26" fillId="0" borderId="23" xfId="0" applyFont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>
      <alignment horizontal="center" vertical="center" wrapText="1"/>
    </xf>
    <xf numFmtId="168" fontId="18" fillId="0" borderId="7" xfId="0" applyNumberFormat="1" applyFont="1" applyFill="1" applyBorder="1" applyAlignment="1">
      <alignment horizontal="center"/>
    </xf>
    <xf numFmtId="168" fontId="18" fillId="0" borderId="17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25" xfId="0" applyFont="1" applyFill="1" applyBorder="1" applyAlignment="1">
      <alignment horizontal="center"/>
    </xf>
    <xf numFmtId="0" fontId="15" fillId="0" borderId="1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40" fillId="0" borderId="27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0" xfId="0" applyFont="1" applyBorder="1" applyAlignment="1">
      <alignment/>
    </xf>
    <xf numFmtId="0" fontId="43" fillId="0" borderId="1" xfId="0" applyFont="1" applyBorder="1" applyAlignment="1">
      <alignment/>
    </xf>
    <xf numFmtId="0" fontId="40" fillId="0" borderId="0" xfId="0" applyFont="1" applyBorder="1" applyAlignment="1" applyProtection="1">
      <alignment horizontal="center"/>
      <protection/>
    </xf>
    <xf numFmtId="2" fontId="40" fillId="0" borderId="0" xfId="0" applyNumberFormat="1" applyFont="1" applyBorder="1" applyAlignment="1" applyProtection="1">
      <alignment horizontal="center"/>
      <protection/>
    </xf>
    <xf numFmtId="168" fontId="40" fillId="0" borderId="0" xfId="0" applyNumberFormat="1" applyFont="1" applyBorder="1" applyAlignment="1" applyProtection="1">
      <alignment horizontal="center"/>
      <protection/>
    </xf>
    <xf numFmtId="168" fontId="40" fillId="0" borderId="0" xfId="0" applyNumberFormat="1" applyFont="1" applyBorder="1" applyAlignment="1" applyProtection="1" quotePrefix="1">
      <alignment horizontal="center"/>
      <protection/>
    </xf>
    <xf numFmtId="2" fontId="44" fillId="0" borderId="0" xfId="0" applyNumberFormat="1" applyFont="1" applyBorder="1" applyAlignment="1">
      <alignment horizontal="center"/>
    </xf>
    <xf numFmtId="168" fontId="45" fillId="0" borderId="0" xfId="0" applyNumberFormat="1" applyFont="1" applyBorder="1" applyAlignment="1" applyProtection="1" quotePrefix="1">
      <alignment horizontal="center"/>
      <protection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right"/>
    </xf>
    <xf numFmtId="2" fontId="43" fillId="0" borderId="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7" fontId="11" fillId="0" borderId="23" xfId="0" applyNumberFormat="1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1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7" fontId="40" fillId="0" borderId="0" xfId="0" applyNumberFormat="1" applyFont="1" applyFill="1" applyBorder="1" applyAlignment="1">
      <alignment horizontal="center"/>
    </xf>
    <xf numFmtId="7" fontId="46" fillId="0" borderId="0" xfId="0" applyNumberFormat="1" applyFont="1" applyFill="1" applyBorder="1" applyAlignment="1">
      <alignment horizontal="right"/>
    </xf>
    <xf numFmtId="0" fontId="40" fillId="0" borderId="2" xfId="0" applyFont="1" applyFill="1" applyBorder="1" applyAlignment="1">
      <alignment/>
    </xf>
    <xf numFmtId="0" fontId="40" fillId="0" borderId="2" xfId="0" applyFont="1" applyBorder="1" applyAlignment="1">
      <alignment/>
    </xf>
    <xf numFmtId="0" fontId="48" fillId="2" borderId="23" xfId="0" applyFont="1" applyFill="1" applyBorder="1" applyAlignment="1" applyProtection="1">
      <alignment horizontal="center" vertical="center"/>
      <protection/>
    </xf>
    <xf numFmtId="168" fontId="49" fillId="2" borderId="3" xfId="0" applyNumberFormat="1" applyFont="1" applyFill="1" applyBorder="1" applyAlignment="1" applyProtection="1">
      <alignment horizontal="center"/>
      <protection/>
    </xf>
    <xf numFmtId="0" fontId="49" fillId="2" borderId="4" xfId="0" applyFont="1" applyFill="1" applyBorder="1" applyAlignment="1">
      <alignment/>
    </xf>
    <xf numFmtId="171" fontId="49" fillId="2" borderId="3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47" fillId="0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2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54" fillId="3" borderId="23" xfId="0" applyFont="1" applyFill="1" applyBorder="1" applyAlignment="1">
      <alignment horizontal="center" vertical="center" wrapText="1"/>
    </xf>
    <xf numFmtId="0" fontId="55" fillId="3" borderId="16" xfId="0" applyFont="1" applyFill="1" applyBorder="1" applyAlignment="1">
      <alignment/>
    </xf>
    <xf numFmtId="0" fontId="54" fillId="4" borderId="23" xfId="0" applyFont="1" applyFill="1" applyBorder="1" applyAlignment="1">
      <alignment horizontal="center" vertical="center" wrapText="1"/>
    </xf>
    <xf numFmtId="0" fontId="55" fillId="4" borderId="16" xfId="0" applyFont="1" applyFill="1" applyBorder="1" applyAlignment="1">
      <alignment/>
    </xf>
    <xf numFmtId="0" fontId="27" fillId="5" borderId="23" xfId="0" applyFont="1" applyFill="1" applyBorder="1" applyAlignment="1" applyProtection="1">
      <alignment horizontal="centerContinuous" vertical="center" wrapText="1"/>
      <protection/>
    </xf>
    <xf numFmtId="0" fontId="25" fillId="5" borderId="24" xfId="0" applyFont="1" applyFill="1" applyBorder="1" applyAlignment="1">
      <alignment horizontal="centerContinuous"/>
    </xf>
    <xf numFmtId="0" fontId="27" fillId="5" borderId="26" xfId="0" applyFont="1" applyFill="1" applyBorder="1" applyAlignment="1">
      <alignment horizontal="centerContinuous" vertical="center"/>
    </xf>
    <xf numFmtId="0" fontId="57" fillId="5" borderId="34" xfId="0" applyFont="1" applyFill="1" applyBorder="1" applyAlignment="1">
      <alignment horizontal="center"/>
    </xf>
    <xf numFmtId="0" fontId="57" fillId="5" borderId="35" xfId="0" applyFont="1" applyFill="1" applyBorder="1" applyAlignment="1">
      <alignment/>
    </xf>
    <xf numFmtId="0" fontId="57" fillId="5" borderId="36" xfId="0" applyFont="1" applyFill="1" applyBorder="1" applyAlignment="1">
      <alignment/>
    </xf>
    <xf numFmtId="0" fontId="0" fillId="0" borderId="16" xfId="0" applyFont="1" applyBorder="1" applyAlignment="1">
      <alignment/>
    </xf>
    <xf numFmtId="0" fontId="27" fillId="6" borderId="23" xfId="0" applyFont="1" applyFill="1" applyBorder="1" applyAlignment="1" applyProtection="1">
      <alignment horizontal="centerContinuous" vertical="center" wrapText="1"/>
      <protection/>
    </xf>
    <xf numFmtId="0" fontId="25" fillId="6" borderId="24" xfId="0" applyFont="1" applyFill="1" applyBorder="1" applyAlignment="1">
      <alignment horizontal="centerContinuous"/>
    </xf>
    <xf numFmtId="0" fontId="27" fillId="6" borderId="26" xfId="0" applyFont="1" applyFill="1" applyBorder="1" applyAlignment="1">
      <alignment horizontal="centerContinuous" vertical="center"/>
    </xf>
    <xf numFmtId="0" fontId="57" fillId="6" borderId="34" xfId="0" applyFont="1" applyFill="1" applyBorder="1" applyAlignment="1">
      <alignment horizontal="center"/>
    </xf>
    <xf numFmtId="0" fontId="57" fillId="6" borderId="35" xfId="0" applyFont="1" applyFill="1" applyBorder="1" applyAlignment="1">
      <alignment/>
    </xf>
    <xf numFmtId="0" fontId="57" fillId="6" borderId="36" xfId="0" applyFont="1" applyFill="1" applyBorder="1" applyAlignment="1">
      <alignment/>
    </xf>
    <xf numFmtId="0" fontId="27" fillId="5" borderId="23" xfId="0" applyFont="1" applyFill="1" applyBorder="1" applyAlignment="1">
      <alignment horizontal="center" vertical="center" wrapText="1"/>
    </xf>
    <xf numFmtId="0" fontId="27" fillId="7" borderId="23" xfId="0" applyFont="1" applyFill="1" applyBorder="1" applyAlignment="1">
      <alignment horizontal="center" vertical="center" wrapText="1"/>
    </xf>
    <xf numFmtId="0" fontId="57" fillId="7" borderId="16" xfId="0" applyFont="1" applyFill="1" applyBorder="1" applyAlignment="1">
      <alignment/>
    </xf>
    <xf numFmtId="0" fontId="54" fillId="8" borderId="23" xfId="0" applyFont="1" applyFill="1" applyBorder="1" applyAlignment="1">
      <alignment horizontal="center" vertical="center" wrapText="1"/>
    </xf>
    <xf numFmtId="0" fontId="55" fillId="8" borderId="16" xfId="0" applyFont="1" applyFill="1" applyBorder="1" applyAlignment="1">
      <alignment/>
    </xf>
    <xf numFmtId="2" fontId="53" fillId="3" borderId="23" xfId="0" applyNumberFormat="1" applyFont="1" applyFill="1" applyBorder="1" applyAlignment="1">
      <alignment horizontal="center"/>
    </xf>
    <xf numFmtId="2" fontId="53" fillId="4" borderId="23" xfId="0" applyNumberFormat="1" applyFont="1" applyFill="1" applyBorder="1" applyAlignment="1">
      <alignment horizontal="center"/>
    </xf>
    <xf numFmtId="168" fontId="58" fillId="5" borderId="23" xfId="0" applyNumberFormat="1" applyFont="1" applyFill="1" applyBorder="1" applyAlignment="1" applyProtection="1" quotePrefix="1">
      <alignment horizontal="center"/>
      <protection/>
    </xf>
    <xf numFmtId="4" fontId="58" fillId="5" borderId="23" xfId="0" applyNumberFormat="1" applyFont="1" applyFill="1" applyBorder="1" applyAlignment="1">
      <alignment horizontal="center"/>
    </xf>
    <xf numFmtId="168" fontId="58" fillId="6" borderId="23" xfId="0" applyNumberFormat="1" applyFont="1" applyFill="1" applyBorder="1" applyAlignment="1" applyProtection="1" quotePrefix="1">
      <alignment horizontal="center"/>
      <protection/>
    </xf>
    <xf numFmtId="4" fontId="58" fillId="6" borderId="23" xfId="0" applyNumberFormat="1" applyFont="1" applyFill="1" applyBorder="1" applyAlignment="1">
      <alignment horizontal="center"/>
    </xf>
    <xf numFmtId="168" fontId="58" fillId="7" borderId="23" xfId="0" applyNumberFormat="1" applyFont="1" applyFill="1" applyBorder="1" applyAlignment="1" applyProtection="1" quotePrefix="1">
      <alignment horizontal="center"/>
      <protection/>
    </xf>
    <xf numFmtId="4" fontId="53" fillId="8" borderId="23" xfId="0" applyNumberFormat="1" applyFont="1" applyFill="1" applyBorder="1" applyAlignment="1">
      <alignment horizontal="center"/>
    </xf>
    <xf numFmtId="0" fontId="54" fillId="8" borderId="23" xfId="0" applyFont="1" applyFill="1" applyBorder="1" applyAlignment="1" applyProtection="1">
      <alignment horizontal="center" vertical="center"/>
      <protection/>
    </xf>
    <xf numFmtId="4" fontId="53" fillId="8" borderId="3" xfId="0" applyNumberFormat="1" applyFont="1" applyFill="1" applyBorder="1" applyAlignment="1" applyProtection="1">
      <alignment horizontal="center"/>
      <protection/>
    </xf>
    <xf numFmtId="0" fontId="27" fillId="9" borderId="23" xfId="0" applyFont="1" applyFill="1" applyBorder="1" applyAlignment="1">
      <alignment horizontal="center" vertical="center" wrapText="1"/>
    </xf>
    <xf numFmtId="0" fontId="54" fillId="10" borderId="25" xfId="0" applyFont="1" applyFill="1" applyBorder="1" applyAlignment="1" applyProtection="1">
      <alignment horizontal="centerContinuous" vertical="center" wrapText="1"/>
      <protection/>
    </xf>
    <xf numFmtId="168" fontId="53" fillId="10" borderId="37" xfId="0" applyNumberFormat="1" applyFont="1" applyFill="1" applyBorder="1" applyAlignment="1" applyProtection="1" quotePrefix="1">
      <alignment horizontal="center"/>
      <protection/>
    </xf>
    <xf numFmtId="168" fontId="53" fillId="10" borderId="8" xfId="0" applyNumberFormat="1" applyFont="1" applyFill="1" applyBorder="1" applyAlignment="1" applyProtection="1" quotePrefix="1">
      <alignment horizontal="center"/>
      <protection/>
    </xf>
    <xf numFmtId="0" fontId="54" fillId="3" borderId="25" xfId="0" applyFont="1" applyFill="1" applyBorder="1" applyAlignment="1" applyProtection="1">
      <alignment horizontal="centerContinuous" vertical="center" wrapText="1"/>
      <protection/>
    </xf>
    <xf numFmtId="0" fontId="54" fillId="3" borderId="26" xfId="0" applyFont="1" applyFill="1" applyBorder="1" applyAlignment="1">
      <alignment horizontal="centerContinuous" vertical="center"/>
    </xf>
    <xf numFmtId="168" fontId="53" fillId="3" borderId="37" xfId="0" applyNumberFormat="1" applyFont="1" applyFill="1" applyBorder="1" applyAlignment="1" applyProtection="1" quotePrefix="1">
      <alignment horizontal="center"/>
      <protection/>
    </xf>
    <xf numFmtId="168" fontId="53" fillId="3" borderId="8" xfId="0" applyNumberFormat="1" applyFont="1" applyFill="1" applyBorder="1" applyAlignment="1" applyProtection="1" quotePrefix="1">
      <alignment horizontal="center"/>
      <protection/>
    </xf>
    <xf numFmtId="168" fontId="51" fillId="5" borderId="3" xfId="0" applyNumberFormat="1" applyFont="1" applyFill="1" applyBorder="1" applyAlignment="1" applyProtection="1" quotePrefix="1">
      <alignment horizontal="center"/>
      <protection/>
    </xf>
    <xf numFmtId="168" fontId="58" fillId="6" borderId="3" xfId="0" applyNumberFormat="1" applyFont="1" applyFill="1" applyBorder="1" applyAlignment="1" applyProtection="1" quotePrefix="1">
      <alignment horizontal="center"/>
      <protection/>
    </xf>
    <xf numFmtId="0" fontId="59" fillId="0" borderId="9" xfId="0" applyFont="1" applyBorder="1" applyAlignment="1">
      <alignment/>
    </xf>
    <xf numFmtId="0" fontId="54" fillId="6" borderId="23" xfId="0" applyFont="1" applyFill="1" applyBorder="1" applyAlignment="1" applyProtection="1">
      <alignment horizontal="center" vertical="center"/>
      <protection/>
    </xf>
    <xf numFmtId="164" fontId="53" fillId="6" borderId="3" xfId="0" applyNumberFormat="1" applyFont="1" applyFill="1" applyBorder="1" applyAlignment="1" applyProtection="1">
      <alignment horizontal="center"/>
      <protection/>
    </xf>
    <xf numFmtId="168" fontId="7" fillId="0" borderId="36" xfId="0" applyNumberFormat="1" applyFont="1" applyFill="1" applyBorder="1" applyAlignment="1" applyProtection="1">
      <alignment horizontal="center"/>
      <protection/>
    </xf>
    <xf numFmtId="164" fontId="53" fillId="6" borderId="16" xfId="0" applyNumberFormat="1" applyFont="1" applyFill="1" applyBorder="1" applyAlignment="1" applyProtection="1">
      <alignment horizontal="center"/>
      <protection/>
    </xf>
    <xf numFmtId="168" fontId="10" fillId="0" borderId="16" xfId="0" applyNumberFormat="1" applyFont="1" applyFill="1" applyBorder="1" applyAlignment="1">
      <alignment horizontal="center"/>
    </xf>
    <xf numFmtId="2" fontId="58" fillId="5" borderId="16" xfId="0" applyNumberFormat="1" applyFont="1" applyFill="1" applyBorder="1" applyAlignment="1">
      <alignment horizontal="center"/>
    </xf>
    <xf numFmtId="2" fontId="58" fillId="5" borderId="3" xfId="0" applyNumberFormat="1" applyFont="1" applyFill="1" applyBorder="1" applyAlignment="1">
      <alignment horizontal="center"/>
    </xf>
    <xf numFmtId="168" fontId="53" fillId="3" borderId="34" xfId="0" applyNumberFormat="1" applyFont="1" applyFill="1" applyBorder="1" applyAlignment="1" applyProtection="1" quotePrefix="1">
      <alignment horizontal="center"/>
      <protection/>
    </xf>
    <xf numFmtId="168" fontId="53" fillId="3" borderId="38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Fill="1" applyBorder="1" applyAlignment="1" applyProtection="1">
      <alignment horizontal="center"/>
      <protection/>
    </xf>
    <xf numFmtId="0" fontId="54" fillId="8" borderId="23" xfId="0" applyFont="1" applyFill="1" applyBorder="1" applyAlignment="1" applyProtection="1">
      <alignment horizontal="centerContinuous" vertical="center" wrapText="1"/>
      <protection/>
    </xf>
    <xf numFmtId="168" fontId="53" fillId="8" borderId="16" xfId="0" applyNumberFormat="1" applyFont="1" applyFill="1" applyBorder="1" applyAlignment="1" applyProtection="1" quotePrefix="1">
      <alignment horizontal="center"/>
      <protection/>
    </xf>
    <xf numFmtId="168" fontId="53" fillId="8" borderId="3" xfId="0" applyNumberFormat="1" applyFont="1" applyFill="1" applyBorder="1" applyAlignment="1" applyProtection="1" quotePrefix="1">
      <alignment horizontal="center"/>
      <protection/>
    </xf>
    <xf numFmtId="2" fontId="58" fillId="5" borderId="23" xfId="0" applyNumberFormat="1" applyFont="1" applyFill="1" applyBorder="1" applyAlignment="1">
      <alignment horizontal="center"/>
    </xf>
    <xf numFmtId="2" fontId="53" fillId="8" borderId="23" xfId="0" applyNumberFormat="1" applyFont="1" applyFill="1" applyBorder="1" applyAlignment="1">
      <alignment horizontal="center"/>
    </xf>
    <xf numFmtId="0" fontId="60" fillId="2" borderId="31" xfId="0" applyFont="1" applyFill="1" applyBorder="1" applyAlignment="1">
      <alignment horizontal="center"/>
    </xf>
    <xf numFmtId="168" fontId="60" fillId="2" borderId="7" xfId="0" applyNumberFormat="1" applyFont="1" applyFill="1" applyBorder="1" applyAlignment="1" applyProtection="1">
      <alignment horizontal="center"/>
      <protection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164" fontId="56" fillId="8" borderId="7" xfId="0" applyNumberFormat="1" applyFont="1" applyFill="1" applyBorder="1" applyAlignment="1" applyProtection="1">
      <alignment horizontal="center"/>
      <protection/>
    </xf>
    <xf numFmtId="2" fontId="58" fillId="9" borderId="7" xfId="0" applyNumberFormat="1" applyFont="1" applyFill="1" applyBorder="1" applyAlignment="1">
      <alignment horizontal="center"/>
    </xf>
    <xf numFmtId="4" fontId="58" fillId="9" borderId="23" xfId="0" applyNumberFormat="1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0" fontId="58" fillId="9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8" fontId="58" fillId="6" borderId="34" xfId="0" applyNumberFormat="1" applyFont="1" applyFill="1" applyBorder="1" applyAlignment="1" applyProtection="1" quotePrefix="1">
      <alignment horizontal="center"/>
      <protection/>
    </xf>
    <xf numFmtId="168" fontId="58" fillId="6" borderId="20" xfId="0" applyNumberFormat="1" applyFont="1" applyFill="1" applyBorder="1" applyAlignment="1" applyProtection="1" quotePrefix="1">
      <alignment horizontal="center"/>
      <protection/>
    </xf>
    <xf numFmtId="4" fontId="58" fillId="6" borderId="23" xfId="0" applyNumberFormat="1" applyFont="1" applyFill="1" applyBorder="1" applyAlignment="1">
      <alignment horizontal="center"/>
    </xf>
    <xf numFmtId="4" fontId="58" fillId="6" borderId="28" xfId="0" applyNumberFormat="1" applyFont="1" applyFill="1" applyBorder="1" applyAlignment="1">
      <alignment horizontal="center"/>
    </xf>
    <xf numFmtId="0" fontId="27" fillId="6" borderId="25" xfId="0" applyFont="1" applyFill="1" applyBorder="1" applyAlignment="1" applyProtection="1">
      <alignment horizontal="centerContinuous" vertical="center" wrapText="1"/>
      <protection/>
    </xf>
    <xf numFmtId="168" fontId="58" fillId="6" borderId="38" xfId="0" applyNumberFormat="1" applyFont="1" applyFill="1" applyBorder="1" applyAlignment="1" applyProtection="1" quotePrefix="1">
      <alignment horizontal="center"/>
      <protection/>
    </xf>
    <xf numFmtId="168" fontId="58" fillId="6" borderId="39" xfId="0" applyNumberFormat="1" applyFont="1" applyFill="1" applyBorder="1" applyAlignment="1" applyProtection="1" quotePrefix="1">
      <alignment horizontal="center"/>
      <protection/>
    </xf>
    <xf numFmtId="168" fontId="7" fillId="0" borderId="16" xfId="0" applyNumberFormat="1" applyFont="1" applyBorder="1" applyAlignment="1" applyProtection="1">
      <alignment horizontal="center"/>
      <protection/>
    </xf>
    <xf numFmtId="0" fontId="61" fillId="2" borderId="16" xfId="0" applyFont="1" applyFill="1" applyBorder="1" applyAlignment="1">
      <alignment/>
    </xf>
    <xf numFmtId="0" fontId="61" fillId="2" borderId="3" xfId="0" applyFont="1" applyFill="1" applyBorder="1" applyAlignment="1">
      <alignment/>
    </xf>
    <xf numFmtId="168" fontId="60" fillId="2" borderId="3" xfId="0" applyNumberFormat="1" applyFont="1" applyFill="1" applyBorder="1" applyAlignment="1" applyProtection="1">
      <alignment horizontal="center"/>
      <protection/>
    </xf>
    <xf numFmtId="168" fontId="60" fillId="2" borderId="4" xfId="0" applyNumberFormat="1" applyFont="1" applyFill="1" applyBorder="1" applyAlignment="1" applyProtection="1">
      <alignment horizontal="center"/>
      <protection/>
    </xf>
    <xf numFmtId="172" fontId="7" fillId="0" borderId="3" xfId="0" applyNumberFormat="1" applyFont="1" applyFill="1" applyBorder="1" applyAlignment="1" applyProtection="1">
      <alignment horizontal="center"/>
      <protection/>
    </xf>
    <xf numFmtId="168" fontId="58" fillId="5" borderId="16" xfId="0" applyNumberFormat="1" applyFont="1" applyFill="1" applyBorder="1" applyAlignment="1" applyProtection="1" quotePrefix="1">
      <alignment horizontal="center"/>
      <protection/>
    </xf>
    <xf numFmtId="168" fontId="58" fillId="5" borderId="7" xfId="0" applyNumberFormat="1" applyFont="1" applyFill="1" applyBorder="1" applyAlignment="1" applyProtection="1" quotePrefix="1">
      <alignment horizontal="center"/>
      <protection/>
    </xf>
    <xf numFmtId="4" fontId="58" fillId="5" borderId="28" xfId="0" applyNumberFormat="1" applyFont="1" applyFill="1" applyBorder="1" applyAlignment="1">
      <alignment horizontal="center"/>
    </xf>
    <xf numFmtId="173" fontId="0" fillId="0" borderId="26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15" xfId="0" applyBorder="1" applyAlignment="1">
      <alignment horizontal="center"/>
    </xf>
    <xf numFmtId="7" fontId="0" fillId="0" borderId="16" xfId="0" applyNumberFormat="1" applyBorder="1" applyAlignment="1">
      <alignment/>
    </xf>
    <xf numFmtId="7" fontId="10" fillId="0" borderId="16" xfId="0" applyNumberFormat="1" applyFont="1" applyFill="1" applyBorder="1" applyAlignment="1">
      <alignment horizontal="center"/>
    </xf>
    <xf numFmtId="0" fontId="62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" xfId="0" applyFont="1" applyBorder="1" applyAlignment="1">
      <alignment horizontal="centerContinuous"/>
    </xf>
    <xf numFmtId="0" fontId="38" fillId="0" borderId="0" xfId="0" applyFont="1" applyFill="1" applyBorder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8" fillId="0" borderId="2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40" xfId="0" applyFont="1" applyBorder="1" applyAlignment="1" applyProtection="1">
      <alignment horizontal="left"/>
      <protection/>
    </xf>
    <xf numFmtId="171" fontId="0" fillId="0" borderId="41" xfId="0" applyNumberFormat="1" applyFont="1" applyBorder="1" applyAlignment="1" applyProtection="1">
      <alignment horizontal="centerContinuous"/>
      <protection/>
    </xf>
    <xf numFmtId="0" fontId="10" fillId="0" borderId="42" xfId="0" applyFont="1" applyBorder="1" applyAlignment="1">
      <alignment horizontal="centerContinuous"/>
    </xf>
    <xf numFmtId="0" fontId="10" fillId="0" borderId="43" xfId="0" applyFont="1" applyFill="1" applyBorder="1" applyAlignment="1">
      <alignment/>
    </xf>
    <xf numFmtId="0" fontId="10" fillId="0" borderId="44" xfId="0" applyFont="1" applyBorder="1" applyAlignment="1" applyProtection="1">
      <alignment horizontal="right"/>
      <protection/>
    </xf>
    <xf numFmtId="173" fontId="10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/>
    </xf>
    <xf numFmtId="171" fontId="25" fillId="0" borderId="18" xfId="0" applyNumberFormat="1" applyFont="1" applyBorder="1" applyAlignment="1">
      <alignment horizontal="centerContinuous"/>
    </xf>
    <xf numFmtId="0" fontId="10" fillId="0" borderId="47" xfId="0" applyFont="1" applyBorder="1" applyAlignment="1">
      <alignment horizontal="centerContinuous"/>
    </xf>
    <xf numFmtId="0" fontId="10" fillId="0" borderId="48" xfId="0" applyFont="1" applyFill="1" applyBorder="1" applyAlignment="1">
      <alignment/>
    </xf>
    <xf numFmtId="168" fontId="10" fillId="0" borderId="49" xfId="0" applyNumberFormat="1" applyFont="1" applyBorder="1" applyAlignment="1" applyProtection="1">
      <alignment horizontal="right"/>
      <protection/>
    </xf>
    <xf numFmtId="171" fontId="10" fillId="0" borderId="50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171" fontId="25" fillId="0" borderId="49" xfId="0" applyNumberFormat="1" applyFont="1" applyBorder="1" applyAlignment="1">
      <alignment horizontal="centerContinuous"/>
    </xf>
    <xf numFmtId="0" fontId="10" fillId="0" borderId="52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3" xfId="0" applyNumberFormat="1" applyFont="1" applyBorder="1" applyAlignment="1">
      <alignment horizontal="center"/>
    </xf>
    <xf numFmtId="0" fontId="8" fillId="0" borderId="25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2" fontId="10" fillId="0" borderId="18" xfId="0" applyNumberFormat="1" applyFont="1" applyBorder="1" applyAlignment="1" applyProtection="1">
      <alignment horizontal="center"/>
      <protection/>
    </xf>
    <xf numFmtId="168" fontId="10" fillId="0" borderId="18" xfId="0" applyNumberFormat="1" applyFont="1" applyBorder="1" applyAlignment="1" applyProtection="1">
      <alignment horizontal="center"/>
      <protection/>
    </xf>
    <xf numFmtId="7" fontId="19" fillId="0" borderId="55" xfId="0" applyNumberFormat="1" applyFont="1" applyBorder="1" applyAlignment="1">
      <alignment horizontal="center"/>
    </xf>
    <xf numFmtId="0" fontId="10" fillId="0" borderId="56" xfId="0" applyFont="1" applyBorder="1" applyAlignment="1" applyProtection="1">
      <alignment horizontal="center"/>
      <protection/>
    </xf>
    <xf numFmtId="0" fontId="10" fillId="0" borderId="57" xfId="0" applyFont="1" applyBorder="1" applyAlignment="1" applyProtection="1">
      <alignment horizontal="center"/>
      <protection/>
    </xf>
    <xf numFmtId="2" fontId="10" fillId="0" borderId="57" xfId="0" applyNumberFormat="1" applyFont="1" applyBorder="1" applyAlignment="1" applyProtection="1">
      <alignment horizontal="center"/>
      <protection/>
    </xf>
    <xf numFmtId="168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7" fontId="10" fillId="0" borderId="57" xfId="0" applyNumberFormat="1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centerContinuous"/>
      <protection/>
    </xf>
    <xf numFmtId="0" fontId="10" fillId="0" borderId="57" xfId="0" applyFont="1" applyBorder="1" applyAlignment="1" applyProtection="1">
      <alignment horizontal="right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10" fillId="0" borderId="53" xfId="0" applyFont="1" applyBorder="1" applyAlignment="1" applyProtection="1">
      <alignment horizontal="center"/>
      <protection/>
    </xf>
    <xf numFmtId="2" fontId="10" fillId="0" borderId="53" xfId="0" applyNumberFormat="1" applyFont="1" applyBorder="1" applyAlignment="1" applyProtection="1">
      <alignment horizontal="center"/>
      <protection/>
    </xf>
    <xf numFmtId="168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"/>
      <protection/>
    </xf>
    <xf numFmtId="7" fontId="10" fillId="0" borderId="53" xfId="0" applyNumberFormat="1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centerContinuous"/>
      <protection/>
    </xf>
    <xf numFmtId="0" fontId="10" fillId="0" borderId="53" xfId="0" applyFont="1" applyBorder="1" applyAlignment="1" applyProtection="1">
      <alignment horizontal="right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7" fontId="10" fillId="0" borderId="55" xfId="0" applyNumberFormat="1" applyFont="1" applyBorder="1" applyAlignment="1" applyProtection="1">
      <alignment horizontal="center"/>
      <protection/>
    </xf>
    <xf numFmtId="0" fontId="0" fillId="0" borderId="54" xfId="0" applyBorder="1" applyAlignment="1">
      <alignment horizontal="centerContinuous"/>
    </xf>
    <xf numFmtId="0" fontId="10" fillId="0" borderId="18" xfId="0" applyFont="1" applyBorder="1" applyAlignment="1" applyProtection="1">
      <alignment horizontal="centerContinuous"/>
      <protection/>
    </xf>
    <xf numFmtId="0" fontId="0" fillId="0" borderId="18" xfId="0" applyBorder="1" applyAlignment="1">
      <alignment horizontal="center"/>
    </xf>
    <xf numFmtId="168" fontId="10" fillId="0" borderId="54" xfId="0" applyNumberFormat="1" applyFont="1" applyBorder="1" applyAlignment="1" applyProtection="1">
      <alignment horizontal="centerContinuous"/>
      <protection/>
    </xf>
    <xf numFmtId="2" fontId="22" fillId="0" borderId="61" xfId="0" applyNumberFormat="1" applyFont="1" applyBorder="1" applyAlignment="1">
      <alignment horizontal="centerContinuous"/>
    </xf>
    <xf numFmtId="7" fontId="10" fillId="0" borderId="56" xfId="0" applyNumberFormat="1" applyFont="1" applyBorder="1" applyAlignment="1">
      <alignment horizontal="centerContinuous"/>
    </xf>
    <xf numFmtId="168" fontId="10" fillId="0" borderId="57" xfId="0" applyNumberFormat="1" applyFont="1" applyBorder="1" applyAlignment="1" applyProtection="1" quotePrefix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2" fontId="22" fillId="0" borderId="62" xfId="0" applyNumberFormat="1" applyFont="1" applyBorder="1" applyAlignment="1">
      <alignment horizontal="centerContinuous"/>
    </xf>
    <xf numFmtId="0" fontId="10" fillId="0" borderId="63" xfId="0" applyFont="1" applyBorder="1" applyAlignment="1" applyProtection="1">
      <alignment horizontal="center"/>
      <protection/>
    </xf>
    <xf numFmtId="7" fontId="10" fillId="0" borderId="64" xfId="0" applyNumberFormat="1" applyFont="1" applyBorder="1" applyAlignment="1" applyProtection="1">
      <alignment horizontal="center"/>
      <protection/>
    </xf>
    <xf numFmtId="7" fontId="10" fillId="0" borderId="63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3" xfId="0" applyNumberFormat="1" applyFont="1" applyBorder="1" applyAlignment="1" applyProtection="1">
      <alignment horizontal="centerContinuous"/>
      <protection/>
    </xf>
    <xf numFmtId="2" fontId="22" fillId="0" borderId="65" xfId="0" applyNumberFormat="1" applyFont="1" applyBorder="1" applyAlignment="1">
      <alignment horizontal="centerContinuous"/>
    </xf>
    <xf numFmtId="7" fontId="10" fillId="0" borderId="59" xfId="0" applyNumberFormat="1" applyFont="1" applyBorder="1" applyAlignment="1">
      <alignment horizontal="centerContinuous"/>
    </xf>
    <xf numFmtId="168" fontId="10" fillId="0" borderId="53" xfId="0" applyNumberFormat="1" applyFont="1" applyBorder="1" applyAlignment="1" applyProtection="1" quotePrefix="1">
      <alignment horizontal="center"/>
      <protection/>
    </xf>
    <xf numFmtId="7" fontId="10" fillId="0" borderId="59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7" fontId="10" fillId="0" borderId="54" xfId="0" applyNumberFormat="1" applyFont="1" applyBorder="1" applyAlignment="1" applyProtection="1">
      <alignment horizontal="centerContinuous"/>
      <protection/>
    </xf>
    <xf numFmtId="5" fontId="8" fillId="0" borderId="25" xfId="0" applyNumberFormat="1" applyFont="1" applyBorder="1" applyAlignment="1" applyProtection="1">
      <alignment horizontal="center"/>
      <protection/>
    </xf>
    <xf numFmtId="7" fontId="8" fillId="0" borderId="2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6" fillId="0" borderId="2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26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18" xfId="0" applyNumberFormat="1" applyFont="1" applyBorder="1" applyAlignment="1" applyProtection="1">
      <alignment horizontal="centerContinuous"/>
      <protection/>
    </xf>
    <xf numFmtId="2" fontId="10" fillId="0" borderId="61" xfId="0" applyNumberFormat="1" applyFont="1" applyBorder="1" applyAlignment="1" applyProtection="1">
      <alignment horizontal="centerContinuous"/>
      <protection/>
    </xf>
    <xf numFmtId="2" fontId="10" fillId="0" borderId="57" xfId="0" applyNumberFormat="1" applyFont="1" applyBorder="1" applyAlignment="1" applyProtection="1">
      <alignment horizontal="centerContinuous"/>
      <protection/>
    </xf>
    <xf numFmtId="2" fontId="10" fillId="0" borderId="62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65" xfId="0" applyNumberFormat="1" applyFont="1" applyBorder="1" applyAlignment="1" applyProtection="1">
      <alignment horizontal="centerContinuous"/>
      <protection/>
    </xf>
    <xf numFmtId="2" fontId="10" fillId="0" borderId="53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0" fontId="0" fillId="0" borderId="25" xfId="0" applyFont="1" applyBorder="1" applyAlignment="1" applyProtection="1">
      <alignment horizontal="center" vertical="center"/>
      <protection/>
    </xf>
    <xf numFmtId="173" fontId="0" fillId="0" borderId="25" xfId="0" applyNumberFormat="1" applyFont="1" applyBorder="1" applyAlignment="1">
      <alignment horizontal="centerContinuous" vertical="center"/>
    </xf>
    <xf numFmtId="0" fontId="1" fillId="0" borderId="26" xfId="0" applyFont="1" applyBorder="1" applyAlignment="1" applyProtection="1">
      <alignment horizontal="centerContinuous" vertical="center"/>
      <protection/>
    </xf>
    <xf numFmtId="167" fontId="0" fillId="0" borderId="26" xfId="0" applyNumberFormat="1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/>
      <protection locked="0"/>
    </xf>
    <xf numFmtId="0" fontId="7" fillId="0" borderId="68" xfId="0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22" fontId="7" fillId="0" borderId="3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168" fontId="53" fillId="3" borderId="4" xfId="0" applyNumberFormat="1" applyFont="1" applyFill="1" applyBorder="1" applyAlignment="1" applyProtection="1" quotePrefix="1">
      <alignment horizontal="center"/>
      <protection locked="0"/>
    </xf>
    <xf numFmtId="168" fontId="53" fillId="4" borderId="4" xfId="0" applyNumberFormat="1" applyFont="1" applyFill="1" applyBorder="1" applyAlignment="1" applyProtection="1" quotePrefix="1">
      <alignment horizontal="center"/>
      <protection locked="0"/>
    </xf>
    <xf numFmtId="168" fontId="58" fillId="5" borderId="69" xfId="0" applyNumberFormat="1" applyFont="1" applyFill="1" applyBorder="1" applyAlignment="1" applyProtection="1" quotePrefix="1">
      <alignment horizontal="center"/>
      <protection locked="0"/>
    </xf>
    <xf numFmtId="4" fontId="58" fillId="5" borderId="70" xfId="0" applyNumberFormat="1" applyFont="1" applyFill="1" applyBorder="1" applyAlignment="1" applyProtection="1">
      <alignment horizontal="center"/>
      <protection locked="0"/>
    </xf>
    <xf numFmtId="4" fontId="58" fillId="5" borderId="22" xfId="0" applyNumberFormat="1" applyFont="1" applyFill="1" applyBorder="1" applyAlignment="1" applyProtection="1">
      <alignment horizontal="center"/>
      <protection locked="0"/>
    </xf>
    <xf numFmtId="168" fontId="58" fillId="6" borderId="69" xfId="0" applyNumberFormat="1" applyFont="1" applyFill="1" applyBorder="1" applyAlignment="1" applyProtection="1" quotePrefix="1">
      <alignment horizontal="center"/>
      <protection locked="0"/>
    </xf>
    <xf numFmtId="4" fontId="58" fillId="6" borderId="70" xfId="0" applyNumberFormat="1" applyFont="1" applyFill="1" applyBorder="1" applyAlignment="1" applyProtection="1">
      <alignment horizontal="center"/>
      <protection locked="0"/>
    </xf>
    <xf numFmtId="4" fontId="58" fillId="6" borderId="22" xfId="0" applyNumberFormat="1" applyFont="1" applyFill="1" applyBorder="1" applyAlignment="1" applyProtection="1">
      <alignment horizontal="center"/>
      <protection locked="0"/>
    </xf>
    <xf numFmtId="4" fontId="58" fillId="7" borderId="4" xfId="0" applyNumberFormat="1" applyFont="1" applyFill="1" applyBorder="1" applyAlignment="1" applyProtection="1">
      <alignment horizontal="center"/>
      <protection locked="0"/>
    </xf>
    <xf numFmtId="4" fontId="53" fillId="8" borderId="4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55" fillId="3" borderId="3" xfId="0" applyFont="1" applyFill="1" applyBorder="1" applyAlignment="1" applyProtection="1">
      <alignment/>
      <protection locked="0"/>
    </xf>
    <xf numFmtId="0" fontId="55" fillId="4" borderId="3" xfId="0" applyFont="1" applyFill="1" applyBorder="1" applyAlignment="1" applyProtection="1">
      <alignment/>
      <protection locked="0"/>
    </xf>
    <xf numFmtId="0" fontId="57" fillId="5" borderId="37" xfId="0" applyFont="1" applyFill="1" applyBorder="1" applyAlignment="1" applyProtection="1">
      <alignment horizontal="center"/>
      <protection locked="0"/>
    </xf>
    <xf numFmtId="0" fontId="57" fillId="5" borderId="66" xfId="0" applyFont="1" applyFill="1" applyBorder="1" applyAlignment="1" applyProtection="1">
      <alignment/>
      <protection locked="0"/>
    </xf>
    <xf numFmtId="0" fontId="57" fillId="5" borderId="6" xfId="0" applyFont="1" applyFill="1" applyBorder="1" applyAlignment="1" applyProtection="1">
      <alignment/>
      <protection locked="0"/>
    </xf>
    <xf numFmtId="0" fontId="57" fillId="6" borderId="37" xfId="0" applyFont="1" applyFill="1" applyBorder="1" applyAlignment="1" applyProtection="1">
      <alignment horizontal="center"/>
      <protection locked="0"/>
    </xf>
    <xf numFmtId="0" fontId="57" fillId="6" borderId="66" xfId="0" applyFont="1" applyFill="1" applyBorder="1" applyAlignment="1" applyProtection="1">
      <alignment/>
      <protection locked="0"/>
    </xf>
    <xf numFmtId="0" fontId="57" fillId="6" borderId="6" xfId="0" applyFont="1" applyFill="1" applyBorder="1" applyAlignment="1" applyProtection="1">
      <alignment/>
      <protection locked="0"/>
    </xf>
    <xf numFmtId="0" fontId="57" fillId="7" borderId="3" xfId="0" applyFont="1" applyFill="1" applyBorder="1" applyAlignment="1" applyProtection="1">
      <alignment/>
      <protection locked="0"/>
    </xf>
    <xf numFmtId="0" fontId="55" fillId="8" borderId="3" xfId="0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2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" xfId="0" applyFont="1" applyFill="1" applyBorder="1" applyAlignment="1" applyProtection="1">
      <alignment/>
      <protection/>
    </xf>
    <xf numFmtId="0" fontId="27" fillId="7" borderId="23" xfId="0" applyFont="1" applyFill="1" applyBorder="1" applyAlignment="1" applyProtection="1">
      <alignment horizontal="center" vertical="center" wrapText="1"/>
      <protection/>
    </xf>
    <xf numFmtId="0" fontId="27" fillId="9" borderId="23" xfId="0" applyFont="1" applyFill="1" applyBorder="1" applyAlignment="1" applyProtection="1">
      <alignment horizontal="center" vertical="center" wrapText="1"/>
      <protection/>
    </xf>
    <xf numFmtId="0" fontId="54" fillId="10" borderId="26" xfId="0" applyFont="1" applyFill="1" applyBorder="1" applyAlignment="1" applyProtection="1">
      <alignment horizontal="centerContinuous" vertical="center"/>
      <protection/>
    </xf>
    <xf numFmtId="0" fontId="54" fillId="3" borderId="26" xfId="0" applyFont="1" applyFill="1" applyBorder="1" applyAlignment="1" applyProtection="1">
      <alignment horizontal="centerContinuous" vertical="center"/>
      <protection/>
    </xf>
    <xf numFmtId="0" fontId="50" fillId="5" borderId="23" xfId="0" applyFont="1" applyFill="1" applyBorder="1" applyAlignment="1" applyProtection="1">
      <alignment horizontal="center" vertical="center" wrapText="1"/>
      <protection/>
    </xf>
    <xf numFmtId="0" fontId="27" fillId="6" borderId="23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0" fontId="49" fillId="2" borderId="16" xfId="0" applyFont="1" applyFill="1" applyBorder="1" applyAlignment="1" applyProtection="1">
      <alignment/>
      <protection/>
    </xf>
    <xf numFmtId="0" fontId="53" fillId="8" borderId="16" xfId="0" applyFont="1" applyFill="1" applyBorder="1" applyAlignment="1" applyProtection="1">
      <alignment/>
      <protection/>
    </xf>
    <xf numFmtId="0" fontId="58" fillId="7" borderId="16" xfId="0" applyFont="1" applyFill="1" applyBorder="1" applyAlignment="1" applyProtection="1">
      <alignment/>
      <protection/>
    </xf>
    <xf numFmtId="0" fontId="58" fillId="9" borderId="16" xfId="0" applyFont="1" applyFill="1" applyBorder="1" applyAlignment="1" applyProtection="1">
      <alignment/>
      <protection/>
    </xf>
    <xf numFmtId="0" fontId="53" fillId="10" borderId="34" xfId="0" applyFont="1" applyFill="1" applyBorder="1" applyAlignment="1" applyProtection="1">
      <alignment horizontal="center"/>
      <protection/>
    </xf>
    <xf numFmtId="0" fontId="53" fillId="10" borderId="36" xfId="0" applyFont="1" applyFill="1" applyBorder="1" applyAlignment="1" applyProtection="1">
      <alignment/>
      <protection/>
    </xf>
    <xf numFmtId="0" fontId="53" fillId="3" borderId="34" xfId="0" applyFont="1" applyFill="1" applyBorder="1" applyAlignment="1" applyProtection="1">
      <alignment horizontal="center"/>
      <protection/>
    </xf>
    <xf numFmtId="0" fontId="53" fillId="3" borderId="36" xfId="0" applyFont="1" applyFill="1" applyBorder="1" applyAlignment="1" applyProtection="1">
      <alignment/>
      <protection/>
    </xf>
    <xf numFmtId="0" fontId="51" fillId="5" borderId="16" xfId="0" applyFont="1" applyFill="1" applyBorder="1" applyAlignment="1" applyProtection="1">
      <alignment/>
      <protection/>
    </xf>
    <xf numFmtId="0" fontId="58" fillId="6" borderId="16" xfId="0" applyFont="1" applyFill="1" applyBorder="1" applyAlignment="1" applyProtection="1">
      <alignment/>
      <protection/>
    </xf>
    <xf numFmtId="7" fontId="10" fillId="0" borderId="16" xfId="0" applyNumberFormat="1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/>
      <protection/>
    </xf>
    <xf numFmtId="0" fontId="49" fillId="2" borderId="3" xfId="0" applyFont="1" applyFill="1" applyBorder="1" applyAlignment="1" applyProtection="1">
      <alignment/>
      <protection/>
    </xf>
    <xf numFmtId="0" fontId="7" fillId="0" borderId="3" xfId="0" applyFont="1" applyFill="1" applyBorder="1" applyAlignment="1" applyProtection="1">
      <alignment horizontal="center"/>
      <protection/>
    </xf>
    <xf numFmtId="0" fontId="53" fillId="8" borderId="3" xfId="0" applyFont="1" applyFill="1" applyBorder="1" applyAlignment="1" applyProtection="1">
      <alignment/>
      <protection/>
    </xf>
    <xf numFmtId="0" fontId="58" fillId="7" borderId="3" xfId="0" applyFont="1" applyFill="1" applyBorder="1" applyAlignment="1" applyProtection="1">
      <alignment/>
      <protection/>
    </xf>
    <xf numFmtId="0" fontId="58" fillId="9" borderId="3" xfId="0" applyFont="1" applyFill="1" applyBorder="1" applyAlignment="1" applyProtection="1">
      <alignment/>
      <protection/>
    </xf>
    <xf numFmtId="0" fontId="53" fillId="10" borderId="37" xfId="0" applyFont="1" applyFill="1" applyBorder="1" applyAlignment="1" applyProtection="1">
      <alignment horizontal="center"/>
      <protection/>
    </xf>
    <xf numFmtId="0" fontId="53" fillId="10" borderId="6" xfId="0" applyFont="1" applyFill="1" applyBorder="1" applyAlignment="1" applyProtection="1">
      <alignment/>
      <protection/>
    </xf>
    <xf numFmtId="0" fontId="53" fillId="3" borderId="37" xfId="0" applyFont="1" applyFill="1" applyBorder="1" applyAlignment="1" applyProtection="1">
      <alignment horizontal="center"/>
      <protection/>
    </xf>
    <xf numFmtId="0" fontId="53" fillId="3" borderId="6" xfId="0" applyFont="1" applyFill="1" applyBorder="1" applyAlignment="1" applyProtection="1">
      <alignment/>
      <protection/>
    </xf>
    <xf numFmtId="0" fontId="51" fillId="5" borderId="3" xfId="0" applyFont="1" applyFill="1" applyBorder="1" applyAlignment="1" applyProtection="1">
      <alignment/>
      <protection/>
    </xf>
    <xf numFmtId="0" fontId="58" fillId="6" borderId="3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168" fontId="10" fillId="0" borderId="6" xfId="0" applyNumberFormat="1" applyFont="1" applyFill="1" applyBorder="1" applyAlignment="1" applyProtection="1">
      <alignment horizontal="right"/>
      <protection/>
    </xf>
    <xf numFmtId="2" fontId="7" fillId="0" borderId="2" xfId="0" applyNumberFormat="1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49" fillId="2" borderId="4" xfId="0" applyFont="1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/>
      <protection/>
    </xf>
    <xf numFmtId="0" fontId="40" fillId="0" borderId="27" xfId="0" applyFont="1" applyBorder="1" applyAlignment="1" applyProtection="1">
      <alignment horizontal="center"/>
      <protection/>
    </xf>
    <xf numFmtId="7" fontId="58" fillId="7" borderId="23" xfId="0" applyNumberFormat="1" applyFont="1" applyFill="1" applyBorder="1" applyAlignment="1" applyProtection="1">
      <alignment horizontal="center"/>
      <protection/>
    </xf>
    <xf numFmtId="7" fontId="58" fillId="9" borderId="23" xfId="0" applyNumberFormat="1" applyFont="1" applyFill="1" applyBorder="1" applyAlignment="1" applyProtection="1">
      <alignment horizontal="center"/>
      <protection/>
    </xf>
    <xf numFmtId="7" fontId="53" fillId="10" borderId="23" xfId="0" applyNumberFormat="1" applyFont="1" applyFill="1" applyBorder="1" applyAlignment="1" applyProtection="1">
      <alignment horizontal="center"/>
      <protection/>
    </xf>
    <xf numFmtId="7" fontId="53" fillId="3" borderId="23" xfId="0" applyNumberFormat="1" applyFont="1" applyFill="1" applyBorder="1" applyAlignment="1" applyProtection="1">
      <alignment horizontal="center"/>
      <protection/>
    </xf>
    <xf numFmtId="7" fontId="51" fillId="5" borderId="23" xfId="0" applyNumberFormat="1" applyFont="1" applyFill="1" applyBorder="1" applyAlignment="1" applyProtection="1">
      <alignment horizontal="center"/>
      <protection/>
    </xf>
    <xf numFmtId="7" fontId="58" fillId="6" borderId="23" xfId="0" applyNumberFormat="1" applyFont="1" applyFill="1" applyBorder="1" applyAlignment="1" applyProtection="1">
      <alignment horizontal="center"/>
      <protection/>
    </xf>
    <xf numFmtId="0" fontId="7" fillId="0" borderId="71" xfId="0" applyFont="1" applyFill="1" applyBorder="1" applyAlignment="1" applyProtection="1">
      <alignment/>
      <protection/>
    </xf>
    <xf numFmtId="7" fontId="11" fillId="0" borderId="23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Alignment="1" applyProtection="1">
      <alignment/>
      <protection/>
    </xf>
    <xf numFmtId="0" fontId="40" fillId="0" borderId="1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7" fontId="40" fillId="0" borderId="0" xfId="0" applyNumberFormat="1" applyFont="1" applyFill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0" fontId="40" fillId="0" borderId="2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 locked="0"/>
    </xf>
    <xf numFmtId="165" fontId="7" fillId="0" borderId="7" xfId="0" applyNumberFormat="1" applyFont="1" applyBorder="1" applyAlignment="1" applyProtection="1" quotePrefix="1">
      <alignment horizontal="center"/>
      <protection locked="0"/>
    </xf>
    <xf numFmtId="2" fontId="7" fillId="0" borderId="7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Fill="1" applyBorder="1" applyAlignment="1" applyProtection="1">
      <alignment/>
      <protection locked="0"/>
    </xf>
    <xf numFmtId="22" fontId="7" fillId="0" borderId="3" xfId="0" applyNumberFormat="1" applyFont="1" applyFill="1" applyBorder="1" applyAlignment="1" applyProtection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53" fillId="8" borderId="4" xfId="0" applyFont="1" applyFill="1" applyBorder="1" applyAlignment="1" applyProtection="1">
      <alignment/>
      <protection locked="0"/>
    </xf>
    <xf numFmtId="0" fontId="58" fillId="7" borderId="4" xfId="0" applyFont="1" applyFill="1" applyBorder="1" applyAlignment="1" applyProtection="1">
      <alignment/>
      <protection locked="0"/>
    </xf>
    <xf numFmtId="0" fontId="58" fillId="9" borderId="4" xfId="0" applyFont="1" applyFill="1" applyBorder="1" applyAlignment="1" applyProtection="1">
      <alignment/>
      <protection locked="0"/>
    </xf>
    <xf numFmtId="0" fontId="53" fillId="10" borderId="69" xfId="0" applyFont="1" applyFill="1" applyBorder="1" applyAlignment="1" applyProtection="1">
      <alignment/>
      <protection locked="0"/>
    </xf>
    <xf numFmtId="0" fontId="53" fillId="10" borderId="72" xfId="0" applyFont="1" applyFill="1" applyBorder="1" applyAlignment="1" applyProtection="1">
      <alignment/>
      <protection locked="0"/>
    </xf>
    <xf numFmtId="0" fontId="53" fillId="3" borderId="69" xfId="0" applyFont="1" applyFill="1" applyBorder="1" applyAlignment="1" applyProtection="1">
      <alignment/>
      <protection locked="0"/>
    </xf>
    <xf numFmtId="0" fontId="53" fillId="3" borderId="72" xfId="0" applyFont="1" applyFill="1" applyBorder="1" applyAlignment="1" applyProtection="1">
      <alignment/>
      <protection locked="0"/>
    </xf>
    <xf numFmtId="0" fontId="51" fillId="5" borderId="4" xfId="0" applyFont="1" applyFill="1" applyBorder="1" applyAlignment="1" applyProtection="1">
      <alignment/>
      <protection locked="0"/>
    </xf>
    <xf numFmtId="0" fontId="58" fillId="6" borderId="4" xfId="0" applyFont="1" applyFill="1" applyBorder="1" applyAlignment="1" applyProtection="1">
      <alignment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172" fontId="7" fillId="0" borderId="3" xfId="0" applyNumberFormat="1" applyFont="1" applyFill="1" applyBorder="1" applyAlignment="1" applyProtection="1">
      <alignment horizontal="center"/>
      <protection locked="0"/>
    </xf>
    <xf numFmtId="22" fontId="7" fillId="0" borderId="7" xfId="0" applyNumberFormat="1" applyFont="1" applyFill="1" applyBorder="1" applyAlignment="1" applyProtection="1">
      <alignment horizontal="center"/>
      <protection locked="0"/>
    </xf>
    <xf numFmtId="22" fontId="7" fillId="0" borderId="8" xfId="0" applyNumberFormat="1" applyFont="1" applyFill="1" applyBorder="1" applyAlignment="1" applyProtection="1">
      <alignment horizontal="center"/>
      <protection locked="0"/>
    </xf>
    <xf numFmtId="168" fontId="7" fillId="0" borderId="6" xfId="0" applyNumberFormat="1" applyFont="1" applyFill="1" applyBorder="1" applyAlignment="1" applyProtection="1">
      <alignment horizontal="center"/>
      <protection locked="0"/>
    </xf>
    <xf numFmtId="0" fontId="53" fillId="6" borderId="4" xfId="0" applyFont="1" applyFill="1" applyBorder="1" applyAlignment="1" applyProtection="1">
      <alignment/>
      <protection locked="0"/>
    </xf>
    <xf numFmtId="0" fontId="58" fillId="5" borderId="4" xfId="0" applyFont="1" applyFill="1" applyBorder="1" applyAlignment="1" applyProtection="1">
      <alignment/>
      <protection locked="0"/>
    </xf>
    <xf numFmtId="172" fontId="9" fillId="0" borderId="3" xfId="0" applyNumberFormat="1" applyFont="1" applyFill="1" applyBorder="1" applyAlignment="1" applyProtection="1">
      <alignment horizontal="center"/>
      <protection locked="0"/>
    </xf>
    <xf numFmtId="0" fontId="13" fillId="0" borderId="5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3" fillId="0" borderId="67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22" fontId="7" fillId="0" borderId="37" xfId="0" applyNumberFormat="1" applyFont="1" applyBorder="1" applyAlignment="1" applyProtection="1">
      <alignment horizontal="center"/>
      <protection locked="0"/>
    </xf>
    <xf numFmtId="22" fontId="7" fillId="0" borderId="5" xfId="0" applyNumberFormat="1" applyFont="1" applyBorder="1" applyAlignment="1" applyProtection="1">
      <alignment horizontal="center"/>
      <protection locked="0"/>
    </xf>
    <xf numFmtId="168" fontId="7" fillId="0" borderId="22" xfId="0" applyNumberFormat="1" applyFont="1" applyBorder="1" applyAlignment="1" applyProtection="1">
      <alignment horizontal="center"/>
      <protection locked="0"/>
    </xf>
    <xf numFmtId="168" fontId="7" fillId="0" borderId="6" xfId="0" applyNumberFormat="1" applyFont="1" applyBorder="1" applyAlignment="1" applyProtection="1">
      <alignment horizontal="center"/>
      <protection locked="0"/>
    </xf>
    <xf numFmtId="164" fontId="56" fillId="8" borderId="4" xfId="0" applyNumberFormat="1" applyFont="1" applyFill="1" applyBorder="1" applyAlignment="1" applyProtection="1">
      <alignment horizontal="center"/>
      <protection locked="0"/>
    </xf>
    <xf numFmtId="2" fontId="58" fillId="9" borderId="4" xfId="0" applyNumberFormat="1" applyFont="1" applyFill="1" applyBorder="1" applyAlignment="1" applyProtection="1">
      <alignment horizontal="center"/>
      <protection locked="0"/>
    </xf>
    <xf numFmtId="168" fontId="58" fillId="6" borderId="72" xfId="0" applyNumberFormat="1" applyFont="1" applyFill="1" applyBorder="1" applyAlignment="1" applyProtection="1" quotePrefix="1">
      <alignment horizontal="center"/>
      <protection locked="0"/>
    </xf>
    <xf numFmtId="168" fontId="58" fillId="5" borderId="4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7" fillId="0" borderId="0" xfId="0" applyNumberFormat="1" applyFont="1" applyBorder="1" applyAlignment="1">
      <alignment horizontal="left"/>
    </xf>
    <xf numFmtId="168" fontId="11" fillId="0" borderId="18" xfId="0" applyNumberFormat="1" applyFont="1" applyBorder="1" applyAlignment="1" applyProtection="1">
      <alignment horizontal="center"/>
      <protection/>
    </xf>
    <xf numFmtId="168" fontId="65" fillId="0" borderId="0" xfId="0" applyNumberFormat="1" applyFont="1" applyBorder="1" applyAlignment="1" applyProtection="1" quotePrefix="1">
      <alignment horizontal="left"/>
      <protection/>
    </xf>
    <xf numFmtId="168" fontId="65" fillId="0" borderId="57" xfId="0" applyNumberFormat="1" applyFont="1" applyBorder="1" applyAlignment="1" applyProtection="1" quotePrefix="1">
      <alignment horizontal="left"/>
      <protection/>
    </xf>
    <xf numFmtId="168" fontId="65" fillId="0" borderId="53" xfId="0" applyNumberFormat="1" applyFont="1" applyBorder="1" applyAlignment="1" applyProtection="1" quotePrefix="1">
      <alignment horizontal="left"/>
      <protection/>
    </xf>
    <xf numFmtId="168" fontId="11" fillId="0" borderId="18" xfId="0" applyNumberFormat="1" applyFont="1" applyBorder="1" applyAlignment="1" applyProtection="1">
      <alignment horizontal="left"/>
      <protection/>
    </xf>
    <xf numFmtId="177" fontId="11" fillId="0" borderId="18" xfId="0" applyNumberFormat="1" applyFont="1" applyBorder="1" applyAlignment="1" applyProtection="1">
      <alignment horizontal="right"/>
      <protection/>
    </xf>
    <xf numFmtId="177" fontId="11" fillId="0" borderId="55" xfId="0" applyNumberFormat="1" applyFont="1" applyBorder="1" applyAlignment="1" applyProtection="1">
      <alignment horizontal="right"/>
      <protection/>
    </xf>
    <xf numFmtId="171" fontId="25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72" fillId="2" borderId="55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55" xfId="0" applyFont="1" applyBorder="1" applyAlignment="1">
      <alignment/>
    </xf>
    <xf numFmtId="0" fontId="72" fillId="0" borderId="55" xfId="0" applyFont="1" applyBorder="1" applyAlignment="1" quotePrefix="1">
      <alignment/>
    </xf>
    <xf numFmtId="0" fontId="73" fillId="0" borderId="0" xfId="21" applyFont="1" applyFill="1" applyAlignment="1">
      <alignment/>
      <protection/>
    </xf>
    <xf numFmtId="0" fontId="72" fillId="2" borderId="55" xfId="0" applyFont="1" applyFill="1" applyBorder="1" applyAlignment="1">
      <alignment horizontal="center"/>
    </xf>
    <xf numFmtId="0" fontId="72" fillId="11" borderId="0" xfId="0" applyFont="1" applyFill="1" applyAlignment="1">
      <alignment/>
    </xf>
    <xf numFmtId="0" fontId="72" fillId="11" borderId="0" xfId="0" applyNumberFormat="1" applyFont="1" applyFill="1" applyAlignment="1">
      <alignment/>
    </xf>
    <xf numFmtId="0" fontId="72" fillId="0" borderId="55" xfId="0" applyFont="1" applyFill="1" applyBorder="1" applyAlignment="1">
      <alignment horizontal="center"/>
    </xf>
    <xf numFmtId="0" fontId="72" fillId="11" borderId="0" xfId="21" applyFont="1" applyFill="1" applyAlignment="1">
      <alignment/>
      <protection/>
    </xf>
    <xf numFmtId="0" fontId="74" fillId="0" borderId="55" xfId="0" applyFont="1" applyFill="1" applyBorder="1" applyAlignment="1">
      <alignment/>
    </xf>
    <xf numFmtId="0" fontId="75" fillId="0" borderId="55" xfId="0" applyFont="1" applyFill="1" applyBorder="1" applyAlignment="1">
      <alignment/>
    </xf>
    <xf numFmtId="0" fontId="75" fillId="0" borderId="60" xfId="0" applyFont="1" applyFill="1" applyBorder="1" applyAlignment="1">
      <alignment/>
    </xf>
    <xf numFmtId="0" fontId="76" fillId="0" borderId="55" xfId="0" applyFont="1" applyFill="1" applyBorder="1" applyAlignment="1">
      <alignment/>
    </xf>
    <xf numFmtId="0" fontId="76" fillId="0" borderId="60" xfId="0" applyFont="1" applyFill="1" applyBorder="1" applyAlignment="1">
      <alignment/>
    </xf>
    <xf numFmtId="0" fontId="76" fillId="7" borderId="55" xfId="0" applyFont="1" applyFill="1" applyBorder="1" applyAlignment="1">
      <alignment/>
    </xf>
    <xf numFmtId="0" fontId="0" fillId="0" borderId="0" xfId="0" applyAlignment="1" quotePrefix="1">
      <alignment/>
    </xf>
    <xf numFmtId="0" fontId="23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2" xfId="0" applyFont="1" applyBorder="1" applyAlignment="1">
      <alignment horizontal="centerContinuous"/>
    </xf>
    <xf numFmtId="0" fontId="7" fillId="0" borderId="73" xfId="0" applyFont="1" applyFill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23" xfId="19" applyNumberFormat="1" applyFont="1" applyBorder="1" applyAlignment="1">
      <alignment horizontal="right"/>
    </xf>
    <xf numFmtId="168" fontId="7" fillId="0" borderId="3" xfId="0" applyNumberFormat="1" applyFont="1" applyBorder="1" applyAlignment="1" applyProtection="1" quotePrefix="1">
      <alignment horizontal="center"/>
      <protection/>
    </xf>
    <xf numFmtId="2" fontId="53" fillId="3" borderId="3" xfId="0" applyNumberFormat="1" applyFont="1" applyFill="1" applyBorder="1" applyAlignment="1" applyProtection="1">
      <alignment horizontal="center"/>
      <protection/>
    </xf>
    <xf numFmtId="2" fontId="53" fillId="4" borderId="3" xfId="0" applyNumberFormat="1" applyFont="1" applyFill="1" applyBorder="1" applyAlignment="1" applyProtection="1">
      <alignment horizontal="center"/>
      <protection/>
    </xf>
    <xf numFmtId="168" fontId="58" fillId="5" borderId="37" xfId="0" applyNumberFormat="1" applyFont="1" applyFill="1" applyBorder="1" applyAlignment="1" applyProtection="1" quotePrefix="1">
      <alignment horizontal="center"/>
      <protection/>
    </xf>
    <xf numFmtId="168" fontId="58" fillId="5" borderId="66" xfId="0" applyNumberFormat="1" applyFont="1" applyFill="1" applyBorder="1" applyAlignment="1" applyProtection="1" quotePrefix="1">
      <alignment horizontal="center"/>
      <protection/>
    </xf>
    <xf numFmtId="4" fontId="58" fillId="5" borderId="6" xfId="0" applyNumberFormat="1" applyFont="1" applyFill="1" applyBorder="1" applyAlignment="1" applyProtection="1">
      <alignment horizontal="center"/>
      <protection/>
    </xf>
    <xf numFmtId="168" fontId="58" fillId="6" borderId="37" xfId="0" applyNumberFormat="1" applyFont="1" applyFill="1" applyBorder="1" applyAlignment="1" applyProtection="1" quotePrefix="1">
      <alignment horizontal="center"/>
      <protection/>
    </xf>
    <xf numFmtId="168" fontId="58" fillId="6" borderId="66" xfId="0" applyNumberFormat="1" applyFont="1" applyFill="1" applyBorder="1" applyAlignment="1" applyProtection="1" quotePrefix="1">
      <alignment horizontal="center"/>
      <protection/>
    </xf>
    <xf numFmtId="4" fontId="58" fillId="6" borderId="6" xfId="0" applyNumberFormat="1" applyFont="1" applyFill="1" applyBorder="1" applyAlignment="1" applyProtection="1">
      <alignment horizontal="center"/>
      <protection/>
    </xf>
    <xf numFmtId="4" fontId="58" fillId="7" borderId="3" xfId="0" applyNumberFormat="1" applyFont="1" applyFill="1" applyBorder="1" applyAlignment="1" applyProtection="1">
      <alignment horizontal="center"/>
      <protection/>
    </xf>
    <xf numFmtId="4" fontId="53" fillId="8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2" fontId="58" fillId="7" borderId="3" xfId="0" applyNumberFormat="1" applyFont="1" applyFill="1" applyBorder="1" applyAlignment="1" applyProtection="1">
      <alignment horizontal="center"/>
      <protection/>
    </xf>
    <xf numFmtId="2" fontId="58" fillId="9" borderId="3" xfId="0" applyNumberFormat="1" applyFont="1" applyFill="1" applyBorder="1" applyAlignment="1" applyProtection="1">
      <alignment horizontal="center"/>
      <protection/>
    </xf>
    <xf numFmtId="2" fontId="58" fillId="5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4" fontId="56" fillId="8" borderId="3" xfId="0" applyNumberFormat="1" applyFont="1" applyFill="1" applyBorder="1" applyAlignment="1" applyProtection="1">
      <alignment horizontal="center"/>
      <protection/>
    </xf>
    <xf numFmtId="2" fontId="58" fillId="9" borderId="3" xfId="0" applyNumberFormat="1" applyFont="1" applyFill="1" applyBorder="1" applyAlignment="1" applyProtection="1">
      <alignment horizontal="center"/>
      <protection/>
    </xf>
    <xf numFmtId="168" fontId="58" fillId="6" borderId="8" xfId="0" applyNumberFormat="1" applyFont="1" applyFill="1" applyBorder="1" applyAlignment="1" applyProtection="1" quotePrefix="1">
      <alignment horizontal="center"/>
      <protection/>
    </xf>
    <xf numFmtId="168" fontId="58" fillId="5" borderId="3" xfId="0" applyNumberFormat="1" applyFont="1" applyFill="1" applyBorder="1" applyAlignment="1" applyProtection="1" quotePrefix="1">
      <alignment horizontal="center"/>
      <protection/>
    </xf>
    <xf numFmtId="0" fontId="74" fillId="0" borderId="60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 applyProtection="1">
      <alignment horizontal="left"/>
      <protection/>
    </xf>
    <xf numFmtId="0" fontId="56" fillId="0" borderId="0" xfId="0" applyFont="1" applyBorder="1" applyAlignment="1">
      <alignment/>
    </xf>
    <xf numFmtId="0" fontId="56" fillId="0" borderId="1" xfId="0" applyFont="1" applyBorder="1" applyAlignment="1">
      <alignment/>
    </xf>
    <xf numFmtId="0" fontId="56" fillId="0" borderId="74" xfId="0" applyFont="1" applyBorder="1" applyAlignment="1">
      <alignment/>
    </xf>
    <xf numFmtId="0" fontId="56" fillId="0" borderId="2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 applyProtection="1">
      <alignment/>
      <protection/>
    </xf>
    <xf numFmtId="0" fontId="56" fillId="0" borderId="1" xfId="0" applyFont="1" applyFill="1" applyBorder="1" applyAlignment="1" applyProtection="1">
      <alignment/>
      <protection/>
    </xf>
    <xf numFmtId="0" fontId="56" fillId="0" borderId="74" xfId="0" applyFont="1" applyFill="1" applyBorder="1" applyAlignment="1" applyProtection="1">
      <alignment/>
      <protection/>
    </xf>
    <xf numFmtId="0" fontId="56" fillId="0" borderId="2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 horizontal="centerContinuous"/>
      <protection/>
    </xf>
    <xf numFmtId="167" fontId="0" fillId="0" borderId="26" xfId="0" applyNumberFormat="1" applyFont="1" applyBorder="1" applyAlignment="1">
      <alignment horizontal="centerContinuous"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0" fontId="0" fillId="0" borderId="5" xfId="0" applyBorder="1" applyAlignment="1">
      <alignment/>
    </xf>
    <xf numFmtId="0" fontId="77" fillId="2" borderId="16" xfId="0" applyFont="1" applyFill="1" applyBorder="1" applyAlignment="1">
      <alignment/>
    </xf>
    <xf numFmtId="0" fontId="0" fillId="0" borderId="6" xfId="0" applyBorder="1" applyAlignment="1">
      <alignment/>
    </xf>
    <xf numFmtId="0" fontId="77" fillId="2" borderId="3" xfId="0" applyFont="1" applyFill="1" applyBorder="1" applyAlignment="1">
      <alignment/>
    </xf>
    <xf numFmtId="0" fontId="55" fillId="3" borderId="3" xfId="0" applyFont="1" applyFill="1" applyBorder="1" applyAlignment="1">
      <alignment/>
    </xf>
    <xf numFmtId="0" fontId="55" fillId="4" borderId="3" xfId="0" applyFont="1" applyFill="1" applyBorder="1" applyAlignment="1">
      <alignment/>
    </xf>
    <xf numFmtId="0" fontId="57" fillId="5" borderId="37" xfId="0" applyFont="1" applyFill="1" applyBorder="1" applyAlignment="1">
      <alignment horizontal="center"/>
    </xf>
    <xf numFmtId="0" fontId="57" fillId="5" borderId="66" xfId="0" applyFont="1" applyFill="1" applyBorder="1" applyAlignment="1">
      <alignment/>
    </xf>
    <xf numFmtId="0" fontId="57" fillId="5" borderId="6" xfId="0" applyFont="1" applyFill="1" applyBorder="1" applyAlignment="1">
      <alignment/>
    </xf>
    <xf numFmtId="0" fontId="57" fillId="6" borderId="37" xfId="0" applyFont="1" applyFill="1" applyBorder="1" applyAlignment="1">
      <alignment horizontal="center"/>
    </xf>
    <xf numFmtId="0" fontId="57" fillId="6" borderId="66" xfId="0" applyFont="1" applyFill="1" applyBorder="1" applyAlignment="1">
      <alignment/>
    </xf>
    <xf numFmtId="0" fontId="57" fillId="6" borderId="6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0" fontId="55" fillId="8" borderId="3" xfId="0" applyFont="1" applyFill="1" applyBorder="1" applyAlignment="1">
      <alignment/>
    </xf>
    <xf numFmtId="0" fontId="0" fillId="0" borderId="3" xfId="0" applyFont="1" applyBorder="1" applyAlignment="1">
      <alignment/>
    </xf>
    <xf numFmtId="168" fontId="49" fillId="2" borderId="4" xfId="0" applyNumberFormat="1" applyFont="1" applyFill="1" applyBorder="1" applyAlignment="1" applyProtection="1">
      <alignment horizontal="center"/>
      <protection/>
    </xf>
    <xf numFmtId="0" fontId="78" fillId="0" borderId="0" xfId="0" applyFont="1" applyAlignment="1">
      <alignment/>
    </xf>
    <xf numFmtId="0" fontId="78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9" fillId="0" borderId="0" xfId="0" applyFont="1" applyBorder="1" applyAlignment="1">
      <alignment horizontal="centerContinuous"/>
    </xf>
    <xf numFmtId="0" fontId="80" fillId="0" borderId="0" xfId="0" applyFont="1" applyBorder="1" applyAlignment="1" applyProtection="1">
      <alignment horizontal="left"/>
      <protection/>
    </xf>
    <xf numFmtId="0" fontId="81" fillId="0" borderId="0" xfId="0" applyFont="1" applyBorder="1" applyAlignment="1" applyProtection="1">
      <alignment horizontal="centerContinuous"/>
      <protection/>
    </xf>
    <xf numFmtId="0" fontId="81" fillId="0" borderId="0" xfId="0" applyFont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2" fillId="0" borderId="10" xfId="0" applyFont="1" applyBorder="1" applyAlignment="1">
      <alignment/>
    </xf>
    <xf numFmtId="0" fontId="0" fillId="0" borderId="11" xfId="0" applyBorder="1" applyAlignment="1">
      <alignment/>
    </xf>
    <xf numFmtId="0" fontId="8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4" xfId="0" applyBorder="1" applyAlignment="1">
      <alignment/>
    </xf>
    <xf numFmtId="0" fontId="82" fillId="0" borderId="0" xfId="0" applyFont="1" applyBorder="1" applyAlignment="1" applyProtection="1">
      <alignment horizontal="center"/>
      <protection/>
    </xf>
    <xf numFmtId="0" fontId="82" fillId="0" borderId="0" xfId="0" applyFont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12" borderId="67" xfId="0" applyFont="1" applyFill="1" applyBorder="1" applyAlignment="1">
      <alignment horizontal="centerContinuous" vertical="center"/>
    </xf>
    <xf numFmtId="0" fontId="83" fillId="12" borderId="75" xfId="0" applyFont="1" applyFill="1" applyBorder="1" applyAlignment="1" applyProtection="1">
      <alignment horizontal="centerContinuous" vertical="center"/>
      <protection/>
    </xf>
    <xf numFmtId="0" fontId="83" fillId="12" borderId="75" xfId="0" applyFont="1" applyFill="1" applyBorder="1" applyAlignment="1" applyProtection="1">
      <alignment horizontal="centerContinuous" vertical="center" wrapText="1"/>
      <protection/>
    </xf>
    <xf numFmtId="168" fontId="83" fillId="12" borderId="23" xfId="0" applyNumberFormat="1" applyFont="1" applyFill="1" applyBorder="1" applyAlignment="1" applyProtection="1">
      <alignment horizontal="centerContinuous" vertical="center" wrapText="1"/>
      <protection/>
    </xf>
    <xf numFmtId="17" fontId="83" fillId="12" borderId="23" xfId="0" applyNumberFormat="1" applyFont="1" applyFill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13" borderId="5" xfId="0" applyFont="1" applyFill="1" applyBorder="1" applyAlignment="1">
      <alignment/>
    </xf>
    <xf numFmtId="0" fontId="82" fillId="13" borderId="76" xfId="0" applyFont="1" applyFill="1" applyBorder="1" applyAlignment="1">
      <alignment/>
    </xf>
    <xf numFmtId="0" fontId="82" fillId="13" borderId="31" xfId="0" applyFont="1" applyFill="1" applyBorder="1" applyAlignment="1">
      <alignment/>
    </xf>
    <xf numFmtId="0" fontId="0" fillId="14" borderId="73" xfId="0" applyFont="1" applyFill="1" applyBorder="1" applyAlignment="1">
      <alignment/>
    </xf>
    <xf numFmtId="0" fontId="0" fillId="13" borderId="73" xfId="0" applyFont="1" applyFill="1" applyBorder="1" applyAlignment="1">
      <alignment/>
    </xf>
    <xf numFmtId="0" fontId="7" fillId="13" borderId="5" xfId="0" applyFont="1" applyFill="1" applyBorder="1" applyAlignment="1">
      <alignment horizontal="center"/>
    </xf>
    <xf numFmtId="0" fontId="7" fillId="13" borderId="20" xfId="0" applyFont="1" applyFill="1" applyBorder="1" applyAlignment="1" applyProtection="1">
      <alignment horizontal="center"/>
      <protection/>
    </xf>
    <xf numFmtId="2" fontId="7" fillId="13" borderId="7" xfId="0" applyNumberFormat="1" applyFont="1" applyFill="1" applyBorder="1" applyAlignment="1" applyProtection="1">
      <alignment horizontal="center"/>
      <protection/>
    </xf>
    <xf numFmtId="1" fontId="7" fillId="14" borderId="77" xfId="0" applyNumberFormat="1" applyFont="1" applyFill="1" applyBorder="1" applyAlignment="1">
      <alignment horizontal="center"/>
    </xf>
    <xf numFmtId="1" fontId="0" fillId="13" borderId="3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7" fillId="15" borderId="20" xfId="0" applyFont="1" applyFill="1" applyBorder="1" applyAlignment="1" applyProtection="1">
      <alignment horizontal="center"/>
      <protection/>
    </xf>
    <xf numFmtId="2" fontId="7" fillId="15" borderId="7" xfId="0" applyNumberFormat="1" applyFont="1" applyFill="1" applyBorder="1" applyAlignment="1" applyProtection="1">
      <alignment horizontal="center"/>
      <protection/>
    </xf>
    <xf numFmtId="1" fontId="84" fillId="13" borderId="31" xfId="0" applyNumberFormat="1" applyFont="1" applyFill="1" applyBorder="1" applyAlignment="1">
      <alignment horizontal="center"/>
    </xf>
    <xf numFmtId="0" fontId="7" fillId="13" borderId="67" xfId="0" applyFont="1" applyFill="1" applyBorder="1" applyAlignment="1">
      <alignment horizontal="center"/>
    </xf>
    <xf numFmtId="0" fontId="7" fillId="13" borderId="78" xfId="0" applyFont="1" applyFill="1" applyBorder="1" applyAlignment="1" applyProtection="1">
      <alignment horizontal="left"/>
      <protection/>
    </xf>
    <xf numFmtId="0" fontId="7" fillId="13" borderId="78" xfId="0" applyFont="1" applyFill="1" applyBorder="1" applyAlignment="1" applyProtection="1">
      <alignment horizontal="center"/>
      <protection/>
    </xf>
    <xf numFmtId="2" fontId="7" fillId="13" borderId="68" xfId="0" applyNumberFormat="1" applyFont="1" applyFill="1" applyBorder="1" applyAlignment="1" applyProtection="1">
      <alignment horizontal="center"/>
      <protection/>
    </xf>
    <xf numFmtId="1" fontId="7" fillId="14" borderId="6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right"/>
      <protection/>
    </xf>
    <xf numFmtId="168" fontId="5" fillId="0" borderId="68" xfId="0" applyNumberFormat="1" applyFont="1" applyFill="1" applyBorder="1" applyAlignment="1" applyProtection="1">
      <alignment horizontal="center"/>
      <protection/>
    </xf>
    <xf numFmtId="1" fontId="0" fillId="13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13" borderId="23" xfId="0" applyNumberFormat="1" applyFont="1" applyFill="1" applyBorder="1" applyAlignment="1" applyProtection="1">
      <alignment horizontal="center"/>
      <protection/>
    </xf>
    <xf numFmtId="1" fontId="7" fillId="13" borderId="31" xfId="0" applyNumberFormat="1" applyFont="1" applyFill="1" applyBorder="1" applyAlignment="1" applyProtection="1">
      <alignment horizontal="center"/>
      <protection/>
    </xf>
    <xf numFmtId="1" fontId="82" fillId="0" borderId="2" xfId="0" applyNumberFormat="1" applyFont="1" applyBorder="1" applyAlignment="1" applyProtection="1">
      <alignment horizontal="center"/>
      <protection/>
    </xf>
    <xf numFmtId="17" fontId="5" fillId="0" borderId="0" xfId="0" applyNumberFormat="1" applyFont="1" applyFill="1" applyBorder="1" applyAlignment="1">
      <alignment horizontal="right"/>
    </xf>
    <xf numFmtId="2" fontId="11" fillId="14" borderId="23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" fillId="13" borderId="7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85" fillId="0" borderId="1" xfId="0" applyFont="1" applyBorder="1" applyAlignment="1">
      <alignment/>
    </xf>
    <xf numFmtId="0" fontId="0" fillId="14" borderId="7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24" xfId="0" applyFont="1" applyBorder="1" applyAlignment="1">
      <alignment/>
    </xf>
    <xf numFmtId="2" fontId="86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center"/>
    </xf>
    <xf numFmtId="0" fontId="85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ahu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2</xdr:col>
      <xdr:colOff>542925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0</xdr:rowOff>
    </xdr:from>
    <xdr:to>
      <xdr:col>2</xdr:col>
      <xdr:colOff>542925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A%20PROCESO%20AUT\TRANSPA\2009\J0709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09"/>
      <sheetName val="LI-07 (1)"/>
      <sheetName val="LI-EDERSA-07 (1)"/>
      <sheetName val="LI-SPSE-07 (1)"/>
      <sheetName val="LI-TRANSACUE-07 (1)"/>
      <sheetName val="TR-07 (1)"/>
      <sheetName val="TR-EDERSA-07 (1)"/>
      <sheetName val="TR-SPSE-07 (1)"/>
      <sheetName val="SA-07 (1)"/>
      <sheetName val="SA-EDERSA-07 (1)"/>
      <sheetName val="SA-SPSE-07 (1)"/>
      <sheetName val="SA-TRANSACUE-07 (1)"/>
      <sheetName val="RE-07 (1)"/>
      <sheetName val="CAUSAS-VST-07 (1)"/>
      <sheetName val="CAUSAS-VST-07 (2)"/>
      <sheetName val="SUP-EDERSA"/>
      <sheetName val="SUP-SPSE"/>
      <sheetName val="SUP-TRANSACUE"/>
      <sheetName val="DATO"/>
      <sheetName val="condiciones climaticas 313-01"/>
      <sheetName val="atentado 313-01"/>
    </sheetNames>
    <definedNames>
      <definedName name="Actualizar_Referencias"/>
    </definedNames>
    <sheetDataSet>
      <sheetData sheetId="0">
        <row r="13">
          <cell r="B13">
            <v>1</v>
          </cell>
        </row>
        <row r="14">
          <cell r="B14" t="str">
            <v>Desde el 01 al 31 de julio de 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CL17" t="str">
            <v>XXXX</v>
          </cell>
          <cell r="CM17" t="str">
            <v>XXXX</v>
          </cell>
          <cell r="CN17" t="str">
            <v>XXXX</v>
          </cell>
          <cell r="CO17" t="str">
            <v>XXXX</v>
          </cell>
          <cell r="CP17" t="str">
            <v>XXXX</v>
          </cell>
          <cell r="CQ17" t="str">
            <v>XXXX</v>
          </cell>
          <cell r="CR17" t="str">
            <v>XXXX</v>
          </cell>
          <cell r="CS17" t="str">
            <v>XXXX</v>
          </cell>
          <cell r="CT17" t="str">
            <v>XXXX</v>
          </cell>
          <cell r="CU17" t="str">
            <v>XXXX</v>
          </cell>
          <cell r="CV17" t="str">
            <v>XXXX</v>
          </cell>
          <cell r="CW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FQ18">
            <v>1</v>
          </cell>
          <cell r="FT18">
            <v>2</v>
          </cell>
          <cell r="FU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FO19">
            <v>3</v>
          </cell>
          <cell r="FQ19">
            <v>1</v>
          </cell>
          <cell r="FW19">
            <v>2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28.41</v>
          </cell>
          <cell r="FS20">
            <v>1</v>
          </cell>
          <cell r="FT20">
            <v>1</v>
          </cell>
          <cell r="FY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9.43</v>
          </cell>
          <cell r="FT21">
            <v>2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  <cell r="FT23">
            <v>1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FZ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FU33">
            <v>1</v>
          </cell>
          <cell r="FY33">
            <v>1</v>
          </cell>
          <cell r="FZ33">
            <v>2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FO34" t="str">
            <v>XXXX</v>
          </cell>
          <cell r="FP34" t="str">
            <v>XXXX</v>
          </cell>
          <cell r="FQ34" t="str">
            <v>XXXX</v>
          </cell>
          <cell r="FR34" t="str">
            <v>XXXX</v>
          </cell>
          <cell r="FS34" t="str">
            <v>XXXX</v>
          </cell>
          <cell r="FT34" t="str">
            <v>XXXX</v>
          </cell>
          <cell r="FU34" t="str">
            <v>XXXX</v>
          </cell>
          <cell r="FV34" t="str">
            <v>XXXX</v>
          </cell>
          <cell r="FW34" t="str">
            <v>XXXX</v>
          </cell>
          <cell r="FX34" t="str">
            <v>XXXX</v>
          </cell>
          <cell r="FY34" t="str">
            <v>XXXX</v>
          </cell>
          <cell r="FZ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  <cell r="FO37">
            <v>1</v>
          </cell>
          <cell r="FQ37">
            <v>1</v>
          </cell>
        </row>
        <row r="39">
          <cell r="C39">
            <v>19</v>
          </cell>
          <cell r="D39" t="str">
            <v>PUNTA COLORADA - SIERRA GRANDE</v>
          </cell>
          <cell r="E39">
            <v>132</v>
          </cell>
          <cell r="F39">
            <v>31</v>
          </cell>
        </row>
        <row r="40">
          <cell r="C40">
            <v>20</v>
          </cell>
          <cell r="D40" t="str">
            <v>CARMEN DE PATAGONES - VIEDMA</v>
          </cell>
          <cell r="E40">
            <v>132</v>
          </cell>
          <cell r="F40">
            <v>7</v>
          </cell>
        </row>
        <row r="41">
          <cell r="C41">
            <v>21</v>
          </cell>
          <cell r="D41" t="str">
            <v>SAN ANTONIO OESTE - SIERRA GRANDE</v>
          </cell>
          <cell r="E41">
            <v>132</v>
          </cell>
          <cell r="F41">
            <v>110.3</v>
          </cell>
        </row>
        <row r="42">
          <cell r="C42">
            <v>22</v>
          </cell>
          <cell r="D42" t="str">
            <v>SAN ANTONIO OESTE - VIEDMA</v>
          </cell>
          <cell r="E42">
            <v>132</v>
          </cell>
          <cell r="F42">
            <v>185.6</v>
          </cell>
        </row>
        <row r="44">
          <cell r="C44">
            <v>23</v>
          </cell>
          <cell r="D44" t="str">
            <v>PICO TRUNCADO I - PUERTO DESEADO</v>
          </cell>
          <cell r="E44">
            <v>132</v>
          </cell>
          <cell r="F44">
            <v>209</v>
          </cell>
          <cell r="FS44">
            <v>1</v>
          </cell>
          <cell r="FV44">
            <v>1</v>
          </cell>
          <cell r="FW44">
            <v>1</v>
          </cell>
        </row>
        <row r="46">
          <cell r="C46">
            <v>24</v>
          </cell>
          <cell r="D46" t="str">
            <v>E.T. PATAGONIA - PAMPA DEL CASTILLO</v>
          </cell>
          <cell r="E46">
            <v>132</v>
          </cell>
          <cell r="F46">
            <v>42.6</v>
          </cell>
        </row>
        <row r="47">
          <cell r="C47">
            <v>25</v>
          </cell>
          <cell r="D47" t="str">
            <v>PAMPA DEL CASTILLO - VALLE HERMOSO</v>
          </cell>
          <cell r="E47">
            <v>132</v>
          </cell>
          <cell r="F47">
            <v>33.6</v>
          </cell>
        </row>
        <row r="48">
          <cell r="C48">
            <v>26</v>
          </cell>
          <cell r="D48" t="str">
            <v>VALLE HERMOSO - CERRO NEGRO</v>
          </cell>
          <cell r="E48">
            <v>132</v>
          </cell>
          <cell r="F48">
            <v>41</v>
          </cell>
        </row>
        <row r="49">
          <cell r="D49" t="str">
            <v>ESQUEL-EL COHIUE</v>
          </cell>
          <cell r="E49">
            <v>132</v>
          </cell>
          <cell r="F49">
            <v>127.98</v>
          </cell>
        </row>
        <row r="50">
          <cell r="C50">
            <v>27</v>
          </cell>
          <cell r="D50" t="str">
            <v>PAMPA DEL CASTILLO - EL TORDILLO</v>
          </cell>
          <cell r="E50">
            <v>132</v>
          </cell>
          <cell r="F50">
            <v>8.9</v>
          </cell>
          <cell r="FS50">
            <v>1</v>
          </cell>
        </row>
        <row r="60">
          <cell r="FO60">
            <v>0.95</v>
          </cell>
          <cell r="FP60">
            <v>1.05</v>
          </cell>
          <cell r="FQ60">
            <v>1.02</v>
          </cell>
          <cell r="FR60">
            <v>1.09</v>
          </cell>
          <cell r="FS60">
            <v>1.09</v>
          </cell>
          <cell r="FT60">
            <v>1.09</v>
          </cell>
          <cell r="FU60">
            <v>1.19</v>
          </cell>
          <cell r="FV60">
            <v>1.19</v>
          </cell>
          <cell r="FW60">
            <v>1.12</v>
          </cell>
          <cell r="FX60">
            <v>1.23</v>
          </cell>
          <cell r="FY60">
            <v>1.19</v>
          </cell>
          <cell r="FZ60">
            <v>0.88</v>
          </cell>
          <cell r="GA60">
            <v>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0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5.7109375" style="11" customWidth="1"/>
    <col min="2" max="2" width="7.7109375" style="11" customWidth="1"/>
    <col min="3" max="3" width="9.8515625" style="11" customWidth="1"/>
    <col min="4" max="4" width="10.7109375" style="11" customWidth="1"/>
    <col min="5" max="5" width="10.57421875" style="11" customWidth="1"/>
    <col min="6" max="6" width="15.7109375" style="11" customWidth="1"/>
    <col min="7" max="7" width="24.28125" style="11" customWidth="1"/>
    <col min="8" max="8" width="11.00390625" style="11" customWidth="1"/>
    <col min="9" max="9" width="15.7109375" style="11" customWidth="1"/>
    <col min="10" max="10" width="15.00390625" style="11" customWidth="1"/>
    <col min="11" max="11" width="15.7109375" style="11" customWidth="1"/>
    <col min="12" max="13" width="11.421875" style="11" customWidth="1"/>
    <col min="14" max="14" width="14.140625" style="11" customWidth="1"/>
    <col min="15" max="15" width="11.421875" style="11" customWidth="1"/>
    <col min="16" max="16" width="14.7109375" style="11" customWidth="1"/>
    <col min="17" max="17" width="11.421875" style="11" customWidth="1"/>
    <col min="18" max="18" width="12.00390625" style="11" customWidth="1"/>
    <col min="19" max="16384" width="11.421875" style="11" customWidth="1"/>
  </cols>
  <sheetData>
    <row r="1" spans="2:11" s="116" customFormat="1" ht="26.25">
      <c r="B1" s="117"/>
      <c r="K1" s="384"/>
    </row>
    <row r="2" spans="2:10" s="116" customFormat="1" ht="26.25">
      <c r="B2" s="117" t="s">
        <v>287</v>
      </c>
      <c r="C2" s="134"/>
      <c r="D2" s="118"/>
      <c r="E2" s="118"/>
      <c r="F2" s="118"/>
      <c r="G2" s="118"/>
      <c r="H2" s="118"/>
      <c r="I2" s="118"/>
      <c r="J2" s="118"/>
    </row>
    <row r="3" spans="3:19" ht="12.75">
      <c r="C3"/>
      <c r="D3" s="36"/>
      <c r="E3" s="36"/>
      <c r="F3" s="36"/>
      <c r="G3" s="36"/>
      <c r="H3" s="36"/>
      <c r="I3" s="36"/>
      <c r="J3" s="36"/>
      <c r="P3" s="9"/>
      <c r="Q3" s="9"/>
      <c r="R3" s="9"/>
      <c r="S3" s="9"/>
    </row>
    <row r="4" spans="1:19" s="119" customFormat="1" ht="11.25">
      <c r="A4" s="135" t="s">
        <v>16</v>
      </c>
      <c r="B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s="119" customFormat="1" ht="11.25">
      <c r="A5" s="135" t="s">
        <v>17</v>
      </c>
      <c r="B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2:19" s="116" customFormat="1" ht="26.25">
      <c r="B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2:19" s="121" customFormat="1" ht="21">
      <c r="B7" s="177" t="s">
        <v>0</v>
      </c>
      <c r="C7" s="140"/>
      <c r="D7" s="141"/>
      <c r="E7" s="141"/>
      <c r="F7" s="142"/>
      <c r="G7" s="142"/>
      <c r="H7" s="142"/>
      <c r="I7" s="142"/>
      <c r="J7" s="142"/>
      <c r="K7" s="42"/>
      <c r="L7" s="42"/>
      <c r="M7" s="42"/>
      <c r="N7" s="42"/>
      <c r="O7" s="42"/>
      <c r="P7" s="42"/>
      <c r="Q7" s="42"/>
      <c r="R7" s="42"/>
      <c r="S7" s="42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21" customFormat="1" ht="21">
      <c r="B9" s="177" t="s">
        <v>1</v>
      </c>
      <c r="C9" s="140"/>
      <c r="D9" s="141"/>
      <c r="E9" s="141"/>
      <c r="F9" s="141"/>
      <c r="G9" s="141"/>
      <c r="H9" s="141"/>
      <c r="I9" s="142"/>
      <c r="J9" s="142"/>
      <c r="K9" s="42"/>
      <c r="L9" s="42"/>
      <c r="M9" s="42"/>
      <c r="N9" s="42"/>
      <c r="O9" s="42"/>
      <c r="P9" s="42"/>
      <c r="Q9" s="42"/>
      <c r="R9" s="42"/>
      <c r="S9" s="42"/>
    </row>
    <row r="10" spans="4:19" ht="12.75">
      <c r="D10" s="143"/>
      <c r="E10" s="14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21" customFormat="1" ht="20.25">
      <c r="B11" s="177" t="s">
        <v>279</v>
      </c>
      <c r="C11" s="81"/>
      <c r="D11" s="37"/>
      <c r="E11" s="37"/>
      <c r="F11" s="141"/>
      <c r="G11" s="141"/>
      <c r="H11" s="141"/>
      <c r="I11" s="142"/>
      <c r="J11" s="142"/>
      <c r="K11" s="42"/>
      <c r="L11" s="42"/>
      <c r="M11" s="42"/>
      <c r="N11" s="42"/>
      <c r="O11" s="42"/>
      <c r="P11" s="42"/>
      <c r="Q11" s="42"/>
      <c r="R11" s="42"/>
      <c r="S11" s="42"/>
    </row>
    <row r="12" spans="4:19" s="144" customFormat="1" ht="16.5" thickBot="1">
      <c r="D12" s="8"/>
      <c r="E12" s="8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2:19" s="144" customFormat="1" ht="16.5" thickTop="1">
      <c r="B13" s="336">
        <v>1</v>
      </c>
      <c r="C13" s="380"/>
      <c r="D13" s="146"/>
      <c r="E13" s="146"/>
      <c r="F13" s="146"/>
      <c r="G13" s="146"/>
      <c r="H13" s="146"/>
      <c r="I13" s="146"/>
      <c r="J13" s="147"/>
      <c r="K13" s="145"/>
      <c r="L13" s="145"/>
      <c r="M13" s="145"/>
      <c r="N13" s="145"/>
      <c r="O13" s="145"/>
      <c r="P13" s="145"/>
      <c r="Q13" s="145"/>
      <c r="R13" s="145"/>
      <c r="S13" s="145"/>
    </row>
    <row r="14" spans="2:19" s="128" customFormat="1" ht="19.5">
      <c r="B14" s="240" t="s">
        <v>232</v>
      </c>
      <c r="C14" s="148"/>
      <c r="D14" s="149"/>
      <c r="E14" s="150"/>
      <c r="F14" s="150"/>
      <c r="G14" s="150"/>
      <c r="H14" s="150"/>
      <c r="I14" s="124"/>
      <c r="J14" s="127"/>
      <c r="K14" s="44"/>
      <c r="L14" s="44"/>
      <c r="M14" s="44"/>
      <c r="N14" s="44"/>
      <c r="O14" s="44"/>
      <c r="P14" s="44"/>
      <c r="Q14" s="44"/>
      <c r="R14" s="44"/>
      <c r="S14" s="44"/>
    </row>
    <row r="15" spans="2:19" s="128" customFormat="1" ht="9" customHeight="1">
      <c r="B15" s="151"/>
      <c r="C15" s="152"/>
      <c r="D15" s="152"/>
      <c r="E15" s="44"/>
      <c r="F15" s="153"/>
      <c r="G15" s="153"/>
      <c r="H15" s="153"/>
      <c r="I15" s="44"/>
      <c r="J15" s="154"/>
      <c r="K15" s="44"/>
      <c r="L15" s="44"/>
      <c r="M15" s="44"/>
      <c r="N15" s="44"/>
      <c r="O15" s="44"/>
      <c r="P15" s="44"/>
      <c r="Q15" s="44"/>
      <c r="R15" s="44"/>
      <c r="S15" s="44"/>
    </row>
    <row r="16" spans="2:18" s="128" customFormat="1" ht="9" customHeight="1">
      <c r="B16" s="240">
        <f>IF(B13=2,"Sanciones duplicadas por tasa de falla &gt; 4 Sal. x año/100km.","")</f>
      </c>
      <c r="C16" s="243"/>
      <c r="D16" s="243"/>
      <c r="E16" s="124"/>
      <c r="F16" s="150"/>
      <c r="G16" s="150"/>
      <c r="H16" s="124"/>
      <c r="I16" s="81"/>
      <c r="J16" s="127"/>
      <c r="K16" s="44"/>
      <c r="L16" s="44"/>
      <c r="M16" s="44"/>
      <c r="N16" s="44"/>
      <c r="O16" s="44"/>
      <c r="P16" s="44"/>
      <c r="Q16" s="44"/>
      <c r="R16" s="44"/>
    </row>
    <row r="17" spans="2:18" s="128" customFormat="1" ht="9" customHeight="1">
      <c r="B17" s="151"/>
      <c r="C17" s="152"/>
      <c r="D17" s="152"/>
      <c r="E17" s="44"/>
      <c r="F17" s="153"/>
      <c r="G17" s="153"/>
      <c r="H17" s="44"/>
      <c r="I17"/>
      <c r="J17" s="154"/>
      <c r="K17" s="44"/>
      <c r="L17" s="44"/>
      <c r="M17" s="44"/>
      <c r="N17" s="44"/>
      <c r="O17" s="44"/>
      <c r="P17" s="44"/>
      <c r="Q17" s="44"/>
      <c r="R17" s="44"/>
    </row>
    <row r="18" spans="2:19" s="128" customFormat="1" ht="19.5">
      <c r="B18" s="151"/>
      <c r="C18" s="155" t="s">
        <v>18</v>
      </c>
      <c r="D18" s="156" t="s">
        <v>19</v>
      </c>
      <c r="E18" s="44"/>
      <c r="F18" s="153"/>
      <c r="G18" s="153"/>
      <c r="H18" s="153"/>
      <c r="I18" s="43"/>
      <c r="J18" s="154"/>
      <c r="K18" s="44"/>
      <c r="L18" s="44"/>
      <c r="M18" s="44"/>
      <c r="N18" s="44"/>
      <c r="O18" s="44"/>
      <c r="P18" s="44"/>
      <c r="Q18" s="44"/>
      <c r="R18" s="44"/>
      <c r="S18" s="44"/>
    </row>
    <row r="19" spans="2:19" s="128" customFormat="1" ht="19.5">
      <c r="B19" s="151"/>
      <c r="C19"/>
      <c r="D19" s="155" t="s">
        <v>20</v>
      </c>
      <c r="E19" s="156" t="s">
        <v>21</v>
      </c>
      <c r="F19" s="153"/>
      <c r="G19" s="153"/>
      <c r="H19" s="153"/>
      <c r="I19" s="43">
        <f>'LI-07 (1)'!AA43</f>
        <v>17351.09</v>
      </c>
      <c r="J19" s="154"/>
      <c r="K19" s="44"/>
      <c r="L19" s="44"/>
      <c r="M19" s="44"/>
      <c r="N19" s="44"/>
      <c r="O19" s="44"/>
      <c r="P19" s="44"/>
      <c r="Q19" s="44"/>
      <c r="R19" s="44"/>
      <c r="S19" s="44"/>
    </row>
    <row r="20" spans="2:19" s="128" customFormat="1" ht="19.5">
      <c r="B20" s="151"/>
      <c r="C20"/>
      <c r="D20" s="155" t="s">
        <v>20</v>
      </c>
      <c r="E20" s="156" t="s">
        <v>22</v>
      </c>
      <c r="F20" s="153"/>
      <c r="G20" s="153"/>
      <c r="H20" s="153"/>
      <c r="I20" s="43">
        <f>'LI-EDERSA-07 (1)'!AA43</f>
        <v>21132.47</v>
      </c>
      <c r="J20" s="154"/>
      <c r="K20" s="44"/>
      <c r="L20" s="44"/>
      <c r="M20" s="44"/>
      <c r="N20" s="44"/>
      <c r="O20" s="44"/>
      <c r="P20" s="44"/>
      <c r="Q20" s="44"/>
      <c r="R20" s="44"/>
      <c r="S20" s="44"/>
    </row>
    <row r="21" spans="2:19" ht="13.5">
      <c r="B21" s="41"/>
      <c r="C21" s="157"/>
      <c r="D21" s="158"/>
      <c r="E21" s="9"/>
      <c r="F21" s="159"/>
      <c r="G21" s="159"/>
      <c r="H21" s="159"/>
      <c r="I21" s="160"/>
      <c r="J21" s="12"/>
      <c r="K21" s="9"/>
      <c r="L21" s="9"/>
      <c r="M21" s="9"/>
      <c r="N21" s="9"/>
      <c r="O21" s="9"/>
      <c r="P21" s="9"/>
      <c r="Q21" s="9"/>
      <c r="R21" s="9"/>
      <c r="S21" s="9"/>
    </row>
    <row r="22" spans="2:19" s="128" customFormat="1" ht="19.5">
      <c r="B22" s="151"/>
      <c r="C22" s="155" t="s">
        <v>23</v>
      </c>
      <c r="D22" s="156" t="s">
        <v>24</v>
      </c>
      <c r="E22" s="44"/>
      <c r="F22" s="153"/>
      <c r="G22" s="153"/>
      <c r="H22" s="153"/>
      <c r="I22" s="43"/>
      <c r="J22" s="154"/>
      <c r="K22" s="44"/>
      <c r="L22" s="44"/>
      <c r="M22" s="44"/>
      <c r="N22" s="44"/>
      <c r="O22" s="44"/>
      <c r="P22" s="44"/>
      <c r="Q22" s="44"/>
      <c r="R22" s="44"/>
      <c r="S22" s="44"/>
    </row>
    <row r="23" spans="2:19" ht="8.25" customHeight="1">
      <c r="B23" s="41"/>
      <c r="C23" s="157"/>
      <c r="D23" s="157"/>
      <c r="E23" s="9"/>
      <c r="F23" s="159"/>
      <c r="G23" s="159"/>
      <c r="H23" s="159"/>
      <c r="I23" s="161"/>
      <c r="J23" s="12"/>
      <c r="K23" s="9"/>
      <c r="L23" s="9"/>
      <c r="M23" s="9"/>
      <c r="N23" s="9"/>
      <c r="O23" s="9"/>
      <c r="P23" s="9"/>
      <c r="Q23" s="9"/>
      <c r="R23" s="9"/>
      <c r="S23" s="9"/>
    </row>
    <row r="24" spans="2:19" s="128" customFormat="1" ht="19.5">
      <c r="B24" s="151"/>
      <c r="C24" s="155"/>
      <c r="D24" s="155" t="s">
        <v>25</v>
      </c>
      <c r="E24" s="10" t="s">
        <v>26</v>
      </c>
      <c r="F24" s="153"/>
      <c r="G24" s="153"/>
      <c r="H24" s="153"/>
      <c r="I24" s="43"/>
      <c r="J24" s="154"/>
      <c r="K24" s="44"/>
      <c r="L24" s="44"/>
      <c r="M24" s="44"/>
      <c r="N24" s="44"/>
      <c r="O24" s="44"/>
      <c r="P24" s="44"/>
      <c r="Q24" s="44"/>
      <c r="R24" s="44"/>
      <c r="S24" s="44"/>
    </row>
    <row r="25" spans="2:19" s="128" customFormat="1" ht="19.5">
      <c r="B25" s="151"/>
      <c r="C25" s="155"/>
      <c r="D25" s="155"/>
      <c r="E25" s="155" t="s">
        <v>27</v>
      </c>
      <c r="F25" s="156" t="s">
        <v>21</v>
      </c>
      <c r="G25" s="153"/>
      <c r="H25" s="153"/>
      <c r="I25" s="43">
        <f>'TR-07 (1)'!AC45</f>
        <v>292.27</v>
      </c>
      <c r="J25" s="154"/>
      <c r="K25" s="44"/>
      <c r="L25" s="44"/>
      <c r="M25" s="44"/>
      <c r="N25" s="44"/>
      <c r="O25" s="44"/>
      <c r="P25" s="44"/>
      <c r="Q25" s="44"/>
      <c r="R25" s="44"/>
      <c r="S25" s="44"/>
    </row>
    <row r="26" spans="2:19" ht="13.5">
      <c r="B26" s="41"/>
      <c r="C26" s="157"/>
      <c r="D26" s="157"/>
      <c r="E26" s="9"/>
      <c r="F26" s="159"/>
      <c r="G26" s="159"/>
      <c r="H26" s="159"/>
      <c r="I26" s="161"/>
      <c r="J26" s="12"/>
      <c r="K26" s="9"/>
      <c r="L26" s="9"/>
      <c r="M26" s="9"/>
      <c r="N26" s="9"/>
      <c r="O26" s="9"/>
      <c r="P26" s="9"/>
      <c r="Q26" s="9"/>
      <c r="R26" s="9"/>
      <c r="S26" s="9"/>
    </row>
    <row r="27" spans="2:19" s="128" customFormat="1" ht="19.5">
      <c r="B27" s="151"/>
      <c r="C27" s="155"/>
      <c r="D27" s="155" t="s">
        <v>28</v>
      </c>
      <c r="E27" s="10" t="s">
        <v>29</v>
      </c>
      <c r="F27" s="153"/>
      <c r="G27" s="153"/>
      <c r="H27" s="153"/>
      <c r="I27" s="43"/>
      <c r="J27" s="154"/>
      <c r="K27" s="44"/>
      <c r="L27" s="44"/>
      <c r="M27" s="44"/>
      <c r="N27" s="44"/>
      <c r="O27" s="44"/>
      <c r="P27" s="44"/>
      <c r="Q27" s="44"/>
      <c r="R27" s="44"/>
      <c r="S27" s="44"/>
    </row>
    <row r="28" spans="2:19" s="128" customFormat="1" ht="19.5">
      <c r="B28" s="151"/>
      <c r="C28" s="155"/>
      <c r="D28" s="155"/>
      <c r="E28" s="155" t="s">
        <v>30</v>
      </c>
      <c r="F28" s="156" t="s">
        <v>21</v>
      </c>
      <c r="G28" s="153"/>
      <c r="H28" s="153"/>
      <c r="I28" s="43">
        <f>'SA-07 (1)'!V45</f>
        <v>55.67</v>
      </c>
      <c r="J28" s="154"/>
      <c r="K28" s="44"/>
      <c r="L28" s="44"/>
      <c r="M28" s="44"/>
      <c r="N28" s="44"/>
      <c r="O28" s="44"/>
      <c r="P28" s="44"/>
      <c r="Q28" s="44"/>
      <c r="R28" s="44"/>
      <c r="S28" s="44"/>
    </row>
    <row r="29" spans="2:19" s="128" customFormat="1" ht="19.5">
      <c r="B29" s="151"/>
      <c r="C29" s="155"/>
      <c r="D29" s="155"/>
      <c r="E29" s="155" t="s">
        <v>31</v>
      </c>
      <c r="F29" s="156" t="s">
        <v>22</v>
      </c>
      <c r="G29" s="153"/>
      <c r="H29" s="153"/>
      <c r="I29" s="43">
        <f>'SA-EDERSA-07 (1)'!V45</f>
        <v>249.219015</v>
      </c>
      <c r="J29" s="154"/>
      <c r="K29" s="44"/>
      <c r="L29" s="44"/>
      <c r="M29" s="44"/>
      <c r="N29" s="44"/>
      <c r="O29" s="44"/>
      <c r="P29" s="44"/>
      <c r="Q29" s="44"/>
      <c r="R29" s="44"/>
      <c r="S29" s="44"/>
    </row>
    <row r="30" spans="2:19" ht="13.5">
      <c r="B30" s="41"/>
      <c r="C30" s="157"/>
      <c r="D30" s="158"/>
      <c r="E30" s="9"/>
      <c r="F30" s="159"/>
      <c r="G30" s="159"/>
      <c r="H30" s="159"/>
      <c r="I30" s="160"/>
      <c r="J30" s="12"/>
      <c r="K30" s="9"/>
      <c r="L30" s="9"/>
      <c r="M30" s="9"/>
      <c r="N30" s="9"/>
      <c r="O30" s="9"/>
      <c r="P30" s="9"/>
      <c r="Q30" s="9"/>
      <c r="R30" s="9"/>
      <c r="S30" s="9"/>
    </row>
    <row r="31" spans="2:19" s="128" customFormat="1" ht="19.5">
      <c r="B31" s="151"/>
      <c r="C31" s="155" t="s">
        <v>32</v>
      </c>
      <c r="D31" s="156" t="s">
        <v>33</v>
      </c>
      <c r="E31" s="44"/>
      <c r="F31" s="153"/>
      <c r="G31" s="153"/>
      <c r="H31" s="153"/>
      <c r="I31" s="43">
        <f>'RE-07 (1)'!V43</f>
        <v>90.03</v>
      </c>
      <c r="J31" s="154"/>
      <c r="K31" s="44"/>
      <c r="L31" s="44"/>
      <c r="M31" s="44"/>
      <c r="N31" s="44"/>
      <c r="O31" s="44"/>
      <c r="P31" s="44"/>
      <c r="Q31" s="44"/>
      <c r="R31" s="44"/>
      <c r="S31" s="44"/>
    </row>
    <row r="32" spans="2:19" s="128" customFormat="1" ht="19.5">
      <c r="B32" s="151"/>
      <c r="C32" s="155"/>
      <c r="D32" s="156"/>
      <c r="E32" s="44"/>
      <c r="F32" s="153"/>
      <c r="G32" s="153"/>
      <c r="H32" s="153"/>
      <c r="I32" s="43"/>
      <c r="J32" s="154"/>
      <c r="K32" s="44"/>
      <c r="L32" s="44"/>
      <c r="M32" s="44"/>
      <c r="N32" s="44"/>
      <c r="O32" s="44"/>
      <c r="P32" s="44"/>
      <c r="Q32" s="44"/>
      <c r="R32" s="44"/>
      <c r="S32" s="44"/>
    </row>
    <row r="33" spans="2:19" s="128" customFormat="1" ht="19.5">
      <c r="B33" s="151"/>
      <c r="C33" s="155" t="s">
        <v>34</v>
      </c>
      <c r="D33" s="10" t="s">
        <v>35</v>
      </c>
      <c r="E33" s="153"/>
      <c r="F33"/>
      <c r="G33" s="153"/>
      <c r="H33" s="153"/>
      <c r="I33" s="43"/>
      <c r="J33" s="154"/>
      <c r="K33" s="44"/>
      <c r="L33" s="44"/>
      <c r="M33" s="44"/>
      <c r="N33" s="44"/>
      <c r="O33" s="44"/>
      <c r="P33" s="44"/>
      <c r="Q33" s="44"/>
      <c r="R33" s="44"/>
      <c r="S33" s="44"/>
    </row>
    <row r="34" spans="2:19" s="128" customFormat="1" ht="19.5">
      <c r="B34" s="151"/>
      <c r="C34" s="155"/>
      <c r="D34" s="155" t="s">
        <v>36</v>
      </c>
      <c r="E34" s="156" t="s">
        <v>22</v>
      </c>
      <c r="F34"/>
      <c r="G34" s="153"/>
      <c r="H34" s="153"/>
      <c r="I34" s="43">
        <f>'SUP-EDERSA'!I57</f>
        <v>5345.42225375</v>
      </c>
      <c r="J34" s="154"/>
      <c r="K34" s="44"/>
      <c r="L34" s="44"/>
      <c r="M34" s="44"/>
      <c r="N34" s="44"/>
      <c r="O34" s="44"/>
      <c r="P34" s="44"/>
      <c r="Q34" s="44"/>
      <c r="R34" s="44"/>
      <c r="S34" s="44"/>
    </row>
    <row r="35" spans="2:19" s="128" customFormat="1" ht="20.25" thickBot="1">
      <c r="B35" s="151"/>
      <c r="C35" s="152"/>
      <c r="D35" s="152"/>
      <c r="E35" s="44"/>
      <c r="F35" s="153"/>
      <c r="G35" s="153"/>
      <c r="H35" s="153"/>
      <c r="I35" s="44"/>
      <c r="J35" s="154"/>
      <c r="K35" s="44"/>
      <c r="L35" s="44"/>
      <c r="M35" s="44"/>
      <c r="N35" s="44"/>
      <c r="O35" s="44"/>
      <c r="P35" s="44"/>
      <c r="Q35" s="44"/>
      <c r="R35" s="44"/>
      <c r="S35" s="44"/>
    </row>
    <row r="36" spans="2:19" s="128" customFormat="1" ht="20.25" thickBot="1" thickTop="1">
      <c r="B36" s="151"/>
      <c r="C36" s="155"/>
      <c r="D36" s="155"/>
      <c r="F36" s="162" t="s">
        <v>37</v>
      </c>
      <c r="G36" s="163">
        <f>SUM(I18:I34)</f>
        <v>44516.17126875</v>
      </c>
      <c r="H36" s="242"/>
      <c r="J36" s="154"/>
      <c r="K36" s="44"/>
      <c r="L36" s="44"/>
      <c r="M36" s="44"/>
      <c r="N36" s="44"/>
      <c r="O36" s="44"/>
      <c r="P36" s="44"/>
      <c r="Q36" s="44"/>
      <c r="R36" s="44"/>
      <c r="S36" s="44"/>
    </row>
    <row r="37" spans="2:19" s="128" customFormat="1" ht="8.25" customHeight="1" thickTop="1">
      <c r="B37" s="151"/>
      <c r="C37" s="155"/>
      <c r="D37" s="155"/>
      <c r="F37" s="653"/>
      <c r="G37" s="242"/>
      <c r="H37" s="242"/>
      <c r="J37" s="154"/>
      <c r="K37" s="44"/>
      <c r="L37" s="44"/>
      <c r="M37" s="44"/>
      <c r="N37" s="44"/>
      <c r="O37" s="44"/>
      <c r="P37" s="44"/>
      <c r="Q37" s="44"/>
      <c r="R37" s="44"/>
      <c r="S37" s="44"/>
    </row>
    <row r="38" spans="2:19" s="128" customFormat="1" ht="18.75">
      <c r="B38" s="151"/>
      <c r="C38" s="654" t="s">
        <v>267</v>
      </c>
      <c r="D38" s="155"/>
      <c r="F38" s="653"/>
      <c r="G38" s="242"/>
      <c r="H38" s="242"/>
      <c r="J38" s="154"/>
      <c r="K38" s="44"/>
      <c r="L38" s="44"/>
      <c r="M38" s="44"/>
      <c r="N38" s="44"/>
      <c r="O38" s="44"/>
      <c r="P38" s="44"/>
      <c r="Q38" s="44"/>
      <c r="R38" s="44"/>
      <c r="S38" s="44"/>
    </row>
    <row r="39" spans="2:19" s="144" customFormat="1" ht="6.75" customHeight="1" thickBot="1">
      <c r="B39" s="164"/>
      <c r="C39" s="165"/>
      <c r="D39" s="165"/>
      <c r="E39" s="166"/>
      <c r="F39" s="166"/>
      <c r="G39" s="166"/>
      <c r="H39" s="166"/>
      <c r="I39" s="166"/>
      <c r="J39" s="167"/>
      <c r="K39" s="145"/>
      <c r="L39" s="145"/>
      <c r="M39" s="79"/>
      <c r="N39" s="168"/>
      <c r="O39" s="168"/>
      <c r="P39" s="169"/>
      <c r="Q39" s="170"/>
      <c r="R39" s="145"/>
      <c r="S39" s="145"/>
    </row>
    <row r="40" spans="4:19" ht="13.5" thickTop="1">
      <c r="D40" s="9"/>
      <c r="F40" s="9"/>
      <c r="G40" s="9"/>
      <c r="H40" s="9"/>
      <c r="I40" s="9"/>
      <c r="J40" s="9"/>
      <c r="K40" s="9"/>
      <c r="L40" s="9"/>
      <c r="M40" s="28"/>
      <c r="N40" s="171"/>
      <c r="O40" s="171"/>
      <c r="P40" s="9"/>
      <c r="Q40" s="33"/>
      <c r="R40" s="9"/>
      <c r="S40" s="9"/>
    </row>
    <row r="41" spans="4:19" ht="12.75">
      <c r="D41" s="9"/>
      <c r="F41" s="9"/>
      <c r="G41" s="9"/>
      <c r="H41" s="9"/>
      <c r="I41" s="9"/>
      <c r="J41" s="9"/>
      <c r="K41" s="9"/>
      <c r="L41" s="9"/>
      <c r="M41" s="9"/>
      <c r="N41" s="172"/>
      <c r="O41" s="172"/>
      <c r="P41" s="173"/>
      <c r="Q41" s="33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172"/>
      <c r="O42" s="172"/>
      <c r="P42" s="173"/>
      <c r="Q42" s="33"/>
      <c r="R42" s="9"/>
      <c r="S42" s="9"/>
    </row>
    <row r="43" spans="4:19" ht="12.75">
      <c r="D43" s="9"/>
      <c r="E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P44" s="9"/>
      <c r="Q44" s="9"/>
      <c r="R44" s="9"/>
      <c r="S44" s="9"/>
    </row>
    <row r="45" spans="4:19" ht="12.75">
      <c r="D45" s="9"/>
      <c r="E45" s="9"/>
      <c r="P45" s="9"/>
      <c r="Q45" s="9"/>
      <c r="R45" s="9"/>
      <c r="S45" s="9"/>
    </row>
    <row r="46" spans="4:19" ht="12.75">
      <c r="D46" s="9"/>
      <c r="E46" s="9"/>
      <c r="P46" s="9"/>
      <c r="Q46" s="9"/>
      <c r="R46" s="9"/>
      <c r="S46" s="9"/>
    </row>
    <row r="47" spans="4:19" ht="12.75">
      <c r="D47" s="9"/>
      <c r="E47" s="9"/>
      <c r="P47" s="9"/>
      <c r="Q47" s="9"/>
      <c r="R47" s="9"/>
      <c r="S47" s="9"/>
    </row>
    <row r="48" spans="4:19" ht="12.75">
      <c r="D48" s="9"/>
      <c r="E48" s="9"/>
      <c r="P48" s="9"/>
      <c r="Q48" s="9"/>
      <c r="R48" s="9"/>
      <c r="S48" s="9"/>
    </row>
    <row r="49" spans="16:19" ht="12.75">
      <c r="P49" s="9"/>
      <c r="Q49" s="9"/>
      <c r="R49" s="9"/>
      <c r="S49" s="9"/>
    </row>
    <row r="50" spans="16:19" ht="12.75">
      <c r="P50" s="9"/>
      <c r="Q50" s="9"/>
      <c r="R50" s="9"/>
      <c r="S50" s="9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75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tabSelected="1" zoomScale="55" zoomScaleNormal="55" workbookViewId="0" topLeftCell="A1">
      <selection activeCell="B2" sqref="B2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9.42187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6" customFormat="1" ht="39.75" customHeight="1">
      <c r="P1" s="384"/>
    </row>
    <row r="2" spans="1:16" s="116" customFormat="1" ht="26.25">
      <c r="A2" s="179"/>
      <c r="B2" s="683" t="s">
        <v>287</v>
      </c>
      <c r="C2" s="683"/>
      <c r="D2" s="68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4" s="119" customFormat="1" ht="12.75">
      <c r="A3" s="693" t="s">
        <v>227</v>
      </c>
      <c r="B3" s="11"/>
      <c r="C3" s="11"/>
      <c r="D3" s="11"/>
    </row>
    <row r="4" spans="1:4" s="119" customFormat="1" ht="11.25">
      <c r="A4" s="693" t="s">
        <v>226</v>
      </c>
      <c r="B4" s="219"/>
      <c r="C4" s="219"/>
      <c r="D4" s="219"/>
    </row>
    <row r="5" spans="1:4" s="11" customFormat="1" ht="13.5" thickBot="1">
      <c r="A5" s="693"/>
      <c r="B5" s="219"/>
      <c r="C5" s="219"/>
      <c r="D5" s="219"/>
    </row>
    <row r="6" spans="1:16" s="11" customFormat="1" ht="13.5" thickTop="1">
      <c r="A6" s="9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s="121" customFormat="1" ht="20.25">
      <c r="A7" s="42"/>
      <c r="B7" s="120"/>
      <c r="C7" s="42"/>
      <c r="D7" s="21" t="s">
        <v>38</v>
      </c>
      <c r="G7" s="42"/>
      <c r="H7" s="42"/>
      <c r="I7" s="42"/>
      <c r="J7" s="42"/>
      <c r="K7" s="42"/>
      <c r="L7" s="42"/>
      <c r="M7" s="42"/>
      <c r="N7" s="42"/>
      <c r="O7" s="42"/>
      <c r="P7" s="122"/>
    </row>
    <row r="8" spans="1:16" ht="15">
      <c r="A8" s="1"/>
      <c r="B8" s="275"/>
      <c r="C8" s="69"/>
      <c r="D8" s="385"/>
      <c r="E8" s="69"/>
      <c r="F8" s="67"/>
      <c r="G8" s="69"/>
      <c r="H8" s="69"/>
      <c r="I8" s="69"/>
      <c r="J8" s="69"/>
      <c r="K8" s="69"/>
      <c r="L8" s="69"/>
      <c r="M8" s="69"/>
      <c r="N8" s="69"/>
      <c r="O8" s="69"/>
      <c r="P8" s="279"/>
    </row>
    <row r="9" spans="1:19" s="121" customFormat="1" ht="20.25">
      <c r="A9" s="42"/>
      <c r="B9" s="386"/>
      <c r="C9"/>
      <c r="D9" s="22" t="s">
        <v>146</v>
      </c>
      <c r="E9" s="387"/>
      <c r="F9" s="387"/>
      <c r="G9" s="387"/>
      <c r="H9" s="388"/>
      <c r="I9" s="387"/>
      <c r="J9" s="387"/>
      <c r="K9" s="387"/>
      <c r="L9" s="387"/>
      <c r="M9" s="387"/>
      <c r="N9" s="387"/>
      <c r="O9" s="387"/>
      <c r="P9" s="389"/>
      <c r="Q9" s="237"/>
      <c r="R9" s="181"/>
      <c r="S9" s="181"/>
    </row>
    <row r="10" spans="1:19" s="11" customFormat="1" ht="12.75">
      <c r="A10" s="9"/>
      <c r="B10" s="41"/>
      <c r="C10" s="9"/>
      <c r="D10" s="63"/>
      <c r="E10" s="28"/>
      <c r="F10" s="28"/>
      <c r="G10" s="28"/>
      <c r="H10" s="178"/>
      <c r="I10" s="28"/>
      <c r="J10" s="28"/>
      <c r="K10" s="28"/>
      <c r="L10" s="28"/>
      <c r="M10" s="28"/>
      <c r="N10" s="28"/>
      <c r="O10" s="28"/>
      <c r="P10" s="35"/>
      <c r="Q10" s="28"/>
      <c r="R10" s="28"/>
      <c r="S10" s="180"/>
    </row>
    <row r="11" spans="1:19" s="128" customFormat="1" ht="19.5">
      <c r="A11" s="44"/>
      <c r="B11" s="240" t="str">
        <f>+'TOT-0709'!B14</f>
        <v>Desde el 01 al 31 de julio de 2009</v>
      </c>
      <c r="C11" s="150"/>
      <c r="D11" s="191"/>
      <c r="E11" s="191"/>
      <c r="F11" s="191"/>
      <c r="G11" s="191"/>
      <c r="H11" s="191"/>
      <c r="I11" s="150"/>
      <c r="J11" s="191"/>
      <c r="K11" s="191"/>
      <c r="L11" s="191"/>
      <c r="M11" s="191"/>
      <c r="N11" s="191"/>
      <c r="O11" s="191"/>
      <c r="P11" s="390"/>
      <c r="Q11" s="391"/>
      <c r="R11" s="391"/>
      <c r="S11" s="391"/>
    </row>
    <row r="12" spans="1:19" ht="15">
      <c r="A12" s="1"/>
      <c r="B12" s="275"/>
      <c r="C12" s="69"/>
      <c r="D12" s="65"/>
      <c r="E12" s="65"/>
      <c r="F12" s="65"/>
      <c r="G12" s="65"/>
      <c r="H12" s="392"/>
      <c r="I12" s="69"/>
      <c r="J12" s="65"/>
      <c r="K12" s="65"/>
      <c r="L12" s="65"/>
      <c r="M12" s="65"/>
      <c r="N12" s="65"/>
      <c r="O12" s="65"/>
      <c r="P12" s="66"/>
      <c r="Q12" s="6"/>
      <c r="R12" s="6"/>
      <c r="S12" s="393"/>
    </row>
    <row r="13" spans="1:19" ht="18" customHeight="1">
      <c r="A13" s="1"/>
      <c r="B13" s="275"/>
      <c r="C13" s="69"/>
      <c r="D13" s="65"/>
      <c r="E13" s="65"/>
      <c r="F13" s="65"/>
      <c r="G13" s="65"/>
      <c r="H13" s="76"/>
      <c r="I13" s="76"/>
      <c r="J13" s="65"/>
      <c r="K13" s="65"/>
      <c r="P13" s="66"/>
      <c r="Q13" s="6"/>
      <c r="R13" s="6"/>
      <c r="S13" s="393"/>
    </row>
    <row r="14" spans="1:19" ht="18" customHeight="1">
      <c r="A14" s="1"/>
      <c r="B14" s="275"/>
      <c r="C14" s="69"/>
      <c r="D14" s="64"/>
      <c r="E14" s="394"/>
      <c r="F14" s="65"/>
      <c r="G14" s="65"/>
      <c r="H14" s="76"/>
      <c r="I14" s="76"/>
      <c r="J14" s="65"/>
      <c r="K14" s="65"/>
      <c r="P14" s="66"/>
      <c r="Q14" s="6"/>
      <c r="R14" s="6"/>
      <c r="S14" s="393"/>
    </row>
    <row r="15" spans="1:16" ht="16.5" thickBot="1">
      <c r="A15" s="1"/>
      <c r="B15" s="275"/>
      <c r="C15" s="395" t="s">
        <v>92</v>
      </c>
      <c r="D15" s="67"/>
      <c r="E15" s="276"/>
      <c r="F15" s="277"/>
      <c r="G15" s="69"/>
      <c r="H15" s="69"/>
      <c r="I15" s="69"/>
      <c r="J15" s="68"/>
      <c r="K15" s="68"/>
      <c r="L15" s="278"/>
      <c r="M15" s="69"/>
      <c r="N15" s="69"/>
      <c r="O15" s="69"/>
      <c r="P15" s="279"/>
    </row>
    <row r="16" spans="1:16" ht="16.5" thickBot="1">
      <c r="A16" s="1"/>
      <c r="B16" s="275"/>
      <c r="C16" s="280"/>
      <c r="D16" s="67"/>
      <c r="E16" s="276"/>
      <c r="F16" s="277"/>
      <c r="G16" s="69"/>
      <c r="H16" s="69"/>
      <c r="L16" s="396" t="s">
        <v>82</v>
      </c>
      <c r="M16" s="397">
        <v>3.243</v>
      </c>
      <c r="N16" s="398"/>
      <c r="O16" s="69"/>
      <c r="P16" s="279"/>
    </row>
    <row r="17" spans="1:16" ht="15.75">
      <c r="A17" s="1"/>
      <c r="B17" s="275"/>
      <c r="C17" s="280"/>
      <c r="D17" s="68" t="s">
        <v>93</v>
      </c>
      <c r="E17" s="281">
        <f>MID(B11,16,2)*24</f>
        <v>744</v>
      </c>
      <c r="F17" s="69" t="s">
        <v>94</v>
      </c>
      <c r="G17" s="65"/>
      <c r="H17" s="399"/>
      <c r="I17" s="400" t="s">
        <v>95</v>
      </c>
      <c r="J17" s="401">
        <v>69.722</v>
      </c>
      <c r="K17" s="379"/>
      <c r="L17" s="402" t="s">
        <v>83</v>
      </c>
      <c r="M17" s="403">
        <v>2.433</v>
      </c>
      <c r="N17" s="404"/>
      <c r="O17" s="69"/>
      <c r="P17" s="279"/>
    </row>
    <row r="18" spans="1:16" ht="16.5" thickBot="1">
      <c r="A18" s="1"/>
      <c r="B18" s="275"/>
      <c r="C18" s="280"/>
      <c r="D18" s="68" t="s">
        <v>96</v>
      </c>
      <c r="E18" s="283">
        <v>0.025</v>
      </c>
      <c r="F18" s="65"/>
      <c r="G18" s="65"/>
      <c r="H18" s="405"/>
      <c r="I18" s="406" t="s">
        <v>97</v>
      </c>
      <c r="J18" s="407">
        <v>0.243</v>
      </c>
      <c r="K18" s="408"/>
      <c r="L18" s="409" t="s">
        <v>84</v>
      </c>
      <c r="M18" s="410">
        <v>2.433</v>
      </c>
      <c r="N18" s="411"/>
      <c r="O18" s="69"/>
      <c r="P18" s="279"/>
    </row>
    <row r="19" spans="1:16" ht="15.75">
      <c r="A19" s="1"/>
      <c r="B19" s="275"/>
      <c r="C19" s="280"/>
      <c r="D19" s="68"/>
      <c r="E19" s="283"/>
      <c r="F19" s="65"/>
      <c r="G19" s="65"/>
      <c r="H19" s="65"/>
      <c r="I19" s="65"/>
      <c r="L19" s="278"/>
      <c r="M19" s="69"/>
      <c r="N19" s="69"/>
      <c r="O19" s="69"/>
      <c r="P19" s="279"/>
    </row>
    <row r="20" spans="1:16" ht="15">
      <c r="A20" s="1"/>
      <c r="B20" s="275"/>
      <c r="C20" s="64" t="s">
        <v>98</v>
      </c>
      <c r="D20" s="71"/>
      <c r="E20" s="276"/>
      <c r="F20" s="277"/>
      <c r="G20" s="69"/>
      <c r="H20" s="69"/>
      <c r="I20" s="69"/>
      <c r="J20" s="68"/>
      <c r="K20" s="68"/>
      <c r="L20" s="278"/>
      <c r="M20" s="69"/>
      <c r="N20" s="69"/>
      <c r="O20" s="69"/>
      <c r="P20" s="279"/>
    </row>
    <row r="21" spans="1:16" ht="15">
      <c r="A21" s="1"/>
      <c r="B21" s="275"/>
      <c r="C21" s="69"/>
      <c r="D21" s="69"/>
      <c r="E21" s="69"/>
      <c r="F21" s="69"/>
      <c r="G21" s="69"/>
      <c r="H21" s="284"/>
      <c r="I21" s="69"/>
      <c r="J21" s="69"/>
      <c r="K21" s="69"/>
      <c r="L21" s="69"/>
      <c r="M21" s="69"/>
      <c r="N21" s="69"/>
      <c r="O21" s="69"/>
      <c r="P21" s="279"/>
    </row>
    <row r="22" spans="1:16" ht="15">
      <c r="A22" s="1"/>
      <c r="B22" s="275"/>
      <c r="C22" s="69"/>
      <c r="D22" s="68" t="s">
        <v>99</v>
      </c>
      <c r="E22" s="69"/>
      <c r="F22" s="284" t="s">
        <v>19</v>
      </c>
      <c r="G22" s="69"/>
      <c r="H22" s="67"/>
      <c r="I22" s="412">
        <f>'LI-EDERSA-07 (1)'!AA43</f>
        <v>21132.47</v>
      </c>
      <c r="J22" s="69"/>
      <c r="K22" s="69"/>
      <c r="L22" s="413" t="s">
        <v>100</v>
      </c>
      <c r="M22" s="69"/>
      <c r="N22" s="69"/>
      <c r="O22" s="69"/>
      <c r="P22" s="279"/>
    </row>
    <row r="23" spans="1:16" ht="15">
      <c r="A23" s="1"/>
      <c r="B23" s="275"/>
      <c r="C23" s="69"/>
      <c r="D23" s="69"/>
      <c r="E23" s="69"/>
      <c r="F23" s="284" t="s">
        <v>101</v>
      </c>
      <c r="G23" s="69"/>
      <c r="H23" s="67"/>
      <c r="I23" s="412">
        <v>0</v>
      </c>
      <c r="J23" s="69"/>
      <c r="K23" s="69"/>
      <c r="L23" s="413" t="s">
        <v>102</v>
      </c>
      <c r="M23" s="69"/>
      <c r="N23" s="69"/>
      <c r="O23" s="69"/>
      <c r="P23" s="279"/>
    </row>
    <row r="24" spans="1:16" ht="15">
      <c r="A24" s="1"/>
      <c r="B24" s="275"/>
      <c r="C24" s="69"/>
      <c r="D24" s="69"/>
      <c r="E24" s="69"/>
      <c r="F24" s="284" t="s">
        <v>3</v>
      </c>
      <c r="G24" s="69"/>
      <c r="H24" s="67"/>
      <c r="I24" s="414">
        <f>'TOT-0709'!I29</f>
        <v>249.219015</v>
      </c>
      <c r="J24" s="69"/>
      <c r="K24" s="69"/>
      <c r="L24" s="413" t="s">
        <v>103</v>
      </c>
      <c r="M24" s="69"/>
      <c r="N24" s="69"/>
      <c r="O24" s="69"/>
      <c r="P24" s="279"/>
    </row>
    <row r="25" spans="1:16" ht="15.75" thickBot="1">
      <c r="A25" s="1"/>
      <c r="B25" s="275"/>
      <c r="C25" s="69"/>
      <c r="D25" s="69"/>
      <c r="E25" s="69"/>
      <c r="F25" s="69"/>
      <c r="G25" s="69"/>
      <c r="H25" s="284"/>
      <c r="I25" s="69"/>
      <c r="J25" s="69"/>
      <c r="K25" s="69"/>
      <c r="L25" s="69"/>
      <c r="M25" s="69"/>
      <c r="N25" s="69"/>
      <c r="O25" s="69"/>
      <c r="P25" s="279"/>
    </row>
    <row r="26" spans="2:16" ht="20.25" thickBot="1" thickTop="1">
      <c r="B26" s="275"/>
      <c r="C26" s="75"/>
      <c r="H26" s="415" t="s">
        <v>104</v>
      </c>
      <c r="I26" s="163">
        <f>SUM(I22:I25)</f>
        <v>21381.689015</v>
      </c>
      <c r="L26" s="72"/>
      <c r="M26" s="72"/>
      <c r="N26" s="73"/>
      <c r="O26" s="74"/>
      <c r="P26" s="285"/>
    </row>
    <row r="27" spans="2:16" ht="15.75" thickTop="1">
      <c r="B27" s="275"/>
      <c r="C27" s="75"/>
      <c r="D27" s="71"/>
      <c r="E27" s="71"/>
      <c r="F27" s="77"/>
      <c r="G27" s="72"/>
      <c r="H27" s="72"/>
      <c r="I27" s="72"/>
      <c r="J27" s="72"/>
      <c r="K27" s="72"/>
      <c r="L27" s="72"/>
      <c r="M27" s="72"/>
      <c r="N27" s="73"/>
      <c r="O27" s="74"/>
      <c r="P27" s="285"/>
    </row>
    <row r="28" spans="2:16" ht="15">
      <c r="B28" s="275"/>
      <c r="C28" s="64" t="s">
        <v>105</v>
      </c>
      <c r="D28" s="71"/>
      <c r="E28" s="71"/>
      <c r="F28" s="77"/>
      <c r="G28" s="72"/>
      <c r="H28" s="72"/>
      <c r="I28" s="72"/>
      <c r="J28" s="72"/>
      <c r="K28" s="72"/>
      <c r="L28" s="72"/>
      <c r="M28" s="72"/>
      <c r="N28" s="73"/>
      <c r="O28" s="74"/>
      <c r="P28" s="285"/>
    </row>
    <row r="29" spans="2:16" ht="15">
      <c r="B29" s="275"/>
      <c r="C29" s="75"/>
      <c r="D29" s="71"/>
      <c r="E29" s="71"/>
      <c r="F29" s="77"/>
      <c r="G29" s="72"/>
      <c r="H29" s="72"/>
      <c r="I29" s="72"/>
      <c r="J29" s="72"/>
      <c r="K29" s="72"/>
      <c r="L29" s="72"/>
      <c r="M29" s="72"/>
      <c r="N29" s="73"/>
      <c r="O29" s="74"/>
      <c r="P29" s="285"/>
    </row>
    <row r="30" spans="2:16" ht="15.75">
      <c r="B30" s="275"/>
      <c r="C30" s="75"/>
      <c r="D30" s="416" t="s">
        <v>106</v>
      </c>
      <c r="E30" s="417" t="s">
        <v>15</v>
      </c>
      <c r="F30" s="418" t="s">
        <v>107</v>
      </c>
      <c r="G30" s="419"/>
      <c r="H30" s="660" t="s">
        <v>144</v>
      </c>
      <c r="I30" s="659" t="s">
        <v>143</v>
      </c>
      <c r="J30" s="655"/>
      <c r="K30" s="442"/>
      <c r="L30" s="420" t="s">
        <v>2</v>
      </c>
      <c r="N30" s="73"/>
      <c r="O30" s="74"/>
      <c r="P30" s="285"/>
    </row>
    <row r="31" spans="2:16" ht="15.75">
      <c r="B31" s="275"/>
      <c r="C31" s="75"/>
      <c r="D31" s="421" t="s">
        <v>4</v>
      </c>
      <c r="E31" s="422">
        <v>132</v>
      </c>
      <c r="F31" s="423">
        <v>31</v>
      </c>
      <c r="G31" s="424"/>
      <c r="H31" s="425">
        <f>F31*$J$17*$E$17/100</f>
        <v>16080.682079999997</v>
      </c>
      <c r="I31" s="426">
        <v>0</v>
      </c>
      <c r="J31" s="657" t="s">
        <v>228</v>
      </c>
      <c r="K31" s="428"/>
      <c r="L31" s="429">
        <f>SUM(H31:K31)</f>
        <v>16080.682079999997</v>
      </c>
      <c r="M31" s="72"/>
      <c r="N31" s="73"/>
      <c r="O31" s="74"/>
      <c r="P31" s="285"/>
    </row>
    <row r="32" spans="2:16" ht="15.75">
      <c r="B32" s="275"/>
      <c r="C32" s="75"/>
      <c r="D32" s="449" t="s">
        <v>5</v>
      </c>
      <c r="E32" s="71">
        <v>132</v>
      </c>
      <c r="F32" s="77">
        <v>110.3</v>
      </c>
      <c r="G32" s="72"/>
      <c r="H32" s="290">
        <f>F32*$J$17*$E$17/100</f>
        <v>57216.10430399999</v>
      </c>
      <c r="I32" s="466">
        <v>7203</v>
      </c>
      <c r="J32" s="656" t="s">
        <v>228</v>
      </c>
      <c r="K32" s="282"/>
      <c r="L32" s="450">
        <f>SUM(H32:K32)</f>
        <v>64419.10430399999</v>
      </c>
      <c r="M32" s="72"/>
      <c r="N32" s="73"/>
      <c r="O32" s="74"/>
      <c r="P32" s="285"/>
    </row>
    <row r="33" spans="2:16" ht="15.75">
      <c r="B33" s="275"/>
      <c r="C33" s="75"/>
      <c r="D33" s="449" t="s">
        <v>6</v>
      </c>
      <c r="E33" s="71">
        <v>132</v>
      </c>
      <c r="F33" s="77">
        <v>185.6</v>
      </c>
      <c r="G33" s="72"/>
      <c r="H33" s="290">
        <f>F33*$J$17*$E$17/100</f>
        <v>96276.59980799998</v>
      </c>
      <c r="I33" s="466">
        <v>5933</v>
      </c>
      <c r="J33" s="656" t="s">
        <v>228</v>
      </c>
      <c r="K33" s="282"/>
      <c r="L33" s="450">
        <f>SUM(H33:K33)</f>
        <v>102209.59980799998</v>
      </c>
      <c r="M33" s="72"/>
      <c r="N33" s="73"/>
      <c r="O33" s="74"/>
      <c r="P33" s="285"/>
    </row>
    <row r="34" spans="2:16" ht="15.75">
      <c r="B34" s="275"/>
      <c r="C34" s="75"/>
      <c r="D34" s="430" t="s">
        <v>7</v>
      </c>
      <c r="E34" s="431">
        <v>132</v>
      </c>
      <c r="F34" s="432">
        <v>7</v>
      </c>
      <c r="G34" s="433"/>
      <c r="H34" s="434">
        <f>F34*$J$17*$E$17/100</f>
        <v>3631.12176</v>
      </c>
      <c r="I34" s="435">
        <v>3</v>
      </c>
      <c r="J34" s="658" t="s">
        <v>228</v>
      </c>
      <c r="K34" s="437"/>
      <c r="L34" s="438">
        <f>SUM(H34:K34)</f>
        <v>3634.12176</v>
      </c>
      <c r="M34" s="72"/>
      <c r="N34" s="73"/>
      <c r="O34" s="74"/>
      <c r="P34" s="285"/>
    </row>
    <row r="35" spans="2:16" ht="15">
      <c r="B35" s="275"/>
      <c r="C35" s="75"/>
      <c r="D35" s="71"/>
      <c r="E35" s="71"/>
      <c r="F35" s="286"/>
      <c r="G35" s="72"/>
      <c r="I35" s="78"/>
      <c r="J35" s="282"/>
      <c r="K35" s="282"/>
      <c r="L35" s="439">
        <f>SUM(L31:L34)</f>
        <v>186343.50795199999</v>
      </c>
      <c r="M35" s="72"/>
      <c r="N35" s="73"/>
      <c r="O35" s="74"/>
      <c r="P35" s="285"/>
    </row>
    <row r="36" spans="2:16" ht="15">
      <c r="B36" s="275"/>
      <c r="C36" s="75"/>
      <c r="D36" s="71"/>
      <c r="E36" s="71"/>
      <c r="F36" s="286"/>
      <c r="G36" s="72"/>
      <c r="I36" s="78"/>
      <c r="J36" s="282"/>
      <c r="K36" s="282"/>
      <c r="L36" s="287"/>
      <c r="M36" s="72"/>
      <c r="N36" s="73"/>
      <c r="O36" s="74"/>
      <c r="P36" s="285"/>
    </row>
    <row r="37" spans="2:16" ht="15.75">
      <c r="B37" s="275"/>
      <c r="C37" s="75"/>
      <c r="D37" s="416" t="s">
        <v>108</v>
      </c>
      <c r="E37" s="417" t="s">
        <v>109</v>
      </c>
      <c r="F37" s="467" t="s">
        <v>119</v>
      </c>
      <c r="G37" s="468"/>
      <c r="H37" s="661" t="s">
        <v>145</v>
      </c>
      <c r="J37" s="440" t="s">
        <v>110</v>
      </c>
      <c r="K37" s="441"/>
      <c r="L37" s="442" t="s">
        <v>48</v>
      </c>
      <c r="M37" s="417" t="s">
        <v>15</v>
      </c>
      <c r="N37" s="443" t="s">
        <v>111</v>
      </c>
      <c r="O37" s="444"/>
      <c r="P37" s="285"/>
    </row>
    <row r="38" spans="2:16" ht="15">
      <c r="B38" s="275"/>
      <c r="C38" s="75"/>
      <c r="D38" s="421" t="s">
        <v>9</v>
      </c>
      <c r="E38" s="422" t="s">
        <v>120</v>
      </c>
      <c r="F38" s="469">
        <v>30</v>
      </c>
      <c r="G38" s="470"/>
      <c r="H38" s="429">
        <f>+F38*$J$18*$E$17</f>
        <v>5423.76</v>
      </c>
      <c r="J38" s="445" t="s">
        <v>121</v>
      </c>
      <c r="K38" s="427"/>
      <c r="L38" s="424" t="s">
        <v>122</v>
      </c>
      <c r="M38" s="446">
        <v>132</v>
      </c>
      <c r="N38" s="447">
        <f>M16*E17</f>
        <v>2412.792</v>
      </c>
      <c r="O38" s="448"/>
      <c r="P38" s="285"/>
    </row>
    <row r="39" spans="2:16" ht="15">
      <c r="B39" s="275"/>
      <c r="C39" s="75"/>
      <c r="D39" s="449" t="s">
        <v>12</v>
      </c>
      <c r="E39" s="71" t="s">
        <v>123</v>
      </c>
      <c r="F39" s="471">
        <v>88</v>
      </c>
      <c r="G39" s="472"/>
      <c r="H39" s="450">
        <f>+F39*$J$18*$E$17</f>
        <v>15909.696</v>
      </c>
      <c r="J39" s="451" t="s">
        <v>10</v>
      </c>
      <c r="K39" s="452"/>
      <c r="L39" s="72" t="s">
        <v>124</v>
      </c>
      <c r="M39" s="73">
        <v>33</v>
      </c>
      <c r="N39" s="453">
        <f>+M17*E17*2</f>
        <v>3620.3039999999996</v>
      </c>
      <c r="O39" s="454"/>
      <c r="P39" s="285"/>
    </row>
    <row r="40" spans="2:16" ht="15">
      <c r="B40" s="275"/>
      <c r="C40" s="75"/>
      <c r="D40" s="449" t="s">
        <v>10</v>
      </c>
      <c r="E40" s="71" t="s">
        <v>8</v>
      </c>
      <c r="F40" s="471">
        <v>7.5</v>
      </c>
      <c r="G40" s="472"/>
      <c r="H40" s="450">
        <f>+F40*$J$18*$E$17</f>
        <v>1355.94</v>
      </c>
      <c r="J40" s="451" t="s">
        <v>11</v>
      </c>
      <c r="K40" s="452"/>
      <c r="L40" s="72" t="s">
        <v>125</v>
      </c>
      <c r="M40" s="73">
        <v>33</v>
      </c>
      <c r="N40" s="453">
        <f>3*M17*E17</f>
        <v>5430.455999999999</v>
      </c>
      <c r="O40" s="454"/>
      <c r="P40" s="285"/>
    </row>
    <row r="41" spans="2:16" ht="15">
      <c r="B41" s="275"/>
      <c r="C41" s="75"/>
      <c r="D41" s="449" t="s">
        <v>11</v>
      </c>
      <c r="E41" s="71" t="s">
        <v>8</v>
      </c>
      <c r="F41" s="471">
        <v>15</v>
      </c>
      <c r="G41" s="472"/>
      <c r="H41" s="450">
        <f>+F41*$J$18*$E$17</f>
        <v>2711.88</v>
      </c>
      <c r="J41" s="451" t="s">
        <v>13</v>
      </c>
      <c r="K41" s="452"/>
      <c r="L41" s="72" t="s">
        <v>126</v>
      </c>
      <c r="M41" s="73">
        <v>13.2</v>
      </c>
      <c r="N41" s="453">
        <f>+M18*E17*6</f>
        <v>10860.911999999998</v>
      </c>
      <c r="O41" s="454"/>
      <c r="P41" s="285"/>
    </row>
    <row r="42" spans="2:16" ht="15">
      <c r="B42" s="275"/>
      <c r="C42" s="75"/>
      <c r="D42" s="430" t="s">
        <v>13</v>
      </c>
      <c r="E42" s="431" t="s">
        <v>127</v>
      </c>
      <c r="F42" s="473">
        <v>30</v>
      </c>
      <c r="G42" s="474"/>
      <c r="H42" s="450">
        <f>+F42*$J$18*$E$17</f>
        <v>5423.76</v>
      </c>
      <c r="J42" s="451" t="s">
        <v>9</v>
      </c>
      <c r="K42" s="452"/>
      <c r="L42" s="72" t="s">
        <v>128</v>
      </c>
      <c r="M42" s="73"/>
      <c r="N42" s="453">
        <f>+M17*E17+M18*E17*2</f>
        <v>5430.455999999999</v>
      </c>
      <c r="O42" s="454"/>
      <c r="P42" s="285"/>
    </row>
    <row r="43" spans="2:16" ht="15">
      <c r="B43" s="275"/>
      <c r="C43" s="75"/>
      <c r="D43" s="71"/>
      <c r="E43" s="71"/>
      <c r="F43" s="286"/>
      <c r="G43" s="72"/>
      <c r="H43" s="439">
        <f>SUM(H38:H42)</f>
        <v>30825.036</v>
      </c>
      <c r="J43" s="455" t="s">
        <v>12</v>
      </c>
      <c r="K43" s="436"/>
      <c r="L43" s="433" t="s">
        <v>129</v>
      </c>
      <c r="M43" s="456"/>
      <c r="N43" s="457">
        <f>(M16+M17+M18*5)*E17</f>
        <v>13273.704000000002</v>
      </c>
      <c r="O43" s="458"/>
      <c r="P43" s="285"/>
    </row>
    <row r="44" spans="2:16" ht="15">
      <c r="B44" s="275"/>
      <c r="C44" s="75"/>
      <c r="D44" s="71"/>
      <c r="E44" s="71"/>
      <c r="F44" s="286"/>
      <c r="G44" s="72"/>
      <c r="I44" s="78"/>
      <c r="J44" s="282"/>
      <c r="K44" s="282"/>
      <c r="L44" s="287"/>
      <c r="M44" s="72"/>
      <c r="N44" s="459">
        <f>SUM(N38:N43)</f>
        <v>41028.623999999996</v>
      </c>
      <c r="O44" s="444"/>
      <c r="P44" s="285"/>
    </row>
    <row r="45" spans="2:16" ht="12.75" customHeight="1" thickBot="1">
      <c r="B45" s="275"/>
      <c r="C45" s="75"/>
      <c r="D45" s="71"/>
      <c r="E45" s="71"/>
      <c r="F45" s="77"/>
      <c r="G45" s="72"/>
      <c r="H45" s="78"/>
      <c r="I45" s="71"/>
      <c r="J45" s="71"/>
      <c r="K45" s="71"/>
      <c r="L45" s="72"/>
      <c r="M45" s="72"/>
      <c r="N45" s="73"/>
      <c r="O45" s="74"/>
      <c r="P45" s="285"/>
    </row>
    <row r="46" spans="2:16" ht="20.25" thickBot="1" thickTop="1">
      <c r="B46" s="275"/>
      <c r="C46" s="75"/>
      <c r="D46" s="71"/>
      <c r="E46" s="71"/>
      <c r="F46" s="77"/>
      <c r="G46" s="72"/>
      <c r="H46" s="460" t="s">
        <v>112</v>
      </c>
      <c r="I46" s="461">
        <f>+H43+N44+L35</f>
        <v>258197.167952</v>
      </c>
      <c r="J46" s="71"/>
      <c r="K46" s="71"/>
      <c r="L46" s="72"/>
      <c r="M46" s="72"/>
      <c r="N46" s="73"/>
      <c r="O46" s="74"/>
      <c r="P46" s="285"/>
    </row>
    <row r="47" spans="2:16" ht="15.75" thickTop="1">
      <c r="B47" s="275"/>
      <c r="C47" s="75"/>
      <c r="D47" s="71"/>
      <c r="E47" s="71"/>
      <c r="F47" s="77"/>
      <c r="G47" s="72"/>
      <c r="H47" s="78"/>
      <c r="I47" s="71"/>
      <c r="J47" s="71"/>
      <c r="K47" s="71"/>
      <c r="L47" s="72"/>
      <c r="M47" s="72"/>
      <c r="N47" s="73"/>
      <c r="O47" s="74"/>
      <c r="P47" s="285"/>
    </row>
    <row r="48" spans="2:16" ht="15.75">
      <c r="B48" s="275"/>
      <c r="C48" s="462" t="s">
        <v>113</v>
      </c>
      <c r="D48" s="71"/>
      <c r="E48" s="71"/>
      <c r="F48" s="77"/>
      <c r="G48" s="72"/>
      <c r="H48" s="78"/>
      <c r="I48" s="71"/>
      <c r="J48" s="71"/>
      <c r="K48" s="71"/>
      <c r="L48" s="72"/>
      <c r="M48" s="72"/>
      <c r="N48" s="73"/>
      <c r="O48" s="74"/>
      <c r="P48" s="285"/>
    </row>
    <row r="49" spans="2:16" ht="15.75" thickBot="1">
      <c r="B49" s="275"/>
      <c r="C49" s="75"/>
      <c r="D49" s="71"/>
      <c r="E49" s="71"/>
      <c r="F49" s="77"/>
      <c r="G49" s="72"/>
      <c r="H49" s="78"/>
      <c r="I49" s="71"/>
      <c r="J49" s="71"/>
      <c r="K49" s="71"/>
      <c r="L49" s="72"/>
      <c r="M49" s="72"/>
      <c r="N49" s="73"/>
      <c r="O49" s="74"/>
      <c r="P49" s="285"/>
    </row>
    <row r="50" spans="2:16" ht="20.25" thickBot="1" thickTop="1">
      <c r="B50" s="275"/>
      <c r="C50" s="75"/>
      <c r="D50" s="238" t="s">
        <v>114</v>
      </c>
      <c r="F50" s="288"/>
      <c r="G50" s="69"/>
      <c r="H50" s="162" t="s">
        <v>115</v>
      </c>
      <c r="I50" s="463">
        <f>E18*I46</f>
        <v>6454.9291988</v>
      </c>
      <c r="J50" s="65"/>
      <c r="K50" s="65"/>
      <c r="O50" s="65"/>
      <c r="P50" s="285"/>
    </row>
    <row r="51" spans="2:16" ht="21.75" thickTop="1">
      <c r="B51" s="275"/>
      <c r="C51" s="75"/>
      <c r="F51" s="289"/>
      <c r="G51" s="42"/>
      <c r="I51" s="65"/>
      <c r="J51" s="65"/>
      <c r="K51" s="65"/>
      <c r="O51" s="65"/>
      <c r="P51" s="285"/>
    </row>
    <row r="52" spans="2:16" ht="15">
      <c r="B52" s="275"/>
      <c r="C52" s="64" t="s">
        <v>116</v>
      </c>
      <c r="E52" s="65"/>
      <c r="F52" s="65"/>
      <c r="G52" s="65"/>
      <c r="H52" s="65"/>
      <c r="I52" s="72"/>
      <c r="J52" s="72"/>
      <c r="K52" s="72"/>
      <c r="L52" s="72"/>
      <c r="M52" s="72"/>
      <c r="N52" s="73"/>
      <c r="O52" s="74"/>
      <c r="P52" s="285"/>
    </row>
    <row r="53" spans="2:16" ht="15">
      <c r="B53" s="275"/>
      <c r="C53" s="75"/>
      <c r="D53" s="70" t="s">
        <v>117</v>
      </c>
      <c r="E53" s="290">
        <f>10*I26*I50/I46</f>
        <v>5345.42225375</v>
      </c>
      <c r="F53" s="464"/>
      <c r="H53" s="65"/>
      <c r="I53" s="72"/>
      <c r="J53" s="72"/>
      <c r="K53" s="72"/>
      <c r="L53" s="72"/>
      <c r="M53" s="72"/>
      <c r="N53" s="73"/>
      <c r="O53" s="74"/>
      <c r="P53" s="285"/>
    </row>
    <row r="54" spans="2:16" ht="15">
      <c r="B54" s="275"/>
      <c r="C54" s="75"/>
      <c r="D54" s="65"/>
      <c r="E54" s="65"/>
      <c r="J54" s="72"/>
      <c r="K54" s="72"/>
      <c r="L54" s="72"/>
      <c r="M54" s="72"/>
      <c r="N54" s="73"/>
      <c r="O54" s="74"/>
      <c r="P54" s="285"/>
    </row>
    <row r="55" spans="2:16" ht="15">
      <c r="B55" s="275"/>
      <c r="C55" s="75"/>
      <c r="D55" s="65" t="s">
        <v>130</v>
      </c>
      <c r="E55" s="65"/>
      <c r="F55" s="65"/>
      <c r="G55" s="65"/>
      <c r="H55" s="65"/>
      <c r="M55" s="72"/>
      <c r="N55" s="73"/>
      <c r="O55" s="74"/>
      <c r="P55" s="285"/>
    </row>
    <row r="56" spans="2:16" ht="15.75" thickBot="1">
      <c r="B56" s="275"/>
      <c r="C56" s="75"/>
      <c r="D56" s="65"/>
      <c r="E56" s="65"/>
      <c r="F56" s="65"/>
      <c r="G56" s="65"/>
      <c r="H56" s="65"/>
      <c r="M56" s="72"/>
      <c r="N56" s="73"/>
      <c r="O56" s="74"/>
      <c r="P56" s="285"/>
    </row>
    <row r="57" spans="2:16" ht="20.25" thickBot="1" thickTop="1">
      <c r="B57" s="275"/>
      <c r="C57" s="75"/>
      <c r="D57" s="71"/>
      <c r="E57" s="71"/>
      <c r="F57" s="77"/>
      <c r="G57" s="72"/>
      <c r="H57" s="239" t="s">
        <v>118</v>
      </c>
      <c r="I57" s="465">
        <f>IF($E$53&gt;3*I50,3*I50,$E$53)</f>
        <v>5345.42225375</v>
      </c>
      <c r="J57" s="72"/>
      <c r="K57" s="72"/>
      <c r="L57" s="72"/>
      <c r="M57" s="72"/>
      <c r="N57" s="73"/>
      <c r="O57" s="74"/>
      <c r="P57" s="285"/>
    </row>
    <row r="58" spans="2:16" ht="16.5" thickBot="1" thickTop="1">
      <c r="B58" s="291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Roman,Normal"&amp;8&amp;F-&amp;A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T57"/>
  <sheetViews>
    <sheetView tabSelected="1" zoomScale="65" zoomScaleNormal="65" workbookViewId="0" topLeftCell="D1">
      <selection activeCell="B2" sqref="B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384"/>
    </row>
    <row r="2" spans="2:20" s="750" customFormat="1" ht="30.75">
      <c r="B2" s="117" t="s">
        <v>287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</row>
    <row r="3" spans="1:2" ht="12.75" customHeight="1">
      <c r="A3" s="752" t="s">
        <v>16</v>
      </c>
      <c r="B3" s="753"/>
    </row>
    <row r="4" spans="1:4" ht="12.75" customHeight="1">
      <c r="A4" s="752" t="s">
        <v>17</v>
      </c>
      <c r="B4" s="753"/>
      <c r="D4" s="754"/>
    </row>
    <row r="5" spans="1:4" ht="21.75" customHeight="1">
      <c r="A5" s="755"/>
      <c r="D5" s="754"/>
    </row>
    <row r="6" spans="1:20" ht="26.25">
      <c r="A6" s="755"/>
      <c r="B6" s="756" t="s">
        <v>268</v>
      </c>
      <c r="C6" s="81"/>
      <c r="D6" s="754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4" ht="18.75" customHeight="1">
      <c r="A7" s="755"/>
      <c r="D7" s="754"/>
    </row>
    <row r="8" spans="1:20" ht="26.25">
      <c r="A8" s="755"/>
      <c r="B8" s="757" t="s">
        <v>1</v>
      </c>
      <c r="C8" s="81"/>
      <c r="D8" s="75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4" ht="18.75" customHeight="1">
      <c r="A9" s="755"/>
      <c r="D9" s="754"/>
    </row>
    <row r="10" spans="1:20" ht="26.25">
      <c r="A10" s="755"/>
      <c r="B10" s="757" t="s">
        <v>269</v>
      </c>
      <c r="C10" s="81"/>
      <c r="D10" s="75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</row>
    <row r="11" ht="18.75" customHeight="1" thickBot="1"/>
    <row r="12" spans="2:20" ht="18.75" customHeight="1" thickTop="1">
      <c r="B12" s="758"/>
      <c r="C12" s="759"/>
      <c r="D12" s="760"/>
      <c r="E12" s="760"/>
      <c r="F12" s="760"/>
      <c r="G12" s="759"/>
      <c r="H12" s="759"/>
      <c r="I12" s="759"/>
      <c r="J12" s="759"/>
      <c r="K12" s="759"/>
      <c r="L12" s="759"/>
      <c r="M12" s="759"/>
      <c r="N12" s="759"/>
      <c r="O12" s="759"/>
      <c r="P12" s="759"/>
      <c r="Q12" s="759"/>
      <c r="R12" s="759"/>
      <c r="S12" s="759"/>
      <c r="T12" s="761"/>
    </row>
    <row r="13" spans="2:20" ht="19.5">
      <c r="B13" s="240" t="s">
        <v>270</v>
      </c>
      <c r="C13" s="81"/>
      <c r="D13" s="762"/>
      <c r="E13" s="762"/>
      <c r="F13" s="762"/>
      <c r="G13" s="763"/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4"/>
    </row>
    <row r="14" spans="2:20" ht="18.75" customHeight="1" thickBot="1">
      <c r="B14" s="2"/>
      <c r="C14" s="765"/>
      <c r="D14" s="766"/>
      <c r="E14" s="766"/>
      <c r="F14" s="76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75" customFormat="1" ht="34.5" customHeight="1" thickBot="1" thickTop="1">
      <c r="A15" s="753"/>
      <c r="B15" s="768"/>
      <c r="C15" s="769"/>
      <c r="D15" s="770" t="s">
        <v>19</v>
      </c>
      <c r="E15" s="771" t="s">
        <v>45</v>
      </c>
      <c r="F15" s="772" t="s">
        <v>46</v>
      </c>
      <c r="G15" s="773">
        <v>39630</v>
      </c>
      <c r="H15" s="773">
        <v>39661</v>
      </c>
      <c r="I15" s="773">
        <v>39692</v>
      </c>
      <c r="J15" s="773">
        <v>39722</v>
      </c>
      <c r="K15" s="773">
        <v>39753</v>
      </c>
      <c r="L15" s="773">
        <v>39783</v>
      </c>
      <c r="M15" s="773">
        <v>39814</v>
      </c>
      <c r="N15" s="773">
        <v>39845</v>
      </c>
      <c r="O15" s="773">
        <v>39873</v>
      </c>
      <c r="P15" s="773">
        <v>39904</v>
      </c>
      <c r="Q15" s="773">
        <v>39934</v>
      </c>
      <c r="R15" s="773">
        <v>39965</v>
      </c>
      <c r="S15" s="773">
        <v>39995</v>
      </c>
      <c r="T15" s="774"/>
    </row>
    <row r="16" spans="2:20" ht="15" customHeight="1" thickTop="1">
      <c r="B16" s="2"/>
      <c r="C16" s="776"/>
      <c r="D16" s="777"/>
      <c r="E16" s="777"/>
      <c r="F16" s="778"/>
      <c r="G16" s="779"/>
      <c r="H16" s="779"/>
      <c r="I16" s="779"/>
      <c r="J16" s="779"/>
      <c r="K16" s="779"/>
      <c r="L16" s="779"/>
      <c r="M16" s="779"/>
      <c r="N16" s="779"/>
      <c r="O16" s="779"/>
      <c r="P16" s="779"/>
      <c r="Q16" s="779"/>
      <c r="R16" s="779"/>
      <c r="S16" s="780"/>
      <c r="T16" s="3"/>
    </row>
    <row r="17" spans="2:20" ht="15" customHeight="1" hidden="1">
      <c r="B17" s="2"/>
      <c r="C17" s="781">
        <f>IF('[2]Tasa de Falla'!C17=0,"",'[2]Tasa de Falla'!C17)</f>
        <v>1</v>
      </c>
      <c r="D17" s="782" t="str">
        <f>IF('[2]Tasa de Falla'!D17=0,"",'[2]Tasa de Falla'!D17)</f>
        <v>AMEGHINO - COMODORO RIVADAVIA</v>
      </c>
      <c r="E17" s="782">
        <f>IF('[2]Tasa de Falla'!E17=0,"",'[2]Tasa de Falla'!E17)</f>
        <v>132</v>
      </c>
      <c r="F17" s="783">
        <f>IF('[2]Tasa de Falla'!F17=0,"",'[2]Tasa de Falla'!F17)</f>
        <v>305</v>
      </c>
      <c r="G17" s="784" t="str">
        <f>IF('[2]Tasa de Falla'!CL17=0,"",'[2]Tasa de Falla'!CL17)</f>
        <v>XXXX</v>
      </c>
      <c r="H17" s="784" t="str">
        <f>IF('[2]Tasa de Falla'!CM17=0,"",'[2]Tasa de Falla'!CM17)</f>
        <v>XXXX</v>
      </c>
      <c r="I17" s="784" t="str">
        <f>IF('[2]Tasa de Falla'!CN17=0,"",'[2]Tasa de Falla'!CN17)</f>
        <v>XXXX</v>
      </c>
      <c r="J17" s="784" t="str">
        <f>IF('[2]Tasa de Falla'!CO17=0,"",'[2]Tasa de Falla'!CO17)</f>
        <v>XXXX</v>
      </c>
      <c r="K17" s="784" t="str">
        <f>IF('[2]Tasa de Falla'!CP17=0,"",'[2]Tasa de Falla'!CP17)</f>
        <v>XXXX</v>
      </c>
      <c r="L17" s="784" t="str">
        <f>IF('[2]Tasa de Falla'!CQ17=0,"",'[2]Tasa de Falla'!CQ17)</f>
        <v>XXXX</v>
      </c>
      <c r="M17" s="784" t="str">
        <f>IF('[2]Tasa de Falla'!CR17=0,"",'[2]Tasa de Falla'!CR17)</f>
        <v>XXXX</v>
      </c>
      <c r="N17" s="784" t="str">
        <f>IF('[2]Tasa de Falla'!CS17=0,"",'[2]Tasa de Falla'!CS17)</f>
        <v>XXXX</v>
      </c>
      <c r="O17" s="784" t="str">
        <f>IF('[2]Tasa de Falla'!CT17=0,"",'[2]Tasa de Falla'!CT17)</f>
        <v>XXXX</v>
      </c>
      <c r="P17" s="784" t="str">
        <f>IF('[2]Tasa de Falla'!CU17=0,"",'[2]Tasa de Falla'!CU17)</f>
        <v>XXXX</v>
      </c>
      <c r="Q17" s="784" t="str">
        <f>IF('[2]Tasa de Falla'!CV17=0,"",'[2]Tasa de Falla'!CV17)</f>
        <v>XXXX</v>
      </c>
      <c r="R17" s="784" t="str">
        <f>IF('[2]Tasa de Falla'!CW17=0,"",'[2]Tasa de Falla'!CW17)</f>
        <v>XXXX</v>
      </c>
      <c r="S17" s="785"/>
      <c r="T17" s="786"/>
    </row>
    <row r="18" spans="2:20" ht="15" customHeight="1">
      <c r="B18" s="2"/>
      <c r="C18" s="787">
        <f>IF('[2]Tasa de Falla'!C18=0,"",'[2]Tasa de Falla'!C18)</f>
        <v>2</v>
      </c>
      <c r="D18" s="788" t="str">
        <f>IF('[2]Tasa de Falla'!D18=0,"",'[2]Tasa de Falla'!D18)</f>
        <v>AMEGHINO - ESTACION PATAGONIA</v>
      </c>
      <c r="E18" s="788">
        <f>IF('[2]Tasa de Falla'!E18=0,"",'[2]Tasa de Falla'!E18)</f>
        <v>132</v>
      </c>
      <c r="F18" s="789">
        <f>IF('[2]Tasa de Falla'!F18=0,"",'[2]Tasa de Falla'!F18)</f>
        <v>299.6</v>
      </c>
      <c r="G18" s="784">
        <f>IF('[2]Tasa de Falla'!FO18=0,"",'[2]Tasa de Falla'!FO18)</f>
      </c>
      <c r="H18" s="784">
        <f>IF('[2]Tasa de Falla'!FP18=0,"",'[2]Tasa de Falla'!FP18)</f>
      </c>
      <c r="I18" s="784">
        <f>IF('[2]Tasa de Falla'!FQ18=0,"",'[2]Tasa de Falla'!FQ18)</f>
        <v>1</v>
      </c>
      <c r="J18" s="784">
        <f>IF('[2]Tasa de Falla'!FR18=0,"",'[2]Tasa de Falla'!FR18)</f>
      </c>
      <c r="K18" s="784">
        <f>IF('[2]Tasa de Falla'!FS18=0,"",'[2]Tasa de Falla'!FS18)</f>
      </c>
      <c r="L18" s="784">
        <f>IF('[2]Tasa de Falla'!FT18=0,"",'[2]Tasa de Falla'!FT18)</f>
        <v>2</v>
      </c>
      <c r="M18" s="784">
        <f>IF('[2]Tasa de Falla'!FU18=0,"",'[2]Tasa de Falla'!FU18)</f>
        <v>1</v>
      </c>
      <c r="N18" s="784">
        <f>IF('[2]Tasa de Falla'!FV18=0,"",'[2]Tasa de Falla'!FV18)</f>
      </c>
      <c r="O18" s="784">
        <f>IF('[2]Tasa de Falla'!FW18=0,"",'[2]Tasa de Falla'!FW18)</f>
      </c>
      <c r="P18" s="784">
        <f>IF('[2]Tasa de Falla'!FX18=0,"",'[2]Tasa de Falla'!FX18)</f>
      </c>
      <c r="Q18" s="784">
        <f>IF('[2]Tasa de Falla'!FY18=0,"",'[2]Tasa de Falla'!FY18)</f>
      </c>
      <c r="R18" s="784">
        <f>IF('[2]Tasa de Falla'!FZ18=0,"",'[2]Tasa de Falla'!FZ18)</f>
      </c>
      <c r="S18" s="785"/>
      <c r="T18" s="786"/>
    </row>
    <row r="19" spans="2:20" ht="15" customHeight="1">
      <c r="B19" s="2"/>
      <c r="C19" s="781">
        <f>IF('[2]Tasa de Falla'!C19=0,"",'[2]Tasa de Falla'!C19)</f>
        <v>3</v>
      </c>
      <c r="D19" s="782" t="str">
        <f>IF('[2]Tasa de Falla'!D19=0,"",'[2]Tasa de Falla'!D19)</f>
        <v>AMEGHINO - TRELEW</v>
      </c>
      <c r="E19" s="782">
        <f>IF('[2]Tasa de Falla'!E19=0,"",'[2]Tasa de Falla'!E19)</f>
        <v>132</v>
      </c>
      <c r="F19" s="783">
        <f>IF('[2]Tasa de Falla'!F19=0,"",'[2]Tasa de Falla'!F19)</f>
        <v>112</v>
      </c>
      <c r="G19" s="784">
        <f>IF('[2]Tasa de Falla'!FO19=0,"",'[2]Tasa de Falla'!FO19)</f>
        <v>3</v>
      </c>
      <c r="H19" s="784">
        <f>IF('[2]Tasa de Falla'!FP19=0,"",'[2]Tasa de Falla'!FP19)</f>
      </c>
      <c r="I19" s="784">
        <f>IF('[2]Tasa de Falla'!FQ19=0,"",'[2]Tasa de Falla'!FQ19)</f>
        <v>1</v>
      </c>
      <c r="J19" s="784">
        <f>IF('[2]Tasa de Falla'!FR19=0,"",'[2]Tasa de Falla'!FR19)</f>
      </c>
      <c r="K19" s="784">
        <f>IF('[2]Tasa de Falla'!FS19=0,"",'[2]Tasa de Falla'!FS19)</f>
      </c>
      <c r="L19" s="784">
        <f>IF('[2]Tasa de Falla'!FT19=0,"",'[2]Tasa de Falla'!FT19)</f>
      </c>
      <c r="M19" s="784">
        <f>IF('[2]Tasa de Falla'!FU19=0,"",'[2]Tasa de Falla'!FU19)</f>
      </c>
      <c r="N19" s="784">
        <f>IF('[2]Tasa de Falla'!FV19=0,"",'[2]Tasa de Falla'!FV19)</f>
      </c>
      <c r="O19" s="784">
        <f>IF('[2]Tasa de Falla'!FW19=0,"",'[2]Tasa de Falla'!FW19)</f>
        <v>2</v>
      </c>
      <c r="P19" s="784">
        <f>IF('[2]Tasa de Falla'!FX19=0,"",'[2]Tasa de Falla'!FX19)</f>
      </c>
      <c r="Q19" s="784">
        <f>IF('[2]Tasa de Falla'!FY19=0,"",'[2]Tasa de Falla'!FY19)</f>
      </c>
      <c r="R19" s="784">
        <f>IF('[2]Tasa de Falla'!FZ19=0,"",'[2]Tasa de Falla'!FZ19)</f>
      </c>
      <c r="S19" s="790"/>
      <c r="T19" s="786"/>
    </row>
    <row r="20" spans="2:20" ht="15" customHeight="1">
      <c r="B20" s="2"/>
      <c r="C20" s="787">
        <f>IF('[2]Tasa de Falla'!C20=0,"",'[2]Tasa de Falla'!C20)</f>
        <v>4</v>
      </c>
      <c r="D20" s="788" t="str">
        <f>IF('[2]Tasa de Falla'!D20=0,"",'[2]Tasa de Falla'!D20)</f>
        <v>FUTALEUFU - ESQUEL</v>
      </c>
      <c r="E20" s="788">
        <f>IF('[2]Tasa de Falla'!E20=0,"",'[2]Tasa de Falla'!E20)</f>
        <v>132</v>
      </c>
      <c r="F20" s="789">
        <f>IF('[2]Tasa de Falla'!F20=0,"",'[2]Tasa de Falla'!F20)</f>
        <v>28.41</v>
      </c>
      <c r="G20" s="784">
        <f>IF('[2]Tasa de Falla'!FO20=0,"",'[2]Tasa de Falla'!FO20)</f>
      </c>
      <c r="H20" s="784">
        <f>IF('[2]Tasa de Falla'!FP20=0,"",'[2]Tasa de Falla'!FP20)</f>
      </c>
      <c r="I20" s="784">
        <f>IF('[2]Tasa de Falla'!FQ20=0,"",'[2]Tasa de Falla'!FQ20)</f>
      </c>
      <c r="J20" s="784">
        <f>IF('[2]Tasa de Falla'!FR20=0,"",'[2]Tasa de Falla'!FR20)</f>
      </c>
      <c r="K20" s="784">
        <f>IF('[2]Tasa de Falla'!FS20=0,"",'[2]Tasa de Falla'!FS20)</f>
        <v>1</v>
      </c>
      <c r="L20" s="784">
        <f>IF('[2]Tasa de Falla'!FT20=0,"",'[2]Tasa de Falla'!FT20)</f>
        <v>1</v>
      </c>
      <c r="M20" s="784">
        <f>IF('[2]Tasa de Falla'!FU20=0,"",'[2]Tasa de Falla'!FU20)</f>
      </c>
      <c r="N20" s="784">
        <f>IF('[2]Tasa de Falla'!FV20=0,"",'[2]Tasa de Falla'!FV20)</f>
      </c>
      <c r="O20" s="784">
        <f>IF('[2]Tasa de Falla'!FW20=0,"",'[2]Tasa de Falla'!FW20)</f>
      </c>
      <c r="P20" s="784">
        <f>IF('[2]Tasa de Falla'!FX20=0,"",'[2]Tasa de Falla'!FX20)</f>
      </c>
      <c r="Q20" s="784">
        <f>IF('[2]Tasa de Falla'!FY20=0,"",'[2]Tasa de Falla'!FY20)</f>
        <v>1</v>
      </c>
      <c r="R20" s="784">
        <f>IF('[2]Tasa de Falla'!FZ20=0,"",'[2]Tasa de Falla'!FZ20)</f>
      </c>
      <c r="S20" s="790"/>
      <c r="T20" s="786"/>
    </row>
    <row r="21" spans="2:20" ht="15" customHeight="1">
      <c r="B21" s="2"/>
      <c r="C21" s="781">
        <f>IF('[2]Tasa de Falla'!C21=0,"",'[2]Tasa de Falla'!C21)</f>
        <v>5</v>
      </c>
      <c r="D21" s="782" t="str">
        <f>IF('[2]Tasa de Falla'!D21=0,"",'[2]Tasa de Falla'!D21)</f>
        <v>BARRIO SAN MARTIN - ESTACION PATAGONIA</v>
      </c>
      <c r="E21" s="782">
        <f>IF('[2]Tasa de Falla'!E21=0,"",'[2]Tasa de Falla'!E21)</f>
        <v>132</v>
      </c>
      <c r="F21" s="783">
        <f>IF('[2]Tasa de Falla'!F21=0,"",'[2]Tasa de Falla'!F21)</f>
        <v>9.43</v>
      </c>
      <c r="G21" s="784">
        <f>IF('[2]Tasa de Falla'!FO21=0,"",'[2]Tasa de Falla'!FO21)</f>
      </c>
      <c r="H21" s="784">
        <f>IF('[2]Tasa de Falla'!FP21=0,"",'[2]Tasa de Falla'!FP21)</f>
      </c>
      <c r="I21" s="784">
        <f>IF('[2]Tasa de Falla'!FQ21=0,"",'[2]Tasa de Falla'!FQ21)</f>
      </c>
      <c r="J21" s="784">
        <f>IF('[2]Tasa de Falla'!FR21=0,"",'[2]Tasa de Falla'!FR21)</f>
      </c>
      <c r="K21" s="784">
        <f>IF('[2]Tasa de Falla'!FS21=0,"",'[2]Tasa de Falla'!FS21)</f>
      </c>
      <c r="L21" s="784">
        <f>IF('[2]Tasa de Falla'!FT21=0,"",'[2]Tasa de Falla'!FT21)</f>
        <v>2</v>
      </c>
      <c r="M21" s="784">
        <f>IF('[2]Tasa de Falla'!FU21=0,"",'[2]Tasa de Falla'!FU21)</f>
      </c>
      <c r="N21" s="784">
        <f>IF('[2]Tasa de Falla'!FV21=0,"",'[2]Tasa de Falla'!FV21)</f>
      </c>
      <c r="O21" s="784">
        <f>IF('[2]Tasa de Falla'!FW21=0,"",'[2]Tasa de Falla'!FW21)</f>
      </c>
      <c r="P21" s="784">
        <f>IF('[2]Tasa de Falla'!FX21=0,"",'[2]Tasa de Falla'!FX21)</f>
      </c>
      <c r="Q21" s="784">
        <f>IF('[2]Tasa de Falla'!FY21=0,"",'[2]Tasa de Falla'!FY21)</f>
      </c>
      <c r="R21" s="784">
        <f>IF('[2]Tasa de Falla'!FZ21=0,"",'[2]Tasa de Falla'!FZ21)</f>
      </c>
      <c r="S21" s="790"/>
      <c r="T21" s="786"/>
    </row>
    <row r="22" spans="2:20" ht="15" customHeight="1">
      <c r="B22" s="2"/>
      <c r="C22" s="787">
        <f>IF('[2]Tasa de Falla'!C22=0,"",'[2]Tasa de Falla'!C22)</f>
        <v>6</v>
      </c>
      <c r="D22" s="788" t="str">
        <f>IF('[2]Tasa de Falla'!D22=0,"",'[2]Tasa de Falla'!D22)</f>
        <v>COMODORO RIVADAVIA - E.T. A1</v>
      </c>
      <c r="E22" s="788">
        <f>IF('[2]Tasa de Falla'!E22=0,"",'[2]Tasa de Falla'!E22)</f>
        <v>132</v>
      </c>
      <c r="F22" s="789">
        <f>IF('[2]Tasa de Falla'!F22=0,"",'[2]Tasa de Falla'!F22)</f>
        <v>0.5</v>
      </c>
      <c r="G22" s="784">
        <f>IF('[2]Tasa de Falla'!FO22=0,"",'[2]Tasa de Falla'!FO22)</f>
      </c>
      <c r="H22" s="784">
        <f>IF('[2]Tasa de Falla'!FP22=0,"",'[2]Tasa de Falla'!FP22)</f>
      </c>
      <c r="I22" s="784">
        <f>IF('[2]Tasa de Falla'!FQ22=0,"",'[2]Tasa de Falla'!FQ22)</f>
      </c>
      <c r="J22" s="784">
        <f>IF('[2]Tasa de Falla'!FR22=0,"",'[2]Tasa de Falla'!FR22)</f>
      </c>
      <c r="K22" s="784">
        <f>IF('[2]Tasa de Falla'!FS22=0,"",'[2]Tasa de Falla'!FS22)</f>
      </c>
      <c r="L22" s="784">
        <f>IF('[2]Tasa de Falla'!FT22=0,"",'[2]Tasa de Falla'!FT22)</f>
      </c>
      <c r="M22" s="784">
        <f>IF('[2]Tasa de Falla'!FU22=0,"",'[2]Tasa de Falla'!FU22)</f>
      </c>
      <c r="N22" s="784">
        <f>IF('[2]Tasa de Falla'!FV22=0,"",'[2]Tasa de Falla'!FV22)</f>
      </c>
      <c r="O22" s="784">
        <f>IF('[2]Tasa de Falla'!FW22=0,"",'[2]Tasa de Falla'!FW22)</f>
      </c>
      <c r="P22" s="784">
        <f>IF('[2]Tasa de Falla'!FX22=0,"",'[2]Tasa de Falla'!FX22)</f>
      </c>
      <c r="Q22" s="784">
        <f>IF('[2]Tasa de Falla'!FY22=0,"",'[2]Tasa de Falla'!FY22)</f>
      </c>
      <c r="R22" s="784">
        <f>IF('[2]Tasa de Falla'!FZ22=0,"",'[2]Tasa de Falla'!FZ22)</f>
      </c>
      <c r="S22" s="790"/>
      <c r="T22" s="786"/>
    </row>
    <row r="23" spans="2:20" ht="15" customHeight="1">
      <c r="B23" s="2"/>
      <c r="C23" s="781">
        <f>IF('[2]Tasa de Falla'!C23=0,"",'[2]Tasa de Falla'!C23)</f>
        <v>7</v>
      </c>
      <c r="D23" s="782" t="str">
        <f>IF('[2]Tasa de Falla'!D23=0,"",'[2]Tasa de Falla'!D23)</f>
        <v>COMODORO RIVADAVIA (A1) - ESTACION PATAGONIA</v>
      </c>
      <c r="E23" s="782">
        <f>IF('[2]Tasa de Falla'!E23=0,"",'[2]Tasa de Falla'!E23)</f>
        <v>132</v>
      </c>
      <c r="F23" s="783">
        <f>IF('[2]Tasa de Falla'!F23=0,"",'[2]Tasa de Falla'!F23)</f>
        <v>6.9</v>
      </c>
      <c r="G23" s="784">
        <f>IF('[2]Tasa de Falla'!FO23=0,"",'[2]Tasa de Falla'!FO23)</f>
      </c>
      <c r="H23" s="784">
        <f>IF('[2]Tasa de Falla'!FP23=0,"",'[2]Tasa de Falla'!FP23)</f>
      </c>
      <c r="I23" s="784">
        <f>IF('[2]Tasa de Falla'!FQ23=0,"",'[2]Tasa de Falla'!FQ23)</f>
      </c>
      <c r="J23" s="784">
        <f>IF('[2]Tasa de Falla'!FR23=0,"",'[2]Tasa de Falla'!FR23)</f>
      </c>
      <c r="K23" s="784">
        <f>IF('[2]Tasa de Falla'!FS23=0,"",'[2]Tasa de Falla'!FS23)</f>
      </c>
      <c r="L23" s="784">
        <f>IF('[2]Tasa de Falla'!FT23=0,"",'[2]Tasa de Falla'!FT23)</f>
        <v>1</v>
      </c>
      <c r="M23" s="784">
        <f>IF('[2]Tasa de Falla'!FU23=0,"",'[2]Tasa de Falla'!FU23)</f>
      </c>
      <c r="N23" s="784">
        <f>IF('[2]Tasa de Falla'!FV23=0,"",'[2]Tasa de Falla'!FV23)</f>
      </c>
      <c r="O23" s="784">
        <f>IF('[2]Tasa de Falla'!FW23=0,"",'[2]Tasa de Falla'!FW23)</f>
      </c>
      <c r="P23" s="784">
        <f>IF('[2]Tasa de Falla'!FX23=0,"",'[2]Tasa de Falla'!FX23)</f>
      </c>
      <c r="Q23" s="784">
        <f>IF('[2]Tasa de Falla'!FY23=0,"",'[2]Tasa de Falla'!FY23)</f>
      </c>
      <c r="R23" s="784">
        <f>IF('[2]Tasa de Falla'!FZ23=0,"",'[2]Tasa de Falla'!FZ23)</f>
      </c>
      <c r="S23" s="790"/>
      <c r="T23" s="786"/>
    </row>
    <row r="24" spans="2:20" ht="15" customHeight="1">
      <c r="B24" s="2"/>
      <c r="C24" s="787">
        <f>IF('[2]Tasa de Falla'!C24=0,"",'[2]Tasa de Falla'!C24)</f>
        <v>8</v>
      </c>
      <c r="D24" s="788" t="str">
        <f>IF('[2]Tasa de Falla'!D24=0,"",'[2]Tasa de Falla'!D24)</f>
        <v>COMODORO RIVADAVIA - PICO TRUNCADO</v>
      </c>
      <c r="E24" s="788">
        <f>IF('[2]Tasa de Falla'!E24=0,"",'[2]Tasa de Falla'!E24)</f>
        <v>132</v>
      </c>
      <c r="F24" s="789">
        <f>IF('[2]Tasa de Falla'!F24=0,"",'[2]Tasa de Falla'!F24)</f>
        <v>138</v>
      </c>
      <c r="G24" s="784">
        <f>IF('[2]Tasa de Falla'!FO24=0,"",'[2]Tasa de Falla'!FO24)</f>
      </c>
      <c r="H24" s="784">
        <f>IF('[2]Tasa de Falla'!FP24=0,"",'[2]Tasa de Falla'!FP24)</f>
      </c>
      <c r="I24" s="784">
        <f>IF('[2]Tasa de Falla'!FQ24=0,"",'[2]Tasa de Falla'!FQ24)</f>
      </c>
      <c r="J24" s="784">
        <f>IF('[2]Tasa de Falla'!FR24=0,"",'[2]Tasa de Falla'!FR24)</f>
      </c>
      <c r="K24" s="784">
        <f>IF('[2]Tasa de Falla'!FS24=0,"",'[2]Tasa de Falla'!FS24)</f>
      </c>
      <c r="L24" s="784">
        <f>IF('[2]Tasa de Falla'!FT24=0,"",'[2]Tasa de Falla'!FT24)</f>
      </c>
      <c r="M24" s="784">
        <f>IF('[2]Tasa de Falla'!FU24=0,"",'[2]Tasa de Falla'!FU24)</f>
      </c>
      <c r="N24" s="784">
        <f>IF('[2]Tasa de Falla'!FV24=0,"",'[2]Tasa de Falla'!FV24)</f>
      </c>
      <c r="O24" s="784">
        <f>IF('[2]Tasa de Falla'!FW24=0,"",'[2]Tasa de Falla'!FW24)</f>
      </c>
      <c r="P24" s="784">
        <f>IF('[2]Tasa de Falla'!FX24=0,"",'[2]Tasa de Falla'!FX24)</f>
      </c>
      <c r="Q24" s="784">
        <f>IF('[2]Tasa de Falla'!FY24=0,"",'[2]Tasa de Falla'!FY24)</f>
      </c>
      <c r="R24" s="784">
        <f>IF('[2]Tasa de Falla'!FZ24=0,"",'[2]Tasa de Falla'!FZ24)</f>
      </c>
      <c r="S24" s="790"/>
      <c r="T24" s="786"/>
    </row>
    <row r="25" spans="2:20" ht="15" customHeight="1">
      <c r="B25" s="2"/>
      <c r="C25" s="781">
        <f>IF('[2]Tasa de Falla'!C25=0,"",'[2]Tasa de Falla'!C25)</f>
        <v>9</v>
      </c>
      <c r="D25" s="782" t="str">
        <f>IF('[2]Tasa de Falla'!D25=0,"",'[2]Tasa de Falla'!D25)</f>
        <v>FUTALEUFÚ - PUERTO MADRYN 1</v>
      </c>
      <c r="E25" s="782">
        <f>IF('[2]Tasa de Falla'!E25=0,"",'[2]Tasa de Falla'!E25)</f>
        <v>330</v>
      </c>
      <c r="F25" s="783">
        <f>IF('[2]Tasa de Falla'!F25=0,"",'[2]Tasa de Falla'!F25)</f>
        <v>550</v>
      </c>
      <c r="G25" s="784">
        <f>IF('[2]Tasa de Falla'!FO25=0,"",'[2]Tasa de Falla'!FO25)</f>
      </c>
      <c r="H25" s="784">
        <f>IF('[2]Tasa de Falla'!FP25=0,"",'[2]Tasa de Falla'!FP25)</f>
      </c>
      <c r="I25" s="784">
        <f>IF('[2]Tasa de Falla'!FQ25=0,"",'[2]Tasa de Falla'!FQ25)</f>
      </c>
      <c r="J25" s="784">
        <f>IF('[2]Tasa de Falla'!FR25=0,"",'[2]Tasa de Falla'!FR25)</f>
      </c>
      <c r="K25" s="784">
        <f>IF('[2]Tasa de Falla'!FS25=0,"",'[2]Tasa de Falla'!FS25)</f>
      </c>
      <c r="L25" s="784">
        <f>IF('[2]Tasa de Falla'!FT25=0,"",'[2]Tasa de Falla'!FT25)</f>
      </c>
      <c r="M25" s="784">
        <f>IF('[2]Tasa de Falla'!FU25=0,"",'[2]Tasa de Falla'!FU25)</f>
      </c>
      <c r="N25" s="784">
        <f>IF('[2]Tasa de Falla'!FV25=0,"",'[2]Tasa de Falla'!FV25)</f>
      </c>
      <c r="O25" s="784">
        <f>IF('[2]Tasa de Falla'!FW25=0,"",'[2]Tasa de Falla'!FW25)</f>
      </c>
      <c r="P25" s="784">
        <f>IF('[2]Tasa de Falla'!FX25=0,"",'[2]Tasa de Falla'!FX25)</f>
      </c>
      <c r="Q25" s="784">
        <f>IF('[2]Tasa de Falla'!FY25=0,"",'[2]Tasa de Falla'!FY25)</f>
      </c>
      <c r="R25" s="784">
        <f>IF('[2]Tasa de Falla'!FZ25=0,"",'[2]Tasa de Falla'!FZ25)</f>
        <v>1</v>
      </c>
      <c r="S25" s="790"/>
      <c r="T25" s="786"/>
    </row>
    <row r="26" spans="2:20" ht="15" customHeight="1">
      <c r="B26" s="2"/>
      <c r="C26" s="787">
        <f>IF('[2]Tasa de Falla'!C26=0,"",'[2]Tasa de Falla'!C26)</f>
        <v>10</v>
      </c>
      <c r="D26" s="788" t="str">
        <f>IF('[2]Tasa de Falla'!D26=0,"",'[2]Tasa de Falla'!D26)</f>
        <v>FUTALEUFÚ - PUERTO MADRYN 2</v>
      </c>
      <c r="E26" s="788">
        <f>IF('[2]Tasa de Falla'!E26=0,"",'[2]Tasa de Falla'!E26)</f>
        <v>330</v>
      </c>
      <c r="F26" s="789">
        <f>IF('[2]Tasa de Falla'!F26=0,"",'[2]Tasa de Falla'!F26)</f>
        <v>550</v>
      </c>
      <c r="G26" s="784">
        <f>IF('[2]Tasa de Falla'!FO26=0,"",'[2]Tasa de Falla'!FO26)</f>
      </c>
      <c r="H26" s="784">
        <f>IF('[2]Tasa de Falla'!FP26=0,"",'[2]Tasa de Falla'!FP26)</f>
      </c>
      <c r="I26" s="784">
        <f>IF('[2]Tasa de Falla'!FQ26=0,"",'[2]Tasa de Falla'!FQ26)</f>
      </c>
      <c r="J26" s="784">
        <f>IF('[2]Tasa de Falla'!FR26=0,"",'[2]Tasa de Falla'!FR26)</f>
      </c>
      <c r="K26" s="784">
        <f>IF('[2]Tasa de Falla'!FS26=0,"",'[2]Tasa de Falla'!FS26)</f>
      </c>
      <c r="L26" s="784">
        <f>IF('[2]Tasa de Falla'!FT26=0,"",'[2]Tasa de Falla'!FT26)</f>
      </c>
      <c r="M26" s="784">
        <f>IF('[2]Tasa de Falla'!FU26=0,"",'[2]Tasa de Falla'!FU26)</f>
      </c>
      <c r="N26" s="784">
        <f>IF('[2]Tasa de Falla'!FV26=0,"",'[2]Tasa de Falla'!FV26)</f>
      </c>
      <c r="O26" s="784">
        <f>IF('[2]Tasa de Falla'!FW26=0,"",'[2]Tasa de Falla'!FW26)</f>
      </c>
      <c r="P26" s="784">
        <f>IF('[2]Tasa de Falla'!FX26=0,"",'[2]Tasa de Falla'!FX26)</f>
      </c>
      <c r="Q26" s="784">
        <f>IF('[2]Tasa de Falla'!FY26=0,"",'[2]Tasa de Falla'!FY26)</f>
      </c>
      <c r="R26" s="784">
        <f>IF('[2]Tasa de Falla'!FZ26=0,"",'[2]Tasa de Falla'!FZ26)</f>
      </c>
      <c r="S26" s="790"/>
      <c r="T26" s="786"/>
    </row>
    <row r="27" spans="2:20" ht="15" customHeight="1">
      <c r="B27" s="2"/>
      <c r="C27" s="781">
        <f>IF('[2]Tasa de Falla'!C27=0,"",'[2]Tasa de Falla'!C27)</f>
        <v>11</v>
      </c>
      <c r="D27" s="782" t="str">
        <f>IF('[2]Tasa de Falla'!D27=0,"",'[2]Tasa de Falla'!D27)</f>
        <v>PLANTA ALUMINIO APPA - PUERTO MADRYN 1</v>
      </c>
      <c r="E27" s="782">
        <f>IF('[2]Tasa de Falla'!E27=0,"",'[2]Tasa de Falla'!E27)</f>
        <v>330</v>
      </c>
      <c r="F27" s="783">
        <f>IF('[2]Tasa de Falla'!F27=0,"",'[2]Tasa de Falla'!F27)</f>
        <v>5.5</v>
      </c>
      <c r="G27" s="784">
        <f>IF('[2]Tasa de Falla'!FO27=0,"",'[2]Tasa de Falla'!FO27)</f>
      </c>
      <c r="H27" s="784">
        <f>IF('[2]Tasa de Falla'!FP27=0,"",'[2]Tasa de Falla'!FP27)</f>
      </c>
      <c r="I27" s="784">
        <f>IF('[2]Tasa de Falla'!FQ27=0,"",'[2]Tasa de Falla'!FQ27)</f>
      </c>
      <c r="J27" s="784">
        <f>IF('[2]Tasa de Falla'!FR27=0,"",'[2]Tasa de Falla'!FR27)</f>
      </c>
      <c r="K27" s="784">
        <f>IF('[2]Tasa de Falla'!FS27=0,"",'[2]Tasa de Falla'!FS27)</f>
      </c>
      <c r="L27" s="784">
        <f>IF('[2]Tasa de Falla'!FT27=0,"",'[2]Tasa de Falla'!FT27)</f>
      </c>
      <c r="M27" s="784">
        <f>IF('[2]Tasa de Falla'!FU27=0,"",'[2]Tasa de Falla'!FU27)</f>
      </c>
      <c r="N27" s="784">
        <f>IF('[2]Tasa de Falla'!FV27=0,"",'[2]Tasa de Falla'!FV27)</f>
      </c>
      <c r="O27" s="784">
        <f>IF('[2]Tasa de Falla'!FW27=0,"",'[2]Tasa de Falla'!FW27)</f>
      </c>
      <c r="P27" s="784">
        <f>IF('[2]Tasa de Falla'!FX27=0,"",'[2]Tasa de Falla'!FX27)</f>
      </c>
      <c r="Q27" s="784">
        <f>IF('[2]Tasa de Falla'!FY27=0,"",'[2]Tasa de Falla'!FY27)</f>
      </c>
      <c r="R27" s="784">
        <f>IF('[2]Tasa de Falla'!FZ27=0,"",'[2]Tasa de Falla'!FZ27)</f>
      </c>
      <c r="S27" s="790"/>
      <c r="T27" s="786"/>
    </row>
    <row r="28" spans="2:20" ht="15" customHeight="1">
      <c r="B28" s="2"/>
      <c r="C28" s="787">
        <f>IF('[2]Tasa de Falla'!C28=0,"",'[2]Tasa de Falla'!C28)</f>
        <v>12</v>
      </c>
      <c r="D28" s="788" t="str">
        <f>IF('[2]Tasa de Falla'!D28=0,"",'[2]Tasa de Falla'!D28)</f>
        <v>PLANTA ALUMINIO APPA - PUERTO MADRYN 2</v>
      </c>
      <c r="E28" s="788">
        <f>IF('[2]Tasa de Falla'!E28=0,"",'[2]Tasa de Falla'!E28)</f>
        <v>330</v>
      </c>
      <c r="F28" s="789">
        <f>IF('[2]Tasa de Falla'!F28=0,"",'[2]Tasa de Falla'!F28)</f>
        <v>5.5</v>
      </c>
      <c r="G28" s="784">
        <f>IF('[2]Tasa de Falla'!FO28=0,"",'[2]Tasa de Falla'!FO28)</f>
      </c>
      <c r="H28" s="784">
        <f>IF('[2]Tasa de Falla'!FP28=0,"",'[2]Tasa de Falla'!FP28)</f>
      </c>
      <c r="I28" s="784">
        <f>IF('[2]Tasa de Falla'!FQ28=0,"",'[2]Tasa de Falla'!FQ28)</f>
      </c>
      <c r="J28" s="784">
        <f>IF('[2]Tasa de Falla'!FR28=0,"",'[2]Tasa de Falla'!FR28)</f>
      </c>
      <c r="K28" s="784">
        <f>IF('[2]Tasa de Falla'!FS28=0,"",'[2]Tasa de Falla'!FS28)</f>
      </c>
      <c r="L28" s="784">
        <f>IF('[2]Tasa de Falla'!FT28=0,"",'[2]Tasa de Falla'!FT28)</f>
      </c>
      <c r="M28" s="784">
        <f>IF('[2]Tasa de Falla'!FU28=0,"",'[2]Tasa de Falla'!FU28)</f>
      </c>
      <c r="N28" s="784">
        <f>IF('[2]Tasa de Falla'!FV28=0,"",'[2]Tasa de Falla'!FV28)</f>
      </c>
      <c r="O28" s="784">
        <f>IF('[2]Tasa de Falla'!FW28=0,"",'[2]Tasa de Falla'!FW28)</f>
      </c>
      <c r="P28" s="784">
        <f>IF('[2]Tasa de Falla'!FX28=0,"",'[2]Tasa de Falla'!FX28)</f>
      </c>
      <c r="Q28" s="784">
        <f>IF('[2]Tasa de Falla'!FY28=0,"",'[2]Tasa de Falla'!FY28)</f>
      </c>
      <c r="R28" s="784">
        <f>IF('[2]Tasa de Falla'!FZ28=0,"",'[2]Tasa de Falla'!FZ28)</f>
      </c>
      <c r="S28" s="790"/>
      <c r="T28" s="786"/>
    </row>
    <row r="29" spans="2:20" ht="15" customHeight="1">
      <c r="B29" s="2"/>
      <c r="C29" s="781">
        <f>IF('[2]Tasa de Falla'!C29=0,"",'[2]Tasa de Falla'!C29)</f>
        <v>13</v>
      </c>
      <c r="D29" s="782" t="str">
        <f>IF('[2]Tasa de Falla'!D29=0,"",'[2]Tasa de Falla'!D29)</f>
        <v>PICO TRUNCADO I - PICO TRUNCADO II</v>
      </c>
      <c r="E29" s="782">
        <f>IF('[2]Tasa de Falla'!E29=0,"",'[2]Tasa de Falla'!E29)</f>
        <v>132</v>
      </c>
      <c r="F29" s="783">
        <f>IF('[2]Tasa de Falla'!F29=0,"",'[2]Tasa de Falla'!F29)</f>
        <v>13.4</v>
      </c>
      <c r="G29" s="784">
        <f>IF('[2]Tasa de Falla'!FO29=0,"",'[2]Tasa de Falla'!FO29)</f>
      </c>
      <c r="H29" s="784">
        <f>IF('[2]Tasa de Falla'!FP29=0,"",'[2]Tasa de Falla'!FP29)</f>
      </c>
      <c r="I29" s="784">
        <f>IF('[2]Tasa de Falla'!FQ29=0,"",'[2]Tasa de Falla'!FQ29)</f>
      </c>
      <c r="J29" s="784">
        <f>IF('[2]Tasa de Falla'!FR29=0,"",'[2]Tasa de Falla'!FR29)</f>
      </c>
      <c r="K29" s="784">
        <f>IF('[2]Tasa de Falla'!FS29=0,"",'[2]Tasa de Falla'!FS29)</f>
      </c>
      <c r="L29" s="784">
        <f>IF('[2]Tasa de Falla'!FT29=0,"",'[2]Tasa de Falla'!FT29)</f>
      </c>
      <c r="M29" s="784">
        <f>IF('[2]Tasa de Falla'!FU29=0,"",'[2]Tasa de Falla'!FU29)</f>
      </c>
      <c r="N29" s="784">
        <f>IF('[2]Tasa de Falla'!FV29=0,"",'[2]Tasa de Falla'!FV29)</f>
      </c>
      <c r="O29" s="784">
        <f>IF('[2]Tasa de Falla'!FW29=0,"",'[2]Tasa de Falla'!FW29)</f>
      </c>
      <c r="P29" s="784">
        <f>IF('[2]Tasa de Falla'!FX29=0,"",'[2]Tasa de Falla'!FX29)</f>
      </c>
      <c r="Q29" s="784">
        <f>IF('[2]Tasa de Falla'!FY29=0,"",'[2]Tasa de Falla'!FY29)</f>
      </c>
      <c r="R29" s="784">
        <f>IF('[2]Tasa de Falla'!FZ29=0,"",'[2]Tasa de Falla'!FZ29)</f>
      </c>
      <c r="S29" s="790"/>
      <c r="T29" s="786"/>
    </row>
    <row r="30" spans="2:20" ht="15" customHeight="1">
      <c r="B30" s="2"/>
      <c r="C30" s="787">
        <f>IF('[2]Tasa de Falla'!C30=0,"",'[2]Tasa de Falla'!C30)</f>
        <v>14</v>
      </c>
      <c r="D30" s="788" t="str">
        <f>IF('[2]Tasa de Falla'!D30=0,"",'[2]Tasa de Falla'!D30)</f>
        <v>PLANTA ALUMINIO DGPA - PTO MADRYN</v>
      </c>
      <c r="E30" s="788">
        <f>IF('[2]Tasa de Falla'!E30=0,"",'[2]Tasa de Falla'!E30)</f>
        <v>132</v>
      </c>
      <c r="F30" s="789">
        <f>IF('[2]Tasa de Falla'!F30=0,"",'[2]Tasa de Falla'!F30)</f>
        <v>5.7</v>
      </c>
      <c r="G30" s="784">
        <f>IF('[2]Tasa de Falla'!FO30=0,"",'[2]Tasa de Falla'!FO30)</f>
      </c>
      <c r="H30" s="784">
        <f>IF('[2]Tasa de Falla'!FP30=0,"",'[2]Tasa de Falla'!FP30)</f>
      </c>
      <c r="I30" s="784">
        <f>IF('[2]Tasa de Falla'!FQ30=0,"",'[2]Tasa de Falla'!FQ30)</f>
      </c>
      <c r="J30" s="784">
        <f>IF('[2]Tasa de Falla'!FR30=0,"",'[2]Tasa de Falla'!FR30)</f>
      </c>
      <c r="K30" s="784">
        <f>IF('[2]Tasa de Falla'!FS30=0,"",'[2]Tasa de Falla'!FS30)</f>
      </c>
      <c r="L30" s="784">
        <f>IF('[2]Tasa de Falla'!FT30=0,"",'[2]Tasa de Falla'!FT30)</f>
      </c>
      <c r="M30" s="784">
        <f>IF('[2]Tasa de Falla'!FU30=0,"",'[2]Tasa de Falla'!FU30)</f>
      </c>
      <c r="N30" s="784">
        <f>IF('[2]Tasa de Falla'!FV30=0,"",'[2]Tasa de Falla'!FV30)</f>
      </c>
      <c r="O30" s="784">
        <f>IF('[2]Tasa de Falla'!FW30=0,"",'[2]Tasa de Falla'!FW30)</f>
      </c>
      <c r="P30" s="784">
        <f>IF('[2]Tasa de Falla'!FX30=0,"",'[2]Tasa de Falla'!FX30)</f>
      </c>
      <c r="Q30" s="784">
        <f>IF('[2]Tasa de Falla'!FY30=0,"",'[2]Tasa de Falla'!FY30)</f>
      </c>
      <c r="R30" s="784">
        <f>IF('[2]Tasa de Falla'!FZ30=0,"",'[2]Tasa de Falla'!FZ30)</f>
      </c>
      <c r="S30" s="790"/>
      <c r="T30" s="786"/>
    </row>
    <row r="31" spans="2:20" ht="15" customHeight="1">
      <c r="B31" s="2"/>
      <c r="C31" s="781">
        <f>IF('[2]Tasa de Falla'!C31=0,"",'[2]Tasa de Falla'!C31)</f>
        <v>15</v>
      </c>
      <c r="D31" s="782" t="str">
        <f>IF('[2]Tasa de Falla'!D31=0,"",'[2]Tasa de Falla'!D31)</f>
        <v>PLANTA ALUMINIO DGPA - SS.AA. PTO MADRYN</v>
      </c>
      <c r="E31" s="782">
        <f>IF('[2]Tasa de Falla'!E31=0,"",'[2]Tasa de Falla'!E31)</f>
        <v>33</v>
      </c>
      <c r="F31" s="783">
        <f>IF('[2]Tasa de Falla'!F31=0,"",'[2]Tasa de Falla'!F31)</f>
        <v>6</v>
      </c>
      <c r="G31" s="784">
        <f>IF('[2]Tasa de Falla'!FO31=0,"",'[2]Tasa de Falla'!FO31)</f>
      </c>
      <c r="H31" s="784">
        <f>IF('[2]Tasa de Falla'!FP31=0,"",'[2]Tasa de Falla'!FP31)</f>
      </c>
      <c r="I31" s="784">
        <f>IF('[2]Tasa de Falla'!FQ31=0,"",'[2]Tasa de Falla'!FQ31)</f>
      </c>
      <c r="J31" s="784">
        <f>IF('[2]Tasa de Falla'!FR31=0,"",'[2]Tasa de Falla'!FR31)</f>
      </c>
      <c r="K31" s="784">
        <f>IF('[2]Tasa de Falla'!FS31=0,"",'[2]Tasa de Falla'!FS31)</f>
      </c>
      <c r="L31" s="784">
        <f>IF('[2]Tasa de Falla'!FT31=0,"",'[2]Tasa de Falla'!FT31)</f>
      </c>
      <c r="M31" s="784">
        <f>IF('[2]Tasa de Falla'!FU31=0,"",'[2]Tasa de Falla'!FU31)</f>
      </c>
      <c r="N31" s="784">
        <f>IF('[2]Tasa de Falla'!FV31=0,"",'[2]Tasa de Falla'!FV31)</f>
      </c>
      <c r="O31" s="784">
        <f>IF('[2]Tasa de Falla'!FW31=0,"",'[2]Tasa de Falla'!FW31)</f>
      </c>
      <c r="P31" s="784">
        <f>IF('[2]Tasa de Falla'!FX31=0,"",'[2]Tasa de Falla'!FX31)</f>
      </c>
      <c r="Q31" s="784">
        <f>IF('[2]Tasa de Falla'!FY31=0,"",'[2]Tasa de Falla'!FY31)</f>
      </c>
      <c r="R31" s="784">
        <f>IF('[2]Tasa de Falla'!FZ31=0,"",'[2]Tasa de Falla'!FZ31)</f>
      </c>
      <c r="S31" s="790"/>
      <c r="T31" s="786"/>
    </row>
    <row r="32" spans="2:20" ht="15" customHeight="1">
      <c r="B32" s="2"/>
      <c r="C32" s="787">
        <f>IF('[2]Tasa de Falla'!C32=0,"",'[2]Tasa de Falla'!C32)</f>
        <v>16</v>
      </c>
      <c r="D32" s="788" t="str">
        <f>IF('[2]Tasa de Falla'!D32=0,"",'[2]Tasa de Falla'!D32)</f>
        <v>PLANTA ALUMINIO DGPA - TRELEW</v>
      </c>
      <c r="E32" s="788">
        <f>IF('[2]Tasa de Falla'!E32=0,"",'[2]Tasa de Falla'!E32)</f>
        <v>132</v>
      </c>
      <c r="F32" s="789">
        <f>IF('[2]Tasa de Falla'!F32=0,"",'[2]Tasa de Falla'!F32)</f>
        <v>62</v>
      </c>
      <c r="G32" s="784">
        <f>IF('[2]Tasa de Falla'!FO32=0,"",'[2]Tasa de Falla'!FO32)</f>
      </c>
      <c r="H32" s="784">
        <f>IF('[2]Tasa de Falla'!FP32=0,"",'[2]Tasa de Falla'!FP32)</f>
      </c>
      <c r="I32" s="784">
        <f>IF('[2]Tasa de Falla'!FQ32=0,"",'[2]Tasa de Falla'!FQ32)</f>
      </c>
      <c r="J32" s="784">
        <f>IF('[2]Tasa de Falla'!FR32=0,"",'[2]Tasa de Falla'!FR32)</f>
      </c>
      <c r="K32" s="784">
        <f>IF('[2]Tasa de Falla'!FS32=0,"",'[2]Tasa de Falla'!FS32)</f>
      </c>
      <c r="L32" s="784">
        <f>IF('[2]Tasa de Falla'!FT32=0,"",'[2]Tasa de Falla'!FT32)</f>
      </c>
      <c r="M32" s="784">
        <f>IF('[2]Tasa de Falla'!FU32=0,"",'[2]Tasa de Falla'!FU32)</f>
      </c>
      <c r="N32" s="784">
        <f>IF('[2]Tasa de Falla'!FV32=0,"",'[2]Tasa de Falla'!FV32)</f>
      </c>
      <c r="O32" s="784">
        <f>IF('[2]Tasa de Falla'!FW32=0,"",'[2]Tasa de Falla'!FW32)</f>
      </c>
      <c r="P32" s="784">
        <f>IF('[2]Tasa de Falla'!FX32=0,"",'[2]Tasa de Falla'!FX32)</f>
      </c>
      <c r="Q32" s="784">
        <f>IF('[2]Tasa de Falla'!FY32=0,"",'[2]Tasa de Falla'!FY32)</f>
      </c>
      <c r="R32" s="784">
        <f>IF('[2]Tasa de Falla'!FZ32=0,"",'[2]Tasa de Falla'!FZ32)</f>
      </c>
      <c r="S32" s="790"/>
      <c r="T32" s="786"/>
    </row>
    <row r="33" spans="2:20" ht="15" customHeight="1">
      <c r="B33" s="2"/>
      <c r="C33" s="781">
        <f>IF('[2]Tasa de Falla'!C33=0,"",'[2]Tasa de Falla'!C33)</f>
        <v>17</v>
      </c>
      <c r="D33" s="782" t="str">
        <f>IF('[2]Tasa de Falla'!D33=0,"",'[2]Tasa de Falla'!D33)</f>
        <v>PUERTO MADRYN - SIERRA GRANDE</v>
      </c>
      <c r="E33" s="782">
        <f>IF('[2]Tasa de Falla'!E33=0,"",'[2]Tasa de Falla'!E33)</f>
        <v>132</v>
      </c>
      <c r="F33" s="783">
        <f>IF('[2]Tasa de Falla'!F33=0,"",'[2]Tasa de Falla'!F33)</f>
        <v>121.5</v>
      </c>
      <c r="G33" s="784">
        <f>IF('[2]Tasa de Falla'!FO33=0,"",'[2]Tasa de Falla'!FO33)</f>
      </c>
      <c r="H33" s="784">
        <f>IF('[2]Tasa de Falla'!FP33=0,"",'[2]Tasa de Falla'!FP33)</f>
      </c>
      <c r="I33" s="784">
        <f>IF('[2]Tasa de Falla'!FQ33=0,"",'[2]Tasa de Falla'!FQ33)</f>
      </c>
      <c r="J33" s="784">
        <f>IF('[2]Tasa de Falla'!FR33=0,"",'[2]Tasa de Falla'!FR33)</f>
      </c>
      <c r="K33" s="784">
        <f>IF('[2]Tasa de Falla'!FS33=0,"",'[2]Tasa de Falla'!FS33)</f>
      </c>
      <c r="L33" s="784">
        <f>IF('[2]Tasa de Falla'!FT33=0,"",'[2]Tasa de Falla'!FT33)</f>
      </c>
      <c r="M33" s="784">
        <f>IF('[2]Tasa de Falla'!FU33=0,"",'[2]Tasa de Falla'!FU33)</f>
        <v>1</v>
      </c>
      <c r="N33" s="784">
        <f>IF('[2]Tasa de Falla'!FV33=0,"",'[2]Tasa de Falla'!FV33)</f>
      </c>
      <c r="O33" s="784">
        <f>IF('[2]Tasa de Falla'!FW33=0,"",'[2]Tasa de Falla'!FW33)</f>
      </c>
      <c r="P33" s="784">
        <f>IF('[2]Tasa de Falla'!FX33=0,"",'[2]Tasa de Falla'!FX33)</f>
      </c>
      <c r="Q33" s="784">
        <f>IF('[2]Tasa de Falla'!FY33=0,"",'[2]Tasa de Falla'!FY33)</f>
        <v>1</v>
      </c>
      <c r="R33" s="784">
        <f>IF('[2]Tasa de Falla'!FZ33=0,"",'[2]Tasa de Falla'!FZ33)</f>
        <v>2</v>
      </c>
      <c r="S33" s="790"/>
      <c r="T33" s="786"/>
    </row>
    <row r="34" spans="2:20" ht="15" customHeight="1">
      <c r="B34" s="2"/>
      <c r="C34" s="787">
        <f>IF('[2]Tasa de Falla'!C34=0,"",'[2]Tasa de Falla'!C34)</f>
        <v>18</v>
      </c>
      <c r="D34" s="788" t="str">
        <f>IF('[2]Tasa de Falla'!D34=0,"",'[2]Tasa de Falla'!D34)</f>
        <v>BARRIO SAN MARTIN - A CONEXION "T"</v>
      </c>
      <c r="E34" s="788">
        <f>IF('[2]Tasa de Falla'!E34=0,"",'[2]Tasa de Falla'!E34)</f>
        <v>132</v>
      </c>
      <c r="F34" s="789">
        <f>IF('[2]Tasa de Falla'!F34=0,"",'[2]Tasa de Falla'!F34)</f>
        <v>7.5</v>
      </c>
      <c r="G34" s="784" t="str">
        <f>IF('[2]Tasa de Falla'!FO34=0,"",'[2]Tasa de Falla'!FO34)</f>
        <v>XXXX</v>
      </c>
      <c r="H34" s="784" t="str">
        <f>IF('[2]Tasa de Falla'!FP34=0,"",'[2]Tasa de Falla'!FP34)</f>
        <v>XXXX</v>
      </c>
      <c r="I34" s="784" t="str">
        <f>IF('[2]Tasa de Falla'!FQ34=0,"",'[2]Tasa de Falla'!FQ34)</f>
        <v>XXXX</v>
      </c>
      <c r="J34" s="784" t="str">
        <f>IF('[2]Tasa de Falla'!FR34=0,"",'[2]Tasa de Falla'!FR34)</f>
        <v>XXXX</v>
      </c>
      <c r="K34" s="784" t="str">
        <f>IF('[2]Tasa de Falla'!FS34=0,"",'[2]Tasa de Falla'!FS34)</f>
        <v>XXXX</v>
      </c>
      <c r="L34" s="784" t="str">
        <f>IF('[2]Tasa de Falla'!FT34=0,"",'[2]Tasa de Falla'!FT34)</f>
        <v>XXXX</v>
      </c>
      <c r="M34" s="784" t="str">
        <f>IF('[2]Tasa de Falla'!FU34=0,"",'[2]Tasa de Falla'!FU34)</f>
        <v>XXXX</v>
      </c>
      <c r="N34" s="784" t="str">
        <f>IF('[2]Tasa de Falla'!FV34=0,"",'[2]Tasa de Falla'!FV34)</f>
        <v>XXXX</v>
      </c>
      <c r="O34" s="784" t="str">
        <f>IF('[2]Tasa de Falla'!FW34=0,"",'[2]Tasa de Falla'!FW34)</f>
        <v>XXXX</v>
      </c>
      <c r="P34" s="784" t="str">
        <f>IF('[2]Tasa de Falla'!FX34=0,"",'[2]Tasa de Falla'!FX34)</f>
        <v>XXXX</v>
      </c>
      <c r="Q34" s="784" t="str">
        <f>IF('[2]Tasa de Falla'!FY34=0,"",'[2]Tasa de Falla'!FY34)</f>
        <v>XXXX</v>
      </c>
      <c r="R34" s="784" t="str">
        <f>IF('[2]Tasa de Falla'!FZ34=0,"",'[2]Tasa de Falla'!FZ34)</f>
        <v>XXXX</v>
      </c>
      <c r="S34" s="790"/>
      <c r="T34" s="786"/>
    </row>
    <row r="35" spans="2:20" ht="15" customHeight="1">
      <c r="B35" s="2"/>
      <c r="C35" s="781">
        <f>IF('[2]Tasa de Falla'!C35=0,"",'[2]Tasa de Falla'!C35)</f>
        <v>19</v>
      </c>
      <c r="D35" s="782" t="str">
        <f>IF('[2]Tasa de Falla'!D35=0,"",'[2]Tasa de Falla'!D35)</f>
        <v>PICO TRUNCADO I - LAS HERAS</v>
      </c>
      <c r="E35" s="782">
        <f>IF('[2]Tasa de Falla'!E35=0,"",'[2]Tasa de Falla'!E35)</f>
        <v>132</v>
      </c>
      <c r="F35" s="783">
        <f>IF('[2]Tasa de Falla'!F35=0,"",'[2]Tasa de Falla'!F35)</f>
        <v>82.5</v>
      </c>
      <c r="G35" s="784">
        <f>IF('[2]Tasa de Falla'!FO35=0,"",'[2]Tasa de Falla'!FO35)</f>
      </c>
      <c r="H35" s="784">
        <f>IF('[2]Tasa de Falla'!FP35=0,"",'[2]Tasa de Falla'!FP35)</f>
      </c>
      <c r="I35" s="784">
        <f>IF('[2]Tasa de Falla'!FQ35=0,"",'[2]Tasa de Falla'!FQ35)</f>
      </c>
      <c r="J35" s="784">
        <f>IF('[2]Tasa de Falla'!FR35=0,"",'[2]Tasa de Falla'!FR35)</f>
      </c>
      <c r="K35" s="784">
        <f>IF('[2]Tasa de Falla'!FS35=0,"",'[2]Tasa de Falla'!FS35)</f>
      </c>
      <c r="L35" s="784">
        <f>IF('[2]Tasa de Falla'!FT35=0,"",'[2]Tasa de Falla'!FT35)</f>
      </c>
      <c r="M35" s="784">
        <f>IF('[2]Tasa de Falla'!FU35=0,"",'[2]Tasa de Falla'!FU35)</f>
      </c>
      <c r="N35" s="784">
        <f>IF('[2]Tasa de Falla'!FV35=0,"",'[2]Tasa de Falla'!FV35)</f>
      </c>
      <c r="O35" s="784">
        <f>IF('[2]Tasa de Falla'!FW35=0,"",'[2]Tasa de Falla'!FW35)</f>
      </c>
      <c r="P35" s="784">
        <f>IF('[2]Tasa de Falla'!FX35=0,"",'[2]Tasa de Falla'!FX35)</f>
      </c>
      <c r="Q35" s="784">
        <f>IF('[2]Tasa de Falla'!FY35=0,"",'[2]Tasa de Falla'!FY35)</f>
      </c>
      <c r="R35" s="784">
        <f>IF('[2]Tasa de Falla'!FZ35=0,"",'[2]Tasa de Falla'!FZ35)</f>
      </c>
      <c r="S35" s="790"/>
      <c r="T35" s="786"/>
    </row>
    <row r="36" spans="2:20" ht="15" customHeight="1">
      <c r="B36" s="2"/>
      <c r="C36" s="787">
        <f>IF('[2]Tasa de Falla'!C36=0,"",'[2]Tasa de Falla'!C36)</f>
        <v>20</v>
      </c>
      <c r="D36" s="788" t="str">
        <f>IF('[2]Tasa de Falla'!D36=0,"",'[2]Tasa de Falla'!D36)</f>
        <v>LAS HERAS - LOS PERALES</v>
      </c>
      <c r="E36" s="788">
        <f>IF('[2]Tasa de Falla'!E36=0,"",'[2]Tasa de Falla'!E36)</f>
        <v>132</v>
      </c>
      <c r="F36" s="789">
        <f>IF('[2]Tasa de Falla'!F36=0,"",'[2]Tasa de Falla'!F36)</f>
        <v>47</v>
      </c>
      <c r="G36" s="784">
        <f>IF('[2]Tasa de Falla'!FO36=0,"",'[2]Tasa de Falla'!FO36)</f>
      </c>
      <c r="H36" s="784">
        <f>IF('[2]Tasa de Falla'!FP36=0,"",'[2]Tasa de Falla'!FP36)</f>
      </c>
      <c r="I36" s="784">
        <f>IF('[2]Tasa de Falla'!FQ36=0,"",'[2]Tasa de Falla'!FQ36)</f>
      </c>
      <c r="J36" s="784">
        <f>IF('[2]Tasa de Falla'!FR36=0,"",'[2]Tasa de Falla'!FR36)</f>
      </c>
      <c r="K36" s="784">
        <f>IF('[2]Tasa de Falla'!FS36=0,"",'[2]Tasa de Falla'!FS36)</f>
      </c>
      <c r="L36" s="784">
        <f>IF('[2]Tasa de Falla'!FT36=0,"",'[2]Tasa de Falla'!FT36)</f>
      </c>
      <c r="M36" s="784">
        <f>IF('[2]Tasa de Falla'!FU36=0,"",'[2]Tasa de Falla'!FU36)</f>
      </c>
      <c r="N36" s="784">
        <f>IF('[2]Tasa de Falla'!FV36=0,"",'[2]Tasa de Falla'!FV36)</f>
      </c>
      <c r="O36" s="784">
        <f>IF('[2]Tasa de Falla'!FW36=0,"",'[2]Tasa de Falla'!FW36)</f>
      </c>
      <c r="P36" s="784">
        <f>IF('[2]Tasa de Falla'!FX36=0,"",'[2]Tasa de Falla'!FX36)</f>
      </c>
      <c r="Q36" s="784">
        <f>IF('[2]Tasa de Falla'!FY36=0,"",'[2]Tasa de Falla'!FY36)</f>
      </c>
      <c r="R36" s="784">
        <f>IF('[2]Tasa de Falla'!FZ36=0,"",'[2]Tasa de Falla'!FZ36)</f>
      </c>
      <c r="S36" s="790"/>
      <c r="T36" s="786"/>
    </row>
    <row r="37" spans="2:20" ht="15" customHeight="1">
      <c r="B37" s="2"/>
      <c r="C37" s="781">
        <f>IF('[2]Tasa de Falla'!C37=0,"",'[2]Tasa de Falla'!C37)</f>
        <v>21</v>
      </c>
      <c r="D37" s="782" t="str">
        <f>IF('[2]Tasa de Falla'!D37=0,"",'[2]Tasa de Falla'!D37)</f>
        <v>N. P. MADRYN - P. MADRYN 330 kV</v>
      </c>
      <c r="E37" s="782">
        <f>IF('[2]Tasa de Falla'!E37=0,"",'[2]Tasa de Falla'!E37)</f>
        <v>330</v>
      </c>
      <c r="F37" s="783">
        <f>IF('[2]Tasa de Falla'!F37=0,"",'[2]Tasa de Falla'!F37)</f>
        <v>0.47</v>
      </c>
      <c r="G37" s="784">
        <f>IF('[2]Tasa de Falla'!FO37=0,"",'[2]Tasa de Falla'!FO37)</f>
        <v>1</v>
      </c>
      <c r="H37" s="784">
        <f>IF('[2]Tasa de Falla'!FP37=0,"",'[2]Tasa de Falla'!FP37)</f>
      </c>
      <c r="I37" s="784">
        <f>IF('[2]Tasa de Falla'!FQ37=0,"",'[2]Tasa de Falla'!FQ37)</f>
        <v>1</v>
      </c>
      <c r="J37" s="784">
        <f>IF('[2]Tasa de Falla'!FR37=0,"",'[2]Tasa de Falla'!FR37)</f>
      </c>
      <c r="K37" s="784">
        <f>IF('[2]Tasa de Falla'!FS37=0,"",'[2]Tasa de Falla'!FS37)</f>
      </c>
      <c r="L37" s="784">
        <f>IF('[2]Tasa de Falla'!FT37=0,"",'[2]Tasa de Falla'!FT37)</f>
      </c>
      <c r="M37" s="784">
        <f>IF('[2]Tasa de Falla'!FU37=0,"",'[2]Tasa de Falla'!FU37)</f>
      </c>
      <c r="N37" s="784">
        <f>IF('[2]Tasa de Falla'!FV37=0,"",'[2]Tasa de Falla'!FV37)</f>
      </c>
      <c r="O37" s="784">
        <f>IF('[2]Tasa de Falla'!FW37=0,"",'[2]Tasa de Falla'!FW37)</f>
      </c>
      <c r="P37" s="784">
        <f>IF('[2]Tasa de Falla'!FX37=0,"",'[2]Tasa de Falla'!FX37)</f>
      </c>
      <c r="Q37" s="784">
        <f>IF('[2]Tasa de Falla'!FY37=0,"",'[2]Tasa de Falla'!FY37)</f>
      </c>
      <c r="R37" s="784">
        <f>IF('[2]Tasa de Falla'!FZ37=0,"",'[2]Tasa de Falla'!FZ37)</f>
      </c>
      <c r="S37" s="790"/>
      <c r="T37" s="786"/>
    </row>
    <row r="38" spans="2:20" ht="15" customHeight="1">
      <c r="B38" s="2"/>
      <c r="C38" s="787">
        <f>IF('[2]Tasa de Falla'!C38=0,"",'[2]Tasa de Falla'!C38)</f>
      </c>
      <c r="D38" s="788">
        <f>IF('[2]Tasa de Falla'!D38=0,"",'[2]Tasa de Falla'!D38)</f>
      </c>
      <c r="E38" s="788">
        <f>IF('[2]Tasa de Falla'!E38=0,"",'[2]Tasa de Falla'!E38)</f>
      </c>
      <c r="F38" s="789">
        <f>IF('[2]Tasa de Falla'!F38=0,"",'[2]Tasa de Falla'!F38)</f>
      </c>
      <c r="G38" s="784">
        <f>IF('[2]Tasa de Falla'!FO38=0,"",'[2]Tasa de Falla'!FO38)</f>
      </c>
      <c r="H38" s="784">
        <f>IF('[2]Tasa de Falla'!FP38=0,"",'[2]Tasa de Falla'!FP38)</f>
      </c>
      <c r="I38" s="784">
        <f>IF('[2]Tasa de Falla'!FQ38=0,"",'[2]Tasa de Falla'!FQ38)</f>
      </c>
      <c r="J38" s="784">
        <f>IF('[2]Tasa de Falla'!FR38=0,"",'[2]Tasa de Falla'!FR38)</f>
      </c>
      <c r="K38" s="784">
        <f>IF('[2]Tasa de Falla'!FS38=0,"",'[2]Tasa de Falla'!FS38)</f>
      </c>
      <c r="L38" s="784">
        <f>IF('[2]Tasa de Falla'!FT38=0,"",'[2]Tasa de Falla'!FT38)</f>
      </c>
      <c r="M38" s="784">
        <f>IF('[2]Tasa de Falla'!FU38=0,"",'[2]Tasa de Falla'!FU38)</f>
      </c>
      <c r="N38" s="784">
        <f>IF('[2]Tasa de Falla'!FV38=0,"",'[2]Tasa de Falla'!FV38)</f>
      </c>
      <c r="O38" s="784">
        <f>IF('[2]Tasa de Falla'!FW38=0,"",'[2]Tasa de Falla'!FW38)</f>
      </c>
      <c r="P38" s="784">
        <f>IF('[2]Tasa de Falla'!FX38=0,"",'[2]Tasa de Falla'!FX38)</f>
      </c>
      <c r="Q38" s="784">
        <f>IF('[2]Tasa de Falla'!FY38=0,"",'[2]Tasa de Falla'!FY38)</f>
      </c>
      <c r="R38" s="784">
        <f>IF('[2]Tasa de Falla'!FZ38=0,"",'[2]Tasa de Falla'!FZ38)</f>
      </c>
      <c r="S38" s="790"/>
      <c r="T38" s="786"/>
    </row>
    <row r="39" spans="2:20" ht="15" customHeight="1">
      <c r="B39" s="2"/>
      <c r="C39" s="781">
        <f>IF('[2]Tasa de Falla'!C39=0,"",'[2]Tasa de Falla'!C39)</f>
        <v>19</v>
      </c>
      <c r="D39" s="782" t="str">
        <f>IF('[2]Tasa de Falla'!D39=0,"",'[2]Tasa de Falla'!D39)</f>
        <v>PUNTA COLORADA - SIERRA GRANDE</v>
      </c>
      <c r="E39" s="782">
        <f>IF('[2]Tasa de Falla'!E39=0,"",'[2]Tasa de Falla'!E39)</f>
        <v>132</v>
      </c>
      <c r="F39" s="783">
        <f>IF('[2]Tasa de Falla'!F39=0,"",'[2]Tasa de Falla'!F39)</f>
        <v>31</v>
      </c>
      <c r="G39" s="784">
        <f>IF('[2]Tasa de Falla'!FO39=0,"",'[2]Tasa de Falla'!FO39)</f>
      </c>
      <c r="H39" s="784">
        <f>IF('[2]Tasa de Falla'!FP39=0,"",'[2]Tasa de Falla'!FP39)</f>
      </c>
      <c r="I39" s="784">
        <f>IF('[2]Tasa de Falla'!FQ39=0,"",'[2]Tasa de Falla'!FQ39)</f>
      </c>
      <c r="J39" s="784">
        <f>IF('[2]Tasa de Falla'!FR39=0,"",'[2]Tasa de Falla'!FR39)</f>
      </c>
      <c r="K39" s="784">
        <f>IF('[2]Tasa de Falla'!FS39=0,"",'[2]Tasa de Falla'!FS39)</f>
      </c>
      <c r="L39" s="784">
        <f>IF('[2]Tasa de Falla'!FT39=0,"",'[2]Tasa de Falla'!FT39)</f>
      </c>
      <c r="M39" s="784">
        <f>IF('[2]Tasa de Falla'!FU39=0,"",'[2]Tasa de Falla'!FU39)</f>
      </c>
      <c r="N39" s="784">
        <f>IF('[2]Tasa de Falla'!FV39=0,"",'[2]Tasa de Falla'!FV39)</f>
      </c>
      <c r="O39" s="784">
        <f>IF('[2]Tasa de Falla'!FW39=0,"",'[2]Tasa de Falla'!FW39)</f>
      </c>
      <c r="P39" s="784">
        <f>IF('[2]Tasa de Falla'!FX39=0,"",'[2]Tasa de Falla'!FX39)</f>
      </c>
      <c r="Q39" s="784">
        <f>IF('[2]Tasa de Falla'!FY39=0,"",'[2]Tasa de Falla'!FY39)</f>
      </c>
      <c r="R39" s="784">
        <f>IF('[2]Tasa de Falla'!FZ39=0,"",'[2]Tasa de Falla'!FZ39)</f>
      </c>
      <c r="S39" s="790"/>
      <c r="T39" s="786"/>
    </row>
    <row r="40" spans="2:20" ht="15" customHeight="1">
      <c r="B40" s="2"/>
      <c r="C40" s="787">
        <f>IF('[2]Tasa de Falla'!C40=0,"",'[2]Tasa de Falla'!C40)</f>
        <v>20</v>
      </c>
      <c r="D40" s="788" t="str">
        <f>IF('[2]Tasa de Falla'!D40=0,"",'[2]Tasa de Falla'!D40)</f>
        <v>CARMEN DE PATAGONES - VIEDMA</v>
      </c>
      <c r="E40" s="788">
        <f>IF('[2]Tasa de Falla'!E40=0,"",'[2]Tasa de Falla'!E40)</f>
        <v>132</v>
      </c>
      <c r="F40" s="789">
        <f>IF('[2]Tasa de Falla'!F40=0,"",'[2]Tasa de Falla'!F40)</f>
        <v>7</v>
      </c>
      <c r="G40" s="784">
        <f>IF('[2]Tasa de Falla'!FO40=0,"",'[2]Tasa de Falla'!FO40)</f>
      </c>
      <c r="H40" s="784">
        <f>IF('[2]Tasa de Falla'!FP40=0,"",'[2]Tasa de Falla'!FP40)</f>
      </c>
      <c r="I40" s="784">
        <f>IF('[2]Tasa de Falla'!FQ40=0,"",'[2]Tasa de Falla'!FQ40)</f>
      </c>
      <c r="J40" s="784">
        <f>IF('[2]Tasa de Falla'!FR40=0,"",'[2]Tasa de Falla'!FR40)</f>
      </c>
      <c r="K40" s="784">
        <f>IF('[2]Tasa de Falla'!FS40=0,"",'[2]Tasa de Falla'!FS40)</f>
      </c>
      <c r="L40" s="784">
        <f>IF('[2]Tasa de Falla'!FT40=0,"",'[2]Tasa de Falla'!FT40)</f>
      </c>
      <c r="M40" s="784">
        <f>IF('[2]Tasa de Falla'!FU40=0,"",'[2]Tasa de Falla'!FU40)</f>
      </c>
      <c r="N40" s="784">
        <f>IF('[2]Tasa de Falla'!FV40=0,"",'[2]Tasa de Falla'!FV40)</f>
      </c>
      <c r="O40" s="784">
        <f>IF('[2]Tasa de Falla'!FW40=0,"",'[2]Tasa de Falla'!FW40)</f>
      </c>
      <c r="P40" s="784">
        <f>IF('[2]Tasa de Falla'!FX40=0,"",'[2]Tasa de Falla'!FX40)</f>
      </c>
      <c r="Q40" s="784">
        <f>IF('[2]Tasa de Falla'!FY40=0,"",'[2]Tasa de Falla'!FY40)</f>
      </c>
      <c r="R40" s="784">
        <f>IF('[2]Tasa de Falla'!FZ40=0,"",'[2]Tasa de Falla'!FZ40)</f>
      </c>
      <c r="S40" s="790"/>
      <c r="T40" s="786"/>
    </row>
    <row r="41" spans="2:20" ht="15" customHeight="1">
      <c r="B41" s="2"/>
      <c r="C41" s="781">
        <f>IF('[2]Tasa de Falla'!C41=0,"",'[2]Tasa de Falla'!C41)</f>
        <v>21</v>
      </c>
      <c r="D41" s="782" t="str">
        <f>IF('[2]Tasa de Falla'!D41=0,"",'[2]Tasa de Falla'!D41)</f>
        <v>SAN ANTONIO OESTE - SIERRA GRANDE</v>
      </c>
      <c r="E41" s="782">
        <f>IF('[2]Tasa de Falla'!E41=0,"",'[2]Tasa de Falla'!E41)</f>
        <v>132</v>
      </c>
      <c r="F41" s="783">
        <f>IF('[2]Tasa de Falla'!F41=0,"",'[2]Tasa de Falla'!F41)</f>
        <v>110.3</v>
      </c>
      <c r="G41" s="784">
        <f>IF('[2]Tasa de Falla'!FO41=0,"",'[2]Tasa de Falla'!FO41)</f>
      </c>
      <c r="H41" s="784">
        <f>IF('[2]Tasa de Falla'!FP41=0,"",'[2]Tasa de Falla'!FP41)</f>
      </c>
      <c r="I41" s="784">
        <f>IF('[2]Tasa de Falla'!FQ41=0,"",'[2]Tasa de Falla'!FQ41)</f>
      </c>
      <c r="J41" s="784">
        <f>IF('[2]Tasa de Falla'!FR41=0,"",'[2]Tasa de Falla'!FR41)</f>
      </c>
      <c r="K41" s="784">
        <f>IF('[2]Tasa de Falla'!FS41=0,"",'[2]Tasa de Falla'!FS41)</f>
      </c>
      <c r="L41" s="784">
        <f>IF('[2]Tasa de Falla'!FT41=0,"",'[2]Tasa de Falla'!FT41)</f>
      </c>
      <c r="M41" s="784">
        <f>IF('[2]Tasa de Falla'!FU41=0,"",'[2]Tasa de Falla'!FU41)</f>
      </c>
      <c r="N41" s="784">
        <f>IF('[2]Tasa de Falla'!FV41=0,"",'[2]Tasa de Falla'!FV41)</f>
      </c>
      <c r="O41" s="784">
        <f>IF('[2]Tasa de Falla'!FW41=0,"",'[2]Tasa de Falla'!FW41)</f>
      </c>
      <c r="P41" s="784">
        <f>IF('[2]Tasa de Falla'!FX41=0,"",'[2]Tasa de Falla'!FX41)</f>
      </c>
      <c r="Q41" s="784">
        <f>IF('[2]Tasa de Falla'!FY41=0,"",'[2]Tasa de Falla'!FY41)</f>
      </c>
      <c r="R41" s="784">
        <f>IF('[2]Tasa de Falla'!FZ41=0,"",'[2]Tasa de Falla'!FZ41)</f>
      </c>
      <c r="S41" s="790"/>
      <c r="T41" s="786"/>
    </row>
    <row r="42" spans="2:20" ht="15" customHeight="1">
      <c r="B42" s="2"/>
      <c r="C42" s="787">
        <f>IF('[2]Tasa de Falla'!C42=0,"",'[2]Tasa de Falla'!C42)</f>
        <v>22</v>
      </c>
      <c r="D42" s="788" t="str">
        <f>IF('[2]Tasa de Falla'!D42=0,"",'[2]Tasa de Falla'!D42)</f>
        <v>SAN ANTONIO OESTE - VIEDMA</v>
      </c>
      <c r="E42" s="788">
        <f>IF('[2]Tasa de Falla'!E42=0,"",'[2]Tasa de Falla'!E42)</f>
        <v>132</v>
      </c>
      <c r="F42" s="789">
        <f>IF('[2]Tasa de Falla'!F42=0,"",'[2]Tasa de Falla'!F42)</f>
        <v>185.6</v>
      </c>
      <c r="G42" s="784">
        <f>IF('[2]Tasa de Falla'!FO42=0,"",'[2]Tasa de Falla'!FO42)</f>
      </c>
      <c r="H42" s="784">
        <f>IF('[2]Tasa de Falla'!FP42=0,"",'[2]Tasa de Falla'!FP42)</f>
      </c>
      <c r="I42" s="784">
        <f>IF('[2]Tasa de Falla'!FQ42=0,"",'[2]Tasa de Falla'!FQ42)</f>
      </c>
      <c r="J42" s="784">
        <f>IF('[2]Tasa de Falla'!FR42=0,"",'[2]Tasa de Falla'!FR42)</f>
      </c>
      <c r="K42" s="784">
        <f>IF('[2]Tasa de Falla'!FS42=0,"",'[2]Tasa de Falla'!FS42)</f>
      </c>
      <c r="L42" s="784">
        <f>IF('[2]Tasa de Falla'!FT42=0,"",'[2]Tasa de Falla'!FT42)</f>
      </c>
      <c r="M42" s="784">
        <f>IF('[2]Tasa de Falla'!FU42=0,"",'[2]Tasa de Falla'!FU42)</f>
      </c>
      <c r="N42" s="784">
        <f>IF('[2]Tasa de Falla'!FV42=0,"",'[2]Tasa de Falla'!FV42)</f>
      </c>
      <c r="O42" s="784">
        <f>IF('[2]Tasa de Falla'!FW42=0,"",'[2]Tasa de Falla'!FW42)</f>
      </c>
      <c r="P42" s="784">
        <f>IF('[2]Tasa de Falla'!FX42=0,"",'[2]Tasa de Falla'!FX42)</f>
      </c>
      <c r="Q42" s="784">
        <f>IF('[2]Tasa de Falla'!FY42=0,"",'[2]Tasa de Falla'!FY42)</f>
      </c>
      <c r="R42" s="784">
        <f>IF('[2]Tasa de Falla'!FZ42=0,"",'[2]Tasa de Falla'!FZ42)</f>
      </c>
      <c r="S42" s="790"/>
      <c r="T42" s="786"/>
    </row>
    <row r="43" spans="2:20" ht="15" customHeight="1">
      <c r="B43" s="2"/>
      <c r="C43" s="781">
        <f>IF('[2]Tasa de Falla'!C43=0,"",'[2]Tasa de Falla'!C43)</f>
      </c>
      <c r="D43" s="782">
        <f>IF('[2]Tasa de Falla'!D43=0,"",'[2]Tasa de Falla'!D43)</f>
      </c>
      <c r="E43" s="782">
        <f>IF('[2]Tasa de Falla'!E43=0,"",'[2]Tasa de Falla'!E43)</f>
      </c>
      <c r="F43" s="783">
        <f>IF('[2]Tasa de Falla'!F43=0,"",'[2]Tasa de Falla'!F43)</f>
      </c>
      <c r="G43" s="784">
        <f>IF('[2]Tasa de Falla'!FO43=0,"",'[2]Tasa de Falla'!FO43)</f>
      </c>
      <c r="H43" s="784">
        <f>IF('[2]Tasa de Falla'!FP43=0,"",'[2]Tasa de Falla'!FP43)</f>
      </c>
      <c r="I43" s="784">
        <f>IF('[2]Tasa de Falla'!FQ43=0,"",'[2]Tasa de Falla'!FQ43)</f>
      </c>
      <c r="J43" s="784">
        <f>IF('[2]Tasa de Falla'!FR43=0,"",'[2]Tasa de Falla'!FR43)</f>
      </c>
      <c r="K43" s="784">
        <f>IF('[2]Tasa de Falla'!FS43=0,"",'[2]Tasa de Falla'!FS43)</f>
      </c>
      <c r="L43" s="784">
        <f>IF('[2]Tasa de Falla'!FT43=0,"",'[2]Tasa de Falla'!FT43)</f>
      </c>
      <c r="M43" s="784">
        <f>IF('[2]Tasa de Falla'!FU43=0,"",'[2]Tasa de Falla'!FU43)</f>
      </c>
      <c r="N43" s="784">
        <f>IF('[2]Tasa de Falla'!FV43=0,"",'[2]Tasa de Falla'!FV43)</f>
      </c>
      <c r="O43" s="784">
        <f>IF('[2]Tasa de Falla'!FW43=0,"",'[2]Tasa de Falla'!FW43)</f>
      </c>
      <c r="P43" s="784">
        <f>IF('[2]Tasa de Falla'!FX43=0,"",'[2]Tasa de Falla'!FX43)</f>
      </c>
      <c r="Q43" s="784">
        <f>IF('[2]Tasa de Falla'!FY43=0,"",'[2]Tasa de Falla'!FY43)</f>
      </c>
      <c r="R43" s="784">
        <f>IF('[2]Tasa de Falla'!FZ43=0,"",'[2]Tasa de Falla'!FZ43)</f>
      </c>
      <c r="S43" s="790"/>
      <c r="T43" s="786"/>
    </row>
    <row r="44" spans="2:20" ht="15" customHeight="1">
      <c r="B44" s="2"/>
      <c r="C44" s="787">
        <f>IF('[2]Tasa de Falla'!C44=0,"",'[2]Tasa de Falla'!C44)</f>
        <v>23</v>
      </c>
      <c r="D44" s="788" t="str">
        <f>IF('[2]Tasa de Falla'!D44=0,"",'[2]Tasa de Falla'!D44)</f>
        <v>PICO TRUNCADO I - PUERTO DESEADO</v>
      </c>
      <c r="E44" s="788">
        <f>IF('[2]Tasa de Falla'!E44=0,"",'[2]Tasa de Falla'!E44)</f>
        <v>132</v>
      </c>
      <c r="F44" s="789">
        <f>IF('[2]Tasa de Falla'!F44=0,"",'[2]Tasa de Falla'!F44)</f>
        <v>209</v>
      </c>
      <c r="G44" s="784">
        <f>IF('[2]Tasa de Falla'!FO44=0,"",'[2]Tasa de Falla'!FO44)</f>
      </c>
      <c r="H44" s="784">
        <f>IF('[2]Tasa de Falla'!FP44=0,"",'[2]Tasa de Falla'!FP44)</f>
      </c>
      <c r="I44" s="784">
        <f>IF('[2]Tasa de Falla'!FQ44=0,"",'[2]Tasa de Falla'!FQ44)</f>
      </c>
      <c r="J44" s="784">
        <f>IF('[2]Tasa de Falla'!FR44=0,"",'[2]Tasa de Falla'!FR44)</f>
      </c>
      <c r="K44" s="784">
        <f>IF('[2]Tasa de Falla'!FS44=0,"",'[2]Tasa de Falla'!FS44)</f>
        <v>1</v>
      </c>
      <c r="L44" s="784">
        <f>IF('[2]Tasa de Falla'!FT44=0,"",'[2]Tasa de Falla'!FT44)</f>
      </c>
      <c r="M44" s="784">
        <f>IF('[2]Tasa de Falla'!FU44=0,"",'[2]Tasa de Falla'!FU44)</f>
      </c>
      <c r="N44" s="784">
        <f>IF('[2]Tasa de Falla'!FV44=0,"",'[2]Tasa de Falla'!FV44)</f>
        <v>1</v>
      </c>
      <c r="O44" s="784">
        <f>IF('[2]Tasa de Falla'!FW44=0,"",'[2]Tasa de Falla'!FW44)</f>
        <v>1</v>
      </c>
      <c r="P44" s="784">
        <f>IF('[2]Tasa de Falla'!FX44=0,"",'[2]Tasa de Falla'!FX44)</f>
      </c>
      <c r="Q44" s="784">
        <f>IF('[2]Tasa de Falla'!FY44=0,"",'[2]Tasa de Falla'!FY44)</f>
      </c>
      <c r="R44" s="784">
        <f>IF('[2]Tasa de Falla'!FZ44=0,"",'[2]Tasa de Falla'!FZ44)</f>
      </c>
      <c r="S44" s="790"/>
      <c r="T44" s="786"/>
    </row>
    <row r="45" spans="2:20" ht="15" customHeight="1">
      <c r="B45" s="2"/>
      <c r="C45" s="781">
        <f>IF('[2]Tasa de Falla'!C45=0,"",'[2]Tasa de Falla'!C45)</f>
      </c>
      <c r="D45" s="782">
        <f>IF('[2]Tasa de Falla'!D45=0,"",'[2]Tasa de Falla'!D45)</f>
      </c>
      <c r="E45" s="782">
        <f>IF('[2]Tasa de Falla'!E45=0,"",'[2]Tasa de Falla'!E45)</f>
      </c>
      <c r="F45" s="783">
        <f>IF('[2]Tasa de Falla'!F45=0,"",'[2]Tasa de Falla'!F45)</f>
      </c>
      <c r="G45" s="784">
        <f>IF('[2]Tasa de Falla'!FO45=0,"",'[2]Tasa de Falla'!FO45)</f>
      </c>
      <c r="H45" s="784">
        <f>IF('[2]Tasa de Falla'!FP45=0,"",'[2]Tasa de Falla'!FP45)</f>
      </c>
      <c r="I45" s="784">
        <f>IF('[2]Tasa de Falla'!FQ45=0,"",'[2]Tasa de Falla'!FQ45)</f>
      </c>
      <c r="J45" s="784">
        <f>IF('[2]Tasa de Falla'!FR45=0,"",'[2]Tasa de Falla'!FR45)</f>
      </c>
      <c r="K45" s="784">
        <f>IF('[2]Tasa de Falla'!FS45=0,"",'[2]Tasa de Falla'!FS45)</f>
      </c>
      <c r="L45" s="784">
        <f>IF('[2]Tasa de Falla'!FT45=0,"",'[2]Tasa de Falla'!FT45)</f>
      </c>
      <c r="M45" s="784">
        <f>IF('[2]Tasa de Falla'!FU45=0,"",'[2]Tasa de Falla'!FU45)</f>
      </c>
      <c r="N45" s="784">
        <f>IF('[2]Tasa de Falla'!FV45=0,"",'[2]Tasa de Falla'!FV45)</f>
      </c>
      <c r="O45" s="784">
        <f>IF('[2]Tasa de Falla'!FW45=0,"",'[2]Tasa de Falla'!FW45)</f>
      </c>
      <c r="P45" s="784">
        <f>IF('[2]Tasa de Falla'!FX45=0,"",'[2]Tasa de Falla'!FX45)</f>
      </c>
      <c r="Q45" s="784">
        <f>IF('[2]Tasa de Falla'!FY45=0,"",'[2]Tasa de Falla'!FY45)</f>
      </c>
      <c r="R45" s="784">
        <f>IF('[2]Tasa de Falla'!FZ45=0,"",'[2]Tasa de Falla'!FZ45)</f>
      </c>
      <c r="S45" s="790"/>
      <c r="T45" s="786"/>
    </row>
    <row r="46" spans="2:20" ht="15" customHeight="1">
      <c r="B46" s="2"/>
      <c r="C46" s="787">
        <f>IF('[2]Tasa de Falla'!C46=0,"",'[2]Tasa de Falla'!C46)</f>
        <v>24</v>
      </c>
      <c r="D46" s="788" t="str">
        <f>IF('[2]Tasa de Falla'!D46=0,"",'[2]Tasa de Falla'!D46)</f>
        <v>E.T. PATAGONIA - PAMPA DEL CASTILLO</v>
      </c>
      <c r="E46" s="788">
        <f>IF('[2]Tasa de Falla'!E46=0,"",'[2]Tasa de Falla'!E46)</f>
        <v>132</v>
      </c>
      <c r="F46" s="789">
        <f>IF('[2]Tasa de Falla'!F46=0,"",'[2]Tasa de Falla'!F46)</f>
        <v>42.6</v>
      </c>
      <c r="G46" s="784">
        <f>IF('[2]Tasa de Falla'!FO46=0,"",'[2]Tasa de Falla'!FO46)</f>
      </c>
      <c r="H46" s="784">
        <f>IF('[2]Tasa de Falla'!FP46=0,"",'[2]Tasa de Falla'!FP46)</f>
      </c>
      <c r="I46" s="784">
        <f>IF('[2]Tasa de Falla'!FQ46=0,"",'[2]Tasa de Falla'!FQ46)</f>
      </c>
      <c r="J46" s="784">
        <f>IF('[2]Tasa de Falla'!FR46=0,"",'[2]Tasa de Falla'!FR46)</f>
      </c>
      <c r="K46" s="784">
        <f>IF('[2]Tasa de Falla'!FS46=0,"",'[2]Tasa de Falla'!FS46)</f>
      </c>
      <c r="L46" s="784">
        <f>IF('[2]Tasa de Falla'!FT46=0,"",'[2]Tasa de Falla'!FT46)</f>
      </c>
      <c r="M46" s="784">
        <f>IF('[2]Tasa de Falla'!FU46=0,"",'[2]Tasa de Falla'!FU46)</f>
      </c>
      <c r="N46" s="784">
        <f>IF('[2]Tasa de Falla'!FV46=0,"",'[2]Tasa de Falla'!FV46)</f>
      </c>
      <c r="O46" s="784">
        <f>IF('[2]Tasa de Falla'!FW46=0,"",'[2]Tasa de Falla'!FW46)</f>
      </c>
      <c r="P46" s="784">
        <f>IF('[2]Tasa de Falla'!FX46=0,"",'[2]Tasa de Falla'!FX46)</f>
      </c>
      <c r="Q46" s="784">
        <f>IF('[2]Tasa de Falla'!FY46=0,"",'[2]Tasa de Falla'!FY46)</f>
      </c>
      <c r="R46" s="784">
        <f>IF('[2]Tasa de Falla'!FZ46=0,"",'[2]Tasa de Falla'!FZ46)</f>
      </c>
      <c r="S46" s="790"/>
      <c r="T46" s="786"/>
    </row>
    <row r="47" spans="2:20" ht="15" customHeight="1">
      <c r="B47" s="2"/>
      <c r="C47" s="781">
        <f>IF('[2]Tasa de Falla'!C47=0,"",'[2]Tasa de Falla'!C47)</f>
        <v>25</v>
      </c>
      <c r="D47" s="782" t="str">
        <f>IF('[2]Tasa de Falla'!D47=0,"",'[2]Tasa de Falla'!D47)</f>
        <v>PAMPA DEL CASTILLO - VALLE HERMOSO</v>
      </c>
      <c r="E47" s="782">
        <f>IF('[2]Tasa de Falla'!E47=0,"",'[2]Tasa de Falla'!E47)</f>
        <v>132</v>
      </c>
      <c r="F47" s="783">
        <f>IF('[2]Tasa de Falla'!F47=0,"",'[2]Tasa de Falla'!F47)</f>
        <v>33.6</v>
      </c>
      <c r="G47" s="784">
        <f>IF('[2]Tasa de Falla'!FO47=0,"",'[2]Tasa de Falla'!FO47)</f>
      </c>
      <c r="H47" s="784">
        <f>IF('[2]Tasa de Falla'!FP47=0,"",'[2]Tasa de Falla'!FP47)</f>
      </c>
      <c r="I47" s="784">
        <f>IF('[2]Tasa de Falla'!FQ47=0,"",'[2]Tasa de Falla'!FQ47)</f>
      </c>
      <c r="J47" s="784">
        <f>IF('[2]Tasa de Falla'!FR47=0,"",'[2]Tasa de Falla'!FR47)</f>
      </c>
      <c r="K47" s="784">
        <f>IF('[2]Tasa de Falla'!FS47=0,"",'[2]Tasa de Falla'!FS47)</f>
      </c>
      <c r="L47" s="784">
        <f>IF('[2]Tasa de Falla'!FT47=0,"",'[2]Tasa de Falla'!FT47)</f>
      </c>
      <c r="M47" s="784">
        <f>IF('[2]Tasa de Falla'!FU47=0,"",'[2]Tasa de Falla'!FU47)</f>
      </c>
      <c r="N47" s="784">
        <f>IF('[2]Tasa de Falla'!FV47=0,"",'[2]Tasa de Falla'!FV47)</f>
      </c>
      <c r="O47" s="784">
        <f>IF('[2]Tasa de Falla'!FW47=0,"",'[2]Tasa de Falla'!FW47)</f>
      </c>
      <c r="P47" s="784">
        <f>IF('[2]Tasa de Falla'!FX47=0,"",'[2]Tasa de Falla'!FX47)</f>
      </c>
      <c r="Q47" s="784">
        <f>IF('[2]Tasa de Falla'!FY47=0,"",'[2]Tasa de Falla'!FY47)</f>
      </c>
      <c r="R47" s="784">
        <f>IF('[2]Tasa de Falla'!FZ47=0,"",'[2]Tasa de Falla'!FZ47)</f>
      </c>
      <c r="S47" s="790"/>
      <c r="T47" s="786"/>
    </row>
    <row r="48" spans="2:20" ht="15" customHeight="1">
      <c r="B48" s="2"/>
      <c r="C48" s="787">
        <f>IF('[2]Tasa de Falla'!C48=0,"",'[2]Tasa de Falla'!C48)</f>
        <v>26</v>
      </c>
      <c r="D48" s="788" t="str">
        <f>IF('[2]Tasa de Falla'!D48=0,"",'[2]Tasa de Falla'!D48)</f>
        <v>VALLE HERMOSO - CERRO NEGRO</v>
      </c>
      <c r="E48" s="788">
        <f>IF('[2]Tasa de Falla'!E48=0,"",'[2]Tasa de Falla'!E48)</f>
        <v>132</v>
      </c>
      <c r="F48" s="789">
        <f>IF('[2]Tasa de Falla'!F48=0,"",'[2]Tasa de Falla'!F48)</f>
        <v>41</v>
      </c>
      <c r="G48" s="784">
        <f>IF('[2]Tasa de Falla'!FO48=0,"",'[2]Tasa de Falla'!FO48)</f>
      </c>
      <c r="H48" s="784">
        <f>IF('[2]Tasa de Falla'!FP48=0,"",'[2]Tasa de Falla'!FP48)</f>
      </c>
      <c r="I48" s="784">
        <f>IF('[2]Tasa de Falla'!FQ48=0,"",'[2]Tasa de Falla'!FQ48)</f>
      </c>
      <c r="J48" s="784">
        <f>IF('[2]Tasa de Falla'!FR48=0,"",'[2]Tasa de Falla'!FR48)</f>
      </c>
      <c r="K48" s="784">
        <f>IF('[2]Tasa de Falla'!FS48=0,"",'[2]Tasa de Falla'!FS48)</f>
      </c>
      <c r="L48" s="784">
        <f>IF('[2]Tasa de Falla'!FT48=0,"",'[2]Tasa de Falla'!FT48)</f>
      </c>
      <c r="M48" s="784">
        <f>IF('[2]Tasa de Falla'!FU48=0,"",'[2]Tasa de Falla'!FU48)</f>
      </c>
      <c r="N48" s="784">
        <f>IF('[2]Tasa de Falla'!FV48=0,"",'[2]Tasa de Falla'!FV48)</f>
      </c>
      <c r="O48" s="784">
        <f>IF('[2]Tasa de Falla'!FW48=0,"",'[2]Tasa de Falla'!FW48)</f>
      </c>
      <c r="P48" s="784">
        <f>IF('[2]Tasa de Falla'!FX48=0,"",'[2]Tasa de Falla'!FX48)</f>
      </c>
      <c r="Q48" s="784">
        <f>IF('[2]Tasa de Falla'!FY48=0,"",'[2]Tasa de Falla'!FY48)</f>
      </c>
      <c r="R48" s="784">
        <f>IF('[2]Tasa de Falla'!FZ48=0,"",'[2]Tasa de Falla'!FZ48)</f>
      </c>
      <c r="S48" s="790"/>
      <c r="T48" s="786"/>
    </row>
    <row r="49" spans="2:20" ht="15" customHeight="1">
      <c r="B49" s="2"/>
      <c r="C49" s="781">
        <f>IF('[2]Tasa de Falla'!C49=0,"",'[2]Tasa de Falla'!C49)</f>
      </c>
      <c r="D49" s="782" t="str">
        <f>IF('[2]Tasa de Falla'!D49=0,"",'[2]Tasa de Falla'!D49)</f>
        <v>ESQUEL-EL COHIUE</v>
      </c>
      <c r="E49" s="782">
        <f>IF('[2]Tasa de Falla'!E49=0,"",'[2]Tasa de Falla'!E49)</f>
        <v>132</v>
      </c>
      <c r="F49" s="783">
        <f>IF('[2]Tasa de Falla'!F49=0,"",'[2]Tasa de Falla'!F49)</f>
        <v>127.98</v>
      </c>
      <c r="G49" s="784">
        <f>IF('[2]Tasa de Falla'!FO49=0,"",'[2]Tasa de Falla'!FO49)</f>
      </c>
      <c r="H49" s="784">
        <f>IF('[2]Tasa de Falla'!FP49=0,"",'[2]Tasa de Falla'!FP49)</f>
      </c>
      <c r="I49" s="784">
        <f>IF('[2]Tasa de Falla'!FQ49=0,"",'[2]Tasa de Falla'!FQ49)</f>
      </c>
      <c r="J49" s="784">
        <f>IF('[2]Tasa de Falla'!FR49=0,"",'[2]Tasa de Falla'!FR49)</f>
      </c>
      <c r="K49" s="784">
        <f>IF('[2]Tasa de Falla'!FS49=0,"",'[2]Tasa de Falla'!FS49)</f>
      </c>
      <c r="L49" s="784">
        <f>IF('[2]Tasa de Falla'!FT49=0,"",'[2]Tasa de Falla'!FT49)</f>
      </c>
      <c r="M49" s="784">
        <f>IF('[2]Tasa de Falla'!FU49=0,"",'[2]Tasa de Falla'!FU49)</f>
      </c>
      <c r="N49" s="784">
        <f>IF('[2]Tasa de Falla'!FV49=0,"",'[2]Tasa de Falla'!FV49)</f>
      </c>
      <c r="O49" s="784">
        <f>IF('[2]Tasa de Falla'!FW49=0,"",'[2]Tasa de Falla'!FW49)</f>
      </c>
      <c r="P49" s="784">
        <f>IF('[2]Tasa de Falla'!FX49=0,"",'[2]Tasa de Falla'!FX49)</f>
      </c>
      <c r="Q49" s="784">
        <f>IF('[2]Tasa de Falla'!FY49=0,"",'[2]Tasa de Falla'!FY49)</f>
      </c>
      <c r="R49" s="784">
        <f>IF('[2]Tasa de Falla'!FZ49=0,"",'[2]Tasa de Falla'!FZ49)</f>
      </c>
      <c r="S49" s="790"/>
      <c r="T49" s="786"/>
    </row>
    <row r="50" spans="2:20" ht="15" customHeight="1">
      <c r="B50" s="2"/>
      <c r="C50" s="787">
        <f>IF('[2]Tasa de Falla'!C50=0,"",'[2]Tasa de Falla'!C50)</f>
        <v>27</v>
      </c>
      <c r="D50" s="788" t="str">
        <f>IF('[2]Tasa de Falla'!D50=0,"",'[2]Tasa de Falla'!D50)</f>
        <v>PAMPA DEL CASTILLO - EL TORDILLO</v>
      </c>
      <c r="E50" s="788">
        <f>IF('[2]Tasa de Falla'!E50=0,"",'[2]Tasa de Falla'!E50)</f>
        <v>132</v>
      </c>
      <c r="F50" s="789">
        <f>IF('[2]Tasa de Falla'!F50=0,"",'[2]Tasa de Falla'!F50)</f>
        <v>8.9</v>
      </c>
      <c r="G50" s="784">
        <f>IF('[2]Tasa de Falla'!FO50=0,"",'[2]Tasa de Falla'!FO50)</f>
      </c>
      <c r="H50" s="784">
        <f>IF('[2]Tasa de Falla'!FP50=0,"",'[2]Tasa de Falla'!FP50)</f>
      </c>
      <c r="I50" s="784">
        <f>IF('[2]Tasa de Falla'!FQ50=0,"",'[2]Tasa de Falla'!FQ50)</f>
      </c>
      <c r="J50" s="784">
        <f>IF('[2]Tasa de Falla'!FR50=0,"",'[2]Tasa de Falla'!FR50)</f>
      </c>
      <c r="K50" s="784">
        <f>IF('[2]Tasa de Falla'!FS50=0,"",'[2]Tasa de Falla'!FS50)</f>
        <v>1</v>
      </c>
      <c r="L50" s="784">
        <f>IF('[2]Tasa de Falla'!FT50=0,"",'[2]Tasa de Falla'!FT50)</f>
      </c>
      <c r="M50" s="784">
        <f>IF('[2]Tasa de Falla'!FU50=0,"",'[2]Tasa de Falla'!FU50)</f>
      </c>
      <c r="N50" s="784">
        <f>IF('[2]Tasa de Falla'!FV50=0,"",'[2]Tasa de Falla'!FV50)</f>
      </c>
      <c r="O50" s="784">
        <f>IF('[2]Tasa de Falla'!FW50=0,"",'[2]Tasa de Falla'!FW50)</f>
      </c>
      <c r="P50" s="784">
        <f>IF('[2]Tasa de Falla'!FX50=0,"",'[2]Tasa de Falla'!FX50)</f>
      </c>
      <c r="Q50" s="784">
        <f>IF('[2]Tasa de Falla'!FY50=0,"",'[2]Tasa de Falla'!FY50)</f>
      </c>
      <c r="R50" s="784">
        <f>IF('[2]Tasa de Falla'!FZ50=0,"",'[2]Tasa de Falla'!FZ50)</f>
      </c>
      <c r="S50" s="790"/>
      <c r="T50" s="786"/>
    </row>
    <row r="51" spans="2:20" ht="15" customHeight="1" thickBot="1">
      <c r="B51" s="2"/>
      <c r="C51" s="791"/>
      <c r="D51" s="792"/>
      <c r="E51" s="793"/>
      <c r="F51" s="794"/>
      <c r="G51" s="795">
        <f>IF('[2]Tasa de Falla'!GM51=0,"",'[2]Tasa de Falla'!GM51)</f>
      </c>
      <c r="H51" s="795">
        <f>IF('[2]Tasa de Falla'!GN51=0,"",'[2]Tasa de Falla'!GN51)</f>
      </c>
      <c r="I51" s="795">
        <f>IF('[2]Tasa de Falla'!GO51=0,"",'[2]Tasa de Falla'!GO51)</f>
      </c>
      <c r="J51" s="795">
        <f>IF('[2]Tasa de Falla'!GP51=0,"",'[2]Tasa de Falla'!GP51)</f>
      </c>
      <c r="K51" s="795">
        <f>IF('[2]Tasa de Falla'!GQ51=0,"",'[2]Tasa de Falla'!GQ51)</f>
      </c>
      <c r="L51" s="795">
        <f>IF('[2]Tasa de Falla'!GR51=0,"",'[2]Tasa de Falla'!GR51)</f>
      </c>
      <c r="M51" s="795">
        <f>IF('[2]Tasa de Falla'!GS51=0,"",'[2]Tasa de Falla'!GS51)</f>
      </c>
      <c r="N51" s="795">
        <f>IF('[2]Tasa de Falla'!GT51=0,"",'[2]Tasa de Falla'!GT51)</f>
      </c>
      <c r="O51" s="795">
        <f>IF('[2]Tasa de Falla'!GU51=0,"",'[2]Tasa de Falla'!GU51)</f>
      </c>
      <c r="P51" s="795">
        <f>IF('[2]Tasa de Falla'!GV51=0,"",'[2]Tasa de Falla'!GV51)</f>
      </c>
      <c r="Q51" s="795">
        <f>IF('[2]Tasa de Falla'!GW51=0,"",'[2]Tasa de Falla'!GW51)</f>
      </c>
      <c r="R51" s="795">
        <f>IF('[2]Tasa de Falla'!GX51=0,"",'[2]Tasa de Falla'!GX51)</f>
      </c>
      <c r="S51" s="785"/>
      <c r="T51" s="786"/>
    </row>
    <row r="52" spans="2:20" ht="15" customHeight="1" thickBot="1" thickTop="1">
      <c r="B52" s="2"/>
      <c r="C52" s="796"/>
      <c r="D52" s="183"/>
      <c r="E52" s="797" t="s">
        <v>271</v>
      </c>
      <c r="F52" s="798">
        <f>SUM(F18:F51)-F34</f>
        <v>2841.3900000000003</v>
      </c>
      <c r="G52" s="799"/>
      <c r="H52" s="799"/>
      <c r="I52" s="799"/>
      <c r="J52" s="799"/>
      <c r="K52" s="799"/>
      <c r="L52" s="799"/>
      <c r="M52" s="799"/>
      <c r="N52" s="799"/>
      <c r="O52" s="799"/>
      <c r="P52" s="799"/>
      <c r="Q52" s="799"/>
      <c r="R52" s="799"/>
      <c r="S52" s="785"/>
      <c r="T52" s="786"/>
    </row>
    <row r="53" spans="2:20" ht="15" customHeight="1" thickBot="1" thickTop="1">
      <c r="B53" s="2"/>
      <c r="C53" s="28"/>
      <c r="D53" s="34"/>
      <c r="E53" s="800"/>
      <c r="F53" s="801" t="s">
        <v>272</v>
      </c>
      <c r="G53" s="802">
        <f aca="true" t="shared" si="0" ref="G53:R53">SUM(G17:G51)</f>
        <v>4</v>
      </c>
      <c r="H53" s="802">
        <f t="shared" si="0"/>
        <v>0</v>
      </c>
      <c r="I53" s="802">
        <f t="shared" si="0"/>
        <v>3</v>
      </c>
      <c r="J53" s="802">
        <f t="shared" si="0"/>
        <v>0</v>
      </c>
      <c r="K53" s="802">
        <f t="shared" si="0"/>
        <v>3</v>
      </c>
      <c r="L53" s="802">
        <f t="shared" si="0"/>
        <v>6</v>
      </c>
      <c r="M53" s="802">
        <f t="shared" si="0"/>
        <v>2</v>
      </c>
      <c r="N53" s="802">
        <f t="shared" si="0"/>
        <v>1</v>
      </c>
      <c r="O53" s="802">
        <f t="shared" si="0"/>
        <v>3</v>
      </c>
      <c r="P53" s="802">
        <f t="shared" si="0"/>
        <v>0</v>
      </c>
      <c r="Q53" s="802">
        <f t="shared" si="0"/>
        <v>2</v>
      </c>
      <c r="R53" s="802">
        <f t="shared" si="0"/>
        <v>3</v>
      </c>
      <c r="S53" s="803"/>
      <c r="T53" s="804"/>
    </row>
    <row r="54" spans="2:20" ht="17.25" thickBot="1" thickTop="1">
      <c r="B54" s="2"/>
      <c r="C54" s="800"/>
      <c r="D54" s="800"/>
      <c r="E54" s="28"/>
      <c r="F54" s="805" t="s">
        <v>273</v>
      </c>
      <c r="G54" s="806">
        <f>+'[2]Tasa de Falla'!FO60</f>
        <v>0.95</v>
      </c>
      <c r="H54" s="806">
        <f>+'[2]Tasa de Falla'!FP60</f>
        <v>1.05</v>
      </c>
      <c r="I54" s="806">
        <f>+'[2]Tasa de Falla'!FQ60</f>
        <v>1.02</v>
      </c>
      <c r="J54" s="806">
        <f>+'[2]Tasa de Falla'!FR60</f>
        <v>1.09</v>
      </c>
      <c r="K54" s="806">
        <f>+'[2]Tasa de Falla'!FS60</f>
        <v>1.09</v>
      </c>
      <c r="L54" s="806">
        <f>+'[2]Tasa de Falla'!FT60</f>
        <v>1.09</v>
      </c>
      <c r="M54" s="806">
        <f>+'[2]Tasa de Falla'!FU60</f>
        <v>1.19</v>
      </c>
      <c r="N54" s="806">
        <f>+'[2]Tasa de Falla'!FV60</f>
        <v>1.19</v>
      </c>
      <c r="O54" s="806">
        <f>+'[2]Tasa de Falla'!FW60</f>
        <v>1.12</v>
      </c>
      <c r="P54" s="806">
        <f>+'[2]Tasa de Falla'!FX60</f>
        <v>1.23</v>
      </c>
      <c r="Q54" s="806">
        <f>+'[2]Tasa de Falla'!FY60</f>
        <v>1.19</v>
      </c>
      <c r="R54" s="806">
        <f>+'[2]Tasa de Falla'!FZ60</f>
        <v>0.88</v>
      </c>
      <c r="S54" s="806">
        <f>+'[2]Tasa de Falla'!GA60</f>
        <v>0.95</v>
      </c>
      <c r="T54" s="807"/>
    </row>
    <row r="55" spans="2:20" ht="18.75" customHeight="1" thickBot="1" thickTop="1">
      <c r="B55" s="2"/>
      <c r="C55" s="808" t="s">
        <v>274</v>
      </c>
      <c r="D55" s="28" t="s">
        <v>275</v>
      </c>
      <c r="E55" s="809"/>
      <c r="F55" s="810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58"/>
    </row>
    <row r="56" spans="2:20" ht="17.25" thickBot="1" thickTop="1">
      <c r="B56" s="812"/>
      <c r="C56" s="813"/>
      <c r="D56" s="814" t="s">
        <v>276</v>
      </c>
      <c r="H56" s="815" t="s">
        <v>277</v>
      </c>
      <c r="I56" s="816"/>
      <c r="J56" s="817">
        <f>S54</f>
        <v>0.95</v>
      </c>
      <c r="K56" s="818" t="s">
        <v>278</v>
      </c>
      <c r="L56" s="818"/>
      <c r="M56" s="819"/>
      <c r="N56" s="814"/>
      <c r="O56" s="814"/>
      <c r="P56" s="814"/>
      <c r="Q56" s="814"/>
      <c r="R56" s="814"/>
      <c r="S56" s="814"/>
      <c r="T56" s="3"/>
    </row>
    <row r="57" spans="2:20" ht="18.75" customHeight="1" thickBot="1">
      <c r="B57" s="820"/>
      <c r="C57" s="821"/>
      <c r="D57" s="46"/>
      <c r="E57" s="46"/>
      <c r="F57" s="822"/>
      <c r="G57" s="823"/>
      <c r="H57" s="823"/>
      <c r="I57" s="823"/>
      <c r="J57" s="823"/>
      <c r="K57" s="823"/>
      <c r="L57" s="823"/>
      <c r="M57" s="823"/>
      <c r="N57" s="823"/>
      <c r="O57" s="823"/>
      <c r="P57" s="823"/>
      <c r="Q57" s="823"/>
      <c r="R57" s="823"/>
      <c r="S57" s="823"/>
      <c r="T57" s="824"/>
    </row>
    <row r="58" ht="13.5" thickTop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1" r:id="rId2"/>
  <headerFooter alignWithMargins="0">
    <oddFooter>&amp;L&amp;"Times New Roman,Normal"&amp;8&amp;F-&amp;A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C34"/>
  <sheetViews>
    <sheetView workbookViewId="0" topLeftCell="A1">
      <pane xSplit="1" ySplit="1" topLeftCell="B2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" sqref="B2"/>
    </sheetView>
  </sheetViews>
  <sheetFormatPr defaultColWidth="11.421875" defaultRowHeight="12.75"/>
  <cols>
    <col min="1" max="1" width="23.00390625" style="666" bestFit="1" customWidth="1"/>
    <col min="2" max="2" width="9.28125" style="666" customWidth="1"/>
    <col min="3" max="3" width="11.8515625" style="666" bestFit="1" customWidth="1"/>
    <col min="4" max="4" width="9.57421875" style="666" bestFit="1" customWidth="1"/>
    <col min="5" max="5" width="17.140625" style="666" bestFit="1" customWidth="1"/>
    <col min="6" max="6" width="71.8515625" style="666" bestFit="1" customWidth="1"/>
    <col min="7" max="9" width="5.8515625" style="666" customWidth="1"/>
    <col min="10" max="22" width="5.8515625" style="666" bestFit="1" customWidth="1"/>
    <col min="23" max="24" width="11.00390625" style="666" customWidth="1"/>
    <col min="25" max="29" width="11.421875" style="666" customWidth="1"/>
    <col min="30" max="16384" width="11.421875" style="667" customWidth="1"/>
  </cols>
  <sheetData>
    <row r="1" spans="1:4" ht="10.5">
      <c r="A1" s="665" t="s">
        <v>147</v>
      </c>
      <c r="B1" s="665" t="s">
        <v>147</v>
      </c>
      <c r="C1" s="665" t="s">
        <v>148</v>
      </c>
      <c r="D1" s="665" t="s">
        <v>149</v>
      </c>
    </row>
    <row r="2" spans="1:4" ht="10.5">
      <c r="A2" s="668" t="s">
        <v>131</v>
      </c>
      <c r="B2" s="669" t="s">
        <v>150</v>
      </c>
      <c r="C2" s="668">
        <v>31</v>
      </c>
      <c r="D2" s="668">
        <v>2006</v>
      </c>
    </row>
    <row r="3" spans="1:4" ht="10.5">
      <c r="A3" s="668" t="s">
        <v>132</v>
      </c>
      <c r="B3" s="669" t="s">
        <v>151</v>
      </c>
      <c r="C3" s="668">
        <f>IF(MOD(E14,4)=0,29,28)</f>
        <v>28</v>
      </c>
      <c r="D3" s="668">
        <f>+D2+1</f>
        <v>2007</v>
      </c>
    </row>
    <row r="4" spans="1:4" ht="10.5">
      <c r="A4" s="668" t="s">
        <v>133</v>
      </c>
      <c r="B4" s="669" t="s">
        <v>152</v>
      </c>
      <c r="C4" s="668">
        <v>31</v>
      </c>
      <c r="D4" s="668">
        <v>2008</v>
      </c>
    </row>
    <row r="5" spans="1:4" ht="10.5">
      <c r="A5" s="668" t="s">
        <v>134</v>
      </c>
      <c r="B5" s="669" t="s">
        <v>153</v>
      </c>
      <c r="C5" s="668">
        <v>30</v>
      </c>
      <c r="D5" s="668">
        <v>2009</v>
      </c>
    </row>
    <row r="6" spans="1:4" ht="10.5">
      <c r="A6" s="668" t="s">
        <v>135</v>
      </c>
      <c r="B6" s="669" t="s">
        <v>154</v>
      </c>
      <c r="C6" s="668">
        <v>31</v>
      </c>
      <c r="D6" s="668">
        <v>2010</v>
      </c>
    </row>
    <row r="7" spans="1:4" ht="10.5">
      <c r="A7" s="668" t="s">
        <v>136</v>
      </c>
      <c r="B7" s="669" t="s">
        <v>155</v>
      </c>
      <c r="C7" s="668">
        <v>30</v>
      </c>
      <c r="D7" s="668"/>
    </row>
    <row r="8" spans="1:4" ht="10.5">
      <c r="A8" s="668" t="s">
        <v>137</v>
      </c>
      <c r="B8" s="669" t="s">
        <v>156</v>
      </c>
      <c r="C8" s="668">
        <v>31</v>
      </c>
      <c r="D8" s="668"/>
    </row>
    <row r="9" spans="1:4" ht="10.5">
      <c r="A9" s="668" t="s">
        <v>138</v>
      </c>
      <c r="B9" s="669" t="s">
        <v>157</v>
      </c>
      <c r="C9" s="668">
        <v>31</v>
      </c>
      <c r="D9" s="668"/>
    </row>
    <row r="10" spans="1:4" ht="10.5">
      <c r="A10" s="668" t="s">
        <v>139</v>
      </c>
      <c r="B10" s="669" t="s">
        <v>158</v>
      </c>
      <c r="C10" s="668">
        <v>30</v>
      </c>
      <c r="D10" s="668"/>
    </row>
    <row r="11" spans="1:4" ht="10.5">
      <c r="A11" s="668" t="s">
        <v>140</v>
      </c>
      <c r="B11" s="669" t="s">
        <v>159</v>
      </c>
      <c r="C11" s="668">
        <v>31</v>
      </c>
      <c r="D11" s="668"/>
    </row>
    <row r="12" spans="1:4" ht="10.5">
      <c r="A12" s="668" t="s">
        <v>141</v>
      </c>
      <c r="B12" s="669" t="s">
        <v>160</v>
      </c>
      <c r="C12" s="668">
        <v>30</v>
      </c>
      <c r="D12" s="668"/>
    </row>
    <row r="13" spans="1:9" ht="10.5">
      <c r="A13" s="668" t="s">
        <v>142</v>
      </c>
      <c r="B13" s="669" t="s">
        <v>161</v>
      </c>
      <c r="C13" s="668">
        <v>31</v>
      </c>
      <c r="D13" s="668"/>
      <c r="E13" s="670"/>
      <c r="I13" s="671" t="s">
        <v>162</v>
      </c>
    </row>
    <row r="14" spans="1:9" ht="10.5">
      <c r="A14" s="672">
        <v>4</v>
      </c>
      <c r="B14" s="673">
        <v>7</v>
      </c>
      <c r="C14" s="672" t="str">
        <f ca="1">CELL("CONTENIDO",OFFSET(A1,B14,0))</f>
        <v>julio</v>
      </c>
      <c r="D14" s="672">
        <f ca="1">CELL("CONTENIDO",OFFSET(C1,B14,0))</f>
        <v>31</v>
      </c>
      <c r="E14" s="672">
        <f ca="1">CELL("CONTENIDO",OFFSET(D1,A14,0))</f>
        <v>2009</v>
      </c>
      <c r="F14" s="672" t="str">
        <f>"Desde el 01 al "&amp;D14&amp;" de "&amp;C14&amp;" de "&amp;E14</f>
        <v>Desde el 01 al 31 de julio de 2009</v>
      </c>
      <c r="G14" s="672" t="str">
        <f ca="1">CELL("CONTENIDO",OFFSET(B1,B14,0))</f>
        <v>07</v>
      </c>
      <c r="H14" s="672" t="str">
        <f>RIGHT(E14,2)</f>
        <v>09</v>
      </c>
      <c r="I14" s="674" t="s">
        <v>163</v>
      </c>
    </row>
    <row r="15" spans="1:8" ht="10.5">
      <c r="A15" s="672"/>
      <c r="B15" s="675" t="str">
        <f>"\\fileserver\files\Transporte\transporte\AA PROCESO AUT\TRANSPA\"&amp;E14</f>
        <v>\\fileserver\files\Transporte\transporte\AA PROCESO AUT\TRANSPA\2009</v>
      </c>
      <c r="C15" s="672"/>
      <c r="D15" s="672"/>
      <c r="E15" s="672"/>
      <c r="F15" s="672"/>
      <c r="G15" s="672" t="str">
        <f>"J"&amp;G14&amp;H14&amp;"TPA"</f>
        <v>J0709TPA</v>
      </c>
      <c r="H15" s="672"/>
    </row>
    <row r="16" spans="1:8" ht="10.5">
      <c r="A16" s="672"/>
      <c r="B16" s="675" t="str">
        <f>"\\fileserver\files\Transporte\transporte\AA PROCESO AUT\NERNOANEA\"&amp;H14&amp;G14</f>
        <v>\\fileserver\files\Transporte\transporte\AA PROCESO AUT\NERNOANEA\0907</v>
      </c>
      <c r="C16" s="672"/>
      <c r="D16" s="672"/>
      <c r="E16" s="672"/>
      <c r="F16" s="672"/>
      <c r="G16" s="672"/>
      <c r="H16" s="672"/>
    </row>
    <row r="17" spans="1:29" ht="10.5">
      <c r="A17" s="665" t="s">
        <v>164</v>
      </c>
      <c r="B17" s="665" t="s">
        <v>165</v>
      </c>
      <c r="C17" s="665" t="s">
        <v>166</v>
      </c>
      <c r="D17" s="665" t="s">
        <v>167</v>
      </c>
      <c r="E17" s="665" t="s">
        <v>168</v>
      </c>
      <c r="F17" s="665" t="s">
        <v>169</v>
      </c>
      <c r="G17" s="665" t="s">
        <v>170</v>
      </c>
      <c r="H17" s="665" t="s">
        <v>171</v>
      </c>
      <c r="I17" s="665" t="s">
        <v>172</v>
      </c>
      <c r="J17" s="665" t="s">
        <v>173</v>
      </c>
      <c r="K17" s="665" t="s">
        <v>174</v>
      </c>
      <c r="L17" s="665" t="s">
        <v>175</v>
      </c>
      <c r="M17" s="665" t="s">
        <v>176</v>
      </c>
      <c r="N17" s="665" t="s">
        <v>177</v>
      </c>
      <c r="O17" s="665" t="s">
        <v>178</v>
      </c>
      <c r="P17" s="665" t="s">
        <v>229</v>
      </c>
      <c r="Q17" s="665" t="s">
        <v>179</v>
      </c>
      <c r="R17" s="665" t="s">
        <v>180</v>
      </c>
      <c r="S17" s="665" t="s">
        <v>181</v>
      </c>
      <c r="T17" s="665" t="s">
        <v>182</v>
      </c>
      <c r="U17" s="665" t="s">
        <v>183</v>
      </c>
      <c r="V17" s="665" t="s">
        <v>184</v>
      </c>
      <c r="W17" s="665" t="s">
        <v>185</v>
      </c>
      <c r="X17" s="665" t="s">
        <v>186</v>
      </c>
      <c r="Y17" s="665" t="s">
        <v>187</v>
      </c>
      <c r="Z17" s="665" t="s">
        <v>188</v>
      </c>
      <c r="AA17" s="665" t="s">
        <v>189</v>
      </c>
      <c r="AB17" s="665" t="s">
        <v>190</v>
      </c>
      <c r="AC17" s="665" t="s">
        <v>191</v>
      </c>
    </row>
    <row r="18" spans="1:29" ht="10.5">
      <c r="A18" s="676" t="s">
        <v>192</v>
      </c>
      <c r="B18" s="676">
        <v>22</v>
      </c>
      <c r="C18" s="676">
        <v>20</v>
      </c>
      <c r="D18" s="676">
        <v>12</v>
      </c>
      <c r="E18" s="676" t="str">
        <f>"LI-"&amp;$G$14</f>
        <v>LI-07</v>
      </c>
      <c r="F18" s="676" t="s">
        <v>207</v>
      </c>
      <c r="G18" s="676">
        <v>3</v>
      </c>
      <c r="H18" s="676">
        <v>5</v>
      </c>
      <c r="I18" s="676">
        <v>4</v>
      </c>
      <c r="J18" s="676">
        <v>6</v>
      </c>
      <c r="K18" s="676">
        <v>7</v>
      </c>
      <c r="L18" s="676">
        <v>8</v>
      </c>
      <c r="M18" s="676">
        <v>0</v>
      </c>
      <c r="N18" s="676">
        <v>10</v>
      </c>
      <c r="O18" s="676">
        <v>11</v>
      </c>
      <c r="P18" s="676">
        <v>14</v>
      </c>
      <c r="Q18" s="676">
        <v>0</v>
      </c>
      <c r="R18" s="676">
        <v>26</v>
      </c>
      <c r="S18" s="676">
        <v>15</v>
      </c>
      <c r="T18" s="676">
        <v>0</v>
      </c>
      <c r="U18" s="676">
        <v>0</v>
      </c>
      <c r="V18" s="676">
        <v>0</v>
      </c>
      <c r="W18" s="676">
        <v>19</v>
      </c>
      <c r="X18" s="676">
        <v>9</v>
      </c>
      <c r="Y18" s="676">
        <v>43</v>
      </c>
      <c r="Z18" s="676">
        <v>27</v>
      </c>
      <c r="AA18" s="676">
        <v>20</v>
      </c>
      <c r="AB18" s="676">
        <v>27</v>
      </c>
      <c r="AC18" s="676">
        <v>14</v>
      </c>
    </row>
    <row r="19" spans="1:29" ht="10.5">
      <c r="A19" s="676" t="s">
        <v>199</v>
      </c>
      <c r="B19" s="676">
        <v>22</v>
      </c>
      <c r="C19" s="676">
        <v>20</v>
      </c>
      <c r="D19" s="676">
        <v>12</v>
      </c>
      <c r="E19" s="676" t="str">
        <f>"LI-EDERSA-"&amp;$G$14</f>
        <v>LI-EDERSA-07</v>
      </c>
      <c r="F19" s="676" t="s">
        <v>213</v>
      </c>
      <c r="G19" s="676">
        <v>3</v>
      </c>
      <c r="H19" s="676">
        <v>5</v>
      </c>
      <c r="I19" s="676">
        <v>4</v>
      </c>
      <c r="J19" s="676">
        <v>6</v>
      </c>
      <c r="K19" s="676">
        <v>7</v>
      </c>
      <c r="L19" s="676">
        <v>8</v>
      </c>
      <c r="M19" s="676">
        <v>0</v>
      </c>
      <c r="N19" s="676">
        <v>10</v>
      </c>
      <c r="O19" s="676">
        <v>11</v>
      </c>
      <c r="P19" s="676">
        <v>14</v>
      </c>
      <c r="Q19" s="676">
        <v>0</v>
      </c>
      <c r="R19" s="676">
        <v>26</v>
      </c>
      <c r="S19" s="676">
        <v>15</v>
      </c>
      <c r="T19" s="676">
        <v>0</v>
      </c>
      <c r="U19" s="676">
        <v>0</v>
      </c>
      <c r="V19" s="676">
        <v>0</v>
      </c>
      <c r="W19" s="676">
        <v>20</v>
      </c>
      <c r="X19" s="676">
        <v>9</v>
      </c>
      <c r="Y19" s="676">
        <v>43</v>
      </c>
      <c r="Z19" s="676">
        <v>27</v>
      </c>
      <c r="AA19" s="676">
        <v>20</v>
      </c>
      <c r="AB19" s="676">
        <v>27</v>
      </c>
      <c r="AC19" s="676">
        <v>14</v>
      </c>
    </row>
    <row r="20" spans="1:29" ht="10.5">
      <c r="A20" s="676" t="s">
        <v>200</v>
      </c>
      <c r="B20" s="676">
        <v>22</v>
      </c>
      <c r="C20" s="676">
        <v>20</v>
      </c>
      <c r="D20" s="676">
        <v>12</v>
      </c>
      <c r="E20" s="676" t="str">
        <f>"LI-SPSE-"&amp;$G$14</f>
        <v>LI-SPSE-07</v>
      </c>
      <c r="F20" s="676" t="s">
        <v>214</v>
      </c>
      <c r="G20" s="676">
        <v>3</v>
      </c>
      <c r="H20" s="676">
        <v>5</v>
      </c>
      <c r="I20" s="676">
        <v>4</v>
      </c>
      <c r="J20" s="676">
        <v>6</v>
      </c>
      <c r="K20" s="676">
        <v>7</v>
      </c>
      <c r="L20" s="676">
        <v>8</v>
      </c>
      <c r="M20" s="676">
        <v>0</v>
      </c>
      <c r="N20" s="676">
        <v>10</v>
      </c>
      <c r="O20" s="676">
        <v>11</v>
      </c>
      <c r="P20" s="676">
        <v>14</v>
      </c>
      <c r="Q20" s="676">
        <v>0</v>
      </c>
      <c r="R20" s="676">
        <v>26</v>
      </c>
      <c r="S20" s="676">
        <v>15</v>
      </c>
      <c r="T20" s="676">
        <v>0</v>
      </c>
      <c r="U20" s="676">
        <v>0</v>
      </c>
      <c r="V20" s="676">
        <v>0</v>
      </c>
      <c r="W20" s="676">
        <v>21</v>
      </c>
      <c r="X20" s="676">
        <v>9</v>
      </c>
      <c r="Y20" s="676">
        <v>43</v>
      </c>
      <c r="Z20" s="676">
        <v>27</v>
      </c>
      <c r="AA20" s="676">
        <v>20</v>
      </c>
      <c r="AB20" s="676">
        <v>27</v>
      </c>
      <c r="AC20" s="676">
        <v>14</v>
      </c>
    </row>
    <row r="21" spans="1:29" ht="10.5">
      <c r="A21" s="676" t="s">
        <v>201</v>
      </c>
      <c r="B21" s="676">
        <v>22</v>
      </c>
      <c r="C21" s="676">
        <v>20</v>
      </c>
      <c r="D21" s="676">
        <v>12</v>
      </c>
      <c r="E21" s="676" t="str">
        <f>"LI-TRANSACUE-"&amp;$G$14</f>
        <v>LI-TRANSACUE-07</v>
      </c>
      <c r="F21" s="676" t="s">
        <v>215</v>
      </c>
      <c r="G21" s="676">
        <v>3</v>
      </c>
      <c r="H21" s="676">
        <v>5</v>
      </c>
      <c r="I21" s="676">
        <v>4</v>
      </c>
      <c r="J21" s="676">
        <v>6</v>
      </c>
      <c r="K21" s="676">
        <v>7</v>
      </c>
      <c r="L21" s="676">
        <v>8</v>
      </c>
      <c r="M21" s="676">
        <v>0</v>
      </c>
      <c r="N21" s="676">
        <v>10</v>
      </c>
      <c r="O21" s="676">
        <v>11</v>
      </c>
      <c r="P21" s="676">
        <v>14</v>
      </c>
      <c r="Q21" s="676">
        <v>0</v>
      </c>
      <c r="R21" s="676">
        <v>26</v>
      </c>
      <c r="S21" s="676">
        <v>15</v>
      </c>
      <c r="T21" s="676">
        <v>0</v>
      </c>
      <c r="U21" s="676">
        <v>0</v>
      </c>
      <c r="V21" s="676">
        <v>0</v>
      </c>
      <c r="W21" s="676">
        <v>22</v>
      </c>
      <c r="X21" s="676">
        <v>9</v>
      </c>
      <c r="Y21" s="676">
        <v>43</v>
      </c>
      <c r="Z21" s="676">
        <v>27</v>
      </c>
      <c r="AA21" s="676">
        <v>20</v>
      </c>
      <c r="AB21" s="676">
        <v>27</v>
      </c>
      <c r="AC21" s="676">
        <v>14</v>
      </c>
    </row>
    <row r="22" spans="1:29" ht="10.5">
      <c r="A22" s="716" t="s">
        <v>193</v>
      </c>
      <c r="B22" s="716">
        <v>24</v>
      </c>
      <c r="C22" s="716">
        <v>20</v>
      </c>
      <c r="D22" s="716">
        <v>13</v>
      </c>
      <c r="E22" s="716" t="str">
        <f>"TR-"&amp;$G$14</f>
        <v>TR-07</v>
      </c>
      <c r="F22" s="716" t="s">
        <v>208</v>
      </c>
      <c r="G22" s="676">
        <v>3</v>
      </c>
      <c r="H22" s="676">
        <v>5</v>
      </c>
      <c r="I22" s="676">
        <v>4</v>
      </c>
      <c r="J22" s="676">
        <v>6</v>
      </c>
      <c r="K22" s="676">
        <v>7</v>
      </c>
      <c r="L22" s="676">
        <v>8</v>
      </c>
      <c r="M22" s="676">
        <v>9</v>
      </c>
      <c r="N22" s="716">
        <v>11</v>
      </c>
      <c r="O22" s="716">
        <v>12</v>
      </c>
      <c r="P22" s="716">
        <v>15</v>
      </c>
      <c r="Q22" s="716">
        <v>16</v>
      </c>
      <c r="R22" s="716">
        <v>18</v>
      </c>
      <c r="S22" s="716">
        <v>28</v>
      </c>
      <c r="T22" s="716">
        <v>0</v>
      </c>
      <c r="U22" s="676">
        <v>0</v>
      </c>
      <c r="V22" s="676">
        <v>0</v>
      </c>
      <c r="W22" s="716">
        <v>27</v>
      </c>
      <c r="X22" s="676">
        <v>9</v>
      </c>
      <c r="Y22" s="716">
        <v>45</v>
      </c>
      <c r="Z22" s="716">
        <v>29</v>
      </c>
      <c r="AA22" s="716">
        <v>22</v>
      </c>
      <c r="AB22" s="716">
        <v>29</v>
      </c>
      <c r="AC22" s="716">
        <v>15</v>
      </c>
    </row>
    <row r="23" spans="1:29" ht="10.5">
      <c r="A23" s="676" t="s">
        <v>202</v>
      </c>
      <c r="B23" s="716">
        <v>24</v>
      </c>
      <c r="C23" s="716">
        <v>20</v>
      </c>
      <c r="D23" s="716">
        <v>13</v>
      </c>
      <c r="E23" s="676" t="str">
        <f>"TR-EDERSA-"&amp;$G$14</f>
        <v>TR-EDERSA-07</v>
      </c>
      <c r="F23" s="676" t="s">
        <v>216</v>
      </c>
      <c r="G23" s="676">
        <v>3</v>
      </c>
      <c r="H23" s="676">
        <v>5</v>
      </c>
      <c r="I23" s="676">
        <v>4</v>
      </c>
      <c r="J23" s="676">
        <v>6</v>
      </c>
      <c r="K23" s="676">
        <v>7</v>
      </c>
      <c r="L23" s="676">
        <v>8</v>
      </c>
      <c r="M23" s="676">
        <v>9</v>
      </c>
      <c r="N23" s="716">
        <v>11</v>
      </c>
      <c r="O23" s="716">
        <v>12</v>
      </c>
      <c r="P23" s="716">
        <v>15</v>
      </c>
      <c r="Q23" s="716">
        <v>16</v>
      </c>
      <c r="R23" s="716">
        <v>18</v>
      </c>
      <c r="S23" s="716">
        <v>28</v>
      </c>
      <c r="T23" s="716">
        <v>0</v>
      </c>
      <c r="U23" s="676">
        <v>0</v>
      </c>
      <c r="V23" s="676">
        <v>0</v>
      </c>
      <c r="W23" s="716">
        <v>28</v>
      </c>
      <c r="X23" s="676">
        <v>9</v>
      </c>
      <c r="Y23" s="716">
        <v>45</v>
      </c>
      <c r="Z23" s="716">
        <v>29</v>
      </c>
      <c r="AA23" s="716">
        <v>22</v>
      </c>
      <c r="AB23" s="716">
        <v>29</v>
      </c>
      <c r="AC23" s="716">
        <v>15</v>
      </c>
    </row>
    <row r="24" spans="1:29" ht="10.5">
      <c r="A24" s="676" t="s">
        <v>203</v>
      </c>
      <c r="B24" s="716">
        <v>24</v>
      </c>
      <c r="C24" s="716">
        <v>20</v>
      </c>
      <c r="D24" s="716">
        <v>13</v>
      </c>
      <c r="E24" s="676" t="str">
        <f>"TR-SPSE-"&amp;$G$14</f>
        <v>TR-SPSE-07</v>
      </c>
      <c r="F24" s="676" t="s">
        <v>217</v>
      </c>
      <c r="G24" s="676">
        <v>3</v>
      </c>
      <c r="H24" s="676">
        <v>5</v>
      </c>
      <c r="I24" s="676">
        <v>4</v>
      </c>
      <c r="J24" s="676">
        <v>6</v>
      </c>
      <c r="K24" s="676">
        <v>7</v>
      </c>
      <c r="L24" s="676">
        <v>8</v>
      </c>
      <c r="M24" s="676">
        <v>9</v>
      </c>
      <c r="N24" s="716">
        <v>11</v>
      </c>
      <c r="O24" s="716">
        <v>12</v>
      </c>
      <c r="P24" s="716">
        <v>15</v>
      </c>
      <c r="Q24" s="716">
        <v>16</v>
      </c>
      <c r="R24" s="716">
        <v>18</v>
      </c>
      <c r="S24" s="716">
        <v>28</v>
      </c>
      <c r="T24" s="716">
        <v>0</v>
      </c>
      <c r="U24" s="676">
        <v>0</v>
      </c>
      <c r="V24" s="676">
        <v>0</v>
      </c>
      <c r="W24" s="716">
        <v>29</v>
      </c>
      <c r="X24" s="676">
        <v>9</v>
      </c>
      <c r="Y24" s="716">
        <v>45</v>
      </c>
      <c r="Z24" s="716">
        <v>29</v>
      </c>
      <c r="AA24" s="716">
        <v>22</v>
      </c>
      <c r="AB24" s="716">
        <v>29</v>
      </c>
      <c r="AC24" s="716">
        <v>15</v>
      </c>
    </row>
    <row r="25" spans="1:29" ht="10.5">
      <c r="A25" s="676" t="s">
        <v>194</v>
      </c>
      <c r="B25" s="716">
        <v>24</v>
      </c>
      <c r="C25" s="676">
        <v>20</v>
      </c>
      <c r="D25" s="676">
        <v>10</v>
      </c>
      <c r="E25" s="676" t="str">
        <f>"SA-"&amp;$G$14</f>
        <v>SA-07</v>
      </c>
      <c r="F25" s="676" t="s">
        <v>209</v>
      </c>
      <c r="G25" s="676">
        <v>3</v>
      </c>
      <c r="H25" s="676">
        <v>5</v>
      </c>
      <c r="I25" s="676">
        <v>4</v>
      </c>
      <c r="J25" s="676">
        <v>6</v>
      </c>
      <c r="K25" s="676">
        <v>7</v>
      </c>
      <c r="L25" s="676">
        <v>8</v>
      </c>
      <c r="M25" s="676">
        <v>10</v>
      </c>
      <c r="N25" s="676">
        <v>11</v>
      </c>
      <c r="O25" s="676">
        <v>14</v>
      </c>
      <c r="P25" s="676">
        <v>15</v>
      </c>
      <c r="Q25" s="676">
        <v>21</v>
      </c>
      <c r="R25" s="676">
        <v>0</v>
      </c>
      <c r="S25" s="676">
        <v>0</v>
      </c>
      <c r="T25" s="676">
        <v>0</v>
      </c>
      <c r="U25" s="676">
        <v>0</v>
      </c>
      <c r="V25" s="676">
        <v>0</v>
      </c>
      <c r="W25" s="676">
        <v>32</v>
      </c>
      <c r="X25" s="676">
        <v>9</v>
      </c>
      <c r="Y25" s="716">
        <v>45</v>
      </c>
      <c r="Z25" s="676">
        <v>22</v>
      </c>
      <c r="AA25" s="716">
        <v>22</v>
      </c>
      <c r="AB25" s="676">
        <v>22</v>
      </c>
      <c r="AC25" s="676">
        <v>21</v>
      </c>
    </row>
    <row r="26" spans="1:29" ht="10.5">
      <c r="A26" s="676" t="s">
        <v>204</v>
      </c>
      <c r="B26" s="716">
        <v>24</v>
      </c>
      <c r="C26" s="676">
        <v>20</v>
      </c>
      <c r="D26" s="676">
        <v>10</v>
      </c>
      <c r="E26" s="676" t="str">
        <f>"SA-EDERSA-"&amp;$G$14</f>
        <v>SA-EDERSA-07</v>
      </c>
      <c r="F26" s="676" t="s">
        <v>218</v>
      </c>
      <c r="G26" s="676">
        <v>3</v>
      </c>
      <c r="H26" s="676">
        <v>5</v>
      </c>
      <c r="I26" s="676">
        <v>4</v>
      </c>
      <c r="J26" s="676">
        <v>6</v>
      </c>
      <c r="K26" s="676">
        <v>7</v>
      </c>
      <c r="L26" s="676">
        <v>8</v>
      </c>
      <c r="M26" s="676">
        <v>10</v>
      </c>
      <c r="N26" s="676">
        <v>11</v>
      </c>
      <c r="O26" s="676">
        <v>14</v>
      </c>
      <c r="P26" s="676">
        <v>15</v>
      </c>
      <c r="Q26" s="676">
        <v>21</v>
      </c>
      <c r="R26" s="676">
        <v>0</v>
      </c>
      <c r="S26" s="676">
        <v>0</v>
      </c>
      <c r="T26" s="676">
        <v>0</v>
      </c>
      <c r="U26" s="676">
        <v>0</v>
      </c>
      <c r="V26" s="676">
        <v>0</v>
      </c>
      <c r="W26" s="676">
        <v>33</v>
      </c>
      <c r="X26" s="676">
        <v>9</v>
      </c>
      <c r="Y26" s="716">
        <v>45</v>
      </c>
      <c r="Z26" s="676">
        <v>22</v>
      </c>
      <c r="AA26" s="716">
        <v>22</v>
      </c>
      <c r="AB26" s="676">
        <v>22</v>
      </c>
      <c r="AC26" s="676">
        <v>21</v>
      </c>
    </row>
    <row r="27" spans="1:29" ht="10.5">
      <c r="A27" s="676" t="s">
        <v>205</v>
      </c>
      <c r="B27" s="716">
        <v>24</v>
      </c>
      <c r="C27" s="676">
        <v>20</v>
      </c>
      <c r="D27" s="676">
        <v>10</v>
      </c>
      <c r="E27" s="676" t="str">
        <f>"SA-SPSE-"&amp;$G$14</f>
        <v>SA-SPSE-07</v>
      </c>
      <c r="F27" s="676" t="s">
        <v>219</v>
      </c>
      <c r="G27" s="676">
        <v>3</v>
      </c>
      <c r="H27" s="676">
        <v>5</v>
      </c>
      <c r="I27" s="676">
        <v>4</v>
      </c>
      <c r="J27" s="676">
        <v>6</v>
      </c>
      <c r="K27" s="676">
        <v>7</v>
      </c>
      <c r="L27" s="676">
        <v>8</v>
      </c>
      <c r="M27" s="676">
        <v>10</v>
      </c>
      <c r="N27" s="676">
        <v>11</v>
      </c>
      <c r="O27" s="676">
        <v>14</v>
      </c>
      <c r="P27" s="676">
        <v>15</v>
      </c>
      <c r="Q27" s="676">
        <v>21</v>
      </c>
      <c r="R27" s="676">
        <v>0</v>
      </c>
      <c r="S27" s="676">
        <v>0</v>
      </c>
      <c r="T27" s="676">
        <v>0</v>
      </c>
      <c r="U27" s="676">
        <v>0</v>
      </c>
      <c r="V27" s="676">
        <v>0</v>
      </c>
      <c r="W27" s="676">
        <v>34</v>
      </c>
      <c r="X27" s="676">
        <v>9</v>
      </c>
      <c r="Y27" s="716">
        <v>45</v>
      </c>
      <c r="Z27" s="676">
        <v>22</v>
      </c>
      <c r="AA27" s="716">
        <v>22</v>
      </c>
      <c r="AB27" s="676">
        <v>22</v>
      </c>
      <c r="AC27" s="676">
        <v>21</v>
      </c>
    </row>
    <row r="28" spans="1:29" ht="10.5">
      <c r="A28" s="676" t="s">
        <v>206</v>
      </c>
      <c r="B28" s="716">
        <v>24</v>
      </c>
      <c r="C28" s="676">
        <v>20</v>
      </c>
      <c r="D28" s="676">
        <v>10</v>
      </c>
      <c r="E28" s="676" t="str">
        <f>"SA-TRANSACUE-"&amp;$G$14</f>
        <v>SA-TRANSACUE-07</v>
      </c>
      <c r="F28" s="676" t="s">
        <v>220</v>
      </c>
      <c r="G28" s="676">
        <v>3</v>
      </c>
      <c r="H28" s="676">
        <v>5</v>
      </c>
      <c r="I28" s="676">
        <v>4</v>
      </c>
      <c r="J28" s="676">
        <v>6</v>
      </c>
      <c r="K28" s="676">
        <v>7</v>
      </c>
      <c r="L28" s="676">
        <v>8</v>
      </c>
      <c r="M28" s="676">
        <v>10</v>
      </c>
      <c r="N28" s="676">
        <v>11</v>
      </c>
      <c r="O28" s="676">
        <v>14</v>
      </c>
      <c r="P28" s="676">
        <v>15</v>
      </c>
      <c r="Q28" s="676">
        <v>21</v>
      </c>
      <c r="R28" s="676">
        <v>0</v>
      </c>
      <c r="S28" s="676">
        <v>0</v>
      </c>
      <c r="T28" s="676">
        <v>0</v>
      </c>
      <c r="U28" s="676">
        <v>0</v>
      </c>
      <c r="V28" s="676">
        <v>0</v>
      </c>
      <c r="W28" s="676">
        <v>35</v>
      </c>
      <c r="X28" s="676">
        <v>9</v>
      </c>
      <c r="Y28" s="716">
        <v>45</v>
      </c>
      <c r="Z28" s="676">
        <v>22</v>
      </c>
      <c r="AA28" s="716">
        <v>22</v>
      </c>
      <c r="AB28" s="676">
        <v>22</v>
      </c>
      <c r="AC28" s="676">
        <v>21</v>
      </c>
    </row>
    <row r="29" spans="1:29" ht="10.5">
      <c r="A29" s="676" t="s">
        <v>195</v>
      </c>
      <c r="B29" s="716">
        <v>22</v>
      </c>
      <c r="C29" s="716">
        <v>20</v>
      </c>
      <c r="D29" s="676">
        <v>12</v>
      </c>
      <c r="E29" s="676" t="str">
        <f>"RE-"&amp;$G$14</f>
        <v>RE-07</v>
      </c>
      <c r="F29" s="676" t="s">
        <v>210</v>
      </c>
      <c r="G29" s="676">
        <v>3</v>
      </c>
      <c r="H29" s="676">
        <v>5</v>
      </c>
      <c r="I29" s="676">
        <v>4</v>
      </c>
      <c r="J29" s="676">
        <v>6</v>
      </c>
      <c r="K29" s="676">
        <v>7</v>
      </c>
      <c r="L29" s="676">
        <v>8</v>
      </c>
      <c r="M29" s="676">
        <v>10</v>
      </c>
      <c r="N29" s="676">
        <v>11</v>
      </c>
      <c r="O29" s="676">
        <v>14</v>
      </c>
      <c r="P29" s="676">
        <v>15</v>
      </c>
      <c r="Q29" s="676">
        <v>21</v>
      </c>
      <c r="R29" s="676">
        <v>0</v>
      </c>
      <c r="S29" s="676">
        <v>0</v>
      </c>
      <c r="T29" s="676">
        <v>0</v>
      </c>
      <c r="U29" s="676">
        <v>0</v>
      </c>
      <c r="V29" s="676">
        <v>0</v>
      </c>
      <c r="W29" s="676">
        <v>37</v>
      </c>
      <c r="X29" s="676">
        <v>9</v>
      </c>
      <c r="Y29" s="676">
        <v>43</v>
      </c>
      <c r="Z29" s="676">
        <v>22</v>
      </c>
      <c r="AA29" s="676">
        <v>20</v>
      </c>
      <c r="AB29" s="676">
        <v>22</v>
      </c>
      <c r="AC29" s="676">
        <v>21</v>
      </c>
    </row>
    <row r="30" spans="1:29" ht="10.5">
      <c r="A30" s="677" t="s">
        <v>196</v>
      </c>
      <c r="B30" s="677">
        <v>19</v>
      </c>
      <c r="C30" s="677">
        <v>24</v>
      </c>
      <c r="D30" s="678">
        <v>4</v>
      </c>
      <c r="E30" s="677" t="str">
        <f>"CAUSAS-VST-"&amp;$G$14</f>
        <v>CAUSAS-VST-07</v>
      </c>
      <c r="F30" s="677" t="s">
        <v>211</v>
      </c>
      <c r="G30" s="677">
        <v>3</v>
      </c>
      <c r="H30" s="677">
        <v>4</v>
      </c>
      <c r="I30" s="677">
        <v>5</v>
      </c>
      <c r="J30" s="677">
        <v>6</v>
      </c>
      <c r="K30" s="677">
        <v>7</v>
      </c>
      <c r="L30" s="677">
        <v>0</v>
      </c>
      <c r="M30" s="677">
        <v>0</v>
      </c>
      <c r="N30" s="677">
        <v>0</v>
      </c>
      <c r="O30" s="677">
        <v>0</v>
      </c>
      <c r="P30" s="677">
        <v>0</v>
      </c>
      <c r="Q30" s="677">
        <v>0</v>
      </c>
      <c r="R30" s="677">
        <v>0</v>
      </c>
      <c r="S30" s="677">
        <v>0</v>
      </c>
      <c r="T30" s="677">
        <v>0</v>
      </c>
      <c r="U30" s="677">
        <v>0</v>
      </c>
      <c r="V30" s="677">
        <v>0</v>
      </c>
      <c r="W30" s="677">
        <v>999</v>
      </c>
      <c r="X30" s="677">
        <v>999</v>
      </c>
      <c r="Y30" s="677">
        <v>0</v>
      </c>
      <c r="Z30" s="677">
        <v>0</v>
      </c>
      <c r="AA30" s="677">
        <v>0</v>
      </c>
      <c r="AB30" s="677">
        <v>0</v>
      </c>
      <c r="AC30" s="677">
        <v>0</v>
      </c>
    </row>
    <row r="31" spans="1:29" ht="10.5">
      <c r="A31" s="679"/>
      <c r="B31" s="679">
        <v>30</v>
      </c>
      <c r="C31" s="679">
        <v>10</v>
      </c>
      <c r="D31" s="680">
        <v>11</v>
      </c>
      <c r="E31" s="679" t="s">
        <v>197</v>
      </c>
      <c r="F31" s="681" t="s">
        <v>212</v>
      </c>
      <c r="G31" s="681">
        <v>3</v>
      </c>
      <c r="H31" s="681">
        <v>5</v>
      </c>
      <c r="I31" s="681">
        <v>0</v>
      </c>
      <c r="J31" s="681">
        <v>4</v>
      </c>
      <c r="K31" s="681">
        <v>5</v>
      </c>
      <c r="L31" s="681">
        <v>6</v>
      </c>
      <c r="M31" s="681">
        <v>8</v>
      </c>
      <c r="N31" s="681">
        <v>9</v>
      </c>
      <c r="O31" s="681">
        <v>10</v>
      </c>
      <c r="P31" s="681">
        <v>13</v>
      </c>
      <c r="Q31" s="681">
        <v>15</v>
      </c>
      <c r="R31" s="681">
        <v>16</v>
      </c>
      <c r="S31" s="681">
        <v>0</v>
      </c>
      <c r="T31" s="681">
        <v>0</v>
      </c>
      <c r="U31" s="681">
        <v>0</v>
      </c>
      <c r="V31" s="681">
        <v>0</v>
      </c>
      <c r="W31" s="679">
        <v>0</v>
      </c>
      <c r="X31" s="679">
        <v>0</v>
      </c>
      <c r="Y31" s="679">
        <v>0</v>
      </c>
      <c r="Z31" s="679">
        <v>0</v>
      </c>
      <c r="AA31" s="679">
        <v>0</v>
      </c>
      <c r="AB31" s="679">
        <v>0</v>
      </c>
      <c r="AC31" s="679">
        <v>0</v>
      </c>
    </row>
    <row r="34" spans="6:9" ht="12.75">
      <c r="F34" s="682"/>
      <c r="G34" s="682"/>
      <c r="H34" s="682"/>
      <c r="I34" s="682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2" width="4.28125" style="0" customWidth="1"/>
    <col min="3" max="3" width="5.421875" style="0" customWidth="1"/>
    <col min="4" max="4" width="13.7109375" style="0" customWidth="1"/>
    <col min="5" max="5" width="12.140625" style="0" customWidth="1"/>
    <col min="6" max="6" width="48.14062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8.0039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16" customFormat="1" ht="26.25">
      <c r="AB1" s="384"/>
    </row>
    <row r="2" spans="2:28" s="116" customFormat="1" ht="26.25">
      <c r="B2" s="117" t="s">
        <v>287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="11" customFormat="1" ht="12.75"/>
    <row r="4" spans="1:3" s="119" customFormat="1" ht="11.25">
      <c r="A4" s="693" t="s">
        <v>16</v>
      </c>
      <c r="C4" s="692"/>
    </row>
    <row r="5" spans="1:3" s="119" customFormat="1" ht="11.25">
      <c r="A5" s="693" t="s">
        <v>225</v>
      </c>
      <c r="C5" s="692"/>
    </row>
    <row r="6" s="11" customFormat="1" ht="13.5" thickBot="1"/>
    <row r="7" spans="1:28" s="11" customFormat="1" ht="13.5" thickTop="1">
      <c r="A7" s="9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21" customFormat="1" ht="20.25">
      <c r="A8" s="42"/>
      <c r="B8" s="120"/>
      <c r="C8" s="42"/>
      <c r="D8" s="42"/>
      <c r="E8" s="42"/>
      <c r="F8" s="21" t="s">
        <v>38</v>
      </c>
      <c r="G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22"/>
    </row>
    <row r="9" spans="1:28" s="11" customFormat="1" ht="12.75">
      <c r="A9" s="9"/>
      <c r="B9" s="41"/>
      <c r="C9" s="9"/>
      <c r="D9" s="9"/>
      <c r="E9" s="9"/>
      <c r="F9" s="133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1" customFormat="1" ht="20.25">
      <c r="A10" s="42"/>
      <c r="B10" s="120"/>
      <c r="C10" s="42"/>
      <c r="D10" s="42"/>
      <c r="E10" s="42"/>
      <c r="F10" s="21" t="s">
        <v>39</v>
      </c>
      <c r="G10" s="21"/>
      <c r="H10" s="42"/>
      <c r="I10" s="123"/>
      <c r="J10" s="123"/>
      <c r="K10" s="123"/>
      <c r="L10" s="123"/>
      <c r="M10" s="123"/>
      <c r="N10" s="123"/>
      <c r="O10" s="123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22"/>
    </row>
    <row r="11" spans="1:28" s="11" customFormat="1" ht="12.75">
      <c r="A11" s="9"/>
      <c r="B11" s="41"/>
      <c r="C11" s="9"/>
      <c r="D11" s="9"/>
      <c r="E11" s="9"/>
      <c r="F11" s="132"/>
      <c r="G11" s="130"/>
      <c r="H11" s="9"/>
      <c r="I11" s="129"/>
      <c r="J11" s="129"/>
      <c r="K11" s="129"/>
      <c r="L11" s="129"/>
      <c r="M11" s="129"/>
      <c r="N11" s="129"/>
      <c r="O11" s="12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1" customFormat="1" ht="20.25">
      <c r="A12" s="42"/>
      <c r="B12" s="120"/>
      <c r="C12" s="42"/>
      <c r="D12" s="42"/>
      <c r="E12" s="42"/>
      <c r="F12" s="21" t="s">
        <v>40</v>
      </c>
      <c r="G12" s="21"/>
      <c r="H12" s="42"/>
      <c r="I12" s="123"/>
      <c r="J12" s="123"/>
      <c r="K12" s="123"/>
      <c r="L12" s="123"/>
      <c r="M12" s="123"/>
      <c r="N12" s="123"/>
      <c r="O12" s="123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122"/>
    </row>
    <row r="13" spans="1:28" s="11" customFormat="1" ht="12.75">
      <c r="A13" s="9"/>
      <c r="B13" s="41"/>
      <c r="C13" s="9"/>
      <c r="D13" s="9"/>
      <c r="E13" s="9"/>
      <c r="F13" s="132"/>
      <c r="G13" s="130"/>
      <c r="H13" s="9"/>
      <c r="I13" s="129"/>
      <c r="J13" s="129"/>
      <c r="K13" s="129"/>
      <c r="L13" s="129"/>
      <c r="M13" s="129"/>
      <c r="N13" s="129"/>
      <c r="O13" s="12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</row>
    <row r="14" spans="1:28" s="128" customFormat="1" ht="19.5">
      <c r="A14" s="44"/>
      <c r="B14" s="96" t="str">
        <f>+'TOT-0709'!B14</f>
        <v>Desde el 01 al 31 de julio de 2009</v>
      </c>
      <c r="C14" s="124"/>
      <c r="D14" s="124"/>
      <c r="E14" s="124"/>
      <c r="F14" s="124"/>
      <c r="G14" s="125"/>
      <c r="H14" s="125"/>
      <c r="I14" s="126"/>
      <c r="J14" s="126"/>
      <c r="K14" s="126"/>
      <c r="L14" s="126"/>
      <c r="M14" s="126"/>
      <c r="N14" s="126"/>
      <c r="O14" s="126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7"/>
    </row>
    <row r="15" spans="1:28" s="11" customFormat="1" ht="13.5" thickBot="1">
      <c r="A15" s="9"/>
      <c r="B15" s="41"/>
      <c r="C15" s="9"/>
      <c r="D15" s="9"/>
      <c r="E15" s="9"/>
      <c r="F15" s="9"/>
      <c r="G15" s="130"/>
      <c r="H15" s="131"/>
      <c r="I15" s="129"/>
      <c r="J15" s="129"/>
      <c r="K15" s="129"/>
      <c r="L15" s="129"/>
      <c r="M15" s="129"/>
      <c r="N15" s="129"/>
      <c r="O15" s="12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</row>
    <row r="16" spans="1:28" s="102" customFormat="1" ht="16.5" customHeight="1" thickBot="1" thickTop="1">
      <c r="A16" s="98"/>
      <c r="B16" s="99"/>
      <c r="C16" s="98"/>
      <c r="D16" s="98"/>
      <c r="E16" s="98"/>
      <c r="F16" s="475" t="s">
        <v>41</v>
      </c>
      <c r="G16" s="476">
        <v>72.965</v>
      </c>
      <c r="H16" s="477"/>
      <c r="I16" s="103"/>
      <c r="J16" s="103"/>
      <c r="K16" s="103"/>
      <c r="L16" s="103"/>
      <c r="M16" s="103"/>
      <c r="N16" s="103"/>
      <c r="O16" s="103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01"/>
    </row>
    <row r="17" spans="1:28" s="102" customFormat="1" ht="16.5" customHeight="1" thickBot="1" thickTop="1">
      <c r="A17" s="98"/>
      <c r="B17" s="99"/>
      <c r="C17" s="98"/>
      <c r="D17" s="98"/>
      <c r="E17" s="98"/>
      <c r="F17" s="475" t="s">
        <v>42</v>
      </c>
      <c r="G17" s="476">
        <v>69.722</v>
      </c>
      <c r="H17" s="478"/>
      <c r="I17" s="98"/>
      <c r="K17" s="104" t="s">
        <v>43</v>
      </c>
      <c r="L17" s="105">
        <f>30*'TOT-0709'!B13</f>
        <v>30</v>
      </c>
      <c r="M17" s="241" t="str">
        <f>IF(L17=30," ",IF(L17=60,"Coeficiente duplicado por tasa de falla &gt;4 Sal. x año/100 km.","REVISAR COEFICIENTE"))</f>
        <v> 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101"/>
    </row>
    <row r="18" spans="1:28" s="723" customFormat="1" ht="14.25" thickBot="1" thickTop="1">
      <c r="A18" s="719"/>
      <c r="B18" s="720"/>
      <c r="C18" s="721">
        <v>3</v>
      </c>
      <c r="D18" s="721">
        <v>4</v>
      </c>
      <c r="E18" s="721">
        <v>5</v>
      </c>
      <c r="F18" s="721">
        <v>6</v>
      </c>
      <c r="G18" s="721">
        <v>7</v>
      </c>
      <c r="H18" s="721">
        <v>8</v>
      </c>
      <c r="I18" s="721">
        <v>9</v>
      </c>
      <c r="J18" s="721">
        <v>10</v>
      </c>
      <c r="K18" s="721">
        <v>11</v>
      </c>
      <c r="L18" s="721">
        <v>12</v>
      </c>
      <c r="M18" s="721">
        <v>13</v>
      </c>
      <c r="N18" s="721">
        <v>14</v>
      </c>
      <c r="O18" s="721">
        <v>15</v>
      </c>
      <c r="P18" s="721">
        <v>16</v>
      </c>
      <c r="Q18" s="721">
        <v>17</v>
      </c>
      <c r="R18" s="721">
        <v>18</v>
      </c>
      <c r="S18" s="721">
        <v>19</v>
      </c>
      <c r="T18" s="721">
        <v>20</v>
      </c>
      <c r="U18" s="721">
        <v>21</v>
      </c>
      <c r="V18" s="721">
        <v>22</v>
      </c>
      <c r="W18" s="721">
        <v>23</v>
      </c>
      <c r="X18" s="721">
        <v>24</v>
      </c>
      <c r="Y18" s="721">
        <v>25</v>
      </c>
      <c r="Z18" s="721">
        <v>26</v>
      </c>
      <c r="AA18" s="721">
        <v>27</v>
      </c>
      <c r="AB18" s="722"/>
    </row>
    <row r="19" spans="1:28" s="115" customFormat="1" ht="33.75" customHeight="1" thickBot="1" thickTop="1">
      <c r="A19" s="106"/>
      <c r="B19" s="107"/>
      <c r="C19" s="108" t="s">
        <v>44</v>
      </c>
      <c r="D19" s="108" t="s">
        <v>222</v>
      </c>
      <c r="E19" s="108" t="s">
        <v>221</v>
      </c>
      <c r="F19" s="109" t="s">
        <v>19</v>
      </c>
      <c r="G19" s="110" t="s">
        <v>45</v>
      </c>
      <c r="H19" s="111" t="s">
        <v>46</v>
      </c>
      <c r="I19" s="269" t="s">
        <v>47</v>
      </c>
      <c r="J19" s="109" t="s">
        <v>48</v>
      </c>
      <c r="K19" s="109" t="s">
        <v>49</v>
      </c>
      <c r="L19" s="110" t="s">
        <v>50</v>
      </c>
      <c r="M19" s="110" t="s">
        <v>51</v>
      </c>
      <c r="N19" s="112" t="s">
        <v>52</v>
      </c>
      <c r="O19" s="110" t="s">
        <v>53</v>
      </c>
      <c r="P19" s="294" t="s">
        <v>54</v>
      </c>
      <c r="Q19" s="296" t="s">
        <v>55</v>
      </c>
      <c r="R19" s="298" t="s">
        <v>56</v>
      </c>
      <c r="S19" s="299"/>
      <c r="T19" s="300"/>
      <c r="U19" s="305" t="s">
        <v>57</v>
      </c>
      <c r="V19" s="306"/>
      <c r="W19" s="307"/>
      <c r="X19" s="312" t="s">
        <v>58</v>
      </c>
      <c r="Y19" s="314" t="s">
        <v>59</v>
      </c>
      <c r="Z19" s="113" t="s">
        <v>60</v>
      </c>
      <c r="AA19" s="113" t="s">
        <v>61</v>
      </c>
      <c r="AB19" s="114"/>
    </row>
    <row r="20" spans="1:28" ht="16.5" customHeight="1" thickTop="1">
      <c r="A20" s="1"/>
      <c r="B20" s="2"/>
      <c r="C20" s="48"/>
      <c r="D20" s="691"/>
      <c r="E20" s="691"/>
      <c r="F20" s="381"/>
      <c r="G20" s="50"/>
      <c r="H20" s="50"/>
      <c r="I20" s="370"/>
      <c r="J20" s="50"/>
      <c r="K20" s="51"/>
      <c r="L20" s="51"/>
      <c r="M20" s="51"/>
      <c r="N20" s="49"/>
      <c r="O20" s="50"/>
      <c r="P20" s="295"/>
      <c r="Q20" s="297"/>
      <c r="R20" s="301"/>
      <c r="S20" s="302"/>
      <c r="T20" s="303"/>
      <c r="U20" s="308"/>
      <c r="V20" s="309"/>
      <c r="W20" s="310"/>
      <c r="X20" s="313"/>
      <c r="Y20" s="315"/>
      <c r="Z20" s="304"/>
      <c r="AA20" s="382"/>
      <c r="AB20" s="3"/>
    </row>
    <row r="21" spans="1:28" ht="16.5" customHeight="1">
      <c r="A21" s="1"/>
      <c r="B21" s="2"/>
      <c r="C21" s="501"/>
      <c r="D21" s="689"/>
      <c r="E21" s="689"/>
      <c r="F21" s="501"/>
      <c r="G21" s="502"/>
      <c r="H21" s="502"/>
      <c r="I21" s="371"/>
      <c r="J21" s="501"/>
      <c r="K21" s="503"/>
      <c r="L21" s="97"/>
      <c r="M21" s="97"/>
      <c r="N21" s="504"/>
      <c r="O21" s="501"/>
      <c r="P21" s="505"/>
      <c r="Q21" s="506"/>
      <c r="R21" s="507"/>
      <c r="S21" s="508"/>
      <c r="T21" s="509"/>
      <c r="U21" s="510"/>
      <c r="V21" s="511"/>
      <c r="W21" s="512"/>
      <c r="X21" s="513"/>
      <c r="Y21" s="514"/>
      <c r="Z21" s="515"/>
      <c r="AA21" s="97"/>
      <c r="AB21" s="3"/>
    </row>
    <row r="22" spans="1:28" ht="16.5" customHeight="1">
      <c r="A22" s="1"/>
      <c r="B22" s="2"/>
      <c r="C22" s="479">
        <v>1</v>
      </c>
      <c r="D22" s="479">
        <v>208901</v>
      </c>
      <c r="E22" s="479">
        <v>2034</v>
      </c>
      <c r="F22" s="480" t="s">
        <v>233</v>
      </c>
      <c r="G22" s="481">
        <v>132</v>
      </c>
      <c r="H22" s="482">
        <v>299.6000061035156</v>
      </c>
      <c r="I22" s="372">
        <f aca="true" t="shared" si="0" ref="I22:I41">IF(H22&gt;25,H22,25)*IF(G22=330,$G$16,$G$17)/100</f>
        <v>208.88711625549314</v>
      </c>
      <c r="J22" s="487">
        <v>40004.61041666667</v>
      </c>
      <c r="K22" s="487">
        <v>40004.663194444445</v>
      </c>
      <c r="L22" s="14">
        <f aca="true" t="shared" si="1" ref="L22:L41">IF(F22="","",(K22-J22)*24)</f>
        <v>1.2666666666045785</v>
      </c>
      <c r="M22" s="15">
        <f aca="true" t="shared" si="2" ref="M22:M41">IF(F22="","",ROUND((K22-J22)*24*60,0))</f>
        <v>76</v>
      </c>
      <c r="N22" s="488" t="s">
        <v>234</v>
      </c>
      <c r="O22" s="695"/>
      <c r="P22" s="696" t="str">
        <f aca="true" t="shared" si="3" ref="P22:P41">IF(N22="P",ROUND(M22/60,2)*I22*$L$17*0.01,"--")</f>
        <v>--</v>
      </c>
      <c r="Q22" s="697" t="str">
        <f aca="true" t="shared" si="4" ref="Q22:Q41">IF(N22="RP",ROUND(M22/60,2)*I22*$L$17*0.01*O22/100,"--")</f>
        <v>--</v>
      </c>
      <c r="R22" s="698">
        <f aca="true" t="shared" si="5" ref="R22:R41">IF(N22="F",I22*$L$17,"--")</f>
        <v>6266.613487664794</v>
      </c>
      <c r="S22" s="699">
        <f aca="true" t="shared" si="6" ref="S22:S41">IF(AND(M22&gt;10,N22="F"),I22*$L$17*IF(M22&gt;180,3,ROUND(M22/60,2)),"--")</f>
        <v>7958.599129334289</v>
      </c>
      <c r="T22" s="700" t="str">
        <f aca="true" t="shared" si="7" ref="T22:T41">IF(AND(M22&gt;180,N22="F"),(ROUND(M22/60,2)-3)*I22*$L$17*0.1,"--")</f>
        <v>--</v>
      </c>
      <c r="U22" s="701" t="str">
        <f aca="true" t="shared" si="8" ref="U22:U41">IF(N22="R",I22*$L$17*O22/100,"--")</f>
        <v>--</v>
      </c>
      <c r="V22" s="702" t="str">
        <f aca="true" t="shared" si="9" ref="V22:V41">IF(AND(M22&gt;10,N22="R"),I22*$L$17*O22/100*IF(M22&gt;180,3,ROUND(M22/60,2)),"--")</f>
        <v>--</v>
      </c>
      <c r="W22" s="703" t="str">
        <f aca="true" t="shared" si="10" ref="W22:W41">IF(AND(M22&gt;180,N22="R"),(ROUND(M22/60,2)-3)*O22/100*I22*$L$17*0.1,"--")</f>
        <v>--</v>
      </c>
      <c r="X22" s="704" t="str">
        <f aca="true" t="shared" si="11" ref="X22:X41">IF(N22="RF",ROUND(M22/60,2)*I22*$L$17*0.1,"--")</f>
        <v>--</v>
      </c>
      <c r="Y22" s="705" t="str">
        <f aca="true" t="shared" si="12" ref="Y22:Y41">IF(N22="RR",ROUND(M22/60,2)*O22/100*I22*$L$17*0.1,"--")</f>
        <v>--</v>
      </c>
      <c r="Z22" s="706" t="s">
        <v>235</v>
      </c>
      <c r="AA22" s="52">
        <f aca="true" t="shared" si="13" ref="AA22:AA41">IF(F22="","",SUM(P22:Y22)*IF(Z22="SI",1,2))</f>
        <v>14225.212616999082</v>
      </c>
      <c r="AB22" s="3"/>
    </row>
    <row r="23" spans="1:28" ht="16.5" customHeight="1">
      <c r="A23" s="1"/>
      <c r="B23" s="2"/>
      <c r="C23" s="479">
        <v>2</v>
      </c>
      <c r="D23" s="479">
        <v>209352</v>
      </c>
      <c r="E23" s="479">
        <v>1631</v>
      </c>
      <c r="F23" s="480" t="s">
        <v>236</v>
      </c>
      <c r="G23" s="481">
        <v>132</v>
      </c>
      <c r="H23" s="482">
        <v>121.5</v>
      </c>
      <c r="I23" s="372">
        <f t="shared" si="0"/>
        <v>84.71223</v>
      </c>
      <c r="J23" s="487">
        <v>40014.93958333333</v>
      </c>
      <c r="K23" s="487">
        <v>40014.94930555556</v>
      </c>
      <c r="L23" s="14">
        <f t="shared" si="1"/>
        <v>0.2333333333954215</v>
      </c>
      <c r="M23" s="15">
        <f t="shared" si="2"/>
        <v>14</v>
      </c>
      <c r="N23" s="488" t="s">
        <v>234</v>
      </c>
      <c r="O23" s="695"/>
      <c r="P23" s="696" t="str">
        <f t="shared" si="3"/>
        <v>--</v>
      </c>
      <c r="Q23" s="697" t="str">
        <f t="shared" si="4"/>
        <v>--</v>
      </c>
      <c r="R23" s="698">
        <f t="shared" si="5"/>
        <v>2541.3669</v>
      </c>
      <c r="S23" s="699">
        <f t="shared" si="6"/>
        <v>584.514387</v>
      </c>
      <c r="T23" s="700" t="str">
        <f t="shared" si="7"/>
        <v>--</v>
      </c>
      <c r="U23" s="701" t="str">
        <f t="shared" si="8"/>
        <v>--</v>
      </c>
      <c r="V23" s="702" t="str">
        <f t="shared" si="9"/>
        <v>--</v>
      </c>
      <c r="W23" s="703" t="str">
        <f t="shared" si="10"/>
        <v>--</v>
      </c>
      <c r="X23" s="704" t="str">
        <f t="shared" si="11"/>
        <v>--</v>
      </c>
      <c r="Y23" s="705" t="str">
        <f t="shared" si="12"/>
        <v>--</v>
      </c>
      <c r="Z23" s="706" t="s">
        <v>235</v>
      </c>
      <c r="AA23" s="52">
        <f t="shared" si="13"/>
        <v>3125.881287</v>
      </c>
      <c r="AB23" s="3"/>
    </row>
    <row r="24" spans="1:28" ht="16.5" customHeight="1">
      <c r="A24" s="1"/>
      <c r="B24" s="2"/>
      <c r="C24" s="479"/>
      <c r="D24" s="479"/>
      <c r="E24" s="479"/>
      <c r="F24" s="480"/>
      <c r="G24" s="481"/>
      <c r="H24" s="482"/>
      <c r="I24" s="372">
        <f t="shared" si="0"/>
        <v>17.4305</v>
      </c>
      <c r="J24" s="487"/>
      <c r="K24" s="487"/>
      <c r="L24" s="14">
        <f t="shared" si="1"/>
      </c>
      <c r="M24" s="15">
        <f t="shared" si="2"/>
      </c>
      <c r="N24" s="488"/>
      <c r="O24" s="695">
        <f aca="true" t="shared" si="14" ref="O24:O41">IF(F24="","","--")</f>
      </c>
      <c r="P24" s="696" t="str">
        <f t="shared" si="3"/>
        <v>--</v>
      </c>
      <c r="Q24" s="697" t="str">
        <f t="shared" si="4"/>
        <v>--</v>
      </c>
      <c r="R24" s="698" t="str">
        <f t="shared" si="5"/>
        <v>--</v>
      </c>
      <c r="S24" s="699" t="str">
        <f t="shared" si="6"/>
        <v>--</v>
      </c>
      <c r="T24" s="700" t="str">
        <f t="shared" si="7"/>
        <v>--</v>
      </c>
      <c r="U24" s="701" t="str">
        <f t="shared" si="8"/>
        <v>--</v>
      </c>
      <c r="V24" s="702" t="str">
        <f t="shared" si="9"/>
        <v>--</v>
      </c>
      <c r="W24" s="703" t="str">
        <f t="shared" si="10"/>
        <v>--</v>
      </c>
      <c r="X24" s="704" t="str">
        <f t="shared" si="11"/>
        <v>--</v>
      </c>
      <c r="Y24" s="705" t="str">
        <f t="shared" si="12"/>
        <v>--</v>
      </c>
      <c r="Z24" s="706">
        <f aca="true" t="shared" si="15" ref="Z24:Z41">IF(F24="","","SI")</f>
      </c>
      <c r="AA24" s="52">
        <f t="shared" si="13"/>
      </c>
      <c r="AB24" s="3"/>
    </row>
    <row r="25" spans="1:28" ht="16.5" customHeight="1">
      <c r="A25" s="1"/>
      <c r="B25" s="2"/>
      <c r="C25" s="479"/>
      <c r="D25" s="479"/>
      <c r="E25" s="479"/>
      <c r="F25" s="480"/>
      <c r="G25" s="481"/>
      <c r="H25" s="482"/>
      <c r="I25" s="372">
        <f t="shared" si="0"/>
        <v>17.4305</v>
      </c>
      <c r="J25" s="487"/>
      <c r="K25" s="487"/>
      <c r="L25" s="14">
        <f t="shared" si="1"/>
      </c>
      <c r="M25" s="15">
        <f t="shared" si="2"/>
      </c>
      <c r="N25" s="488"/>
      <c r="O25" s="695">
        <f t="shared" si="14"/>
      </c>
      <c r="P25" s="696" t="str">
        <f t="shared" si="3"/>
        <v>--</v>
      </c>
      <c r="Q25" s="697" t="str">
        <f t="shared" si="4"/>
        <v>--</v>
      </c>
      <c r="R25" s="698" t="str">
        <f t="shared" si="5"/>
        <v>--</v>
      </c>
      <c r="S25" s="699" t="str">
        <f t="shared" si="6"/>
        <v>--</v>
      </c>
      <c r="T25" s="700" t="str">
        <f t="shared" si="7"/>
        <v>--</v>
      </c>
      <c r="U25" s="701" t="str">
        <f t="shared" si="8"/>
        <v>--</v>
      </c>
      <c r="V25" s="702" t="str">
        <f t="shared" si="9"/>
        <v>--</v>
      </c>
      <c r="W25" s="703" t="str">
        <f t="shared" si="10"/>
        <v>--</v>
      </c>
      <c r="X25" s="704" t="str">
        <f t="shared" si="11"/>
        <v>--</v>
      </c>
      <c r="Y25" s="705" t="str">
        <f t="shared" si="12"/>
        <v>--</v>
      </c>
      <c r="Z25" s="706">
        <f t="shared" si="15"/>
      </c>
      <c r="AA25" s="52">
        <f t="shared" si="13"/>
      </c>
      <c r="AB25" s="3"/>
    </row>
    <row r="26" spans="1:28" ht="16.5" customHeight="1">
      <c r="A26" s="1"/>
      <c r="B26" s="2"/>
      <c r="C26" s="479"/>
      <c r="D26" s="479"/>
      <c r="E26" s="479"/>
      <c r="F26" s="480"/>
      <c r="G26" s="481"/>
      <c r="H26" s="482"/>
      <c r="I26" s="372">
        <f t="shared" si="0"/>
        <v>17.4305</v>
      </c>
      <c r="J26" s="487"/>
      <c r="K26" s="487"/>
      <c r="L26" s="14">
        <f t="shared" si="1"/>
      </c>
      <c r="M26" s="15">
        <f t="shared" si="2"/>
      </c>
      <c r="N26" s="488"/>
      <c r="O26" s="695">
        <f t="shared" si="14"/>
      </c>
      <c r="P26" s="696" t="str">
        <f t="shared" si="3"/>
        <v>--</v>
      </c>
      <c r="Q26" s="697" t="str">
        <f t="shared" si="4"/>
        <v>--</v>
      </c>
      <c r="R26" s="698" t="str">
        <f t="shared" si="5"/>
        <v>--</v>
      </c>
      <c r="S26" s="699" t="str">
        <f t="shared" si="6"/>
        <v>--</v>
      </c>
      <c r="T26" s="700" t="str">
        <f t="shared" si="7"/>
        <v>--</v>
      </c>
      <c r="U26" s="701" t="str">
        <f t="shared" si="8"/>
        <v>--</v>
      </c>
      <c r="V26" s="702" t="str">
        <f t="shared" si="9"/>
        <v>--</v>
      </c>
      <c r="W26" s="703" t="str">
        <f t="shared" si="10"/>
        <v>--</v>
      </c>
      <c r="X26" s="704" t="str">
        <f t="shared" si="11"/>
        <v>--</v>
      </c>
      <c r="Y26" s="705" t="str">
        <f t="shared" si="12"/>
        <v>--</v>
      </c>
      <c r="Z26" s="706">
        <f t="shared" si="15"/>
      </c>
      <c r="AA26" s="52">
        <f t="shared" si="13"/>
      </c>
      <c r="AB26" s="3"/>
    </row>
    <row r="27" spans="1:28" ht="16.5" customHeight="1">
      <c r="A27" s="1"/>
      <c r="B27" s="2"/>
      <c r="C27" s="479"/>
      <c r="D27" s="479"/>
      <c r="E27" s="479"/>
      <c r="F27" s="480"/>
      <c r="G27" s="481"/>
      <c r="H27" s="482"/>
      <c r="I27" s="372">
        <f t="shared" si="0"/>
        <v>17.4305</v>
      </c>
      <c r="J27" s="487"/>
      <c r="K27" s="487"/>
      <c r="L27" s="14">
        <f t="shared" si="1"/>
      </c>
      <c r="M27" s="15">
        <f t="shared" si="2"/>
      </c>
      <c r="N27" s="488"/>
      <c r="O27" s="695">
        <f t="shared" si="14"/>
      </c>
      <c r="P27" s="696" t="str">
        <f t="shared" si="3"/>
        <v>--</v>
      </c>
      <c r="Q27" s="697" t="str">
        <f t="shared" si="4"/>
        <v>--</v>
      </c>
      <c r="R27" s="698" t="str">
        <f t="shared" si="5"/>
        <v>--</v>
      </c>
      <c r="S27" s="699" t="str">
        <f t="shared" si="6"/>
        <v>--</v>
      </c>
      <c r="T27" s="700" t="str">
        <f t="shared" si="7"/>
        <v>--</v>
      </c>
      <c r="U27" s="701" t="str">
        <f t="shared" si="8"/>
        <v>--</v>
      </c>
      <c r="V27" s="702" t="str">
        <f t="shared" si="9"/>
        <v>--</v>
      </c>
      <c r="W27" s="703" t="str">
        <f t="shared" si="10"/>
        <v>--</v>
      </c>
      <c r="X27" s="704" t="str">
        <f t="shared" si="11"/>
        <v>--</v>
      </c>
      <c r="Y27" s="705" t="str">
        <f t="shared" si="12"/>
        <v>--</v>
      </c>
      <c r="Z27" s="706">
        <f t="shared" si="15"/>
      </c>
      <c r="AA27" s="52">
        <f t="shared" si="13"/>
      </c>
      <c r="AB27" s="3"/>
    </row>
    <row r="28" spans="1:28" ht="16.5" customHeight="1">
      <c r="A28" s="1"/>
      <c r="B28" s="2"/>
      <c r="C28" s="479"/>
      <c r="D28" s="479"/>
      <c r="E28" s="479"/>
      <c r="F28" s="480"/>
      <c r="G28" s="481"/>
      <c r="H28" s="482"/>
      <c r="I28" s="372">
        <f t="shared" si="0"/>
        <v>17.4305</v>
      </c>
      <c r="J28" s="487"/>
      <c r="K28" s="487"/>
      <c r="L28" s="14">
        <f t="shared" si="1"/>
      </c>
      <c r="M28" s="15">
        <f t="shared" si="2"/>
      </c>
      <c r="N28" s="488"/>
      <c r="O28" s="695">
        <f t="shared" si="14"/>
      </c>
      <c r="P28" s="696" t="str">
        <f t="shared" si="3"/>
        <v>--</v>
      </c>
      <c r="Q28" s="697" t="str">
        <f t="shared" si="4"/>
        <v>--</v>
      </c>
      <c r="R28" s="698" t="str">
        <f t="shared" si="5"/>
        <v>--</v>
      </c>
      <c r="S28" s="699" t="str">
        <f t="shared" si="6"/>
        <v>--</v>
      </c>
      <c r="T28" s="700" t="str">
        <f t="shared" si="7"/>
        <v>--</v>
      </c>
      <c r="U28" s="701" t="str">
        <f t="shared" si="8"/>
        <v>--</v>
      </c>
      <c r="V28" s="702" t="str">
        <f t="shared" si="9"/>
        <v>--</v>
      </c>
      <c r="W28" s="703" t="str">
        <f t="shared" si="10"/>
        <v>--</v>
      </c>
      <c r="X28" s="704" t="str">
        <f t="shared" si="11"/>
        <v>--</v>
      </c>
      <c r="Y28" s="705" t="str">
        <f t="shared" si="12"/>
        <v>--</v>
      </c>
      <c r="Z28" s="706">
        <f t="shared" si="15"/>
      </c>
      <c r="AA28" s="52">
        <f t="shared" si="13"/>
      </c>
      <c r="AB28" s="3"/>
    </row>
    <row r="29" spans="1:28" ht="16.5" customHeight="1">
      <c r="A29" s="1"/>
      <c r="B29" s="2"/>
      <c r="C29" s="479"/>
      <c r="D29" s="479"/>
      <c r="E29" s="479"/>
      <c r="F29" s="480"/>
      <c r="G29" s="481"/>
      <c r="H29" s="482"/>
      <c r="I29" s="372">
        <f t="shared" si="0"/>
        <v>17.4305</v>
      </c>
      <c r="J29" s="487"/>
      <c r="K29" s="487"/>
      <c r="L29" s="14">
        <f t="shared" si="1"/>
      </c>
      <c r="M29" s="15">
        <f t="shared" si="2"/>
      </c>
      <c r="N29" s="488"/>
      <c r="O29" s="695">
        <f t="shared" si="14"/>
      </c>
      <c r="P29" s="696" t="str">
        <f t="shared" si="3"/>
        <v>--</v>
      </c>
      <c r="Q29" s="697" t="str">
        <f t="shared" si="4"/>
        <v>--</v>
      </c>
      <c r="R29" s="698" t="str">
        <f t="shared" si="5"/>
        <v>--</v>
      </c>
      <c r="S29" s="699" t="str">
        <f t="shared" si="6"/>
        <v>--</v>
      </c>
      <c r="T29" s="700" t="str">
        <f t="shared" si="7"/>
        <v>--</v>
      </c>
      <c r="U29" s="701" t="str">
        <f t="shared" si="8"/>
        <v>--</v>
      </c>
      <c r="V29" s="702" t="str">
        <f t="shared" si="9"/>
        <v>--</v>
      </c>
      <c r="W29" s="703" t="str">
        <f t="shared" si="10"/>
        <v>--</v>
      </c>
      <c r="X29" s="704" t="str">
        <f t="shared" si="11"/>
        <v>--</v>
      </c>
      <c r="Y29" s="705" t="str">
        <f t="shared" si="12"/>
        <v>--</v>
      </c>
      <c r="Z29" s="706">
        <f t="shared" si="15"/>
      </c>
      <c r="AA29" s="52">
        <f t="shared" si="13"/>
      </c>
      <c r="AB29" s="3"/>
    </row>
    <row r="30" spans="1:28" ht="16.5" customHeight="1">
      <c r="A30" s="1"/>
      <c r="B30" s="2"/>
      <c r="C30" s="479"/>
      <c r="D30" s="479"/>
      <c r="E30" s="479"/>
      <c r="F30" s="480"/>
      <c r="G30" s="481"/>
      <c r="H30" s="482"/>
      <c r="I30" s="372">
        <f t="shared" si="0"/>
        <v>17.4305</v>
      </c>
      <c r="J30" s="487"/>
      <c r="K30" s="487"/>
      <c r="L30" s="14">
        <f t="shared" si="1"/>
      </c>
      <c r="M30" s="15">
        <f t="shared" si="2"/>
      </c>
      <c r="N30" s="488"/>
      <c r="O30" s="695">
        <f t="shared" si="14"/>
      </c>
      <c r="P30" s="696" t="str">
        <f t="shared" si="3"/>
        <v>--</v>
      </c>
      <c r="Q30" s="697" t="str">
        <f t="shared" si="4"/>
        <v>--</v>
      </c>
      <c r="R30" s="698" t="str">
        <f t="shared" si="5"/>
        <v>--</v>
      </c>
      <c r="S30" s="699" t="str">
        <f t="shared" si="6"/>
        <v>--</v>
      </c>
      <c r="T30" s="700" t="str">
        <f t="shared" si="7"/>
        <v>--</v>
      </c>
      <c r="U30" s="701" t="str">
        <f t="shared" si="8"/>
        <v>--</v>
      </c>
      <c r="V30" s="702" t="str">
        <f t="shared" si="9"/>
        <v>--</v>
      </c>
      <c r="W30" s="703" t="str">
        <f t="shared" si="10"/>
        <v>--</v>
      </c>
      <c r="X30" s="704" t="str">
        <f t="shared" si="11"/>
        <v>--</v>
      </c>
      <c r="Y30" s="705" t="str">
        <f t="shared" si="12"/>
        <v>--</v>
      </c>
      <c r="Z30" s="706">
        <f t="shared" si="15"/>
      </c>
      <c r="AA30" s="52">
        <f t="shared" si="13"/>
      </c>
      <c r="AB30" s="3"/>
    </row>
    <row r="31" spans="1:28" ht="16.5" customHeight="1">
      <c r="A31" s="1"/>
      <c r="B31" s="2"/>
      <c r="C31" s="479"/>
      <c r="D31" s="479"/>
      <c r="E31" s="479"/>
      <c r="F31" s="480"/>
      <c r="G31" s="481"/>
      <c r="H31" s="482"/>
      <c r="I31" s="372">
        <f t="shared" si="0"/>
        <v>17.4305</v>
      </c>
      <c r="J31" s="487"/>
      <c r="K31" s="487"/>
      <c r="L31" s="14">
        <f t="shared" si="1"/>
      </c>
      <c r="M31" s="15">
        <f t="shared" si="2"/>
      </c>
      <c r="N31" s="488"/>
      <c r="O31" s="695">
        <f t="shared" si="14"/>
      </c>
      <c r="P31" s="696" t="str">
        <f t="shared" si="3"/>
        <v>--</v>
      </c>
      <c r="Q31" s="697" t="str">
        <f t="shared" si="4"/>
        <v>--</v>
      </c>
      <c r="R31" s="698" t="str">
        <f t="shared" si="5"/>
        <v>--</v>
      </c>
      <c r="S31" s="699" t="str">
        <f t="shared" si="6"/>
        <v>--</v>
      </c>
      <c r="T31" s="700" t="str">
        <f t="shared" si="7"/>
        <v>--</v>
      </c>
      <c r="U31" s="701" t="str">
        <f t="shared" si="8"/>
        <v>--</v>
      </c>
      <c r="V31" s="702" t="str">
        <f t="shared" si="9"/>
        <v>--</v>
      </c>
      <c r="W31" s="703" t="str">
        <f t="shared" si="10"/>
        <v>--</v>
      </c>
      <c r="X31" s="704" t="str">
        <f t="shared" si="11"/>
        <v>--</v>
      </c>
      <c r="Y31" s="705" t="str">
        <f t="shared" si="12"/>
        <v>--</v>
      </c>
      <c r="Z31" s="706">
        <f t="shared" si="15"/>
      </c>
      <c r="AA31" s="52">
        <f t="shared" si="13"/>
      </c>
      <c r="AB31" s="3"/>
    </row>
    <row r="32" spans="1:28" ht="16.5" customHeight="1">
      <c r="A32" s="1"/>
      <c r="B32" s="2"/>
      <c r="C32" s="479"/>
      <c r="D32" s="479"/>
      <c r="E32" s="479"/>
      <c r="F32" s="480"/>
      <c r="G32" s="481"/>
      <c r="H32" s="482"/>
      <c r="I32" s="372">
        <f t="shared" si="0"/>
        <v>17.4305</v>
      </c>
      <c r="J32" s="487"/>
      <c r="K32" s="487"/>
      <c r="L32" s="14">
        <f t="shared" si="1"/>
      </c>
      <c r="M32" s="15">
        <f t="shared" si="2"/>
      </c>
      <c r="N32" s="488"/>
      <c r="O32" s="695">
        <f t="shared" si="14"/>
      </c>
      <c r="P32" s="696" t="str">
        <f t="shared" si="3"/>
        <v>--</v>
      </c>
      <c r="Q32" s="697" t="str">
        <f t="shared" si="4"/>
        <v>--</v>
      </c>
      <c r="R32" s="698" t="str">
        <f t="shared" si="5"/>
        <v>--</v>
      </c>
      <c r="S32" s="699" t="str">
        <f t="shared" si="6"/>
        <v>--</v>
      </c>
      <c r="T32" s="700" t="str">
        <f t="shared" si="7"/>
        <v>--</v>
      </c>
      <c r="U32" s="701" t="str">
        <f t="shared" si="8"/>
        <v>--</v>
      </c>
      <c r="V32" s="702" t="str">
        <f t="shared" si="9"/>
        <v>--</v>
      </c>
      <c r="W32" s="703" t="str">
        <f t="shared" si="10"/>
        <v>--</v>
      </c>
      <c r="X32" s="704" t="str">
        <f t="shared" si="11"/>
        <v>--</v>
      </c>
      <c r="Y32" s="705" t="str">
        <f t="shared" si="12"/>
        <v>--</v>
      </c>
      <c r="Z32" s="706">
        <f t="shared" si="15"/>
      </c>
      <c r="AA32" s="52">
        <f t="shared" si="13"/>
      </c>
      <c r="AB32" s="3"/>
    </row>
    <row r="33" spans="1:28" ht="16.5" customHeight="1">
      <c r="A33" s="1"/>
      <c r="B33" s="2"/>
      <c r="C33" s="479"/>
      <c r="D33" s="479"/>
      <c r="E33" s="479"/>
      <c r="F33" s="480"/>
      <c r="G33" s="481"/>
      <c r="H33" s="482"/>
      <c r="I33" s="372">
        <f t="shared" si="0"/>
        <v>17.4305</v>
      </c>
      <c r="J33" s="487"/>
      <c r="K33" s="487"/>
      <c r="L33" s="14">
        <f t="shared" si="1"/>
      </c>
      <c r="M33" s="15">
        <f t="shared" si="2"/>
      </c>
      <c r="N33" s="488"/>
      <c r="O33" s="695">
        <f t="shared" si="14"/>
      </c>
      <c r="P33" s="696" t="str">
        <f t="shared" si="3"/>
        <v>--</v>
      </c>
      <c r="Q33" s="697" t="str">
        <f t="shared" si="4"/>
        <v>--</v>
      </c>
      <c r="R33" s="698" t="str">
        <f t="shared" si="5"/>
        <v>--</v>
      </c>
      <c r="S33" s="699" t="str">
        <f t="shared" si="6"/>
        <v>--</v>
      </c>
      <c r="T33" s="700" t="str">
        <f t="shared" si="7"/>
        <v>--</v>
      </c>
      <c r="U33" s="701" t="str">
        <f t="shared" si="8"/>
        <v>--</v>
      </c>
      <c r="V33" s="702" t="str">
        <f t="shared" si="9"/>
        <v>--</v>
      </c>
      <c r="W33" s="703" t="str">
        <f t="shared" si="10"/>
        <v>--</v>
      </c>
      <c r="X33" s="704" t="str">
        <f t="shared" si="11"/>
        <v>--</v>
      </c>
      <c r="Y33" s="705" t="str">
        <f t="shared" si="12"/>
        <v>--</v>
      </c>
      <c r="Z33" s="706">
        <f t="shared" si="15"/>
      </c>
      <c r="AA33" s="52">
        <f t="shared" si="13"/>
      </c>
      <c r="AB33" s="3"/>
    </row>
    <row r="34" spans="1:28" ht="16.5" customHeight="1">
      <c r="A34" s="1"/>
      <c r="B34" s="2"/>
      <c r="C34" s="479"/>
      <c r="D34" s="479"/>
      <c r="E34" s="479"/>
      <c r="F34" s="480"/>
      <c r="G34" s="481"/>
      <c r="H34" s="482"/>
      <c r="I34" s="372">
        <f t="shared" si="0"/>
        <v>17.4305</v>
      </c>
      <c r="J34" s="487"/>
      <c r="K34" s="487"/>
      <c r="L34" s="14">
        <f t="shared" si="1"/>
      </c>
      <c r="M34" s="15">
        <f t="shared" si="2"/>
      </c>
      <c r="N34" s="488"/>
      <c r="O34" s="695">
        <f t="shared" si="14"/>
      </c>
      <c r="P34" s="696" t="str">
        <f t="shared" si="3"/>
        <v>--</v>
      </c>
      <c r="Q34" s="697" t="str">
        <f t="shared" si="4"/>
        <v>--</v>
      </c>
      <c r="R34" s="698" t="str">
        <f t="shared" si="5"/>
        <v>--</v>
      </c>
      <c r="S34" s="699" t="str">
        <f t="shared" si="6"/>
        <v>--</v>
      </c>
      <c r="T34" s="700" t="str">
        <f t="shared" si="7"/>
        <v>--</v>
      </c>
      <c r="U34" s="701" t="str">
        <f t="shared" si="8"/>
        <v>--</v>
      </c>
      <c r="V34" s="702" t="str">
        <f t="shared" si="9"/>
        <v>--</v>
      </c>
      <c r="W34" s="703" t="str">
        <f t="shared" si="10"/>
        <v>--</v>
      </c>
      <c r="X34" s="704" t="str">
        <f t="shared" si="11"/>
        <v>--</v>
      </c>
      <c r="Y34" s="705" t="str">
        <f t="shared" si="12"/>
        <v>--</v>
      </c>
      <c r="Z34" s="706">
        <f t="shared" si="15"/>
      </c>
      <c r="AA34" s="52">
        <f t="shared" si="13"/>
      </c>
      <c r="AB34" s="3"/>
    </row>
    <row r="35" spans="1:28" ht="16.5" customHeight="1">
      <c r="A35" s="1"/>
      <c r="B35" s="2"/>
      <c r="C35" s="479"/>
      <c r="D35" s="479"/>
      <c r="E35" s="479"/>
      <c r="F35" s="480"/>
      <c r="G35" s="481"/>
      <c r="H35" s="482"/>
      <c r="I35" s="372">
        <f t="shared" si="0"/>
        <v>17.4305</v>
      </c>
      <c r="J35" s="487"/>
      <c r="K35" s="487"/>
      <c r="L35" s="14">
        <f t="shared" si="1"/>
      </c>
      <c r="M35" s="15">
        <f t="shared" si="2"/>
      </c>
      <c r="N35" s="488"/>
      <c r="O35" s="695">
        <f t="shared" si="14"/>
      </c>
      <c r="P35" s="696" t="str">
        <f t="shared" si="3"/>
        <v>--</v>
      </c>
      <c r="Q35" s="697" t="str">
        <f t="shared" si="4"/>
        <v>--</v>
      </c>
      <c r="R35" s="698" t="str">
        <f t="shared" si="5"/>
        <v>--</v>
      </c>
      <c r="S35" s="699" t="str">
        <f t="shared" si="6"/>
        <v>--</v>
      </c>
      <c r="T35" s="700" t="str">
        <f t="shared" si="7"/>
        <v>--</v>
      </c>
      <c r="U35" s="701" t="str">
        <f t="shared" si="8"/>
        <v>--</v>
      </c>
      <c r="V35" s="702" t="str">
        <f t="shared" si="9"/>
        <v>--</v>
      </c>
      <c r="W35" s="703" t="str">
        <f t="shared" si="10"/>
        <v>--</v>
      </c>
      <c r="X35" s="704" t="str">
        <f t="shared" si="11"/>
        <v>--</v>
      </c>
      <c r="Y35" s="705" t="str">
        <f t="shared" si="12"/>
        <v>--</v>
      </c>
      <c r="Z35" s="706">
        <f t="shared" si="15"/>
      </c>
      <c r="AA35" s="52">
        <f t="shared" si="13"/>
      </c>
      <c r="AB35" s="3"/>
    </row>
    <row r="36" spans="1:28" ht="16.5" customHeight="1">
      <c r="A36" s="1"/>
      <c r="B36" s="2"/>
      <c r="C36" s="479"/>
      <c r="D36" s="479"/>
      <c r="E36" s="479"/>
      <c r="F36" s="480"/>
      <c r="G36" s="481"/>
      <c r="H36" s="482"/>
      <c r="I36" s="372">
        <f t="shared" si="0"/>
        <v>17.4305</v>
      </c>
      <c r="J36" s="487"/>
      <c r="K36" s="487"/>
      <c r="L36" s="14">
        <f t="shared" si="1"/>
      </c>
      <c r="M36" s="15">
        <f t="shared" si="2"/>
      </c>
      <c r="N36" s="488"/>
      <c r="O36" s="695">
        <f t="shared" si="14"/>
      </c>
      <c r="P36" s="696" t="str">
        <f t="shared" si="3"/>
        <v>--</v>
      </c>
      <c r="Q36" s="697" t="str">
        <f t="shared" si="4"/>
        <v>--</v>
      </c>
      <c r="R36" s="698" t="str">
        <f t="shared" si="5"/>
        <v>--</v>
      </c>
      <c r="S36" s="699" t="str">
        <f t="shared" si="6"/>
        <v>--</v>
      </c>
      <c r="T36" s="700" t="str">
        <f t="shared" si="7"/>
        <v>--</v>
      </c>
      <c r="U36" s="701" t="str">
        <f t="shared" si="8"/>
        <v>--</v>
      </c>
      <c r="V36" s="702" t="str">
        <f t="shared" si="9"/>
        <v>--</v>
      </c>
      <c r="W36" s="703" t="str">
        <f t="shared" si="10"/>
        <v>--</v>
      </c>
      <c r="X36" s="704" t="str">
        <f t="shared" si="11"/>
        <v>--</v>
      </c>
      <c r="Y36" s="705" t="str">
        <f t="shared" si="12"/>
        <v>--</v>
      </c>
      <c r="Z36" s="706">
        <f t="shared" si="15"/>
      </c>
      <c r="AA36" s="52">
        <f t="shared" si="13"/>
      </c>
      <c r="AB36" s="3"/>
    </row>
    <row r="37" spans="1:28" ht="16.5" customHeight="1">
      <c r="A37" s="1"/>
      <c r="B37" s="2"/>
      <c r="C37" s="479"/>
      <c r="D37" s="479"/>
      <c r="E37" s="479"/>
      <c r="F37" s="480"/>
      <c r="G37" s="481"/>
      <c r="H37" s="482"/>
      <c r="I37" s="372">
        <f t="shared" si="0"/>
        <v>17.4305</v>
      </c>
      <c r="J37" s="487"/>
      <c r="K37" s="487"/>
      <c r="L37" s="14">
        <f t="shared" si="1"/>
      </c>
      <c r="M37" s="15">
        <f t="shared" si="2"/>
      </c>
      <c r="N37" s="488"/>
      <c r="O37" s="695">
        <f t="shared" si="14"/>
      </c>
      <c r="P37" s="696" t="str">
        <f t="shared" si="3"/>
        <v>--</v>
      </c>
      <c r="Q37" s="697" t="str">
        <f t="shared" si="4"/>
        <v>--</v>
      </c>
      <c r="R37" s="698" t="str">
        <f t="shared" si="5"/>
        <v>--</v>
      </c>
      <c r="S37" s="699" t="str">
        <f t="shared" si="6"/>
        <v>--</v>
      </c>
      <c r="T37" s="700" t="str">
        <f t="shared" si="7"/>
        <v>--</v>
      </c>
      <c r="U37" s="701" t="str">
        <f t="shared" si="8"/>
        <v>--</v>
      </c>
      <c r="V37" s="702" t="str">
        <f t="shared" si="9"/>
        <v>--</v>
      </c>
      <c r="W37" s="703" t="str">
        <f t="shared" si="10"/>
        <v>--</v>
      </c>
      <c r="X37" s="704" t="str">
        <f t="shared" si="11"/>
        <v>--</v>
      </c>
      <c r="Y37" s="705" t="str">
        <f t="shared" si="12"/>
        <v>--</v>
      </c>
      <c r="Z37" s="706">
        <f t="shared" si="15"/>
      </c>
      <c r="AA37" s="52">
        <f t="shared" si="13"/>
      </c>
      <c r="AB37" s="3"/>
    </row>
    <row r="38" spans="2:28" ht="16.5" customHeight="1">
      <c r="B38" s="53"/>
      <c r="C38" s="479"/>
      <c r="D38" s="479"/>
      <c r="E38" s="479"/>
      <c r="F38" s="480"/>
      <c r="G38" s="481"/>
      <c r="H38" s="482"/>
      <c r="I38" s="372">
        <f t="shared" si="0"/>
        <v>17.4305</v>
      </c>
      <c r="J38" s="487"/>
      <c r="K38" s="487"/>
      <c r="L38" s="14">
        <f t="shared" si="1"/>
      </c>
      <c r="M38" s="15">
        <f t="shared" si="2"/>
      </c>
      <c r="N38" s="488"/>
      <c r="O38" s="695">
        <f t="shared" si="14"/>
      </c>
      <c r="P38" s="696" t="str">
        <f t="shared" si="3"/>
        <v>--</v>
      </c>
      <c r="Q38" s="697" t="str">
        <f t="shared" si="4"/>
        <v>--</v>
      </c>
      <c r="R38" s="698" t="str">
        <f t="shared" si="5"/>
        <v>--</v>
      </c>
      <c r="S38" s="699" t="str">
        <f t="shared" si="6"/>
        <v>--</v>
      </c>
      <c r="T38" s="700" t="str">
        <f t="shared" si="7"/>
        <v>--</v>
      </c>
      <c r="U38" s="701" t="str">
        <f t="shared" si="8"/>
        <v>--</v>
      </c>
      <c r="V38" s="702" t="str">
        <f t="shared" si="9"/>
        <v>--</v>
      </c>
      <c r="W38" s="703" t="str">
        <f t="shared" si="10"/>
        <v>--</v>
      </c>
      <c r="X38" s="704" t="str">
        <f t="shared" si="11"/>
        <v>--</v>
      </c>
      <c r="Y38" s="705" t="str">
        <f t="shared" si="12"/>
        <v>--</v>
      </c>
      <c r="Z38" s="706">
        <f t="shared" si="15"/>
      </c>
      <c r="AA38" s="52">
        <f t="shared" si="13"/>
      </c>
      <c r="AB38" s="3"/>
    </row>
    <row r="39" spans="2:28" ht="16.5" customHeight="1">
      <c r="B39" s="53"/>
      <c r="C39" s="479"/>
      <c r="D39" s="479"/>
      <c r="E39" s="479"/>
      <c r="F39" s="480"/>
      <c r="G39" s="481"/>
      <c r="H39" s="482"/>
      <c r="I39" s="372">
        <f t="shared" si="0"/>
        <v>17.4305</v>
      </c>
      <c r="J39" s="487"/>
      <c r="K39" s="487"/>
      <c r="L39" s="14">
        <f t="shared" si="1"/>
      </c>
      <c r="M39" s="15">
        <f t="shared" si="2"/>
      </c>
      <c r="N39" s="488"/>
      <c r="O39" s="695">
        <f t="shared" si="14"/>
      </c>
      <c r="P39" s="696" t="str">
        <f t="shared" si="3"/>
        <v>--</v>
      </c>
      <c r="Q39" s="697" t="str">
        <f t="shared" si="4"/>
        <v>--</v>
      </c>
      <c r="R39" s="698" t="str">
        <f t="shared" si="5"/>
        <v>--</v>
      </c>
      <c r="S39" s="699" t="str">
        <f t="shared" si="6"/>
        <v>--</v>
      </c>
      <c r="T39" s="700" t="str">
        <f t="shared" si="7"/>
        <v>--</v>
      </c>
      <c r="U39" s="701" t="str">
        <f t="shared" si="8"/>
        <v>--</v>
      </c>
      <c r="V39" s="702" t="str">
        <f t="shared" si="9"/>
        <v>--</v>
      </c>
      <c r="W39" s="703" t="str">
        <f t="shared" si="10"/>
        <v>--</v>
      </c>
      <c r="X39" s="704" t="str">
        <f t="shared" si="11"/>
        <v>--</v>
      </c>
      <c r="Y39" s="705" t="str">
        <f t="shared" si="12"/>
        <v>--</v>
      </c>
      <c r="Z39" s="706">
        <f t="shared" si="15"/>
      </c>
      <c r="AA39" s="52">
        <f t="shared" si="13"/>
      </c>
      <c r="AB39" s="3"/>
    </row>
    <row r="40" spans="2:28" ht="16.5" customHeight="1">
      <c r="B40" s="53"/>
      <c r="C40" s="479"/>
      <c r="D40" s="479"/>
      <c r="E40" s="479"/>
      <c r="F40" s="480"/>
      <c r="G40" s="481"/>
      <c r="H40" s="482"/>
      <c r="I40" s="372">
        <f t="shared" si="0"/>
        <v>17.4305</v>
      </c>
      <c r="J40" s="487"/>
      <c r="K40" s="487"/>
      <c r="L40" s="14">
        <f t="shared" si="1"/>
      </c>
      <c r="M40" s="15">
        <f t="shared" si="2"/>
      </c>
      <c r="N40" s="488"/>
      <c r="O40" s="695">
        <f t="shared" si="14"/>
      </c>
      <c r="P40" s="696" t="str">
        <f t="shared" si="3"/>
        <v>--</v>
      </c>
      <c r="Q40" s="697" t="str">
        <f t="shared" si="4"/>
        <v>--</v>
      </c>
      <c r="R40" s="698" t="str">
        <f t="shared" si="5"/>
        <v>--</v>
      </c>
      <c r="S40" s="699" t="str">
        <f t="shared" si="6"/>
        <v>--</v>
      </c>
      <c r="T40" s="700" t="str">
        <f t="shared" si="7"/>
        <v>--</v>
      </c>
      <c r="U40" s="701" t="str">
        <f t="shared" si="8"/>
        <v>--</v>
      </c>
      <c r="V40" s="702" t="str">
        <f t="shared" si="9"/>
        <v>--</v>
      </c>
      <c r="W40" s="703" t="str">
        <f t="shared" si="10"/>
        <v>--</v>
      </c>
      <c r="X40" s="704" t="str">
        <f t="shared" si="11"/>
        <v>--</v>
      </c>
      <c r="Y40" s="705" t="str">
        <f t="shared" si="12"/>
        <v>--</v>
      </c>
      <c r="Z40" s="706">
        <f t="shared" si="15"/>
      </c>
      <c r="AA40" s="52">
        <f t="shared" si="13"/>
      </c>
      <c r="AB40" s="3"/>
    </row>
    <row r="41" spans="2:28" ht="16.5" customHeight="1">
      <c r="B41" s="53"/>
      <c r="C41" s="479"/>
      <c r="D41" s="479"/>
      <c r="E41" s="479"/>
      <c r="F41" s="480"/>
      <c r="G41" s="481"/>
      <c r="H41" s="482"/>
      <c r="I41" s="372">
        <f t="shared" si="0"/>
        <v>17.4305</v>
      </c>
      <c r="J41" s="487"/>
      <c r="K41" s="487"/>
      <c r="L41" s="14">
        <f t="shared" si="1"/>
      </c>
      <c r="M41" s="15">
        <f t="shared" si="2"/>
      </c>
      <c r="N41" s="488"/>
      <c r="O41" s="695">
        <f t="shared" si="14"/>
      </c>
      <c r="P41" s="696" t="str">
        <f t="shared" si="3"/>
        <v>--</v>
      </c>
      <c r="Q41" s="697" t="str">
        <f t="shared" si="4"/>
        <v>--</v>
      </c>
      <c r="R41" s="698" t="str">
        <f t="shared" si="5"/>
        <v>--</v>
      </c>
      <c r="S41" s="699" t="str">
        <f t="shared" si="6"/>
        <v>--</v>
      </c>
      <c r="T41" s="700" t="str">
        <f t="shared" si="7"/>
        <v>--</v>
      </c>
      <c r="U41" s="701" t="str">
        <f t="shared" si="8"/>
        <v>--</v>
      </c>
      <c r="V41" s="702" t="str">
        <f t="shared" si="9"/>
        <v>--</v>
      </c>
      <c r="W41" s="703" t="str">
        <f t="shared" si="10"/>
        <v>--</v>
      </c>
      <c r="X41" s="704" t="str">
        <f t="shared" si="11"/>
        <v>--</v>
      </c>
      <c r="Y41" s="705" t="str">
        <f t="shared" si="12"/>
        <v>--</v>
      </c>
      <c r="Z41" s="706">
        <f t="shared" si="15"/>
      </c>
      <c r="AA41" s="52">
        <f t="shared" si="13"/>
      </c>
      <c r="AB41" s="3"/>
    </row>
    <row r="42" spans="1:28" ht="16.5" customHeight="1" thickBot="1">
      <c r="A42" s="1"/>
      <c r="B42" s="2"/>
      <c r="C42" s="483"/>
      <c r="D42" s="483"/>
      <c r="E42" s="483"/>
      <c r="F42" s="484"/>
      <c r="G42" s="485"/>
      <c r="H42" s="486"/>
      <c r="I42" s="373"/>
      <c r="J42" s="486"/>
      <c r="K42" s="486"/>
      <c r="L42" s="16"/>
      <c r="M42" s="16"/>
      <c r="N42" s="486"/>
      <c r="O42" s="489"/>
      <c r="P42" s="490"/>
      <c r="Q42" s="491"/>
      <c r="R42" s="492"/>
      <c r="S42" s="493"/>
      <c r="T42" s="494"/>
      <c r="U42" s="495"/>
      <c r="V42" s="496"/>
      <c r="W42" s="497"/>
      <c r="X42" s="498"/>
      <c r="Y42" s="499"/>
      <c r="Z42" s="500"/>
      <c r="AA42" s="54"/>
      <c r="AB42" s="3"/>
    </row>
    <row r="43" spans="1:28" ht="16.5" customHeight="1" thickBot="1" thickTop="1">
      <c r="A43" s="1"/>
      <c r="B43" s="2"/>
      <c r="C43" s="244" t="s">
        <v>62</v>
      </c>
      <c r="D43" s="717" t="s">
        <v>264</v>
      </c>
      <c r="E43" s="690"/>
      <c r="F43" s="245"/>
      <c r="G43" s="17"/>
      <c r="H43" s="18"/>
      <c r="I43" s="55"/>
      <c r="J43" s="55"/>
      <c r="K43" s="55"/>
      <c r="L43" s="55"/>
      <c r="M43" s="55"/>
      <c r="N43" s="55"/>
      <c r="O43" s="56"/>
      <c r="P43" s="316">
        <f aca="true" t="shared" si="16" ref="P43:Y43">ROUND(SUM(P20:P42),2)</f>
        <v>0</v>
      </c>
      <c r="Q43" s="317">
        <f t="shared" si="16"/>
        <v>0</v>
      </c>
      <c r="R43" s="318">
        <f t="shared" si="16"/>
        <v>8807.98</v>
      </c>
      <c r="S43" s="318">
        <f t="shared" si="16"/>
        <v>8543.11</v>
      </c>
      <c r="T43" s="319">
        <f t="shared" si="16"/>
        <v>0</v>
      </c>
      <c r="U43" s="320">
        <f t="shared" si="16"/>
        <v>0</v>
      </c>
      <c r="V43" s="320">
        <f t="shared" si="16"/>
        <v>0</v>
      </c>
      <c r="W43" s="321">
        <f t="shared" si="16"/>
        <v>0</v>
      </c>
      <c r="X43" s="322">
        <f t="shared" si="16"/>
        <v>0</v>
      </c>
      <c r="Y43" s="323">
        <f t="shared" si="16"/>
        <v>0</v>
      </c>
      <c r="Z43" s="57"/>
      <c r="AA43" s="694">
        <f>ROUND(SUM(AA20:AA42),2)</f>
        <v>17351.09</v>
      </c>
      <c r="AB43" s="58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1" customFormat="1" ht="16.5" customHeight="1" thickBot="1">
      <c r="A45" s="9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Roman,Normal"&amp;8&amp;F-&amp;A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2" width="4.140625" style="612" customWidth="1"/>
    <col min="3" max="3" width="5.57421875" style="612" customWidth="1"/>
    <col min="4" max="5" width="13.7109375" style="612" customWidth="1"/>
    <col min="6" max="7" width="25.7109375" style="612" customWidth="1"/>
    <col min="8" max="8" width="7.7109375" style="612" customWidth="1"/>
    <col min="9" max="9" width="12.7109375" style="612" customWidth="1"/>
    <col min="10" max="10" width="11.8515625" style="612" hidden="1" customWidth="1"/>
    <col min="11" max="12" width="15.7109375" style="612" customWidth="1"/>
    <col min="13" max="15" width="9.7109375" style="612" customWidth="1"/>
    <col min="16" max="16" width="5.8515625" style="612" customWidth="1"/>
    <col min="17" max="18" width="7.00390625" style="612" customWidth="1"/>
    <col min="19" max="19" width="11.7109375" style="612" hidden="1" customWidth="1"/>
    <col min="20" max="21" width="14.00390625" style="612" hidden="1" customWidth="1"/>
    <col min="22" max="22" width="14.28125" style="612" hidden="1" customWidth="1"/>
    <col min="23" max="27" width="14.140625" style="612" hidden="1" customWidth="1"/>
    <col min="28" max="28" width="9.00390625" style="612" customWidth="1"/>
    <col min="29" max="29" width="15.7109375" style="612" customWidth="1"/>
    <col min="30" max="30" width="4.140625" style="612" customWidth="1"/>
    <col min="31" max="16384" width="11.421875" style="612" customWidth="1"/>
  </cols>
  <sheetData>
    <row r="1" spans="1:30" s="518" customFormat="1" ht="26.25">
      <c r="A1" s="116"/>
      <c r="B1" s="116"/>
      <c r="C1" s="116"/>
      <c r="D1" s="116"/>
      <c r="E1" s="116"/>
      <c r="F1" s="116"/>
      <c r="G1" s="1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7"/>
    </row>
    <row r="2" spans="1:30" s="518" customFormat="1" ht="26.25">
      <c r="A2" s="116"/>
      <c r="B2" s="117" t="s">
        <v>287</v>
      </c>
      <c r="C2" s="118"/>
      <c r="D2" s="118"/>
      <c r="E2" s="118"/>
      <c r="F2" s="118"/>
      <c r="G2" s="118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</row>
    <row r="3" spans="1:30" s="521" customFormat="1" ht="12.75">
      <c r="A3" s="11"/>
      <c r="B3" s="11"/>
      <c r="C3" s="11"/>
      <c r="D3" s="11"/>
      <c r="E3" s="11"/>
      <c r="F3" s="11"/>
      <c r="G3" s="11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</row>
    <row r="4" spans="1:30" s="523" customFormat="1" ht="11.25">
      <c r="A4" s="693" t="s">
        <v>16</v>
      </c>
      <c r="B4" s="119"/>
      <c r="C4" s="692"/>
      <c r="D4" s="692"/>
      <c r="E4" s="692"/>
      <c r="F4" s="119"/>
      <c r="G4" s="119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</row>
    <row r="5" spans="1:30" s="523" customFormat="1" ht="11.25">
      <c r="A5" s="693" t="s">
        <v>225</v>
      </c>
      <c r="B5" s="119"/>
      <c r="C5" s="692"/>
      <c r="D5" s="692"/>
      <c r="E5" s="692"/>
      <c r="F5" s="119"/>
      <c r="G5" s="119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</row>
    <row r="6" spans="1:30" s="521" customFormat="1" ht="13.5" thickBot="1">
      <c r="A6" s="52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</row>
    <row r="7" spans="1:30" s="521" customFormat="1" ht="13.5" thickTop="1">
      <c r="A7" s="520"/>
      <c r="B7" s="524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6"/>
    </row>
    <row r="8" spans="1:30" s="530" customFormat="1" ht="20.25">
      <c r="A8" s="527"/>
      <c r="B8" s="528"/>
      <c r="C8" s="188"/>
      <c r="D8" s="188"/>
      <c r="E8" s="188"/>
      <c r="F8" s="529" t="s">
        <v>38</v>
      </c>
      <c r="H8" s="188"/>
      <c r="I8" s="527"/>
      <c r="J8" s="527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531"/>
    </row>
    <row r="9" spans="1:30" s="521" customFormat="1" ht="12.75">
      <c r="A9" s="520"/>
      <c r="B9" s="532"/>
      <c r="C9" s="182"/>
      <c r="D9" s="182"/>
      <c r="E9" s="182"/>
      <c r="F9" s="182"/>
      <c r="G9" s="182"/>
      <c r="H9" s="182"/>
      <c r="I9" s="520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533"/>
    </row>
    <row r="10" spans="1:30" s="530" customFormat="1" ht="20.25">
      <c r="A10" s="527"/>
      <c r="B10" s="528"/>
      <c r="C10" s="188"/>
      <c r="D10" s="188"/>
      <c r="E10" s="188"/>
      <c r="F10" s="529" t="s">
        <v>63</v>
      </c>
      <c r="G10" s="188"/>
      <c r="H10" s="188"/>
      <c r="I10" s="527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531"/>
    </row>
    <row r="11" spans="1:30" s="521" customFormat="1" ht="12.75">
      <c r="A11" s="520"/>
      <c r="B11" s="532"/>
      <c r="C11" s="182"/>
      <c r="D11" s="182"/>
      <c r="E11" s="182"/>
      <c r="F11" s="534"/>
      <c r="G11" s="182"/>
      <c r="H11" s="182"/>
      <c r="I11" s="520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533"/>
    </row>
    <row r="12" spans="1:30" s="530" customFormat="1" ht="20.25">
      <c r="A12" s="527"/>
      <c r="B12" s="528"/>
      <c r="C12" s="188"/>
      <c r="D12" s="188"/>
      <c r="E12" s="188"/>
      <c r="F12" s="529" t="s">
        <v>64</v>
      </c>
      <c r="G12" s="535"/>
      <c r="H12" s="527"/>
      <c r="I12" s="527"/>
      <c r="J12" s="188"/>
      <c r="K12" s="188"/>
      <c r="L12" s="527"/>
      <c r="M12" s="527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531"/>
    </row>
    <row r="13" spans="1:30" s="521" customFormat="1" ht="12.75">
      <c r="A13" s="520"/>
      <c r="B13" s="532"/>
      <c r="C13" s="182"/>
      <c r="D13" s="182"/>
      <c r="E13" s="182"/>
      <c r="F13" s="536"/>
      <c r="G13" s="537"/>
      <c r="H13" s="520"/>
      <c r="I13" s="520"/>
      <c r="J13" s="182"/>
      <c r="K13" s="182"/>
      <c r="L13" s="520"/>
      <c r="M13" s="520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533"/>
    </row>
    <row r="14" spans="1:30" s="530" customFormat="1" ht="20.25">
      <c r="A14" s="527"/>
      <c r="B14" s="528"/>
      <c r="C14" s="188"/>
      <c r="D14" s="188"/>
      <c r="E14" s="188"/>
      <c r="F14" s="529" t="s">
        <v>65</v>
      </c>
      <c r="G14" s="189"/>
      <c r="H14" s="189"/>
      <c r="I14" s="190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531"/>
    </row>
    <row r="15" spans="1:30" s="521" customFormat="1" ht="12.75">
      <c r="A15" s="520"/>
      <c r="B15" s="532"/>
      <c r="C15" s="182"/>
      <c r="D15" s="182"/>
      <c r="E15" s="182"/>
      <c r="F15" s="538"/>
      <c r="G15" s="183"/>
      <c r="H15" s="183"/>
      <c r="I15" s="184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533"/>
    </row>
    <row r="16" spans="1:30" s="544" customFormat="1" ht="19.5">
      <c r="A16" s="539"/>
      <c r="B16" s="96" t="str">
        <f>+'TOT-0709'!B14</f>
        <v>Desde el 01 al 31 de julio de 2009</v>
      </c>
      <c r="C16" s="540"/>
      <c r="D16" s="540"/>
      <c r="E16" s="540"/>
      <c r="F16" s="540"/>
      <c r="G16" s="540"/>
      <c r="H16" s="540"/>
      <c r="I16" s="541"/>
      <c r="J16" s="540"/>
      <c r="K16" s="542"/>
      <c r="L16" s="542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40"/>
      <c r="Z16" s="540"/>
      <c r="AA16" s="540"/>
      <c r="AB16" s="540"/>
      <c r="AC16" s="540"/>
      <c r="AD16" s="543"/>
    </row>
    <row r="17" spans="1:30" s="521" customFormat="1" ht="14.25" thickBot="1">
      <c r="A17" s="520"/>
      <c r="B17" s="532"/>
      <c r="C17" s="182"/>
      <c r="D17" s="182"/>
      <c r="E17" s="182"/>
      <c r="F17" s="182"/>
      <c r="G17" s="182"/>
      <c r="H17" s="182"/>
      <c r="I17" s="34"/>
      <c r="J17" s="182"/>
      <c r="K17" s="545"/>
      <c r="L17" s="546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533"/>
    </row>
    <row r="18" spans="1:30" s="521" customFormat="1" ht="16.5" customHeight="1" thickBot="1" thickTop="1">
      <c r="A18" s="520"/>
      <c r="B18" s="532"/>
      <c r="C18" s="182"/>
      <c r="D18" s="182"/>
      <c r="E18" s="182"/>
      <c r="F18" s="192" t="s">
        <v>66</v>
      </c>
      <c r="G18" s="193"/>
      <c r="H18" s="547"/>
      <c r="I18" s="548">
        <v>0.243</v>
      </c>
      <c r="J18" s="520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533"/>
    </row>
    <row r="19" spans="1:30" s="521" customFormat="1" ht="16.5" customHeight="1" thickBot="1" thickTop="1">
      <c r="A19" s="520"/>
      <c r="B19" s="532"/>
      <c r="C19" s="182"/>
      <c r="D19" s="182"/>
      <c r="E19" s="182"/>
      <c r="F19" s="194" t="s">
        <v>67</v>
      </c>
      <c r="G19" s="195"/>
      <c r="H19" s="195"/>
      <c r="I19" s="196">
        <v>30</v>
      </c>
      <c r="J19" s="182"/>
      <c r="K19" s="241" t="str">
        <f>IF(I19=30," ",IF(I19=60,"Coeficiente duplicado por tasa de falla &gt;4 Sal. x año/100 km.","REVISAR COEFICIENTE"))</f>
        <v> </v>
      </c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549"/>
      <c r="X19" s="549"/>
      <c r="Y19" s="549"/>
      <c r="Z19" s="549"/>
      <c r="AA19" s="549"/>
      <c r="AB19" s="549"/>
      <c r="AC19" s="549"/>
      <c r="AD19" s="533"/>
    </row>
    <row r="20" spans="1:30" s="728" customFormat="1" ht="16.5" customHeight="1" thickBot="1" thickTop="1">
      <c r="A20" s="724"/>
      <c r="B20" s="725"/>
      <c r="C20" s="726">
        <v>3</v>
      </c>
      <c r="D20" s="726">
        <v>4</v>
      </c>
      <c r="E20" s="726">
        <v>5</v>
      </c>
      <c r="F20" s="726">
        <v>6</v>
      </c>
      <c r="G20" s="726">
        <v>7</v>
      </c>
      <c r="H20" s="726">
        <v>8</v>
      </c>
      <c r="I20" s="726">
        <v>9</v>
      </c>
      <c r="J20" s="726">
        <v>10</v>
      </c>
      <c r="K20" s="726">
        <v>11</v>
      </c>
      <c r="L20" s="726">
        <v>12</v>
      </c>
      <c r="M20" s="726">
        <v>13</v>
      </c>
      <c r="N20" s="726">
        <v>14</v>
      </c>
      <c r="O20" s="726">
        <v>15</v>
      </c>
      <c r="P20" s="726">
        <v>16</v>
      </c>
      <c r="Q20" s="726">
        <v>17</v>
      </c>
      <c r="R20" s="726">
        <v>18</v>
      </c>
      <c r="S20" s="726">
        <v>19</v>
      </c>
      <c r="T20" s="726">
        <v>20</v>
      </c>
      <c r="U20" s="726">
        <v>21</v>
      </c>
      <c r="V20" s="726">
        <v>22</v>
      </c>
      <c r="W20" s="726">
        <v>23</v>
      </c>
      <c r="X20" s="726">
        <v>24</v>
      </c>
      <c r="Y20" s="726">
        <v>25</v>
      </c>
      <c r="Z20" s="726">
        <v>26</v>
      </c>
      <c r="AA20" s="726">
        <v>27</v>
      </c>
      <c r="AB20" s="726">
        <v>28</v>
      </c>
      <c r="AC20" s="726">
        <v>29</v>
      </c>
      <c r="AD20" s="727"/>
    </row>
    <row r="21" spans="1:30" s="559" customFormat="1" ht="33.75" customHeight="1" thickBot="1" thickTop="1">
      <c r="A21" s="550"/>
      <c r="B21" s="551"/>
      <c r="C21" s="202" t="s">
        <v>44</v>
      </c>
      <c r="D21" s="108" t="s">
        <v>222</v>
      </c>
      <c r="E21" s="108" t="s">
        <v>221</v>
      </c>
      <c r="F21" s="201" t="s">
        <v>68</v>
      </c>
      <c r="G21" s="197" t="s">
        <v>14</v>
      </c>
      <c r="H21" s="198" t="s">
        <v>69</v>
      </c>
      <c r="I21" s="201" t="s">
        <v>45</v>
      </c>
      <c r="J21" s="269" t="s">
        <v>47</v>
      </c>
      <c r="K21" s="200" t="s">
        <v>70</v>
      </c>
      <c r="L21" s="200" t="s">
        <v>71</v>
      </c>
      <c r="M21" s="201" t="s">
        <v>72</v>
      </c>
      <c r="N21" s="201" t="s">
        <v>73</v>
      </c>
      <c r="O21" s="112" t="s">
        <v>52</v>
      </c>
      <c r="P21" s="202" t="s">
        <v>74</v>
      </c>
      <c r="Q21" s="201" t="s">
        <v>75</v>
      </c>
      <c r="R21" s="197" t="s">
        <v>76</v>
      </c>
      <c r="S21" s="324" t="s">
        <v>77</v>
      </c>
      <c r="T21" s="552" t="s">
        <v>54</v>
      </c>
      <c r="U21" s="553" t="s">
        <v>55</v>
      </c>
      <c r="V21" s="327" t="s">
        <v>78</v>
      </c>
      <c r="W21" s="554"/>
      <c r="X21" s="330" t="s">
        <v>78</v>
      </c>
      <c r="Y21" s="555"/>
      <c r="Z21" s="556" t="s">
        <v>58</v>
      </c>
      <c r="AA21" s="557" t="s">
        <v>59</v>
      </c>
      <c r="AB21" s="201" t="s">
        <v>60</v>
      </c>
      <c r="AC21" s="201" t="s">
        <v>61</v>
      </c>
      <c r="AD21" s="558"/>
    </row>
    <row r="22" spans="1:30" s="521" customFormat="1" ht="16.5" customHeight="1" thickTop="1">
      <c r="A22" s="520"/>
      <c r="B22" s="532"/>
      <c r="C22" s="560"/>
      <c r="D22" s="560"/>
      <c r="E22" s="560"/>
      <c r="F22" s="561"/>
      <c r="G22" s="562"/>
      <c r="H22" s="562"/>
      <c r="I22" s="562"/>
      <c r="J22" s="563"/>
      <c r="K22" s="561"/>
      <c r="L22" s="562"/>
      <c r="M22" s="561"/>
      <c r="N22" s="561"/>
      <c r="O22" s="562"/>
      <c r="P22" s="562"/>
      <c r="Q22" s="562"/>
      <c r="R22" s="562"/>
      <c r="S22" s="564"/>
      <c r="T22" s="565"/>
      <c r="U22" s="566"/>
      <c r="V22" s="567"/>
      <c r="W22" s="568"/>
      <c r="X22" s="569"/>
      <c r="Y22" s="570"/>
      <c r="Z22" s="571"/>
      <c r="AA22" s="572"/>
      <c r="AB22" s="562"/>
      <c r="AC22" s="573"/>
      <c r="AD22" s="533"/>
    </row>
    <row r="23" spans="1:30" s="521" customFormat="1" ht="16.5" customHeight="1">
      <c r="A23" s="520"/>
      <c r="B23" s="532"/>
      <c r="C23" s="560"/>
      <c r="D23" s="560"/>
      <c r="E23" s="560"/>
      <c r="F23" s="574"/>
      <c r="G23" s="574"/>
      <c r="H23" s="574"/>
      <c r="I23" s="574"/>
      <c r="J23" s="575"/>
      <c r="K23" s="576"/>
      <c r="L23" s="574"/>
      <c r="M23" s="576"/>
      <c r="N23" s="576"/>
      <c r="O23" s="574"/>
      <c r="P23" s="574"/>
      <c r="Q23" s="574"/>
      <c r="R23" s="574"/>
      <c r="S23" s="577"/>
      <c r="T23" s="578"/>
      <c r="U23" s="579"/>
      <c r="V23" s="580"/>
      <c r="W23" s="581"/>
      <c r="X23" s="582"/>
      <c r="Y23" s="583"/>
      <c r="Z23" s="584"/>
      <c r="AA23" s="585"/>
      <c r="AB23" s="574"/>
      <c r="AC23" s="586"/>
      <c r="AD23" s="533"/>
    </row>
    <row r="24" spans="1:30" s="521" customFormat="1" ht="16.5" customHeight="1">
      <c r="A24" s="520"/>
      <c r="B24" s="532"/>
      <c r="C24" s="615">
        <v>3</v>
      </c>
      <c r="D24" s="615">
        <v>208640</v>
      </c>
      <c r="E24" s="615">
        <v>1787</v>
      </c>
      <c r="F24" s="480" t="s">
        <v>237</v>
      </c>
      <c r="G24" s="479" t="s">
        <v>8</v>
      </c>
      <c r="H24" s="616">
        <v>30</v>
      </c>
      <c r="I24" s="617" t="s">
        <v>238</v>
      </c>
      <c r="J24" s="270">
        <f aca="true" t="shared" si="0" ref="J24:J43">H24*$I$18</f>
        <v>7.29</v>
      </c>
      <c r="K24" s="619">
        <v>39996.40625</v>
      </c>
      <c r="L24" s="619">
        <v>39996.535416666666</v>
      </c>
      <c r="M24" s="24">
        <f aca="true" t="shared" si="1" ref="M24:M43">IF(F24="","",(L24-K24)*24)</f>
        <v>3.099999999976717</v>
      </c>
      <c r="N24" s="25">
        <f aca="true" t="shared" si="2" ref="N24:N43">IF(F24="","",ROUND((L24-K24)*24*60,0))</f>
        <v>186</v>
      </c>
      <c r="O24" s="620" t="s">
        <v>239</v>
      </c>
      <c r="P24" s="23" t="str">
        <f aca="true" t="shared" si="3" ref="P24:P43">IF(F24="","",IF(OR(O24="P",O24="RP"),"--","NO"))</f>
        <v>--</v>
      </c>
      <c r="Q24" s="707">
        <v>60</v>
      </c>
      <c r="R24" s="23" t="str">
        <f aca="true" t="shared" si="4" ref="R24:R43">IF(F24="","","NO")</f>
        <v>NO</v>
      </c>
      <c r="S24" s="325">
        <f aca="true" t="shared" si="5" ref="S24:S43">$I$19*IF(OR(O24="P",O24="RP"),0.1,1)*IF(R24="SI",1,0.1)</f>
        <v>0.30000000000000004</v>
      </c>
      <c r="T24" s="708" t="str">
        <f aca="true" t="shared" si="6" ref="T24:T43">IF(O24="P",J24*S24*ROUND(N24/60,2),"--")</f>
        <v>--</v>
      </c>
      <c r="U24" s="709">
        <f aca="true" t="shared" si="7" ref="U24:U43">IF(O24="RP",J24*S24*ROUND(N24/60,2)*Q24/100,"--")</f>
        <v>4.06782</v>
      </c>
      <c r="V24" s="328" t="str">
        <f aca="true" t="shared" si="8" ref="V24:V43">IF(AND(O24="F",P24="NO"),J24*S24,"--")</f>
        <v>--</v>
      </c>
      <c r="W24" s="329" t="str">
        <f aca="true" t="shared" si="9" ref="W24:W43">IF(O24="F",J24*S24*ROUND(N24/60,2),"--")</f>
        <v>--</v>
      </c>
      <c r="X24" s="332" t="str">
        <f aca="true" t="shared" si="10" ref="X24:X43">IF(AND(O24="R",P24="NO"),J24*S24*Q24/100,"--")</f>
        <v>--</v>
      </c>
      <c r="Y24" s="333" t="str">
        <f aca="true" t="shared" si="11" ref="Y24:Y43">IF(O24="R",J24*S24*ROUND(N24/60,2)*Q24/100,"--")</f>
        <v>--</v>
      </c>
      <c r="Z24" s="334" t="str">
        <f aca="true" t="shared" si="12" ref="Z24:Z43">IF(O24="RF",J24*S24*ROUND(N24/60,2),"--")</f>
        <v>--</v>
      </c>
      <c r="AA24" s="335" t="str">
        <f aca="true" t="shared" si="13" ref="AA24:AA43">IF(O24="RR",J24*S24*ROUND(N24/60,2)*Q24/100,"--")</f>
        <v>--</v>
      </c>
      <c r="AB24" s="23" t="s">
        <v>235</v>
      </c>
      <c r="AC24" s="587">
        <f aca="true" t="shared" si="14" ref="AC24:AC43">IF(F24="","",SUM(T24:AA24)*IF(AB24="SI",1,2))</f>
        <v>4.06782</v>
      </c>
      <c r="AD24" s="588"/>
    </row>
    <row r="25" spans="1:30" s="521" customFormat="1" ht="16.5" customHeight="1">
      <c r="A25" s="520"/>
      <c r="B25" s="532"/>
      <c r="C25" s="615">
        <v>4</v>
      </c>
      <c r="D25" s="615">
        <v>208642</v>
      </c>
      <c r="E25" s="615">
        <v>1794</v>
      </c>
      <c r="F25" s="480" t="s">
        <v>240</v>
      </c>
      <c r="G25" s="479" t="s">
        <v>241</v>
      </c>
      <c r="H25" s="616">
        <v>20</v>
      </c>
      <c r="I25" s="617" t="s">
        <v>242</v>
      </c>
      <c r="J25" s="270">
        <f t="shared" si="0"/>
        <v>4.859999999999999</v>
      </c>
      <c r="K25" s="619">
        <v>39999.41458333333</v>
      </c>
      <c r="L25" s="619">
        <v>39999.47152777778</v>
      </c>
      <c r="M25" s="24">
        <f t="shared" si="1"/>
        <v>1.3666666667559184</v>
      </c>
      <c r="N25" s="25">
        <f t="shared" si="2"/>
        <v>82</v>
      </c>
      <c r="O25" s="620" t="s">
        <v>239</v>
      </c>
      <c r="P25" s="23" t="str">
        <f t="shared" si="3"/>
        <v>--</v>
      </c>
      <c r="Q25" s="707">
        <v>33.33</v>
      </c>
      <c r="R25" s="23" t="str">
        <f t="shared" si="4"/>
        <v>NO</v>
      </c>
      <c r="S25" s="325">
        <f t="shared" si="5"/>
        <v>0.30000000000000004</v>
      </c>
      <c r="T25" s="708" t="str">
        <f t="shared" si="6"/>
        <v>--</v>
      </c>
      <c r="U25" s="709">
        <f t="shared" si="7"/>
        <v>0.665753418</v>
      </c>
      <c r="V25" s="328" t="str">
        <f t="shared" si="8"/>
        <v>--</v>
      </c>
      <c r="W25" s="329" t="str">
        <f t="shared" si="9"/>
        <v>--</v>
      </c>
      <c r="X25" s="332" t="str">
        <f t="shared" si="10"/>
        <v>--</v>
      </c>
      <c r="Y25" s="333" t="str">
        <f t="shared" si="11"/>
        <v>--</v>
      </c>
      <c r="Z25" s="334" t="str">
        <f t="shared" si="12"/>
        <v>--</v>
      </c>
      <c r="AA25" s="335" t="str">
        <f t="shared" si="13"/>
        <v>--</v>
      </c>
      <c r="AB25" s="23" t="s">
        <v>235</v>
      </c>
      <c r="AC25" s="587">
        <f t="shared" si="14"/>
        <v>0.665753418</v>
      </c>
      <c r="AD25" s="588"/>
    </row>
    <row r="26" spans="1:30" s="521" customFormat="1" ht="16.5" customHeight="1">
      <c r="A26" s="520"/>
      <c r="B26" s="532"/>
      <c r="C26" s="615">
        <v>5</v>
      </c>
      <c r="D26" s="615">
        <v>208641</v>
      </c>
      <c r="E26" s="615">
        <v>3668</v>
      </c>
      <c r="F26" s="480" t="s">
        <v>240</v>
      </c>
      <c r="G26" s="479" t="s">
        <v>255</v>
      </c>
      <c r="H26" s="616">
        <v>20</v>
      </c>
      <c r="I26" s="664" t="s">
        <v>242</v>
      </c>
      <c r="J26" s="270">
        <f t="shared" si="0"/>
        <v>4.859999999999999</v>
      </c>
      <c r="K26" s="619">
        <v>39999.41458333333</v>
      </c>
      <c r="L26" s="619">
        <v>39999.47152777778</v>
      </c>
      <c r="M26" s="24">
        <f t="shared" si="1"/>
        <v>1.3666666667559184</v>
      </c>
      <c r="N26" s="25">
        <f t="shared" si="2"/>
        <v>82</v>
      </c>
      <c r="O26" s="620" t="s">
        <v>239</v>
      </c>
      <c r="P26" s="23" t="str">
        <f t="shared" si="3"/>
        <v>--</v>
      </c>
      <c r="Q26" s="707">
        <v>33.33</v>
      </c>
      <c r="R26" s="23" t="str">
        <f t="shared" si="4"/>
        <v>NO</v>
      </c>
      <c r="S26" s="325">
        <f t="shared" si="5"/>
        <v>0.30000000000000004</v>
      </c>
      <c r="T26" s="708" t="str">
        <f t="shared" si="6"/>
        <v>--</v>
      </c>
      <c r="U26" s="709">
        <f t="shared" si="7"/>
        <v>0.665753418</v>
      </c>
      <c r="V26" s="328" t="str">
        <f t="shared" si="8"/>
        <v>--</v>
      </c>
      <c r="W26" s="329" t="str">
        <f t="shared" si="9"/>
        <v>--</v>
      </c>
      <c r="X26" s="332" t="str">
        <f t="shared" si="10"/>
        <v>--</v>
      </c>
      <c r="Y26" s="333" t="str">
        <f t="shared" si="11"/>
        <v>--</v>
      </c>
      <c r="Z26" s="334" t="str">
        <f t="shared" si="12"/>
        <v>--</v>
      </c>
      <c r="AA26" s="335" t="str">
        <f t="shared" si="13"/>
        <v>--</v>
      </c>
      <c r="AB26" s="23" t="s">
        <v>235</v>
      </c>
      <c r="AC26" s="587">
        <f t="shared" si="14"/>
        <v>0.665753418</v>
      </c>
      <c r="AD26" s="588"/>
    </row>
    <row r="27" spans="1:30" s="521" customFormat="1" ht="16.5" customHeight="1">
      <c r="A27" s="520"/>
      <c r="B27" s="532"/>
      <c r="C27" s="615">
        <v>6</v>
      </c>
      <c r="D27" s="615">
        <v>209080</v>
      </c>
      <c r="E27" s="615">
        <v>1810</v>
      </c>
      <c r="F27" s="480" t="s">
        <v>243</v>
      </c>
      <c r="G27" s="479" t="s">
        <v>244</v>
      </c>
      <c r="H27" s="616">
        <v>30</v>
      </c>
      <c r="I27" s="617" t="s">
        <v>238</v>
      </c>
      <c r="J27" s="270">
        <f t="shared" si="0"/>
        <v>7.29</v>
      </c>
      <c r="K27" s="619">
        <v>40009.38125</v>
      </c>
      <c r="L27" s="619">
        <v>40009.521527777775</v>
      </c>
      <c r="M27" s="24">
        <f t="shared" si="1"/>
        <v>3.366666666639503</v>
      </c>
      <c r="N27" s="25">
        <f t="shared" si="2"/>
        <v>202</v>
      </c>
      <c r="O27" s="620" t="s">
        <v>245</v>
      </c>
      <c r="P27" s="23" t="str">
        <f t="shared" si="3"/>
        <v>--</v>
      </c>
      <c r="Q27" s="707" t="str">
        <f aca="true" t="shared" si="15" ref="Q27:Q43">IF(F27="","","--")</f>
        <v>--</v>
      </c>
      <c r="R27" s="23" t="str">
        <f t="shared" si="4"/>
        <v>NO</v>
      </c>
      <c r="S27" s="325">
        <f t="shared" si="5"/>
        <v>0.30000000000000004</v>
      </c>
      <c r="T27" s="708">
        <f t="shared" si="6"/>
        <v>7.370190000000001</v>
      </c>
      <c r="U27" s="709" t="str">
        <f t="shared" si="7"/>
        <v>--</v>
      </c>
      <c r="V27" s="328" t="str">
        <f t="shared" si="8"/>
        <v>--</v>
      </c>
      <c r="W27" s="329" t="str">
        <f t="shared" si="9"/>
        <v>--</v>
      </c>
      <c r="X27" s="332" t="str">
        <f t="shared" si="10"/>
        <v>--</v>
      </c>
      <c r="Y27" s="333" t="str">
        <f t="shared" si="11"/>
        <v>--</v>
      </c>
      <c r="Z27" s="334" t="str">
        <f t="shared" si="12"/>
        <v>--</v>
      </c>
      <c r="AA27" s="335" t="str">
        <f t="shared" si="13"/>
        <v>--</v>
      </c>
      <c r="AB27" s="23" t="s">
        <v>235</v>
      </c>
      <c r="AC27" s="587">
        <f t="shared" si="14"/>
        <v>7.370190000000001</v>
      </c>
      <c r="AD27" s="588"/>
    </row>
    <row r="28" spans="1:30" s="521" customFormat="1" ht="16.5" customHeight="1">
      <c r="A28" s="520"/>
      <c r="B28" s="532"/>
      <c r="C28" s="615">
        <v>7</v>
      </c>
      <c r="D28" s="615">
        <v>209081</v>
      </c>
      <c r="E28" s="615">
        <v>4878</v>
      </c>
      <c r="F28" s="480" t="s">
        <v>256</v>
      </c>
      <c r="G28" s="479" t="s">
        <v>257</v>
      </c>
      <c r="H28" s="616">
        <v>300</v>
      </c>
      <c r="I28" s="664" t="s">
        <v>258</v>
      </c>
      <c r="J28" s="270">
        <f t="shared" si="0"/>
        <v>72.89999999999999</v>
      </c>
      <c r="K28" s="619">
        <v>40013.790972222225</v>
      </c>
      <c r="L28" s="619">
        <v>40013.80069444444</v>
      </c>
      <c r="M28" s="24">
        <f t="shared" si="1"/>
        <v>0.23333333322079852</v>
      </c>
      <c r="N28" s="25">
        <f t="shared" si="2"/>
        <v>14</v>
      </c>
      <c r="O28" s="620" t="s">
        <v>234</v>
      </c>
      <c r="P28" s="23" t="str">
        <f t="shared" si="3"/>
        <v>NO</v>
      </c>
      <c r="Q28" s="707" t="str">
        <f t="shared" si="15"/>
        <v>--</v>
      </c>
      <c r="R28" s="23" t="str">
        <f t="shared" si="4"/>
        <v>NO</v>
      </c>
      <c r="S28" s="325">
        <f t="shared" si="5"/>
        <v>3</v>
      </c>
      <c r="T28" s="708" t="str">
        <f t="shared" si="6"/>
        <v>--</v>
      </c>
      <c r="U28" s="709" t="str">
        <f t="shared" si="7"/>
        <v>--</v>
      </c>
      <c r="V28" s="328">
        <f t="shared" si="8"/>
        <v>218.7</v>
      </c>
      <c r="W28" s="329">
        <f t="shared" si="9"/>
        <v>50.301</v>
      </c>
      <c r="X28" s="332" t="str">
        <f t="shared" si="10"/>
        <v>--</v>
      </c>
      <c r="Y28" s="333" t="str">
        <f t="shared" si="11"/>
        <v>--</v>
      </c>
      <c r="Z28" s="334" t="str">
        <f t="shared" si="12"/>
        <v>--</v>
      </c>
      <c r="AA28" s="335" t="str">
        <f t="shared" si="13"/>
        <v>--</v>
      </c>
      <c r="AB28" s="23" t="s">
        <v>235</v>
      </c>
      <c r="AC28" s="587">
        <f t="shared" si="14"/>
        <v>269.001</v>
      </c>
      <c r="AD28" s="588"/>
    </row>
    <row r="29" spans="1:30" s="521" customFormat="1" ht="16.5" customHeight="1">
      <c r="A29" s="520"/>
      <c r="B29" s="532"/>
      <c r="C29" s="615">
        <v>8</v>
      </c>
      <c r="D29" s="615">
        <v>209634</v>
      </c>
      <c r="E29" s="615">
        <v>1809</v>
      </c>
      <c r="F29" s="480" t="s">
        <v>243</v>
      </c>
      <c r="G29" s="479" t="s">
        <v>246</v>
      </c>
      <c r="H29" s="616">
        <v>30</v>
      </c>
      <c r="I29" s="617" t="s">
        <v>238</v>
      </c>
      <c r="J29" s="270">
        <f t="shared" si="0"/>
        <v>7.29</v>
      </c>
      <c r="K29" s="619">
        <v>40023.36319444444</v>
      </c>
      <c r="L29" s="619">
        <v>40023.56319444445</v>
      </c>
      <c r="M29" s="24">
        <f t="shared" si="1"/>
        <v>4.800000000104774</v>
      </c>
      <c r="N29" s="25">
        <f t="shared" si="2"/>
        <v>288</v>
      </c>
      <c r="O29" s="620" t="s">
        <v>245</v>
      </c>
      <c r="P29" s="23" t="str">
        <f t="shared" si="3"/>
        <v>--</v>
      </c>
      <c r="Q29" s="707" t="str">
        <f t="shared" si="15"/>
        <v>--</v>
      </c>
      <c r="R29" s="23" t="str">
        <f t="shared" si="4"/>
        <v>NO</v>
      </c>
      <c r="S29" s="325">
        <f t="shared" si="5"/>
        <v>0.30000000000000004</v>
      </c>
      <c r="T29" s="708">
        <f t="shared" si="6"/>
        <v>10.4976</v>
      </c>
      <c r="U29" s="709" t="str">
        <f t="shared" si="7"/>
        <v>--</v>
      </c>
      <c r="V29" s="328" t="str">
        <f t="shared" si="8"/>
        <v>--</v>
      </c>
      <c r="W29" s="329" t="str">
        <f t="shared" si="9"/>
        <v>--</v>
      </c>
      <c r="X29" s="332" t="str">
        <f t="shared" si="10"/>
        <v>--</v>
      </c>
      <c r="Y29" s="333" t="str">
        <f t="shared" si="11"/>
        <v>--</v>
      </c>
      <c r="Z29" s="334" t="str">
        <f t="shared" si="12"/>
        <v>--</v>
      </c>
      <c r="AA29" s="335" t="str">
        <f t="shared" si="13"/>
        <v>--</v>
      </c>
      <c r="AB29" s="23" t="s">
        <v>235</v>
      </c>
      <c r="AC29" s="587">
        <f t="shared" si="14"/>
        <v>10.4976</v>
      </c>
      <c r="AD29" s="588"/>
    </row>
    <row r="30" spans="1:30" s="521" customFormat="1" ht="16.5" customHeight="1">
      <c r="A30" s="520"/>
      <c r="B30" s="532"/>
      <c r="C30" s="615"/>
      <c r="D30" s="615"/>
      <c r="E30" s="615"/>
      <c r="F30" s="480"/>
      <c r="G30" s="479"/>
      <c r="H30" s="616"/>
      <c r="I30" s="664"/>
      <c r="J30" s="270">
        <f t="shared" si="0"/>
        <v>0</v>
      </c>
      <c r="K30" s="619"/>
      <c r="L30" s="619"/>
      <c r="M30" s="24">
        <f t="shared" si="1"/>
      </c>
      <c r="N30" s="25">
        <f t="shared" si="2"/>
      </c>
      <c r="O30" s="620"/>
      <c r="P30" s="23">
        <f t="shared" si="3"/>
      </c>
      <c r="Q30" s="707">
        <f t="shared" si="15"/>
      </c>
      <c r="R30" s="23">
        <f t="shared" si="4"/>
      </c>
      <c r="S30" s="325">
        <f t="shared" si="5"/>
        <v>3</v>
      </c>
      <c r="T30" s="708" t="str">
        <f t="shared" si="6"/>
        <v>--</v>
      </c>
      <c r="U30" s="709" t="str">
        <f t="shared" si="7"/>
        <v>--</v>
      </c>
      <c r="V30" s="328" t="str">
        <f t="shared" si="8"/>
        <v>--</v>
      </c>
      <c r="W30" s="329" t="str">
        <f t="shared" si="9"/>
        <v>--</v>
      </c>
      <c r="X30" s="332" t="str">
        <f t="shared" si="10"/>
        <v>--</v>
      </c>
      <c r="Y30" s="333" t="str">
        <f t="shared" si="11"/>
        <v>--</v>
      </c>
      <c r="Z30" s="334" t="str">
        <f t="shared" si="12"/>
        <v>--</v>
      </c>
      <c r="AA30" s="335" t="str">
        <f t="shared" si="13"/>
        <v>--</v>
      </c>
      <c r="AB30" s="23">
        <f aca="true" t="shared" si="16" ref="AB30:AB43">IF(F30="","","SI")</f>
      </c>
      <c r="AC30" s="587">
        <f t="shared" si="14"/>
      </c>
      <c r="AD30" s="588"/>
    </row>
    <row r="31" spans="1:30" s="521" customFormat="1" ht="16.5" customHeight="1">
      <c r="A31" s="520"/>
      <c r="B31" s="532"/>
      <c r="C31" s="615"/>
      <c r="D31" s="615"/>
      <c r="E31" s="615"/>
      <c r="F31" s="480"/>
      <c r="G31" s="479"/>
      <c r="H31" s="616"/>
      <c r="I31" s="617"/>
      <c r="J31" s="270">
        <f t="shared" si="0"/>
        <v>0</v>
      </c>
      <c r="K31" s="619"/>
      <c r="L31" s="619"/>
      <c r="M31" s="24">
        <f t="shared" si="1"/>
      </c>
      <c r="N31" s="25">
        <f t="shared" si="2"/>
      </c>
      <c r="O31" s="620"/>
      <c r="P31" s="23">
        <f t="shared" si="3"/>
      </c>
      <c r="Q31" s="707">
        <f t="shared" si="15"/>
      </c>
      <c r="R31" s="23">
        <f t="shared" si="4"/>
      </c>
      <c r="S31" s="325">
        <f t="shared" si="5"/>
        <v>3</v>
      </c>
      <c r="T31" s="708" t="str">
        <f t="shared" si="6"/>
        <v>--</v>
      </c>
      <c r="U31" s="709" t="str">
        <f t="shared" si="7"/>
        <v>--</v>
      </c>
      <c r="V31" s="328" t="str">
        <f t="shared" si="8"/>
        <v>--</v>
      </c>
      <c r="W31" s="329" t="str">
        <f t="shared" si="9"/>
        <v>--</v>
      </c>
      <c r="X31" s="332" t="str">
        <f t="shared" si="10"/>
        <v>--</v>
      </c>
      <c r="Y31" s="333" t="str">
        <f t="shared" si="11"/>
        <v>--</v>
      </c>
      <c r="Z31" s="334" t="str">
        <f t="shared" si="12"/>
        <v>--</v>
      </c>
      <c r="AA31" s="335" t="str">
        <f t="shared" si="13"/>
        <v>--</v>
      </c>
      <c r="AB31" s="23">
        <f t="shared" si="16"/>
      </c>
      <c r="AC31" s="587">
        <f t="shared" si="14"/>
      </c>
      <c r="AD31" s="588"/>
    </row>
    <row r="32" spans="1:30" s="521" customFormat="1" ht="16.5" customHeight="1">
      <c r="A32" s="520"/>
      <c r="B32" s="532"/>
      <c r="C32" s="615"/>
      <c r="D32" s="615"/>
      <c r="E32" s="615"/>
      <c r="F32" s="480"/>
      <c r="G32" s="479"/>
      <c r="H32" s="616"/>
      <c r="I32" s="617"/>
      <c r="J32" s="270">
        <f t="shared" si="0"/>
        <v>0</v>
      </c>
      <c r="K32" s="619"/>
      <c r="L32" s="619"/>
      <c r="M32" s="24">
        <f t="shared" si="1"/>
      </c>
      <c r="N32" s="25">
        <f t="shared" si="2"/>
      </c>
      <c r="O32" s="620"/>
      <c r="P32" s="23">
        <f t="shared" si="3"/>
      </c>
      <c r="Q32" s="707">
        <f t="shared" si="15"/>
      </c>
      <c r="R32" s="23">
        <f t="shared" si="4"/>
      </c>
      <c r="S32" s="325">
        <f t="shared" si="5"/>
        <v>3</v>
      </c>
      <c r="T32" s="708" t="str">
        <f t="shared" si="6"/>
        <v>--</v>
      </c>
      <c r="U32" s="709" t="str">
        <f t="shared" si="7"/>
        <v>--</v>
      </c>
      <c r="V32" s="328" t="str">
        <f t="shared" si="8"/>
        <v>--</v>
      </c>
      <c r="W32" s="329" t="str">
        <f t="shared" si="9"/>
        <v>--</v>
      </c>
      <c r="X32" s="332" t="str">
        <f t="shared" si="10"/>
        <v>--</v>
      </c>
      <c r="Y32" s="333" t="str">
        <f t="shared" si="11"/>
        <v>--</v>
      </c>
      <c r="Z32" s="334" t="str">
        <f t="shared" si="12"/>
        <v>--</v>
      </c>
      <c r="AA32" s="335" t="str">
        <f t="shared" si="13"/>
        <v>--</v>
      </c>
      <c r="AB32" s="23">
        <f t="shared" si="16"/>
      </c>
      <c r="AC32" s="587">
        <f t="shared" si="14"/>
      </c>
      <c r="AD32" s="533"/>
    </row>
    <row r="33" spans="1:30" s="521" customFormat="1" ht="16.5" customHeight="1">
      <c r="A33" s="520"/>
      <c r="B33" s="532"/>
      <c r="C33" s="615"/>
      <c r="D33" s="615"/>
      <c r="E33" s="615"/>
      <c r="F33" s="480"/>
      <c r="G33" s="479"/>
      <c r="H33" s="616"/>
      <c r="I33" s="617"/>
      <c r="J33" s="270">
        <f t="shared" si="0"/>
        <v>0</v>
      </c>
      <c r="K33" s="619"/>
      <c r="L33" s="619"/>
      <c r="M33" s="24">
        <f t="shared" si="1"/>
      </c>
      <c r="N33" s="25">
        <f t="shared" si="2"/>
      </c>
      <c r="O33" s="620"/>
      <c r="P33" s="23">
        <f t="shared" si="3"/>
      </c>
      <c r="Q33" s="707">
        <f t="shared" si="15"/>
      </c>
      <c r="R33" s="23">
        <f t="shared" si="4"/>
      </c>
      <c r="S33" s="325">
        <f t="shared" si="5"/>
        <v>3</v>
      </c>
      <c r="T33" s="708" t="str">
        <f t="shared" si="6"/>
        <v>--</v>
      </c>
      <c r="U33" s="709" t="str">
        <f t="shared" si="7"/>
        <v>--</v>
      </c>
      <c r="V33" s="328" t="str">
        <f t="shared" si="8"/>
        <v>--</v>
      </c>
      <c r="W33" s="329" t="str">
        <f t="shared" si="9"/>
        <v>--</v>
      </c>
      <c r="X33" s="332" t="str">
        <f t="shared" si="10"/>
        <v>--</v>
      </c>
      <c r="Y33" s="333" t="str">
        <f t="shared" si="11"/>
        <v>--</v>
      </c>
      <c r="Z33" s="334" t="str">
        <f t="shared" si="12"/>
        <v>--</v>
      </c>
      <c r="AA33" s="335" t="str">
        <f t="shared" si="13"/>
        <v>--</v>
      </c>
      <c r="AB33" s="23">
        <f t="shared" si="16"/>
      </c>
      <c r="AC33" s="587">
        <f t="shared" si="14"/>
      </c>
      <c r="AD33" s="533"/>
    </row>
    <row r="34" spans="1:30" s="521" customFormat="1" ht="16.5" customHeight="1">
      <c r="A34" s="520"/>
      <c r="B34" s="532"/>
      <c r="C34" s="615"/>
      <c r="D34" s="615"/>
      <c r="E34" s="615"/>
      <c r="F34" s="480"/>
      <c r="G34" s="479"/>
      <c r="H34" s="616"/>
      <c r="I34" s="617"/>
      <c r="J34" s="270">
        <f t="shared" si="0"/>
        <v>0</v>
      </c>
      <c r="K34" s="619"/>
      <c r="L34" s="619"/>
      <c r="M34" s="24">
        <f t="shared" si="1"/>
      </c>
      <c r="N34" s="25">
        <f t="shared" si="2"/>
      </c>
      <c r="O34" s="620"/>
      <c r="P34" s="23">
        <f t="shared" si="3"/>
      </c>
      <c r="Q34" s="707">
        <f t="shared" si="15"/>
      </c>
      <c r="R34" s="23">
        <f t="shared" si="4"/>
      </c>
      <c r="S34" s="325">
        <f t="shared" si="5"/>
        <v>3</v>
      </c>
      <c r="T34" s="708" t="str">
        <f t="shared" si="6"/>
        <v>--</v>
      </c>
      <c r="U34" s="709" t="str">
        <f t="shared" si="7"/>
        <v>--</v>
      </c>
      <c r="V34" s="328" t="str">
        <f t="shared" si="8"/>
        <v>--</v>
      </c>
      <c r="W34" s="329" t="str">
        <f t="shared" si="9"/>
        <v>--</v>
      </c>
      <c r="X34" s="332" t="str">
        <f t="shared" si="10"/>
        <v>--</v>
      </c>
      <c r="Y34" s="333" t="str">
        <f t="shared" si="11"/>
        <v>--</v>
      </c>
      <c r="Z34" s="334" t="str">
        <f t="shared" si="12"/>
        <v>--</v>
      </c>
      <c r="AA34" s="335" t="str">
        <f t="shared" si="13"/>
        <v>--</v>
      </c>
      <c r="AB34" s="23">
        <f t="shared" si="16"/>
      </c>
      <c r="AC34" s="587">
        <f t="shared" si="14"/>
      </c>
      <c r="AD34" s="533"/>
    </row>
    <row r="35" spans="1:30" s="521" customFormat="1" ht="16.5" customHeight="1">
      <c r="A35" s="520"/>
      <c r="B35" s="532"/>
      <c r="C35" s="615"/>
      <c r="D35" s="615"/>
      <c r="E35" s="615"/>
      <c r="F35" s="480"/>
      <c r="G35" s="479"/>
      <c r="H35" s="616"/>
      <c r="I35" s="617"/>
      <c r="J35" s="270">
        <f t="shared" si="0"/>
        <v>0</v>
      </c>
      <c r="K35" s="619"/>
      <c r="L35" s="619"/>
      <c r="M35" s="24">
        <f t="shared" si="1"/>
      </c>
      <c r="N35" s="25">
        <f t="shared" si="2"/>
      </c>
      <c r="O35" s="620"/>
      <c r="P35" s="23">
        <f t="shared" si="3"/>
      </c>
      <c r="Q35" s="707">
        <f t="shared" si="15"/>
      </c>
      <c r="R35" s="23">
        <f t="shared" si="4"/>
      </c>
      <c r="S35" s="325">
        <f t="shared" si="5"/>
        <v>3</v>
      </c>
      <c r="T35" s="708" t="str">
        <f t="shared" si="6"/>
        <v>--</v>
      </c>
      <c r="U35" s="709" t="str">
        <f t="shared" si="7"/>
        <v>--</v>
      </c>
      <c r="V35" s="328" t="str">
        <f t="shared" si="8"/>
        <v>--</v>
      </c>
      <c r="W35" s="329" t="str">
        <f t="shared" si="9"/>
        <v>--</v>
      </c>
      <c r="X35" s="332" t="str">
        <f t="shared" si="10"/>
        <v>--</v>
      </c>
      <c r="Y35" s="333" t="str">
        <f t="shared" si="11"/>
        <v>--</v>
      </c>
      <c r="Z35" s="334" t="str">
        <f t="shared" si="12"/>
        <v>--</v>
      </c>
      <c r="AA35" s="335" t="str">
        <f t="shared" si="13"/>
        <v>--</v>
      </c>
      <c r="AB35" s="23">
        <f t="shared" si="16"/>
      </c>
      <c r="AC35" s="587">
        <f t="shared" si="14"/>
      </c>
      <c r="AD35" s="533"/>
    </row>
    <row r="36" spans="1:30" s="521" customFormat="1" ht="16.5" customHeight="1">
      <c r="A36" s="520"/>
      <c r="B36" s="532"/>
      <c r="C36" s="615"/>
      <c r="D36" s="615"/>
      <c r="E36" s="615"/>
      <c r="F36" s="480"/>
      <c r="G36" s="479"/>
      <c r="H36" s="616"/>
      <c r="I36" s="617"/>
      <c r="J36" s="270">
        <f t="shared" si="0"/>
        <v>0</v>
      </c>
      <c r="K36" s="619"/>
      <c r="L36" s="619"/>
      <c r="M36" s="24">
        <f t="shared" si="1"/>
      </c>
      <c r="N36" s="25">
        <f t="shared" si="2"/>
      </c>
      <c r="O36" s="620"/>
      <c r="P36" s="23">
        <f t="shared" si="3"/>
      </c>
      <c r="Q36" s="707">
        <f t="shared" si="15"/>
      </c>
      <c r="R36" s="23">
        <f t="shared" si="4"/>
      </c>
      <c r="S36" s="325">
        <f t="shared" si="5"/>
        <v>3</v>
      </c>
      <c r="T36" s="708" t="str">
        <f t="shared" si="6"/>
        <v>--</v>
      </c>
      <c r="U36" s="709" t="str">
        <f t="shared" si="7"/>
        <v>--</v>
      </c>
      <c r="V36" s="328" t="str">
        <f t="shared" si="8"/>
        <v>--</v>
      </c>
      <c r="W36" s="329" t="str">
        <f t="shared" si="9"/>
        <v>--</v>
      </c>
      <c r="X36" s="332" t="str">
        <f t="shared" si="10"/>
        <v>--</v>
      </c>
      <c r="Y36" s="333" t="str">
        <f t="shared" si="11"/>
        <v>--</v>
      </c>
      <c r="Z36" s="334" t="str">
        <f t="shared" si="12"/>
        <v>--</v>
      </c>
      <c r="AA36" s="335" t="str">
        <f t="shared" si="13"/>
        <v>--</v>
      </c>
      <c r="AB36" s="23">
        <f t="shared" si="16"/>
      </c>
      <c r="AC36" s="587">
        <f t="shared" si="14"/>
      </c>
      <c r="AD36" s="533"/>
    </row>
    <row r="37" spans="1:30" s="521" customFormat="1" ht="16.5" customHeight="1">
      <c r="A37" s="520"/>
      <c r="B37" s="532"/>
      <c r="C37" s="615"/>
      <c r="D37" s="615"/>
      <c r="E37" s="615"/>
      <c r="F37" s="480"/>
      <c r="G37" s="479"/>
      <c r="H37" s="616"/>
      <c r="I37" s="617"/>
      <c r="J37" s="270">
        <f t="shared" si="0"/>
        <v>0</v>
      </c>
      <c r="K37" s="619"/>
      <c r="L37" s="619"/>
      <c r="M37" s="24">
        <f t="shared" si="1"/>
      </c>
      <c r="N37" s="25">
        <f t="shared" si="2"/>
      </c>
      <c r="O37" s="620"/>
      <c r="P37" s="23">
        <f t="shared" si="3"/>
      </c>
      <c r="Q37" s="707">
        <f t="shared" si="15"/>
      </c>
      <c r="R37" s="23">
        <f t="shared" si="4"/>
      </c>
      <c r="S37" s="325">
        <f t="shared" si="5"/>
        <v>3</v>
      </c>
      <c r="T37" s="708" t="str">
        <f t="shared" si="6"/>
        <v>--</v>
      </c>
      <c r="U37" s="709" t="str">
        <f t="shared" si="7"/>
        <v>--</v>
      </c>
      <c r="V37" s="328" t="str">
        <f t="shared" si="8"/>
        <v>--</v>
      </c>
      <c r="W37" s="329" t="str">
        <f t="shared" si="9"/>
        <v>--</v>
      </c>
      <c r="X37" s="332" t="str">
        <f t="shared" si="10"/>
        <v>--</v>
      </c>
      <c r="Y37" s="333" t="str">
        <f t="shared" si="11"/>
        <v>--</v>
      </c>
      <c r="Z37" s="334" t="str">
        <f t="shared" si="12"/>
        <v>--</v>
      </c>
      <c r="AA37" s="335" t="str">
        <f t="shared" si="13"/>
        <v>--</v>
      </c>
      <c r="AB37" s="23">
        <f t="shared" si="16"/>
      </c>
      <c r="AC37" s="587">
        <f t="shared" si="14"/>
      </c>
      <c r="AD37" s="533"/>
    </row>
    <row r="38" spans="1:30" s="521" customFormat="1" ht="16.5" customHeight="1">
      <c r="A38" s="520"/>
      <c r="B38" s="532"/>
      <c r="C38" s="615"/>
      <c r="D38" s="615"/>
      <c r="E38" s="615"/>
      <c r="F38" s="480"/>
      <c r="G38" s="479"/>
      <c r="H38" s="616"/>
      <c r="I38" s="617"/>
      <c r="J38" s="270">
        <f t="shared" si="0"/>
        <v>0</v>
      </c>
      <c r="K38" s="619"/>
      <c r="L38" s="619"/>
      <c r="M38" s="24">
        <f t="shared" si="1"/>
      </c>
      <c r="N38" s="25">
        <f t="shared" si="2"/>
      </c>
      <c r="O38" s="620"/>
      <c r="P38" s="23">
        <f t="shared" si="3"/>
      </c>
      <c r="Q38" s="707">
        <f t="shared" si="15"/>
      </c>
      <c r="R38" s="23">
        <f t="shared" si="4"/>
      </c>
      <c r="S38" s="325">
        <f t="shared" si="5"/>
        <v>3</v>
      </c>
      <c r="T38" s="708" t="str">
        <f t="shared" si="6"/>
        <v>--</v>
      </c>
      <c r="U38" s="709" t="str">
        <f t="shared" si="7"/>
        <v>--</v>
      </c>
      <c r="V38" s="328" t="str">
        <f t="shared" si="8"/>
        <v>--</v>
      </c>
      <c r="W38" s="329" t="str">
        <f t="shared" si="9"/>
        <v>--</v>
      </c>
      <c r="X38" s="332" t="str">
        <f t="shared" si="10"/>
        <v>--</v>
      </c>
      <c r="Y38" s="333" t="str">
        <f t="shared" si="11"/>
        <v>--</v>
      </c>
      <c r="Z38" s="334" t="str">
        <f t="shared" si="12"/>
        <v>--</v>
      </c>
      <c r="AA38" s="335" t="str">
        <f t="shared" si="13"/>
        <v>--</v>
      </c>
      <c r="AB38" s="23">
        <f t="shared" si="16"/>
      </c>
      <c r="AC38" s="587">
        <f t="shared" si="14"/>
      </c>
      <c r="AD38" s="533"/>
    </row>
    <row r="39" spans="1:30" s="521" customFormat="1" ht="16.5" customHeight="1">
      <c r="A39" s="520"/>
      <c r="B39" s="532"/>
      <c r="C39" s="615"/>
      <c r="D39" s="615"/>
      <c r="E39" s="615"/>
      <c r="F39" s="480"/>
      <c r="G39" s="479"/>
      <c r="H39" s="616"/>
      <c r="I39" s="617"/>
      <c r="J39" s="270">
        <f t="shared" si="0"/>
        <v>0</v>
      </c>
      <c r="K39" s="619"/>
      <c r="L39" s="619"/>
      <c r="M39" s="24">
        <f t="shared" si="1"/>
      </c>
      <c r="N39" s="25">
        <f t="shared" si="2"/>
      </c>
      <c r="O39" s="620"/>
      <c r="P39" s="23">
        <f t="shared" si="3"/>
      </c>
      <c r="Q39" s="707">
        <f t="shared" si="15"/>
      </c>
      <c r="R39" s="23">
        <f t="shared" si="4"/>
      </c>
      <c r="S39" s="325">
        <f t="shared" si="5"/>
        <v>3</v>
      </c>
      <c r="T39" s="708" t="str">
        <f t="shared" si="6"/>
        <v>--</v>
      </c>
      <c r="U39" s="709" t="str">
        <f t="shared" si="7"/>
        <v>--</v>
      </c>
      <c r="V39" s="328" t="str">
        <f t="shared" si="8"/>
        <v>--</v>
      </c>
      <c r="W39" s="329" t="str">
        <f t="shared" si="9"/>
        <v>--</v>
      </c>
      <c r="X39" s="332" t="str">
        <f t="shared" si="10"/>
        <v>--</v>
      </c>
      <c r="Y39" s="333" t="str">
        <f t="shared" si="11"/>
        <v>--</v>
      </c>
      <c r="Z39" s="334" t="str">
        <f t="shared" si="12"/>
        <v>--</v>
      </c>
      <c r="AA39" s="335" t="str">
        <f t="shared" si="13"/>
        <v>--</v>
      </c>
      <c r="AB39" s="23">
        <f t="shared" si="16"/>
      </c>
      <c r="AC39" s="587">
        <f t="shared" si="14"/>
      </c>
      <c r="AD39" s="533"/>
    </row>
    <row r="40" spans="1:30" s="521" customFormat="1" ht="16.5" customHeight="1">
      <c r="A40" s="520"/>
      <c r="B40" s="532"/>
      <c r="C40" s="615"/>
      <c r="D40" s="615"/>
      <c r="E40" s="615"/>
      <c r="F40" s="480"/>
      <c r="G40" s="479"/>
      <c r="H40" s="616"/>
      <c r="I40" s="617"/>
      <c r="J40" s="270">
        <f t="shared" si="0"/>
        <v>0</v>
      </c>
      <c r="K40" s="619"/>
      <c r="L40" s="619"/>
      <c r="M40" s="24">
        <f t="shared" si="1"/>
      </c>
      <c r="N40" s="25">
        <f t="shared" si="2"/>
      </c>
      <c r="O40" s="620"/>
      <c r="P40" s="23">
        <f t="shared" si="3"/>
      </c>
      <c r="Q40" s="707">
        <f t="shared" si="15"/>
      </c>
      <c r="R40" s="23">
        <f t="shared" si="4"/>
      </c>
      <c r="S40" s="325">
        <f t="shared" si="5"/>
        <v>3</v>
      </c>
      <c r="T40" s="708" t="str">
        <f t="shared" si="6"/>
        <v>--</v>
      </c>
      <c r="U40" s="709" t="str">
        <f t="shared" si="7"/>
        <v>--</v>
      </c>
      <c r="V40" s="328" t="str">
        <f t="shared" si="8"/>
        <v>--</v>
      </c>
      <c r="W40" s="329" t="str">
        <f t="shared" si="9"/>
        <v>--</v>
      </c>
      <c r="X40" s="332" t="str">
        <f t="shared" si="10"/>
        <v>--</v>
      </c>
      <c r="Y40" s="333" t="str">
        <f t="shared" si="11"/>
        <v>--</v>
      </c>
      <c r="Z40" s="334" t="str">
        <f t="shared" si="12"/>
        <v>--</v>
      </c>
      <c r="AA40" s="335" t="str">
        <f t="shared" si="13"/>
        <v>--</v>
      </c>
      <c r="AB40" s="23">
        <f t="shared" si="16"/>
      </c>
      <c r="AC40" s="587">
        <f t="shared" si="14"/>
      </c>
      <c r="AD40" s="533"/>
    </row>
    <row r="41" spans="1:30" s="521" customFormat="1" ht="16.5" customHeight="1">
      <c r="A41" s="520"/>
      <c r="B41" s="532"/>
      <c r="C41" s="615"/>
      <c r="D41" s="615"/>
      <c r="E41" s="615"/>
      <c r="F41" s="480"/>
      <c r="G41" s="479"/>
      <c r="H41" s="616"/>
      <c r="I41" s="617"/>
      <c r="J41" s="270">
        <f t="shared" si="0"/>
        <v>0</v>
      </c>
      <c r="K41" s="619"/>
      <c r="L41" s="619"/>
      <c r="M41" s="24">
        <f t="shared" si="1"/>
      </c>
      <c r="N41" s="25">
        <f t="shared" si="2"/>
      </c>
      <c r="O41" s="620"/>
      <c r="P41" s="23">
        <f t="shared" si="3"/>
      </c>
      <c r="Q41" s="707">
        <f t="shared" si="15"/>
      </c>
      <c r="R41" s="23">
        <f t="shared" si="4"/>
      </c>
      <c r="S41" s="325">
        <f t="shared" si="5"/>
        <v>3</v>
      </c>
      <c r="T41" s="708" t="str">
        <f t="shared" si="6"/>
        <v>--</v>
      </c>
      <c r="U41" s="709" t="str">
        <f t="shared" si="7"/>
        <v>--</v>
      </c>
      <c r="V41" s="328" t="str">
        <f t="shared" si="8"/>
        <v>--</v>
      </c>
      <c r="W41" s="329" t="str">
        <f t="shared" si="9"/>
        <v>--</v>
      </c>
      <c r="X41" s="332" t="str">
        <f t="shared" si="10"/>
        <v>--</v>
      </c>
      <c r="Y41" s="333" t="str">
        <f t="shared" si="11"/>
        <v>--</v>
      </c>
      <c r="Z41" s="334" t="str">
        <f t="shared" si="12"/>
        <v>--</v>
      </c>
      <c r="AA41" s="335" t="str">
        <f t="shared" si="13"/>
        <v>--</v>
      </c>
      <c r="AB41" s="23">
        <f t="shared" si="16"/>
      </c>
      <c r="AC41" s="587">
        <f t="shared" si="14"/>
      </c>
      <c r="AD41" s="533"/>
    </row>
    <row r="42" spans="1:30" s="521" customFormat="1" ht="16.5" customHeight="1">
      <c r="A42" s="520"/>
      <c r="B42" s="532"/>
      <c r="C42" s="615"/>
      <c r="D42" s="615"/>
      <c r="E42" s="615"/>
      <c r="F42" s="480"/>
      <c r="G42" s="479"/>
      <c r="H42" s="616"/>
      <c r="I42" s="617"/>
      <c r="J42" s="270">
        <f t="shared" si="0"/>
        <v>0</v>
      </c>
      <c r="K42" s="619"/>
      <c r="L42" s="619"/>
      <c r="M42" s="24">
        <f t="shared" si="1"/>
      </c>
      <c r="N42" s="25">
        <f t="shared" si="2"/>
      </c>
      <c r="O42" s="620"/>
      <c r="P42" s="23">
        <f t="shared" si="3"/>
      </c>
      <c r="Q42" s="707">
        <f t="shared" si="15"/>
      </c>
      <c r="R42" s="23">
        <f t="shared" si="4"/>
      </c>
      <c r="S42" s="325">
        <f t="shared" si="5"/>
        <v>3</v>
      </c>
      <c r="T42" s="708" t="str">
        <f t="shared" si="6"/>
        <v>--</v>
      </c>
      <c r="U42" s="709" t="str">
        <f t="shared" si="7"/>
        <v>--</v>
      </c>
      <c r="V42" s="328" t="str">
        <f t="shared" si="8"/>
        <v>--</v>
      </c>
      <c r="W42" s="329" t="str">
        <f t="shared" si="9"/>
        <v>--</v>
      </c>
      <c r="X42" s="332" t="str">
        <f t="shared" si="10"/>
        <v>--</v>
      </c>
      <c r="Y42" s="333" t="str">
        <f t="shared" si="11"/>
        <v>--</v>
      </c>
      <c r="Z42" s="334" t="str">
        <f t="shared" si="12"/>
        <v>--</v>
      </c>
      <c r="AA42" s="335" t="str">
        <f t="shared" si="13"/>
        <v>--</v>
      </c>
      <c r="AB42" s="23">
        <f t="shared" si="16"/>
      </c>
      <c r="AC42" s="587">
        <f t="shared" si="14"/>
      </c>
      <c r="AD42" s="533"/>
    </row>
    <row r="43" spans="1:30" s="521" customFormat="1" ht="16.5" customHeight="1">
      <c r="A43" s="520"/>
      <c r="B43" s="532"/>
      <c r="C43" s="615"/>
      <c r="D43" s="615"/>
      <c r="E43" s="615"/>
      <c r="F43" s="480"/>
      <c r="G43" s="479"/>
      <c r="H43" s="616"/>
      <c r="I43" s="617"/>
      <c r="J43" s="270">
        <f t="shared" si="0"/>
        <v>0</v>
      </c>
      <c r="K43" s="619"/>
      <c r="L43" s="619"/>
      <c r="M43" s="24">
        <f t="shared" si="1"/>
      </c>
      <c r="N43" s="25">
        <f t="shared" si="2"/>
      </c>
      <c r="O43" s="620"/>
      <c r="P43" s="23">
        <f t="shared" si="3"/>
      </c>
      <c r="Q43" s="707">
        <f t="shared" si="15"/>
      </c>
      <c r="R43" s="23">
        <f t="shared" si="4"/>
      </c>
      <c r="S43" s="325">
        <f t="shared" si="5"/>
        <v>3</v>
      </c>
      <c r="T43" s="708" t="str">
        <f t="shared" si="6"/>
        <v>--</v>
      </c>
      <c r="U43" s="709" t="str">
        <f t="shared" si="7"/>
        <v>--</v>
      </c>
      <c r="V43" s="328" t="str">
        <f t="shared" si="8"/>
        <v>--</v>
      </c>
      <c r="W43" s="329" t="str">
        <f t="shared" si="9"/>
        <v>--</v>
      </c>
      <c r="X43" s="332" t="str">
        <f t="shared" si="10"/>
        <v>--</v>
      </c>
      <c r="Y43" s="333" t="str">
        <f t="shared" si="11"/>
        <v>--</v>
      </c>
      <c r="Z43" s="334" t="str">
        <f t="shared" si="12"/>
        <v>--</v>
      </c>
      <c r="AA43" s="335" t="str">
        <f t="shared" si="13"/>
        <v>--</v>
      </c>
      <c r="AB43" s="23">
        <f t="shared" si="16"/>
      </c>
      <c r="AC43" s="587">
        <f t="shared" si="14"/>
      </c>
      <c r="AD43" s="533"/>
    </row>
    <row r="44" spans="1:30" s="521" customFormat="1" ht="16.5" customHeight="1" thickBot="1">
      <c r="A44" s="520"/>
      <c r="B44" s="532"/>
      <c r="C44" s="618"/>
      <c r="D44" s="618"/>
      <c r="E44" s="618"/>
      <c r="F44" s="618"/>
      <c r="G44" s="618"/>
      <c r="H44" s="618"/>
      <c r="I44" s="618"/>
      <c r="J44" s="590"/>
      <c r="K44" s="618"/>
      <c r="L44" s="618"/>
      <c r="M44" s="589"/>
      <c r="N44" s="589"/>
      <c r="O44" s="618"/>
      <c r="P44" s="618"/>
      <c r="Q44" s="618"/>
      <c r="R44" s="618"/>
      <c r="S44" s="621"/>
      <c r="T44" s="622"/>
      <c r="U44" s="623"/>
      <c r="V44" s="624"/>
      <c r="W44" s="625"/>
      <c r="X44" s="626"/>
      <c r="Y44" s="627"/>
      <c r="Z44" s="628"/>
      <c r="AA44" s="629"/>
      <c r="AB44" s="618"/>
      <c r="AC44" s="591"/>
      <c r="AD44" s="533"/>
    </row>
    <row r="45" spans="1:30" s="521" customFormat="1" ht="16.5" customHeight="1" thickBot="1" thickTop="1">
      <c r="A45" s="520"/>
      <c r="B45" s="532"/>
      <c r="C45" s="592" t="s">
        <v>62</v>
      </c>
      <c r="D45" s="718" t="s">
        <v>265</v>
      </c>
      <c r="E45" s="250"/>
      <c r="F45" s="245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593">
        <f aca="true" t="shared" si="17" ref="T45:AA45">SUM(T22:T44)</f>
        <v>17.86779</v>
      </c>
      <c r="U45" s="594">
        <f t="shared" si="17"/>
        <v>5.399326836</v>
      </c>
      <c r="V45" s="595">
        <f t="shared" si="17"/>
        <v>218.7</v>
      </c>
      <c r="W45" s="595">
        <f t="shared" si="17"/>
        <v>50.301</v>
      </c>
      <c r="X45" s="596">
        <f t="shared" si="17"/>
        <v>0</v>
      </c>
      <c r="Y45" s="596">
        <f t="shared" si="17"/>
        <v>0</v>
      </c>
      <c r="Z45" s="597">
        <f t="shared" si="17"/>
        <v>0</v>
      </c>
      <c r="AA45" s="598">
        <f t="shared" si="17"/>
        <v>0</v>
      </c>
      <c r="AB45" s="599"/>
      <c r="AC45" s="600">
        <f>ROUND(SUM(AC22:AC44),2)</f>
        <v>292.27</v>
      </c>
      <c r="AD45" s="533"/>
    </row>
    <row r="46" spans="1:30" s="608" customFormat="1" ht="9.75" thickTop="1">
      <c r="A46" s="601"/>
      <c r="B46" s="602"/>
      <c r="C46" s="603"/>
      <c r="D46" s="603"/>
      <c r="E46" s="603"/>
      <c r="F46" s="247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605"/>
      <c r="U46" s="605"/>
      <c r="V46" s="605"/>
      <c r="W46" s="605"/>
      <c r="X46" s="605"/>
      <c r="Y46" s="605"/>
      <c r="Z46" s="605"/>
      <c r="AA46" s="605"/>
      <c r="AB46" s="604"/>
      <c r="AC46" s="606"/>
      <c r="AD46" s="607"/>
    </row>
    <row r="47" spans="1:30" s="521" customFormat="1" ht="16.5" customHeight="1" thickBot="1">
      <c r="A47" s="520"/>
      <c r="B47" s="609"/>
      <c r="C47" s="610"/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610"/>
      <c r="S47" s="610"/>
      <c r="T47" s="610"/>
      <c r="U47" s="610"/>
      <c r="V47" s="610"/>
      <c r="W47" s="610"/>
      <c r="X47" s="610"/>
      <c r="Y47" s="610"/>
      <c r="Z47" s="610"/>
      <c r="AA47" s="610"/>
      <c r="AB47" s="610"/>
      <c r="AC47" s="610"/>
      <c r="AD47" s="611"/>
    </row>
    <row r="48" spans="2:30" ht="16.5" customHeight="1" thickTop="1"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4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Roman,Normal"&amp;8&amp;F-&amp;A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W49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710937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6" customFormat="1" ht="26.25">
      <c r="W1" s="384"/>
    </row>
    <row r="2" spans="2:23" s="116" customFormat="1" ht="26.25">
      <c r="B2" s="117" t="s">
        <v>287</v>
      </c>
      <c r="C2" s="118"/>
      <c r="D2" s="118"/>
      <c r="E2" s="118"/>
      <c r="F2" s="118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="11" customFormat="1" ht="12.75"/>
    <row r="4" spans="1:4" s="119" customFormat="1" ht="11.25">
      <c r="A4" s="693" t="s">
        <v>16</v>
      </c>
      <c r="C4" s="692"/>
      <c r="D4" s="692"/>
    </row>
    <row r="5" spans="1:4" s="119" customFormat="1" ht="11.25">
      <c r="A5" s="693" t="s">
        <v>225</v>
      </c>
      <c r="C5" s="692"/>
      <c r="D5" s="692"/>
    </row>
    <row r="6" s="11" customFormat="1" ht="13.5" thickBot="1"/>
    <row r="7" spans="2:23" s="11" customFormat="1" ht="13.5" thickTop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2:23" s="121" customFormat="1" ht="20.25">
      <c r="B8" s="120"/>
      <c r="C8" s="42"/>
      <c r="D8" s="42"/>
      <c r="E8" s="42"/>
      <c r="F8" s="21" t="s">
        <v>38</v>
      </c>
      <c r="P8" s="42"/>
      <c r="Q8" s="42"/>
      <c r="R8" s="42"/>
      <c r="S8" s="42"/>
      <c r="T8" s="42"/>
      <c r="U8" s="42"/>
      <c r="V8" s="42"/>
      <c r="W8" s="122"/>
    </row>
    <row r="9" spans="2:23" s="11" customFormat="1" ht="12.75">
      <c r="B9" s="41"/>
      <c r="C9" s="9"/>
      <c r="D9" s="9"/>
      <c r="E9" s="9"/>
      <c r="F9" s="9"/>
      <c r="G9" s="9"/>
      <c r="H9" s="9"/>
      <c r="I9" s="130"/>
      <c r="J9" s="130"/>
      <c r="K9" s="130"/>
      <c r="L9" s="130"/>
      <c r="M9" s="130"/>
      <c r="P9" s="9"/>
      <c r="Q9" s="9"/>
      <c r="R9" s="9"/>
      <c r="S9" s="9"/>
      <c r="T9" s="9"/>
      <c r="U9" s="9"/>
      <c r="V9" s="9"/>
      <c r="W9" s="12"/>
    </row>
    <row r="10" spans="2:23" s="121" customFormat="1" ht="20.25">
      <c r="B10" s="120"/>
      <c r="C10" s="42"/>
      <c r="D10" s="42"/>
      <c r="E10" s="42"/>
      <c r="F10" s="21" t="s">
        <v>79</v>
      </c>
      <c r="G10" s="21"/>
      <c r="H10" s="42"/>
      <c r="I10" s="21"/>
      <c r="J10" s="21"/>
      <c r="K10" s="21"/>
      <c r="L10" s="21"/>
      <c r="M10" s="21"/>
      <c r="P10" s="42"/>
      <c r="Q10" s="42"/>
      <c r="R10" s="42"/>
      <c r="S10" s="42"/>
      <c r="T10" s="42"/>
      <c r="U10" s="42"/>
      <c r="V10" s="42"/>
      <c r="W10" s="122"/>
    </row>
    <row r="11" spans="2:23" s="11" customFormat="1" ht="12.75">
      <c r="B11" s="41"/>
      <c r="C11" s="9"/>
      <c r="D11" s="9"/>
      <c r="E11" s="9"/>
      <c r="F11" s="187"/>
      <c r="G11" s="130"/>
      <c r="H11" s="9"/>
      <c r="I11" s="130"/>
      <c r="J11" s="130"/>
      <c r="K11" s="130"/>
      <c r="L11" s="130"/>
      <c r="M11" s="130"/>
      <c r="P11" s="9"/>
      <c r="Q11" s="9"/>
      <c r="R11" s="9"/>
      <c r="S11" s="9"/>
      <c r="T11" s="9"/>
      <c r="U11" s="9"/>
      <c r="V11" s="9"/>
      <c r="W11" s="12"/>
    </row>
    <row r="12" spans="2:23" s="121" customFormat="1" ht="20.25">
      <c r="B12" s="120"/>
      <c r="C12" s="42"/>
      <c r="D12" s="42"/>
      <c r="E12" s="42"/>
      <c r="F12" s="21" t="s">
        <v>80</v>
      </c>
      <c r="G12" s="21"/>
      <c r="H12" s="42"/>
      <c r="I12" s="21"/>
      <c r="J12" s="21"/>
      <c r="K12" s="21"/>
      <c r="L12" s="21"/>
      <c r="M12" s="21"/>
      <c r="P12" s="42"/>
      <c r="Q12" s="42"/>
      <c r="R12" s="42"/>
      <c r="S12" s="42"/>
      <c r="T12" s="42"/>
      <c r="U12" s="42"/>
      <c r="V12" s="42"/>
      <c r="W12" s="122"/>
    </row>
    <row r="13" spans="2:23" s="11" customFormat="1" ht="12.75">
      <c r="B13" s="41"/>
      <c r="C13" s="9"/>
      <c r="D13" s="9"/>
      <c r="E13" s="9"/>
      <c r="F13" s="132"/>
      <c r="G13" s="130"/>
      <c r="H13" s="9"/>
      <c r="I13" s="130"/>
      <c r="J13" s="130"/>
      <c r="K13" s="130"/>
      <c r="L13" s="130"/>
      <c r="M13" s="130"/>
      <c r="P13" s="9"/>
      <c r="Q13" s="9"/>
      <c r="R13" s="9"/>
      <c r="S13" s="9"/>
      <c r="T13" s="9"/>
      <c r="U13" s="9"/>
      <c r="V13" s="9"/>
      <c r="W13" s="12"/>
    </row>
    <row r="14" spans="2:23" s="128" customFormat="1" ht="19.5">
      <c r="B14" s="96" t="str">
        <f>+'TOT-0709'!B14</f>
        <v>Desde el 01 al 31 de julio de 2009</v>
      </c>
      <c r="C14" s="124"/>
      <c r="D14" s="124"/>
      <c r="E14" s="124"/>
      <c r="F14" s="124"/>
      <c r="G14" s="124"/>
      <c r="H14" s="95"/>
      <c r="I14" s="124"/>
      <c r="J14" s="125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7"/>
    </row>
    <row r="15" spans="2:23" s="11" customFormat="1" ht="16.5" customHeight="1" thickBot="1">
      <c r="B15" s="41"/>
      <c r="C15" s="9"/>
      <c r="D15" s="9"/>
      <c r="E15" s="9"/>
      <c r="I15" s="129"/>
      <c r="K15" s="9"/>
      <c r="L15" s="9"/>
      <c r="M15" s="9"/>
      <c r="N15" s="129"/>
      <c r="O15" s="129"/>
      <c r="P15" s="12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08" t="s">
        <v>81</v>
      </c>
      <c r="G16" s="209">
        <v>8.106</v>
      </c>
      <c r="H16" s="100">
        <v>60</v>
      </c>
      <c r="I16" s="129"/>
      <c r="J16" s="241" t="str">
        <f>IF(H16=60," ",IF(H16=120,"Coeficiente duplicado por tasa de falla &gt;4 Sal. x año/100 km.","REVISAR COEFICIENTE"))</f>
        <v> </v>
      </c>
      <c r="K16" s="9"/>
      <c r="L16" s="9"/>
      <c r="M16" s="9"/>
      <c r="N16" s="129"/>
      <c r="O16" s="129"/>
      <c r="P16" s="129"/>
      <c r="Q16" s="9"/>
      <c r="R16" s="9"/>
      <c r="S16" s="9"/>
      <c r="T16" s="9"/>
      <c r="U16" s="9"/>
      <c r="V16" s="9"/>
      <c r="W16" s="12"/>
    </row>
    <row r="17" spans="2:23" s="11" customFormat="1" ht="16.5" customHeight="1" thickBot="1" thickTop="1">
      <c r="B17" s="41"/>
      <c r="C17" s="9"/>
      <c r="D17" s="9"/>
      <c r="E17" s="9"/>
      <c r="F17" s="208" t="s">
        <v>82</v>
      </c>
      <c r="G17" s="209">
        <v>3.243</v>
      </c>
      <c r="H17" s="100">
        <v>50</v>
      </c>
      <c r="J17" s="241" t="str">
        <f>IF(H17=50," ",IF(H17=100,"Coeficiente duplicado por tasa de falla &gt;4 Sal. x año/100 km.","REVISAR COEFICIENTE"))</f>
        <v> </v>
      </c>
      <c r="Q17" s="273"/>
      <c r="S17" s="9"/>
      <c r="T17" s="9"/>
      <c r="U17" s="9"/>
      <c r="V17" s="205"/>
      <c r="W17" s="12"/>
    </row>
    <row r="18" spans="2:23" s="11" customFormat="1" ht="16.5" customHeight="1" thickBot="1" thickTop="1">
      <c r="B18" s="41"/>
      <c r="C18" s="9"/>
      <c r="D18" s="9"/>
      <c r="E18" s="9"/>
      <c r="F18" s="210" t="s">
        <v>83</v>
      </c>
      <c r="G18" s="211">
        <v>2.433</v>
      </c>
      <c r="H18" s="212">
        <v>25</v>
      </c>
      <c r="J18" s="241" t="str">
        <f>IF(H18=25," ",IF(H18=50,"Coeficiente duplicado por tasa de falla &gt;4 Sal. x año/100 km.","REVISAR COEFICIENTE"))</f>
        <v> </v>
      </c>
      <c r="K18" s="174"/>
      <c r="L18" s="174"/>
      <c r="M18" s="9"/>
      <c r="P18" s="206"/>
      <c r="Q18" s="207"/>
      <c r="R18" s="33"/>
      <c r="S18" s="9"/>
      <c r="T18" s="9"/>
      <c r="U18" s="9"/>
      <c r="V18" s="205"/>
      <c r="W18" s="12"/>
    </row>
    <row r="19" spans="2:23" s="11" customFormat="1" ht="16.5" customHeight="1" thickBot="1" thickTop="1">
      <c r="B19" s="41"/>
      <c r="C19" s="9"/>
      <c r="D19" s="9"/>
      <c r="E19" s="9"/>
      <c r="F19" s="213" t="s">
        <v>84</v>
      </c>
      <c r="G19" s="211">
        <v>2.433</v>
      </c>
      <c r="H19" s="214">
        <v>20</v>
      </c>
      <c r="J19" s="241" t="str">
        <f>IF(H19=20," ",IF(H19=40,"Coeficiente duplicado por tasa de falla &gt;4 Sal. x año/100 km.","REVISAR COEFICIENTE"))</f>
        <v> </v>
      </c>
      <c r="K19" s="174"/>
      <c r="L19" s="174"/>
      <c r="M19" s="9"/>
      <c r="P19" s="206"/>
      <c r="Q19" s="207"/>
      <c r="R19" s="33"/>
      <c r="S19" s="9"/>
      <c r="T19" s="9"/>
      <c r="U19" s="9"/>
      <c r="V19" s="205"/>
      <c r="W19" s="12"/>
    </row>
    <row r="20" spans="2:23" s="723" customFormat="1" ht="16.5" customHeight="1" thickBot="1" thickTop="1">
      <c r="B20" s="720"/>
      <c r="C20" s="721">
        <v>3</v>
      </c>
      <c r="D20" s="721">
        <v>4</v>
      </c>
      <c r="E20" s="721">
        <v>5</v>
      </c>
      <c r="F20" s="721">
        <v>6</v>
      </c>
      <c r="G20" s="721">
        <v>7</v>
      </c>
      <c r="H20" s="721">
        <v>8</v>
      </c>
      <c r="I20" s="721">
        <v>9</v>
      </c>
      <c r="J20" s="721">
        <v>10</v>
      </c>
      <c r="K20" s="721">
        <v>11</v>
      </c>
      <c r="L20" s="721">
        <v>12</v>
      </c>
      <c r="M20" s="721">
        <v>13</v>
      </c>
      <c r="N20" s="721">
        <v>14</v>
      </c>
      <c r="O20" s="721">
        <v>15</v>
      </c>
      <c r="P20" s="721">
        <v>16</v>
      </c>
      <c r="Q20" s="721">
        <v>17</v>
      </c>
      <c r="R20" s="721">
        <v>18</v>
      </c>
      <c r="S20" s="721">
        <v>19</v>
      </c>
      <c r="T20" s="721">
        <v>20</v>
      </c>
      <c r="U20" s="721">
        <v>21</v>
      </c>
      <c r="V20" s="721">
        <v>22</v>
      </c>
      <c r="W20" s="722"/>
    </row>
    <row r="21" spans="2:23" s="11" customFormat="1" ht="33.75" customHeight="1" thickBot="1" thickTop="1">
      <c r="B21" s="41"/>
      <c r="C21" s="203" t="s">
        <v>44</v>
      </c>
      <c r="D21" s="108" t="s">
        <v>222</v>
      </c>
      <c r="E21" s="108" t="s">
        <v>221</v>
      </c>
      <c r="F21" s="201" t="s">
        <v>68</v>
      </c>
      <c r="G21" s="215" t="s">
        <v>14</v>
      </c>
      <c r="H21" s="218" t="s">
        <v>45</v>
      </c>
      <c r="I21" s="269" t="s">
        <v>47</v>
      </c>
      <c r="J21" s="197" t="s">
        <v>48</v>
      </c>
      <c r="K21" s="215" t="s">
        <v>49</v>
      </c>
      <c r="L21" s="217" t="s">
        <v>72</v>
      </c>
      <c r="M21" s="217" t="s">
        <v>73</v>
      </c>
      <c r="N21" s="112" t="s">
        <v>52</v>
      </c>
      <c r="O21" s="202" t="s">
        <v>74</v>
      </c>
      <c r="P21" s="337" t="s">
        <v>85</v>
      </c>
      <c r="Q21" s="311" t="s">
        <v>54</v>
      </c>
      <c r="R21" s="330" t="s">
        <v>78</v>
      </c>
      <c r="S21" s="331"/>
      <c r="T21" s="347" t="s">
        <v>58</v>
      </c>
      <c r="U21" s="199" t="s">
        <v>60</v>
      </c>
      <c r="V21" s="199" t="s">
        <v>61</v>
      </c>
      <c r="W21" s="35"/>
    </row>
    <row r="22" spans="2:23" s="11" customFormat="1" ht="16.5" customHeight="1" thickTop="1">
      <c r="B22" s="41"/>
      <c r="C22" s="20"/>
      <c r="D22" s="19"/>
      <c r="E22" s="19"/>
      <c r="F22" s="29"/>
      <c r="G22" s="29"/>
      <c r="H22" s="374"/>
      <c r="I22" s="272"/>
      <c r="J22" s="30"/>
      <c r="K22" s="31"/>
      <c r="L22" s="32"/>
      <c r="M22" s="59"/>
      <c r="N22" s="339"/>
      <c r="O22" s="339"/>
      <c r="P22" s="340"/>
      <c r="Q22" s="342"/>
      <c r="R22" s="344"/>
      <c r="S22" s="345"/>
      <c r="T22" s="348"/>
      <c r="U22" s="346"/>
      <c r="V22" s="383"/>
      <c r="W22" s="35"/>
    </row>
    <row r="23" spans="2:23" s="11" customFormat="1" ht="16.5" customHeight="1">
      <c r="B23" s="41"/>
      <c r="C23" s="20"/>
      <c r="D23" s="19"/>
      <c r="E23" s="19"/>
      <c r="F23" s="29"/>
      <c r="G23" s="29"/>
      <c r="H23" s="374"/>
      <c r="I23" s="272"/>
      <c r="J23" s="30"/>
      <c r="K23" s="31"/>
      <c r="L23" s="32"/>
      <c r="M23" s="59"/>
      <c r="N23" s="26"/>
      <c r="O23" s="26"/>
      <c r="P23" s="338"/>
      <c r="Q23" s="343"/>
      <c r="R23" s="332"/>
      <c r="S23" s="333"/>
      <c r="T23" s="349"/>
      <c r="U23" s="23"/>
      <c r="V23" s="216"/>
      <c r="W23" s="35"/>
    </row>
    <row r="24" spans="2:23" s="11" customFormat="1" ht="16.5" customHeight="1">
      <c r="B24" s="41"/>
      <c r="C24" s="630">
        <v>9</v>
      </c>
      <c r="D24" s="615">
        <v>209079</v>
      </c>
      <c r="E24" s="615">
        <v>1708</v>
      </c>
      <c r="F24" s="631" t="s">
        <v>247</v>
      </c>
      <c r="G24" s="631" t="s">
        <v>248</v>
      </c>
      <c r="H24" s="632">
        <v>10.399999618530273</v>
      </c>
      <c r="I24" s="272">
        <f aca="true" t="shared" si="0" ref="I24:I43">IF(H24=330,$G$16,IF(AND(H24&lt;=132,H24&gt;=66),$G$17,IF(AND(H24&lt;66,H24&gt;=33),$G$18,$G$19)))</f>
        <v>2.433</v>
      </c>
      <c r="J24" s="633">
        <v>40008.40138888889</v>
      </c>
      <c r="K24" s="634">
        <v>40008.620833333334</v>
      </c>
      <c r="L24" s="32">
        <f aca="true" t="shared" si="1" ref="L24:L43">IF(F24="","",(K24-J24)*24)</f>
        <v>5.266666666720994</v>
      </c>
      <c r="M24" s="59">
        <f aca="true" t="shared" si="2" ref="M24:M43">IF(F24="","",ROUND((K24-J24)*24*60,0))</f>
        <v>316</v>
      </c>
      <c r="N24" s="635" t="s">
        <v>245</v>
      </c>
      <c r="O24" s="26" t="str">
        <f aca="true" t="shared" si="3" ref="O24:O43">IF(F24="","",IF(N24="P","--","NO"))</f>
        <v>--</v>
      </c>
      <c r="P24" s="338">
        <f aca="true" t="shared" si="4" ref="P24:P43">IF(H24=330,$H$16,IF(AND(H24&lt;=132,H24&gt;=66),$H$17,IF(AND(H24&lt;66,H24&gt;13.2),$H$18,$H$19)))</f>
        <v>20</v>
      </c>
      <c r="Q24" s="710">
        <f aca="true" t="shared" si="5" ref="Q24:Q43">IF(N24="P",I24*P24*ROUND(M24/60,2)*0.1,"--")</f>
        <v>25.643819999999995</v>
      </c>
      <c r="R24" s="332" t="str">
        <f aca="true" t="shared" si="6" ref="R24:R43">IF(AND(N24="F",O24="NO"),I24*P24,"--")</f>
        <v>--</v>
      </c>
      <c r="S24" s="333" t="str">
        <f aca="true" t="shared" si="7" ref="S24:S43">IF(N24="F",I24*P24*ROUND(M24/60,2),"--")</f>
        <v>--</v>
      </c>
      <c r="T24" s="349" t="str">
        <f aca="true" t="shared" si="8" ref="T24:T43">IF(N24="RF",I24*P24*ROUND(M24/60,2),"--")</f>
        <v>--</v>
      </c>
      <c r="U24" s="23" t="s">
        <v>235</v>
      </c>
      <c r="V24" s="60">
        <f aca="true" t="shared" si="9" ref="V24:V43">IF(F24="","",SUM(Q24:T24)*IF(U24="SI",1,2)*IF(H24="500/220",0,1))</f>
        <v>25.643819999999995</v>
      </c>
      <c r="W24" s="35"/>
    </row>
    <row r="25" spans="2:23" s="11" customFormat="1" ht="16.5" customHeight="1">
      <c r="B25" s="41"/>
      <c r="C25" s="630">
        <v>10</v>
      </c>
      <c r="D25" s="615">
        <v>209353</v>
      </c>
      <c r="E25" s="615">
        <v>1711</v>
      </c>
      <c r="F25" s="631" t="s">
        <v>247</v>
      </c>
      <c r="G25" s="631" t="s">
        <v>249</v>
      </c>
      <c r="H25" s="632">
        <v>10.399999618530273</v>
      </c>
      <c r="I25" s="272">
        <f t="shared" si="0"/>
        <v>2.433</v>
      </c>
      <c r="J25" s="633">
        <v>40017.40069444444</v>
      </c>
      <c r="K25" s="634">
        <v>40017.555555555555</v>
      </c>
      <c r="L25" s="32">
        <f t="shared" si="1"/>
        <v>3.7166666667326353</v>
      </c>
      <c r="M25" s="59">
        <f t="shared" si="2"/>
        <v>223</v>
      </c>
      <c r="N25" s="635" t="s">
        <v>245</v>
      </c>
      <c r="O25" s="26" t="str">
        <f t="shared" si="3"/>
        <v>--</v>
      </c>
      <c r="P25" s="338">
        <f t="shared" si="4"/>
        <v>20</v>
      </c>
      <c r="Q25" s="710">
        <f t="shared" si="5"/>
        <v>18.10152</v>
      </c>
      <c r="R25" s="332" t="str">
        <f t="shared" si="6"/>
        <v>--</v>
      </c>
      <c r="S25" s="333" t="str">
        <f t="shared" si="7"/>
        <v>--</v>
      </c>
      <c r="T25" s="349" t="str">
        <f t="shared" si="8"/>
        <v>--</v>
      </c>
      <c r="U25" s="23" t="s">
        <v>235</v>
      </c>
      <c r="V25" s="60">
        <f t="shared" si="9"/>
        <v>18.10152</v>
      </c>
      <c r="W25" s="35"/>
    </row>
    <row r="26" spans="2:23" s="11" customFormat="1" ht="16.5" customHeight="1">
      <c r="B26" s="41"/>
      <c r="C26" s="630">
        <v>11</v>
      </c>
      <c r="D26" s="615">
        <v>209633</v>
      </c>
      <c r="E26" s="615">
        <v>1712</v>
      </c>
      <c r="F26" s="631" t="s">
        <v>247</v>
      </c>
      <c r="G26" s="631" t="s">
        <v>250</v>
      </c>
      <c r="H26" s="632">
        <v>10.399999618530273</v>
      </c>
      <c r="I26" s="272">
        <f t="shared" si="0"/>
        <v>2.433</v>
      </c>
      <c r="J26" s="633">
        <v>40022.44513888889</v>
      </c>
      <c r="K26" s="634">
        <v>40022.54722222222</v>
      </c>
      <c r="L26" s="32">
        <f t="shared" si="1"/>
        <v>2.449999999953434</v>
      </c>
      <c r="M26" s="59">
        <f t="shared" si="2"/>
        <v>147</v>
      </c>
      <c r="N26" s="635" t="s">
        <v>245</v>
      </c>
      <c r="O26" s="26" t="str">
        <f t="shared" si="3"/>
        <v>--</v>
      </c>
      <c r="P26" s="338">
        <f t="shared" si="4"/>
        <v>20</v>
      </c>
      <c r="Q26" s="710">
        <f t="shared" si="5"/>
        <v>11.921700000000001</v>
      </c>
      <c r="R26" s="332" t="str">
        <f t="shared" si="6"/>
        <v>--</v>
      </c>
      <c r="S26" s="333" t="str">
        <f t="shared" si="7"/>
        <v>--</v>
      </c>
      <c r="T26" s="349" t="str">
        <f t="shared" si="8"/>
        <v>--</v>
      </c>
      <c r="U26" s="23" t="s">
        <v>235</v>
      </c>
      <c r="V26" s="60">
        <f t="shared" si="9"/>
        <v>11.921700000000001</v>
      </c>
      <c r="W26" s="35"/>
    </row>
    <row r="27" spans="2:23" s="11" customFormat="1" ht="16.5" customHeight="1">
      <c r="B27" s="41"/>
      <c r="C27" s="630"/>
      <c r="D27" s="615"/>
      <c r="E27" s="615"/>
      <c r="F27" s="631"/>
      <c r="G27" s="631"/>
      <c r="H27" s="632"/>
      <c r="I27" s="272">
        <f t="shared" si="0"/>
        <v>2.433</v>
      </c>
      <c r="J27" s="633"/>
      <c r="K27" s="634"/>
      <c r="L27" s="32">
        <f t="shared" si="1"/>
      </c>
      <c r="M27" s="59">
        <f t="shared" si="2"/>
      </c>
      <c r="N27" s="635"/>
      <c r="O27" s="26">
        <f t="shared" si="3"/>
      </c>
      <c r="P27" s="338">
        <f t="shared" si="4"/>
        <v>20</v>
      </c>
      <c r="Q27" s="710" t="str">
        <f t="shared" si="5"/>
        <v>--</v>
      </c>
      <c r="R27" s="332" t="str">
        <f t="shared" si="6"/>
        <v>--</v>
      </c>
      <c r="S27" s="333" t="str">
        <f t="shared" si="7"/>
        <v>--</v>
      </c>
      <c r="T27" s="349" t="str">
        <f t="shared" si="8"/>
        <v>--</v>
      </c>
      <c r="U27" s="23">
        <f aca="true" t="shared" si="10" ref="U27:U43">IF(F27="","","SI")</f>
      </c>
      <c r="V27" s="60">
        <f t="shared" si="9"/>
      </c>
      <c r="W27" s="35"/>
    </row>
    <row r="28" spans="2:23" s="11" customFormat="1" ht="16.5" customHeight="1">
      <c r="B28" s="41"/>
      <c r="C28" s="630"/>
      <c r="D28" s="615"/>
      <c r="E28" s="615"/>
      <c r="F28" s="631"/>
      <c r="G28" s="631"/>
      <c r="H28" s="632"/>
      <c r="I28" s="272">
        <f t="shared" si="0"/>
        <v>2.433</v>
      </c>
      <c r="J28" s="633"/>
      <c r="K28" s="634"/>
      <c r="L28" s="32">
        <f t="shared" si="1"/>
      </c>
      <c r="M28" s="59">
        <f t="shared" si="2"/>
      </c>
      <c r="N28" s="635"/>
      <c r="O28" s="26">
        <f t="shared" si="3"/>
      </c>
      <c r="P28" s="338">
        <f t="shared" si="4"/>
        <v>20</v>
      </c>
      <c r="Q28" s="710" t="str">
        <f t="shared" si="5"/>
        <v>--</v>
      </c>
      <c r="R28" s="332" t="str">
        <f t="shared" si="6"/>
        <v>--</v>
      </c>
      <c r="S28" s="333" t="str">
        <f t="shared" si="7"/>
        <v>--</v>
      </c>
      <c r="T28" s="349" t="str">
        <f t="shared" si="8"/>
        <v>--</v>
      </c>
      <c r="U28" s="23">
        <f t="shared" si="10"/>
      </c>
      <c r="V28" s="60">
        <f t="shared" si="9"/>
      </c>
      <c r="W28" s="35"/>
    </row>
    <row r="29" spans="2:23" s="11" customFormat="1" ht="16.5" customHeight="1">
      <c r="B29" s="41"/>
      <c r="C29" s="630"/>
      <c r="D29" s="615"/>
      <c r="E29" s="615"/>
      <c r="F29" s="631"/>
      <c r="G29" s="631"/>
      <c r="H29" s="632"/>
      <c r="I29" s="272">
        <f t="shared" si="0"/>
        <v>2.433</v>
      </c>
      <c r="J29" s="633"/>
      <c r="K29" s="634"/>
      <c r="L29" s="32">
        <f t="shared" si="1"/>
      </c>
      <c r="M29" s="59">
        <f t="shared" si="2"/>
      </c>
      <c r="N29" s="635"/>
      <c r="O29" s="26">
        <f t="shared" si="3"/>
      </c>
      <c r="P29" s="338">
        <f t="shared" si="4"/>
        <v>20</v>
      </c>
      <c r="Q29" s="710" t="str">
        <f t="shared" si="5"/>
        <v>--</v>
      </c>
      <c r="R29" s="332" t="str">
        <f t="shared" si="6"/>
        <v>--</v>
      </c>
      <c r="S29" s="333" t="str">
        <f t="shared" si="7"/>
        <v>--</v>
      </c>
      <c r="T29" s="349" t="str">
        <f t="shared" si="8"/>
        <v>--</v>
      </c>
      <c r="U29" s="23">
        <f t="shared" si="10"/>
      </c>
      <c r="V29" s="60">
        <f t="shared" si="9"/>
      </c>
      <c r="W29" s="35"/>
    </row>
    <row r="30" spans="2:23" s="11" customFormat="1" ht="16.5" customHeight="1">
      <c r="B30" s="41"/>
      <c r="C30" s="630"/>
      <c r="D30" s="615"/>
      <c r="E30" s="615"/>
      <c r="F30" s="631"/>
      <c r="G30" s="631"/>
      <c r="H30" s="632"/>
      <c r="I30" s="272">
        <f t="shared" si="0"/>
        <v>2.433</v>
      </c>
      <c r="J30" s="633"/>
      <c r="K30" s="634"/>
      <c r="L30" s="32">
        <f t="shared" si="1"/>
      </c>
      <c r="M30" s="59">
        <f t="shared" si="2"/>
      </c>
      <c r="N30" s="635"/>
      <c r="O30" s="26">
        <f t="shared" si="3"/>
      </c>
      <c r="P30" s="338">
        <f t="shared" si="4"/>
        <v>20</v>
      </c>
      <c r="Q30" s="710" t="str">
        <f t="shared" si="5"/>
        <v>--</v>
      </c>
      <c r="R30" s="332" t="str">
        <f t="shared" si="6"/>
        <v>--</v>
      </c>
      <c r="S30" s="333" t="str">
        <f t="shared" si="7"/>
        <v>--</v>
      </c>
      <c r="T30" s="349" t="str">
        <f t="shared" si="8"/>
        <v>--</v>
      </c>
      <c r="U30" s="23">
        <f t="shared" si="10"/>
      </c>
      <c r="V30" s="60">
        <f t="shared" si="9"/>
      </c>
      <c r="W30" s="35"/>
    </row>
    <row r="31" spans="2:23" s="11" customFormat="1" ht="16.5" customHeight="1">
      <c r="B31" s="41"/>
      <c r="C31" s="630"/>
      <c r="D31" s="615"/>
      <c r="E31" s="615"/>
      <c r="F31" s="631"/>
      <c r="G31" s="631"/>
      <c r="H31" s="632"/>
      <c r="I31" s="272">
        <f t="shared" si="0"/>
        <v>2.433</v>
      </c>
      <c r="J31" s="633"/>
      <c r="K31" s="634"/>
      <c r="L31" s="32">
        <f t="shared" si="1"/>
      </c>
      <c r="M31" s="59">
        <f t="shared" si="2"/>
      </c>
      <c r="N31" s="635"/>
      <c r="O31" s="26">
        <f t="shared" si="3"/>
      </c>
      <c r="P31" s="338">
        <f t="shared" si="4"/>
        <v>20</v>
      </c>
      <c r="Q31" s="710" t="str">
        <f t="shared" si="5"/>
        <v>--</v>
      </c>
      <c r="R31" s="332" t="str">
        <f t="shared" si="6"/>
        <v>--</v>
      </c>
      <c r="S31" s="333" t="str">
        <f t="shared" si="7"/>
        <v>--</v>
      </c>
      <c r="T31" s="349" t="str">
        <f t="shared" si="8"/>
        <v>--</v>
      </c>
      <c r="U31" s="23">
        <f t="shared" si="10"/>
      </c>
      <c r="V31" s="60">
        <f t="shared" si="9"/>
      </c>
      <c r="W31" s="35"/>
    </row>
    <row r="32" spans="2:23" s="11" customFormat="1" ht="16.5" customHeight="1">
      <c r="B32" s="41"/>
      <c r="C32" s="630"/>
      <c r="D32" s="615"/>
      <c r="E32" s="615"/>
      <c r="F32" s="631"/>
      <c r="G32" s="631"/>
      <c r="H32" s="632"/>
      <c r="I32" s="272">
        <f t="shared" si="0"/>
        <v>2.433</v>
      </c>
      <c r="J32" s="633"/>
      <c r="K32" s="634"/>
      <c r="L32" s="32">
        <f t="shared" si="1"/>
      </c>
      <c r="M32" s="59">
        <f t="shared" si="2"/>
      </c>
      <c r="N32" s="635"/>
      <c r="O32" s="26">
        <f t="shared" si="3"/>
      </c>
      <c r="P32" s="338">
        <f t="shared" si="4"/>
        <v>20</v>
      </c>
      <c r="Q32" s="710" t="str">
        <f t="shared" si="5"/>
        <v>--</v>
      </c>
      <c r="R32" s="332" t="str">
        <f t="shared" si="6"/>
        <v>--</v>
      </c>
      <c r="S32" s="333" t="str">
        <f t="shared" si="7"/>
        <v>--</v>
      </c>
      <c r="T32" s="349" t="str">
        <f t="shared" si="8"/>
        <v>--</v>
      </c>
      <c r="U32" s="23">
        <f t="shared" si="10"/>
      </c>
      <c r="V32" s="60">
        <f t="shared" si="9"/>
      </c>
      <c r="W32" s="35"/>
    </row>
    <row r="33" spans="2:23" s="11" customFormat="1" ht="16.5" customHeight="1">
      <c r="B33" s="41"/>
      <c r="C33" s="630"/>
      <c r="D33" s="615"/>
      <c r="E33" s="615"/>
      <c r="F33" s="631"/>
      <c r="G33" s="631"/>
      <c r="H33" s="632"/>
      <c r="I33" s="272">
        <f t="shared" si="0"/>
        <v>2.433</v>
      </c>
      <c r="J33" s="633"/>
      <c r="K33" s="634"/>
      <c r="L33" s="32">
        <f t="shared" si="1"/>
      </c>
      <c r="M33" s="59">
        <f t="shared" si="2"/>
      </c>
      <c r="N33" s="635"/>
      <c r="O33" s="26">
        <f t="shared" si="3"/>
      </c>
      <c r="P33" s="338">
        <f t="shared" si="4"/>
        <v>20</v>
      </c>
      <c r="Q33" s="710" t="str">
        <f t="shared" si="5"/>
        <v>--</v>
      </c>
      <c r="R33" s="332" t="str">
        <f t="shared" si="6"/>
        <v>--</v>
      </c>
      <c r="S33" s="333" t="str">
        <f t="shared" si="7"/>
        <v>--</v>
      </c>
      <c r="T33" s="349" t="str">
        <f t="shared" si="8"/>
        <v>--</v>
      </c>
      <c r="U33" s="23">
        <f t="shared" si="10"/>
      </c>
      <c r="V33" s="60">
        <f t="shared" si="9"/>
      </c>
      <c r="W33" s="35"/>
    </row>
    <row r="34" spans="2:23" s="11" customFormat="1" ht="16.5" customHeight="1">
      <c r="B34" s="41"/>
      <c r="C34" s="630"/>
      <c r="D34" s="615"/>
      <c r="E34" s="615"/>
      <c r="F34" s="631"/>
      <c r="G34" s="631"/>
      <c r="H34" s="632"/>
      <c r="I34" s="272">
        <f t="shared" si="0"/>
        <v>2.433</v>
      </c>
      <c r="J34" s="633"/>
      <c r="K34" s="634"/>
      <c r="L34" s="32">
        <f t="shared" si="1"/>
      </c>
      <c r="M34" s="59">
        <f t="shared" si="2"/>
      </c>
      <c r="N34" s="635"/>
      <c r="O34" s="26">
        <f t="shared" si="3"/>
      </c>
      <c r="P34" s="338">
        <f t="shared" si="4"/>
        <v>20</v>
      </c>
      <c r="Q34" s="710" t="str">
        <f t="shared" si="5"/>
        <v>--</v>
      </c>
      <c r="R34" s="332" t="str">
        <f t="shared" si="6"/>
        <v>--</v>
      </c>
      <c r="S34" s="333" t="str">
        <f t="shared" si="7"/>
        <v>--</v>
      </c>
      <c r="T34" s="349" t="str">
        <f t="shared" si="8"/>
        <v>--</v>
      </c>
      <c r="U34" s="23">
        <f t="shared" si="10"/>
      </c>
      <c r="V34" s="60">
        <f t="shared" si="9"/>
      </c>
      <c r="W34" s="35"/>
    </row>
    <row r="35" spans="2:23" s="11" customFormat="1" ht="16.5" customHeight="1">
      <c r="B35" s="41"/>
      <c r="C35" s="630"/>
      <c r="D35" s="615"/>
      <c r="E35" s="615"/>
      <c r="F35" s="631"/>
      <c r="G35" s="631"/>
      <c r="H35" s="632"/>
      <c r="I35" s="272">
        <f t="shared" si="0"/>
        <v>2.433</v>
      </c>
      <c r="J35" s="633"/>
      <c r="K35" s="634"/>
      <c r="L35" s="32">
        <f t="shared" si="1"/>
      </c>
      <c r="M35" s="59">
        <f t="shared" si="2"/>
      </c>
      <c r="N35" s="635"/>
      <c r="O35" s="26">
        <f t="shared" si="3"/>
      </c>
      <c r="P35" s="338">
        <f t="shared" si="4"/>
        <v>20</v>
      </c>
      <c r="Q35" s="710" t="str">
        <f t="shared" si="5"/>
        <v>--</v>
      </c>
      <c r="R35" s="332" t="str">
        <f t="shared" si="6"/>
        <v>--</v>
      </c>
      <c r="S35" s="333" t="str">
        <f t="shared" si="7"/>
        <v>--</v>
      </c>
      <c r="T35" s="349" t="str">
        <f t="shared" si="8"/>
        <v>--</v>
      </c>
      <c r="U35" s="23">
        <f t="shared" si="10"/>
      </c>
      <c r="V35" s="60">
        <f t="shared" si="9"/>
      </c>
      <c r="W35" s="35"/>
    </row>
    <row r="36" spans="2:23" s="11" customFormat="1" ht="16.5" customHeight="1">
      <c r="B36" s="41"/>
      <c r="C36" s="630"/>
      <c r="D36" s="615"/>
      <c r="E36" s="615"/>
      <c r="F36" s="631"/>
      <c r="G36" s="631"/>
      <c r="H36" s="632"/>
      <c r="I36" s="272">
        <f t="shared" si="0"/>
        <v>2.433</v>
      </c>
      <c r="J36" s="633"/>
      <c r="K36" s="634"/>
      <c r="L36" s="32">
        <f t="shared" si="1"/>
      </c>
      <c r="M36" s="59">
        <f t="shared" si="2"/>
      </c>
      <c r="N36" s="635"/>
      <c r="O36" s="26">
        <f t="shared" si="3"/>
      </c>
      <c r="P36" s="338">
        <f t="shared" si="4"/>
        <v>20</v>
      </c>
      <c r="Q36" s="710" t="str">
        <f t="shared" si="5"/>
        <v>--</v>
      </c>
      <c r="R36" s="332" t="str">
        <f t="shared" si="6"/>
        <v>--</v>
      </c>
      <c r="S36" s="333" t="str">
        <f t="shared" si="7"/>
        <v>--</v>
      </c>
      <c r="T36" s="349" t="str">
        <f t="shared" si="8"/>
        <v>--</v>
      </c>
      <c r="U36" s="23">
        <f t="shared" si="10"/>
      </c>
      <c r="V36" s="60">
        <f t="shared" si="9"/>
      </c>
      <c r="W36" s="35"/>
    </row>
    <row r="37" spans="2:23" s="11" customFormat="1" ht="16.5" customHeight="1">
      <c r="B37" s="41"/>
      <c r="C37" s="630"/>
      <c r="D37" s="615"/>
      <c r="E37" s="615"/>
      <c r="F37" s="631"/>
      <c r="G37" s="631"/>
      <c r="H37" s="632"/>
      <c r="I37" s="272">
        <f t="shared" si="0"/>
        <v>2.433</v>
      </c>
      <c r="J37" s="633"/>
      <c r="K37" s="634"/>
      <c r="L37" s="32">
        <f t="shared" si="1"/>
      </c>
      <c r="M37" s="59">
        <f t="shared" si="2"/>
      </c>
      <c r="N37" s="635"/>
      <c r="O37" s="26">
        <f t="shared" si="3"/>
      </c>
      <c r="P37" s="338">
        <f t="shared" si="4"/>
        <v>20</v>
      </c>
      <c r="Q37" s="710" t="str">
        <f t="shared" si="5"/>
        <v>--</v>
      </c>
      <c r="R37" s="332" t="str">
        <f t="shared" si="6"/>
        <v>--</v>
      </c>
      <c r="S37" s="333" t="str">
        <f t="shared" si="7"/>
        <v>--</v>
      </c>
      <c r="T37" s="349" t="str">
        <f t="shared" si="8"/>
        <v>--</v>
      </c>
      <c r="U37" s="23">
        <f t="shared" si="10"/>
      </c>
      <c r="V37" s="60">
        <f t="shared" si="9"/>
      </c>
      <c r="W37" s="35"/>
    </row>
    <row r="38" spans="2:23" s="11" customFormat="1" ht="16.5" customHeight="1">
      <c r="B38" s="41"/>
      <c r="C38" s="630"/>
      <c r="D38" s="615"/>
      <c r="E38" s="615"/>
      <c r="F38" s="631"/>
      <c r="G38" s="631"/>
      <c r="H38" s="632"/>
      <c r="I38" s="272">
        <f t="shared" si="0"/>
        <v>2.433</v>
      </c>
      <c r="J38" s="633"/>
      <c r="K38" s="634"/>
      <c r="L38" s="32">
        <f t="shared" si="1"/>
      </c>
      <c r="M38" s="59">
        <f t="shared" si="2"/>
      </c>
      <c r="N38" s="635"/>
      <c r="O38" s="26">
        <f t="shared" si="3"/>
      </c>
      <c r="P38" s="338">
        <f t="shared" si="4"/>
        <v>20</v>
      </c>
      <c r="Q38" s="710" t="str">
        <f t="shared" si="5"/>
        <v>--</v>
      </c>
      <c r="R38" s="332" t="str">
        <f t="shared" si="6"/>
        <v>--</v>
      </c>
      <c r="S38" s="333" t="str">
        <f t="shared" si="7"/>
        <v>--</v>
      </c>
      <c r="T38" s="349" t="str">
        <f t="shared" si="8"/>
        <v>--</v>
      </c>
      <c r="U38" s="23">
        <f t="shared" si="10"/>
      </c>
      <c r="V38" s="60">
        <f t="shared" si="9"/>
      </c>
      <c r="W38" s="35"/>
    </row>
    <row r="39" spans="2:23" s="11" customFormat="1" ht="16.5" customHeight="1">
      <c r="B39" s="41"/>
      <c r="C39" s="630"/>
      <c r="D39" s="615"/>
      <c r="E39" s="615"/>
      <c r="F39" s="631"/>
      <c r="G39" s="631"/>
      <c r="H39" s="632"/>
      <c r="I39" s="272">
        <f t="shared" si="0"/>
        <v>2.433</v>
      </c>
      <c r="J39" s="633"/>
      <c r="K39" s="634"/>
      <c r="L39" s="32">
        <f t="shared" si="1"/>
      </c>
      <c r="M39" s="59">
        <f t="shared" si="2"/>
      </c>
      <c r="N39" s="635"/>
      <c r="O39" s="26">
        <f t="shared" si="3"/>
      </c>
      <c r="P39" s="338">
        <f t="shared" si="4"/>
        <v>20</v>
      </c>
      <c r="Q39" s="710" t="str">
        <f t="shared" si="5"/>
        <v>--</v>
      </c>
      <c r="R39" s="332" t="str">
        <f t="shared" si="6"/>
        <v>--</v>
      </c>
      <c r="S39" s="333" t="str">
        <f t="shared" si="7"/>
        <v>--</v>
      </c>
      <c r="T39" s="349" t="str">
        <f t="shared" si="8"/>
        <v>--</v>
      </c>
      <c r="U39" s="23">
        <f t="shared" si="10"/>
      </c>
      <c r="V39" s="60">
        <f t="shared" si="9"/>
      </c>
      <c r="W39" s="35"/>
    </row>
    <row r="40" spans="2:23" s="11" customFormat="1" ht="16.5" customHeight="1">
      <c r="B40" s="41"/>
      <c r="C40" s="630"/>
      <c r="D40" s="615"/>
      <c r="E40" s="615"/>
      <c r="F40" s="631"/>
      <c r="G40" s="631"/>
      <c r="H40" s="632"/>
      <c r="I40" s="272">
        <f t="shared" si="0"/>
        <v>2.433</v>
      </c>
      <c r="J40" s="633"/>
      <c r="K40" s="634"/>
      <c r="L40" s="32">
        <f t="shared" si="1"/>
      </c>
      <c r="M40" s="59">
        <f t="shared" si="2"/>
      </c>
      <c r="N40" s="635"/>
      <c r="O40" s="26">
        <f t="shared" si="3"/>
      </c>
      <c r="P40" s="338">
        <f t="shared" si="4"/>
        <v>20</v>
      </c>
      <c r="Q40" s="710" t="str">
        <f t="shared" si="5"/>
        <v>--</v>
      </c>
      <c r="R40" s="332" t="str">
        <f t="shared" si="6"/>
        <v>--</v>
      </c>
      <c r="S40" s="333" t="str">
        <f t="shared" si="7"/>
        <v>--</v>
      </c>
      <c r="T40" s="349" t="str">
        <f t="shared" si="8"/>
        <v>--</v>
      </c>
      <c r="U40" s="23">
        <f t="shared" si="10"/>
      </c>
      <c r="V40" s="60">
        <f t="shared" si="9"/>
      </c>
      <c r="W40" s="35"/>
    </row>
    <row r="41" spans="2:23" s="11" customFormat="1" ht="16.5" customHeight="1">
      <c r="B41" s="41"/>
      <c r="C41" s="630"/>
      <c r="D41" s="615"/>
      <c r="E41" s="615"/>
      <c r="F41" s="631"/>
      <c r="G41" s="631"/>
      <c r="H41" s="632"/>
      <c r="I41" s="272">
        <f t="shared" si="0"/>
        <v>2.433</v>
      </c>
      <c r="J41" s="633"/>
      <c r="K41" s="634"/>
      <c r="L41" s="32">
        <f t="shared" si="1"/>
      </c>
      <c r="M41" s="59">
        <f t="shared" si="2"/>
      </c>
      <c r="N41" s="635"/>
      <c r="O41" s="26">
        <f t="shared" si="3"/>
      </c>
      <c r="P41" s="338">
        <f t="shared" si="4"/>
        <v>20</v>
      </c>
      <c r="Q41" s="710" t="str">
        <f t="shared" si="5"/>
        <v>--</v>
      </c>
      <c r="R41" s="332" t="str">
        <f t="shared" si="6"/>
        <v>--</v>
      </c>
      <c r="S41" s="333" t="str">
        <f t="shared" si="7"/>
        <v>--</v>
      </c>
      <c r="T41" s="349" t="str">
        <f t="shared" si="8"/>
        <v>--</v>
      </c>
      <c r="U41" s="23">
        <f t="shared" si="10"/>
      </c>
      <c r="V41" s="60">
        <f t="shared" si="9"/>
      </c>
      <c r="W41" s="35"/>
    </row>
    <row r="42" spans="2:23" s="11" customFormat="1" ht="16.5" customHeight="1">
      <c r="B42" s="41"/>
      <c r="C42" s="630"/>
      <c r="D42" s="615"/>
      <c r="E42" s="615"/>
      <c r="F42" s="631"/>
      <c r="G42" s="631"/>
      <c r="H42" s="632"/>
      <c r="I42" s="272">
        <f t="shared" si="0"/>
        <v>2.433</v>
      </c>
      <c r="J42" s="633"/>
      <c r="K42" s="634"/>
      <c r="L42" s="32">
        <f t="shared" si="1"/>
      </c>
      <c r="M42" s="59">
        <f t="shared" si="2"/>
      </c>
      <c r="N42" s="635"/>
      <c r="O42" s="26">
        <f t="shared" si="3"/>
      </c>
      <c r="P42" s="338">
        <f t="shared" si="4"/>
        <v>20</v>
      </c>
      <c r="Q42" s="710" t="str">
        <f t="shared" si="5"/>
        <v>--</v>
      </c>
      <c r="R42" s="332" t="str">
        <f t="shared" si="6"/>
        <v>--</v>
      </c>
      <c r="S42" s="333" t="str">
        <f t="shared" si="7"/>
        <v>--</v>
      </c>
      <c r="T42" s="349" t="str">
        <f t="shared" si="8"/>
        <v>--</v>
      </c>
      <c r="U42" s="23">
        <f t="shared" si="10"/>
      </c>
      <c r="V42" s="60">
        <f t="shared" si="9"/>
      </c>
      <c r="W42" s="35"/>
    </row>
    <row r="43" spans="2:23" s="11" customFormat="1" ht="16.5" customHeight="1">
      <c r="B43" s="41"/>
      <c r="C43" s="630"/>
      <c r="D43" s="615"/>
      <c r="E43" s="615"/>
      <c r="F43" s="631"/>
      <c r="G43" s="631"/>
      <c r="H43" s="632"/>
      <c r="I43" s="272">
        <f t="shared" si="0"/>
        <v>2.433</v>
      </c>
      <c r="J43" s="633"/>
      <c r="K43" s="634"/>
      <c r="L43" s="32">
        <f t="shared" si="1"/>
      </c>
      <c r="M43" s="59">
        <f t="shared" si="2"/>
      </c>
      <c r="N43" s="635"/>
      <c r="O43" s="26">
        <f t="shared" si="3"/>
      </c>
      <c r="P43" s="338">
        <f t="shared" si="4"/>
        <v>20</v>
      </c>
      <c r="Q43" s="710" t="str">
        <f t="shared" si="5"/>
        <v>--</v>
      </c>
      <c r="R43" s="332" t="str">
        <f t="shared" si="6"/>
        <v>--</v>
      </c>
      <c r="S43" s="333" t="str">
        <f t="shared" si="7"/>
        <v>--</v>
      </c>
      <c r="T43" s="349" t="str">
        <f t="shared" si="8"/>
        <v>--</v>
      </c>
      <c r="U43" s="23">
        <f t="shared" si="10"/>
      </c>
      <c r="V43" s="60">
        <f t="shared" si="9"/>
      </c>
      <c r="W43" s="35"/>
    </row>
    <row r="44" spans="2:23" s="11" customFormat="1" ht="16.5" customHeight="1" thickBot="1">
      <c r="B44" s="41"/>
      <c r="C44" s="618"/>
      <c r="D44" s="618"/>
      <c r="E44" s="618"/>
      <c r="F44" s="618"/>
      <c r="G44" s="618"/>
      <c r="H44" s="618"/>
      <c r="I44" s="271"/>
      <c r="J44" s="618"/>
      <c r="K44" s="618"/>
      <c r="L44" s="27"/>
      <c r="M44" s="27"/>
      <c r="N44" s="618"/>
      <c r="O44" s="618"/>
      <c r="P44" s="636"/>
      <c r="Q44" s="637"/>
      <c r="R44" s="626"/>
      <c r="S44" s="627"/>
      <c r="T44" s="621"/>
      <c r="U44" s="618"/>
      <c r="V44" s="204"/>
      <c r="W44" s="35"/>
    </row>
    <row r="45" spans="2:23" s="11" customFormat="1" ht="16.5" customHeight="1" thickBot="1" thickTop="1">
      <c r="B45" s="41"/>
      <c r="C45" s="244" t="s">
        <v>62</v>
      </c>
      <c r="D45" s="717" t="s">
        <v>263</v>
      </c>
      <c r="E45" s="690"/>
      <c r="F45" s="24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50">
        <f>SUM(Q22:Q44)</f>
        <v>55.66704</v>
      </c>
      <c r="R45" s="316">
        <f>SUM(R22:R44)</f>
        <v>0</v>
      </c>
      <c r="S45" s="316">
        <f>SUM(S22:S44)</f>
        <v>0</v>
      </c>
      <c r="T45" s="351">
        <f>SUM(T22:T44)</f>
        <v>0</v>
      </c>
      <c r="U45" s="61"/>
      <c r="V45" s="260">
        <f>ROUND(SUM(V22:V44),2)</f>
        <v>55.67</v>
      </c>
      <c r="W45" s="35"/>
    </row>
    <row r="46" spans="2:23" s="263" customFormat="1" ht="9.75" thickTop="1">
      <c r="B46" s="262"/>
      <c r="C46" s="246"/>
      <c r="D46" s="246"/>
      <c r="E46" s="246"/>
      <c r="F46" s="247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66"/>
      <c r="W46" s="267"/>
    </row>
    <row r="47" spans="1:23" s="11" customFormat="1" ht="16.5" customHeight="1" thickBot="1">
      <c r="A47" s="12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6"/>
    </row>
    <row r="48" spans="1:23" ht="13.5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6" ht="12.75">
      <c r="C49" s="7"/>
      <c r="D49" s="7"/>
      <c r="E49" s="7"/>
      <c r="F49" s="7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4"/>
  <headerFooter alignWithMargins="0">
    <oddFooter>&amp;L&amp;"Times New Roman,Normal"&amp;8&amp;F-&amp;A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tabSelected="1" zoomScale="70" zoomScaleNormal="70" workbookViewId="0" topLeftCell="B1">
      <selection activeCell="B2" sqref="B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6.4218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16" customFormat="1" ht="26.25">
      <c r="AB1" s="384"/>
    </row>
    <row r="2" spans="2:28" s="116" customFormat="1" ht="26.25">
      <c r="B2" s="117" t="s">
        <v>287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="11" customFormat="1" ht="12.75"/>
    <row r="4" spans="1:4" s="119" customFormat="1" ht="11.25">
      <c r="A4" s="693" t="s">
        <v>16</v>
      </c>
      <c r="C4" s="692"/>
      <c r="D4" s="692"/>
    </row>
    <row r="5" spans="1:4" s="119" customFormat="1" ht="11.25">
      <c r="A5" s="693" t="s">
        <v>225</v>
      </c>
      <c r="C5" s="692"/>
      <c r="D5" s="692"/>
    </row>
    <row r="6" s="11" customFormat="1" ht="13.5" thickBot="1"/>
    <row r="7" spans="1:28" s="11" customFormat="1" ht="13.5" thickTop="1">
      <c r="A7" s="9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21" customFormat="1" ht="20.25">
      <c r="A8" s="42"/>
      <c r="B8" s="120"/>
      <c r="C8" s="42"/>
      <c r="D8" s="42"/>
      <c r="E8" s="42"/>
      <c r="F8" s="21" t="s">
        <v>38</v>
      </c>
      <c r="G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22"/>
    </row>
    <row r="9" spans="1:28" s="11" customFormat="1" ht="12.75">
      <c r="A9" s="9"/>
      <c r="B9" s="41"/>
      <c r="C9" s="9"/>
      <c r="D9" s="9"/>
      <c r="E9" s="9"/>
      <c r="F9" s="133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1" customFormat="1" ht="20.25">
      <c r="A10" s="42"/>
      <c r="B10" s="120"/>
      <c r="C10" s="42"/>
      <c r="D10" s="42"/>
      <c r="E10" s="42"/>
      <c r="F10" s="21" t="s">
        <v>260</v>
      </c>
      <c r="G10" s="21"/>
      <c r="H10" s="42"/>
      <c r="I10" s="123"/>
      <c r="J10" s="123"/>
      <c r="K10" s="123"/>
      <c r="L10" s="123"/>
      <c r="M10" s="123"/>
      <c r="N10" s="123"/>
      <c r="O10" s="123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22"/>
    </row>
    <row r="11" spans="1:28" s="11" customFormat="1" ht="12.75">
      <c r="A11" s="9"/>
      <c r="B11" s="41"/>
      <c r="C11" s="9"/>
      <c r="D11" s="9"/>
      <c r="E11" s="9"/>
      <c r="F11" s="132"/>
      <c r="G11" s="130"/>
      <c r="H11" s="9"/>
      <c r="I11" s="129"/>
      <c r="J11" s="129"/>
      <c r="K11" s="129"/>
      <c r="L11" s="129"/>
      <c r="M11" s="129"/>
      <c r="N11" s="129"/>
      <c r="O11" s="12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8" customFormat="1" ht="19.5">
      <c r="A12" s="44"/>
      <c r="B12" s="96" t="str">
        <f>+'[1]TOT-0709'!B14</f>
        <v>Desde el 01 al 31 de julio de 2009</v>
      </c>
      <c r="C12" s="124"/>
      <c r="D12" s="124"/>
      <c r="E12" s="124"/>
      <c r="F12" s="124"/>
      <c r="G12" s="125"/>
      <c r="H12" s="125"/>
      <c r="I12" s="126"/>
      <c r="J12" s="126"/>
      <c r="K12" s="126"/>
      <c r="L12" s="126"/>
      <c r="M12" s="126"/>
      <c r="N12" s="126"/>
      <c r="O12" s="126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7"/>
    </row>
    <row r="13" spans="1:28" s="128" customFormat="1" ht="7.5" customHeight="1">
      <c r="A13" s="44"/>
      <c r="B13" s="96"/>
      <c r="C13" s="124"/>
      <c r="D13" s="124"/>
      <c r="E13" s="124"/>
      <c r="F13" s="124"/>
      <c r="G13" s="125"/>
      <c r="H13" s="125"/>
      <c r="I13" s="126"/>
      <c r="J13" s="126"/>
      <c r="K13" s="126"/>
      <c r="L13" s="126"/>
      <c r="M13" s="126"/>
      <c r="N13" s="126"/>
      <c r="O13" s="126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7"/>
    </row>
    <row r="14" spans="1:28" s="11" customFormat="1" ht="7.5" customHeight="1" thickBot="1">
      <c r="A14" s="9"/>
      <c r="B14" s="41"/>
      <c r="C14" s="9"/>
      <c r="D14" s="9"/>
      <c r="E14" s="9"/>
      <c r="F14" s="9"/>
      <c r="G14" s="130"/>
      <c r="H14" s="131"/>
      <c r="I14" s="129"/>
      <c r="J14" s="129"/>
      <c r="K14" s="129"/>
      <c r="L14" s="129"/>
      <c r="M14" s="129"/>
      <c r="N14" s="129"/>
      <c r="O14" s="12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"/>
    </row>
    <row r="15" spans="1:28" s="102" customFormat="1" ht="16.5" customHeight="1" thickBot="1" thickTop="1">
      <c r="A15" s="98"/>
      <c r="B15" s="99"/>
      <c r="C15" s="98"/>
      <c r="D15" s="98"/>
      <c r="E15" s="98"/>
      <c r="F15" s="475" t="s">
        <v>41</v>
      </c>
      <c r="G15" s="476">
        <v>72.965</v>
      </c>
      <c r="H15" s="729"/>
      <c r="I15" s="103"/>
      <c r="J15" s="103"/>
      <c r="K15" s="103"/>
      <c r="L15" s="103"/>
      <c r="M15" s="103"/>
      <c r="N15" s="103"/>
      <c r="O15" s="103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01"/>
    </row>
    <row r="16" spans="1:28" s="102" customFormat="1" ht="16.5" customHeight="1" thickBot="1" thickTop="1">
      <c r="A16" s="98"/>
      <c r="B16" s="99"/>
      <c r="C16" s="98"/>
      <c r="D16" s="98"/>
      <c r="E16" s="98"/>
      <c r="F16" s="475" t="s">
        <v>42</v>
      </c>
      <c r="G16" s="476">
        <v>69.722</v>
      </c>
      <c r="H16" s="730"/>
      <c r="I16" s="98"/>
      <c r="K16" s="104" t="s">
        <v>43</v>
      </c>
      <c r="L16" s="105">
        <f>30*'[1]TOT-0709'!B13</f>
        <v>30</v>
      </c>
      <c r="M16" s="241" t="str">
        <f>IF(L16=30," ",IF(L16=60,"Coeficiente duplicado por tasa de falla &gt;4 Sal. x año/100 km.","REVISAR COEFICIENTE"))</f>
        <v> 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01"/>
    </row>
    <row r="17" spans="1:28" s="102" customFormat="1" ht="7.5" customHeight="1" thickTop="1">
      <c r="A17" s="98"/>
      <c r="B17" s="99"/>
      <c r="C17" s="98"/>
      <c r="D17" s="98"/>
      <c r="E17" s="98"/>
      <c r="F17" s="731"/>
      <c r="G17" s="732"/>
      <c r="H17" s="733"/>
      <c r="I17" s="98"/>
      <c r="K17" s="104"/>
      <c r="L17" s="105"/>
      <c r="M17" s="241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101"/>
    </row>
    <row r="18" spans="1:28" s="723" customFormat="1" ht="15" customHeight="1" thickBot="1">
      <c r="A18" s="719"/>
      <c r="B18" s="720"/>
      <c r="C18" s="721">
        <v>3</v>
      </c>
      <c r="D18" s="721">
        <v>4</v>
      </c>
      <c r="E18" s="721">
        <v>5</v>
      </c>
      <c r="F18" s="721">
        <v>6</v>
      </c>
      <c r="G18" s="721">
        <v>7</v>
      </c>
      <c r="H18" s="721">
        <v>8</v>
      </c>
      <c r="I18" s="721">
        <v>9</v>
      </c>
      <c r="J18" s="721">
        <v>10</v>
      </c>
      <c r="K18" s="721">
        <v>11</v>
      </c>
      <c r="L18" s="721">
        <v>12</v>
      </c>
      <c r="M18" s="721">
        <v>13</v>
      </c>
      <c r="N18" s="721">
        <v>14</v>
      </c>
      <c r="O18" s="721">
        <v>15</v>
      </c>
      <c r="P18" s="721">
        <v>16</v>
      </c>
      <c r="Q18" s="721">
        <v>17</v>
      </c>
      <c r="R18" s="721">
        <v>18</v>
      </c>
      <c r="S18" s="721">
        <v>19</v>
      </c>
      <c r="T18" s="721">
        <v>20</v>
      </c>
      <c r="U18" s="721">
        <v>21</v>
      </c>
      <c r="V18" s="721">
        <v>22</v>
      </c>
      <c r="W18" s="721">
        <v>23</v>
      </c>
      <c r="X18" s="721">
        <v>24</v>
      </c>
      <c r="Y18" s="721">
        <v>25</v>
      </c>
      <c r="Z18" s="721">
        <v>26</v>
      </c>
      <c r="AA18" s="721">
        <v>27</v>
      </c>
      <c r="AB18" s="722"/>
    </row>
    <row r="19" spans="1:28" s="115" customFormat="1" ht="33.75" customHeight="1" thickBot="1" thickTop="1">
      <c r="A19" s="106"/>
      <c r="B19" s="107"/>
      <c r="C19" s="108" t="s">
        <v>44</v>
      </c>
      <c r="D19" s="108" t="s">
        <v>222</v>
      </c>
      <c r="E19" s="108" t="s">
        <v>221</v>
      </c>
      <c r="F19" s="109" t="s">
        <v>19</v>
      </c>
      <c r="G19" s="110" t="s">
        <v>45</v>
      </c>
      <c r="H19" s="111" t="s">
        <v>46</v>
      </c>
      <c r="I19" s="269" t="s">
        <v>47</v>
      </c>
      <c r="J19" s="109" t="s">
        <v>48</v>
      </c>
      <c r="K19" s="109" t="s">
        <v>49</v>
      </c>
      <c r="L19" s="110" t="s">
        <v>50</v>
      </c>
      <c r="M19" s="110" t="s">
        <v>51</v>
      </c>
      <c r="N19" s="112" t="s">
        <v>52</v>
      </c>
      <c r="O19" s="110" t="s">
        <v>53</v>
      </c>
      <c r="P19" s="294" t="s">
        <v>54</v>
      </c>
      <c r="Q19" s="296" t="s">
        <v>55</v>
      </c>
      <c r="R19" s="298" t="s">
        <v>56</v>
      </c>
      <c r="S19" s="299"/>
      <c r="T19" s="300"/>
      <c r="U19" s="305" t="s">
        <v>57</v>
      </c>
      <c r="V19" s="306"/>
      <c r="W19" s="307"/>
      <c r="X19" s="312" t="s">
        <v>58</v>
      </c>
      <c r="Y19" s="314" t="s">
        <v>59</v>
      </c>
      <c r="Z19" s="113" t="s">
        <v>60</v>
      </c>
      <c r="AA19" s="113" t="s">
        <v>61</v>
      </c>
      <c r="AB19" s="114"/>
    </row>
    <row r="20" spans="1:28" ht="16.5" customHeight="1" thickTop="1">
      <c r="A20" s="1"/>
      <c r="B20" s="2"/>
      <c r="C20" s="48"/>
      <c r="D20" s="734"/>
      <c r="E20" s="734"/>
      <c r="F20" s="49"/>
      <c r="G20" s="50"/>
      <c r="H20" s="50"/>
      <c r="I20" s="735"/>
      <c r="J20" s="50"/>
      <c r="K20" s="51"/>
      <c r="L20" s="51"/>
      <c r="M20" s="51"/>
      <c r="N20" s="49"/>
      <c r="O20" s="50"/>
      <c r="P20" s="295"/>
      <c r="Q20" s="297"/>
      <c r="R20" s="301"/>
      <c r="S20" s="302"/>
      <c r="T20" s="303"/>
      <c r="U20" s="308"/>
      <c r="V20" s="309"/>
      <c r="W20" s="310"/>
      <c r="X20" s="313"/>
      <c r="Y20" s="315"/>
      <c r="Z20" s="304"/>
      <c r="AA20" s="51"/>
      <c r="AB20" s="3"/>
    </row>
    <row r="21" spans="1:28" ht="16.5" customHeight="1">
      <c r="A21" s="1"/>
      <c r="B21" s="2"/>
      <c r="C21" s="48"/>
      <c r="D21" s="48"/>
      <c r="E21" s="48"/>
      <c r="F21" s="48"/>
      <c r="G21" s="736"/>
      <c r="H21" s="736"/>
      <c r="I21" s="737"/>
      <c r="J21" s="48"/>
      <c r="K21" s="97"/>
      <c r="L21" s="97"/>
      <c r="M21" s="97"/>
      <c r="N21" s="734"/>
      <c r="O21" s="48"/>
      <c r="P21" s="738"/>
      <c r="Q21" s="739"/>
      <c r="R21" s="740"/>
      <c r="S21" s="741"/>
      <c r="T21" s="742"/>
      <c r="U21" s="743"/>
      <c r="V21" s="744"/>
      <c r="W21" s="745"/>
      <c r="X21" s="746"/>
      <c r="Y21" s="747"/>
      <c r="Z21" s="748"/>
      <c r="AA21" s="97"/>
      <c r="AB21" s="3"/>
    </row>
    <row r="22" spans="1:28" ht="16.5" customHeight="1">
      <c r="A22" s="1"/>
      <c r="B22" s="2"/>
      <c r="C22" s="479">
        <v>12</v>
      </c>
      <c r="D22" s="479">
        <v>208903</v>
      </c>
      <c r="E22" s="479">
        <v>1635</v>
      </c>
      <c r="F22" s="480" t="s">
        <v>261</v>
      </c>
      <c r="G22" s="481">
        <v>132</v>
      </c>
      <c r="H22" s="482">
        <v>162.6</v>
      </c>
      <c r="I22" s="270">
        <f aca="true" t="shared" si="0" ref="I22:I41">IF(H22&gt;25,H22,25)*IF(G22=330,$G$15,$G$16)/100</f>
        <v>113.367972</v>
      </c>
      <c r="J22" s="487">
        <v>40001.34444444445</v>
      </c>
      <c r="K22" s="487">
        <v>40001.811111111114</v>
      </c>
      <c r="L22" s="14">
        <f aca="true" t="shared" si="1" ref="L22:L41">IF(F22="","",(K22-J22)*24)</f>
        <v>11.200000000011642</v>
      </c>
      <c r="M22" s="15">
        <f aca="true" t="shared" si="2" ref="M22:M41">IF(F22="","",ROUND((K22-J22)*24*60,0))</f>
        <v>672</v>
      </c>
      <c r="N22" s="488" t="s">
        <v>245</v>
      </c>
      <c r="O22" s="695" t="str">
        <f aca="true" t="shared" si="3" ref="O22:O41">IF(F22="","","--")</f>
        <v>--</v>
      </c>
      <c r="P22" s="696">
        <f aca="true" t="shared" si="4" ref="P22:P41">IF(N22="P",ROUND(M22/60,2)*I22*$L$16*0.01,"--")</f>
        <v>380.91638592</v>
      </c>
      <c r="Q22" s="697" t="str">
        <f aca="true" t="shared" si="5" ref="Q22:Q41">IF(N22="RP",ROUND(M22/60,2)*I22*$L$16*0.01*O22/100,"--")</f>
        <v>--</v>
      </c>
      <c r="R22" s="698" t="str">
        <f aca="true" t="shared" si="6" ref="R22:R41">IF(N22="F",I22*$L$16,"--")</f>
        <v>--</v>
      </c>
      <c r="S22" s="699" t="str">
        <f aca="true" t="shared" si="7" ref="S22:S41">IF(AND(M22&gt;10,N22="F"),I22*$L$16*IF(M22&gt;180,3,ROUND(M22/60,2)),"--")</f>
        <v>--</v>
      </c>
      <c r="T22" s="700" t="str">
        <f aca="true" t="shared" si="8" ref="T22:T41">IF(AND(M22&gt;180,N22="F"),(ROUND(M22/60,2)-3)*I22*$L$16*0.1,"--")</f>
        <v>--</v>
      </c>
      <c r="U22" s="701" t="str">
        <f aca="true" t="shared" si="9" ref="U22:U41">IF(N22="R",I22*$L$16*O22/100,"--")</f>
        <v>--</v>
      </c>
      <c r="V22" s="702" t="str">
        <f aca="true" t="shared" si="10" ref="V22:V41">IF(AND(M22&gt;10,N22="R"),I22*$L$16*O22/100*IF(M22&gt;180,3,ROUND(M22/60,2)),"--")</f>
        <v>--</v>
      </c>
      <c r="W22" s="703" t="str">
        <f aca="true" t="shared" si="11" ref="W22:W41">IF(AND(M22&gt;180,N22="R"),(ROUND(M22/60,2)-3)*O22/100*I22*$L$16*0.1,"--")</f>
        <v>--</v>
      </c>
      <c r="X22" s="704" t="str">
        <f aca="true" t="shared" si="12" ref="X22:X41">IF(N22="RF",ROUND(M22/60,2)*I22*$L$16*0.1,"--")</f>
        <v>--</v>
      </c>
      <c r="Y22" s="705" t="str">
        <f aca="true" t="shared" si="13" ref="Y22:Y41">IF(N22="RR",ROUND(M22/60,2)*O22/100*I22*$L$16*0.1,"--")</f>
        <v>--</v>
      </c>
      <c r="Z22" s="706" t="str">
        <f aca="true" t="shared" si="14" ref="Z22:Z41">IF(F22="","","SI")</f>
        <v>SI</v>
      </c>
      <c r="AA22" s="52">
        <f aca="true" t="shared" si="15" ref="AA22:AA41">IF(F22="","",SUM(P22:Y22)*IF(Z22="SI",1,2))</f>
        <v>380.91638592</v>
      </c>
      <c r="AB22" s="3"/>
    </row>
    <row r="23" spans="1:28" ht="16.5" customHeight="1">
      <c r="A23" s="1"/>
      <c r="B23" s="2"/>
      <c r="C23" s="479">
        <v>13</v>
      </c>
      <c r="D23" s="479">
        <v>208902</v>
      </c>
      <c r="E23" s="479">
        <v>1634</v>
      </c>
      <c r="F23" s="480" t="s">
        <v>262</v>
      </c>
      <c r="G23" s="481">
        <v>132</v>
      </c>
      <c r="H23" s="482">
        <v>23</v>
      </c>
      <c r="I23" s="270">
        <f t="shared" si="0"/>
        <v>17.4305</v>
      </c>
      <c r="J23" s="487">
        <v>40001.34444444445</v>
      </c>
      <c r="K23" s="487">
        <v>40001.811111111114</v>
      </c>
      <c r="L23" s="14">
        <f t="shared" si="1"/>
        <v>11.200000000011642</v>
      </c>
      <c r="M23" s="15">
        <f t="shared" si="2"/>
        <v>672</v>
      </c>
      <c r="N23" s="488" t="s">
        <v>245</v>
      </c>
      <c r="O23" s="695" t="str">
        <f t="shared" si="3"/>
        <v>--</v>
      </c>
      <c r="P23" s="696">
        <f t="shared" si="4"/>
        <v>58.56647999999999</v>
      </c>
      <c r="Q23" s="697" t="str">
        <f t="shared" si="5"/>
        <v>--</v>
      </c>
      <c r="R23" s="698" t="str">
        <f t="shared" si="6"/>
        <v>--</v>
      </c>
      <c r="S23" s="699" t="str">
        <f t="shared" si="7"/>
        <v>--</v>
      </c>
      <c r="T23" s="700" t="str">
        <f t="shared" si="8"/>
        <v>--</v>
      </c>
      <c r="U23" s="701" t="str">
        <f t="shared" si="9"/>
        <v>--</v>
      </c>
      <c r="V23" s="702" t="str">
        <f t="shared" si="10"/>
        <v>--</v>
      </c>
      <c r="W23" s="703" t="str">
        <f t="shared" si="11"/>
        <v>--</v>
      </c>
      <c r="X23" s="704" t="str">
        <f t="shared" si="12"/>
        <v>--</v>
      </c>
      <c r="Y23" s="705" t="str">
        <f t="shared" si="13"/>
        <v>--</v>
      </c>
      <c r="Z23" s="706" t="str">
        <f t="shared" si="14"/>
        <v>SI</v>
      </c>
      <c r="AA23" s="52">
        <f t="shared" si="15"/>
        <v>58.56647999999999</v>
      </c>
      <c r="AB23" s="3"/>
    </row>
    <row r="24" spans="1:28" ht="16.5" customHeight="1">
      <c r="A24" s="1"/>
      <c r="B24" s="2"/>
      <c r="C24" s="479">
        <v>14</v>
      </c>
      <c r="D24" s="479">
        <v>208905</v>
      </c>
      <c r="E24" s="479">
        <v>1635</v>
      </c>
      <c r="F24" s="480" t="s">
        <v>261</v>
      </c>
      <c r="G24" s="481">
        <v>132</v>
      </c>
      <c r="H24" s="482">
        <v>162.6</v>
      </c>
      <c r="I24" s="270">
        <f t="shared" si="0"/>
        <v>113.367972</v>
      </c>
      <c r="J24" s="487">
        <v>40002.34444444445</v>
      </c>
      <c r="K24" s="487">
        <v>40002.79305555556</v>
      </c>
      <c r="L24" s="14">
        <f t="shared" si="1"/>
        <v>10.766666666662786</v>
      </c>
      <c r="M24" s="15">
        <f t="shared" si="2"/>
        <v>646</v>
      </c>
      <c r="N24" s="488" t="s">
        <v>245</v>
      </c>
      <c r="O24" s="695" t="str">
        <f t="shared" si="3"/>
        <v>--</v>
      </c>
      <c r="P24" s="696">
        <f t="shared" si="4"/>
        <v>366.291917532</v>
      </c>
      <c r="Q24" s="697" t="str">
        <f t="shared" si="5"/>
        <v>--</v>
      </c>
      <c r="R24" s="698" t="str">
        <f t="shared" si="6"/>
        <v>--</v>
      </c>
      <c r="S24" s="699" t="str">
        <f t="shared" si="7"/>
        <v>--</v>
      </c>
      <c r="T24" s="700" t="str">
        <f t="shared" si="8"/>
        <v>--</v>
      </c>
      <c r="U24" s="701" t="str">
        <f t="shared" si="9"/>
        <v>--</v>
      </c>
      <c r="V24" s="702" t="str">
        <f t="shared" si="10"/>
        <v>--</v>
      </c>
      <c r="W24" s="703" t="str">
        <f t="shared" si="11"/>
        <v>--</v>
      </c>
      <c r="X24" s="704" t="str">
        <f t="shared" si="12"/>
        <v>--</v>
      </c>
      <c r="Y24" s="705" t="str">
        <f t="shared" si="13"/>
        <v>--</v>
      </c>
      <c r="Z24" s="706" t="str">
        <f t="shared" si="14"/>
        <v>SI</v>
      </c>
      <c r="AA24" s="52">
        <f t="shared" si="15"/>
        <v>366.291917532</v>
      </c>
      <c r="AB24" s="3"/>
    </row>
    <row r="25" spans="1:28" ht="16.5" customHeight="1">
      <c r="A25" s="1"/>
      <c r="B25" s="2"/>
      <c r="C25" s="479">
        <v>15</v>
      </c>
      <c r="D25" s="479">
        <v>208904</v>
      </c>
      <c r="E25" s="479">
        <v>1634</v>
      </c>
      <c r="F25" s="480" t="s">
        <v>262</v>
      </c>
      <c r="G25" s="481">
        <v>132</v>
      </c>
      <c r="H25" s="482">
        <v>23</v>
      </c>
      <c r="I25" s="270">
        <f t="shared" si="0"/>
        <v>17.4305</v>
      </c>
      <c r="J25" s="487">
        <v>40002.34444444445</v>
      </c>
      <c r="K25" s="487">
        <v>40002.79305555556</v>
      </c>
      <c r="L25" s="14">
        <f t="shared" si="1"/>
        <v>10.766666666662786</v>
      </c>
      <c r="M25" s="15">
        <f t="shared" si="2"/>
        <v>646</v>
      </c>
      <c r="N25" s="488" t="s">
        <v>245</v>
      </c>
      <c r="O25" s="695" t="str">
        <f t="shared" si="3"/>
        <v>--</v>
      </c>
      <c r="P25" s="696">
        <f t="shared" si="4"/>
        <v>56.317945499999986</v>
      </c>
      <c r="Q25" s="697" t="str">
        <f t="shared" si="5"/>
        <v>--</v>
      </c>
      <c r="R25" s="698" t="str">
        <f t="shared" si="6"/>
        <v>--</v>
      </c>
      <c r="S25" s="699" t="str">
        <f t="shared" si="7"/>
        <v>--</v>
      </c>
      <c r="T25" s="700" t="str">
        <f t="shared" si="8"/>
        <v>--</v>
      </c>
      <c r="U25" s="701" t="str">
        <f t="shared" si="9"/>
        <v>--</v>
      </c>
      <c r="V25" s="702" t="str">
        <f t="shared" si="10"/>
        <v>--</v>
      </c>
      <c r="W25" s="703" t="str">
        <f t="shared" si="11"/>
        <v>--</v>
      </c>
      <c r="X25" s="704" t="str">
        <f t="shared" si="12"/>
        <v>--</v>
      </c>
      <c r="Y25" s="705" t="str">
        <f t="shared" si="13"/>
        <v>--</v>
      </c>
      <c r="Z25" s="706" t="str">
        <f t="shared" si="14"/>
        <v>SI</v>
      </c>
      <c r="AA25" s="52">
        <f t="shared" si="15"/>
        <v>56.317945499999986</v>
      </c>
      <c r="AB25" s="3"/>
    </row>
    <row r="26" spans="1:28" ht="16.5" customHeight="1">
      <c r="A26" s="1"/>
      <c r="B26" s="2"/>
      <c r="C26" s="479">
        <v>16</v>
      </c>
      <c r="D26" s="479">
        <v>209082</v>
      </c>
      <c r="E26" s="479">
        <v>1636</v>
      </c>
      <c r="F26" s="480" t="s">
        <v>7</v>
      </c>
      <c r="G26" s="481">
        <v>132</v>
      </c>
      <c r="H26" s="482">
        <v>4.3</v>
      </c>
      <c r="I26" s="270">
        <f t="shared" si="0"/>
        <v>17.4305</v>
      </c>
      <c r="J26" s="487">
        <v>40009.35625</v>
      </c>
      <c r="K26" s="487">
        <v>40009.60833333333</v>
      </c>
      <c r="L26" s="14">
        <f t="shared" si="1"/>
        <v>6.0499999999883585</v>
      </c>
      <c r="M26" s="15">
        <f t="shared" si="2"/>
        <v>363</v>
      </c>
      <c r="N26" s="488" t="s">
        <v>245</v>
      </c>
      <c r="O26" s="695" t="str">
        <f t="shared" si="3"/>
        <v>--</v>
      </c>
      <c r="P26" s="696">
        <f t="shared" si="4"/>
        <v>31.636357499999995</v>
      </c>
      <c r="Q26" s="697" t="str">
        <f t="shared" si="5"/>
        <v>--</v>
      </c>
      <c r="R26" s="698" t="str">
        <f t="shared" si="6"/>
        <v>--</v>
      </c>
      <c r="S26" s="699" t="str">
        <f t="shared" si="7"/>
        <v>--</v>
      </c>
      <c r="T26" s="700" t="str">
        <f t="shared" si="8"/>
        <v>--</v>
      </c>
      <c r="U26" s="701" t="str">
        <f t="shared" si="9"/>
        <v>--</v>
      </c>
      <c r="V26" s="702" t="str">
        <f t="shared" si="10"/>
        <v>--</v>
      </c>
      <c r="W26" s="703" t="str">
        <f t="shared" si="11"/>
        <v>--</v>
      </c>
      <c r="X26" s="704" t="str">
        <f t="shared" si="12"/>
        <v>--</v>
      </c>
      <c r="Y26" s="705" t="str">
        <f t="shared" si="13"/>
        <v>--</v>
      </c>
      <c r="Z26" s="706" t="str">
        <f t="shared" si="14"/>
        <v>SI</v>
      </c>
      <c r="AA26" s="52">
        <f t="shared" si="15"/>
        <v>31.636357499999995</v>
      </c>
      <c r="AB26" s="3"/>
    </row>
    <row r="27" spans="1:28" ht="16.5" customHeight="1">
      <c r="A27" s="1"/>
      <c r="B27" s="2"/>
      <c r="C27" s="479">
        <v>17</v>
      </c>
      <c r="D27" s="479">
        <v>209085</v>
      </c>
      <c r="E27" s="479">
        <v>1635</v>
      </c>
      <c r="F27" s="480" t="s">
        <v>261</v>
      </c>
      <c r="G27" s="481">
        <v>132</v>
      </c>
      <c r="H27" s="482">
        <v>162.6</v>
      </c>
      <c r="I27" s="270">
        <f t="shared" si="0"/>
        <v>113.367972</v>
      </c>
      <c r="J27" s="487">
        <v>40011.075694444444</v>
      </c>
      <c r="K27" s="487">
        <v>40011.080555555556</v>
      </c>
      <c r="L27" s="14">
        <f t="shared" si="1"/>
        <v>0.11666666669771075</v>
      </c>
      <c r="M27" s="15">
        <f t="shared" si="2"/>
        <v>7</v>
      </c>
      <c r="N27" s="488" t="s">
        <v>234</v>
      </c>
      <c r="O27" s="695" t="str">
        <f t="shared" si="3"/>
        <v>--</v>
      </c>
      <c r="P27" s="696" t="str">
        <f t="shared" si="4"/>
        <v>--</v>
      </c>
      <c r="Q27" s="697" t="str">
        <f t="shared" si="5"/>
        <v>--</v>
      </c>
      <c r="R27" s="698">
        <f t="shared" si="6"/>
        <v>3401.03916</v>
      </c>
      <c r="S27" s="699" t="str">
        <f t="shared" si="7"/>
        <v>--</v>
      </c>
      <c r="T27" s="700" t="str">
        <f t="shared" si="8"/>
        <v>--</v>
      </c>
      <c r="U27" s="701" t="str">
        <f t="shared" si="9"/>
        <v>--</v>
      </c>
      <c r="V27" s="702" t="str">
        <f t="shared" si="10"/>
        <v>--</v>
      </c>
      <c r="W27" s="703" t="str">
        <f t="shared" si="11"/>
        <v>--</v>
      </c>
      <c r="X27" s="704" t="str">
        <f t="shared" si="12"/>
        <v>--</v>
      </c>
      <c r="Y27" s="705" t="str">
        <f t="shared" si="13"/>
        <v>--</v>
      </c>
      <c r="Z27" s="706" t="str">
        <f t="shared" si="14"/>
        <v>SI</v>
      </c>
      <c r="AA27" s="52">
        <f t="shared" si="15"/>
        <v>3401.03916</v>
      </c>
      <c r="AB27" s="3"/>
    </row>
    <row r="28" spans="1:28" ht="16.5" customHeight="1">
      <c r="A28" s="1"/>
      <c r="B28" s="2"/>
      <c r="C28" s="479">
        <v>18</v>
      </c>
      <c r="D28" s="479">
        <v>209352</v>
      </c>
      <c r="E28" s="479">
        <v>1634</v>
      </c>
      <c r="F28" s="480" t="s">
        <v>262</v>
      </c>
      <c r="G28" s="481">
        <v>132</v>
      </c>
      <c r="H28" s="482">
        <v>23</v>
      </c>
      <c r="I28" s="270">
        <f t="shared" si="0"/>
        <v>17.4305</v>
      </c>
      <c r="J28" s="487">
        <v>40011.075694444444</v>
      </c>
      <c r="K28" s="487">
        <v>40011.080555555556</v>
      </c>
      <c r="L28" s="14">
        <f t="shared" si="1"/>
        <v>0.11666666669771075</v>
      </c>
      <c r="M28" s="15">
        <f t="shared" si="2"/>
        <v>7</v>
      </c>
      <c r="N28" s="488" t="s">
        <v>234</v>
      </c>
      <c r="O28" s="695" t="str">
        <f t="shared" si="3"/>
        <v>--</v>
      </c>
      <c r="P28" s="696" t="str">
        <f t="shared" si="4"/>
        <v>--</v>
      </c>
      <c r="Q28" s="697" t="str">
        <f t="shared" si="5"/>
        <v>--</v>
      </c>
      <c r="R28" s="698">
        <f t="shared" si="6"/>
        <v>522.915</v>
      </c>
      <c r="S28" s="699" t="str">
        <f t="shared" si="7"/>
        <v>--</v>
      </c>
      <c r="T28" s="700" t="str">
        <f t="shared" si="8"/>
        <v>--</v>
      </c>
      <c r="U28" s="701" t="str">
        <f t="shared" si="9"/>
        <v>--</v>
      </c>
      <c r="V28" s="702" t="str">
        <f t="shared" si="10"/>
        <v>--</v>
      </c>
      <c r="W28" s="703" t="str">
        <f t="shared" si="11"/>
        <v>--</v>
      </c>
      <c r="X28" s="704" t="str">
        <f t="shared" si="12"/>
        <v>--</v>
      </c>
      <c r="Y28" s="705" t="str">
        <f t="shared" si="13"/>
        <v>--</v>
      </c>
      <c r="Z28" s="706" t="str">
        <f t="shared" si="14"/>
        <v>SI</v>
      </c>
      <c r="AA28" s="52">
        <f t="shared" si="15"/>
        <v>522.915</v>
      </c>
      <c r="AB28" s="3"/>
    </row>
    <row r="29" spans="1:28" ht="16.5" customHeight="1">
      <c r="A29" s="1"/>
      <c r="B29" s="2"/>
      <c r="C29" s="479">
        <v>19</v>
      </c>
      <c r="D29" s="479">
        <v>209367</v>
      </c>
      <c r="E29" s="479">
        <v>1635</v>
      </c>
      <c r="F29" s="480" t="s">
        <v>261</v>
      </c>
      <c r="G29" s="481">
        <v>132</v>
      </c>
      <c r="H29" s="482">
        <v>162.6</v>
      </c>
      <c r="I29" s="270">
        <f t="shared" si="0"/>
        <v>113.367972</v>
      </c>
      <c r="J29" s="487">
        <v>40019.16111111111</v>
      </c>
      <c r="K29" s="487">
        <v>40019.618055555555</v>
      </c>
      <c r="L29" s="14">
        <f t="shared" si="1"/>
        <v>10.96666666661622</v>
      </c>
      <c r="M29" s="15">
        <f t="shared" si="2"/>
        <v>658</v>
      </c>
      <c r="N29" s="488" t="s">
        <v>234</v>
      </c>
      <c r="O29" s="695" t="str">
        <f t="shared" si="3"/>
        <v>--</v>
      </c>
      <c r="P29" s="696" t="str">
        <f t="shared" si="4"/>
        <v>--</v>
      </c>
      <c r="Q29" s="697" t="str">
        <f t="shared" si="5"/>
        <v>--</v>
      </c>
      <c r="R29" s="698">
        <f t="shared" si="6"/>
        <v>3401.03916</v>
      </c>
      <c r="S29" s="699">
        <f t="shared" si="7"/>
        <v>10203.117479999999</v>
      </c>
      <c r="T29" s="700">
        <f t="shared" si="8"/>
        <v>2710.6282105200003</v>
      </c>
      <c r="U29" s="701" t="str">
        <f t="shared" si="9"/>
        <v>--</v>
      </c>
      <c r="V29" s="702" t="str">
        <f t="shared" si="10"/>
        <v>--</v>
      </c>
      <c r="W29" s="703" t="str">
        <f t="shared" si="11"/>
        <v>--</v>
      </c>
      <c r="X29" s="704" t="str">
        <f t="shared" si="12"/>
        <v>--</v>
      </c>
      <c r="Y29" s="705" t="str">
        <f t="shared" si="13"/>
        <v>--</v>
      </c>
      <c r="Z29" s="706" t="str">
        <f t="shared" si="14"/>
        <v>SI</v>
      </c>
      <c r="AA29" s="52">
        <f t="shared" si="15"/>
        <v>16314.78485052</v>
      </c>
      <c r="AB29" s="3"/>
    </row>
    <row r="30" spans="1:28" ht="16.5" customHeight="1">
      <c r="A30" s="1"/>
      <c r="B30" s="2"/>
      <c r="C30" s="479"/>
      <c r="D30" s="479"/>
      <c r="E30" s="479"/>
      <c r="F30" s="480"/>
      <c r="G30" s="481"/>
      <c r="H30" s="482"/>
      <c r="I30" s="270">
        <f t="shared" si="0"/>
        <v>17.4305</v>
      </c>
      <c r="J30" s="487"/>
      <c r="K30" s="487"/>
      <c r="L30" s="14">
        <f t="shared" si="1"/>
      </c>
      <c r="M30" s="15">
        <f t="shared" si="2"/>
      </c>
      <c r="N30" s="488"/>
      <c r="O30" s="695">
        <f t="shared" si="3"/>
      </c>
      <c r="P30" s="696" t="str">
        <f t="shared" si="4"/>
        <v>--</v>
      </c>
      <c r="Q30" s="697" t="str">
        <f t="shared" si="5"/>
        <v>--</v>
      </c>
      <c r="R30" s="698" t="str">
        <f t="shared" si="6"/>
        <v>--</v>
      </c>
      <c r="S30" s="699" t="str">
        <f t="shared" si="7"/>
        <v>--</v>
      </c>
      <c r="T30" s="700" t="str">
        <f t="shared" si="8"/>
        <v>--</v>
      </c>
      <c r="U30" s="701" t="str">
        <f t="shared" si="9"/>
        <v>--</v>
      </c>
      <c r="V30" s="702" t="str">
        <f t="shared" si="10"/>
        <v>--</v>
      </c>
      <c r="W30" s="703" t="str">
        <f t="shared" si="11"/>
        <v>--</v>
      </c>
      <c r="X30" s="704" t="str">
        <f t="shared" si="12"/>
        <v>--</v>
      </c>
      <c r="Y30" s="705" t="str">
        <f t="shared" si="13"/>
        <v>--</v>
      </c>
      <c r="Z30" s="706">
        <f t="shared" si="14"/>
      </c>
      <c r="AA30" s="52">
        <f t="shared" si="15"/>
      </c>
      <c r="AB30" s="3"/>
    </row>
    <row r="31" spans="1:28" ht="16.5" customHeight="1">
      <c r="A31" s="1"/>
      <c r="B31" s="2"/>
      <c r="C31" s="479"/>
      <c r="D31" s="479"/>
      <c r="E31" s="479"/>
      <c r="F31" s="480"/>
      <c r="G31" s="481"/>
      <c r="H31" s="482"/>
      <c r="I31" s="270">
        <f t="shared" si="0"/>
        <v>17.4305</v>
      </c>
      <c r="J31" s="487"/>
      <c r="K31" s="487"/>
      <c r="L31" s="14">
        <f t="shared" si="1"/>
      </c>
      <c r="M31" s="15">
        <f t="shared" si="2"/>
      </c>
      <c r="N31" s="488"/>
      <c r="O31" s="695">
        <f t="shared" si="3"/>
      </c>
      <c r="P31" s="696" t="str">
        <f t="shared" si="4"/>
        <v>--</v>
      </c>
      <c r="Q31" s="697" t="str">
        <f t="shared" si="5"/>
        <v>--</v>
      </c>
      <c r="R31" s="698" t="str">
        <f t="shared" si="6"/>
        <v>--</v>
      </c>
      <c r="S31" s="699" t="str">
        <f t="shared" si="7"/>
        <v>--</v>
      </c>
      <c r="T31" s="700" t="str">
        <f t="shared" si="8"/>
        <v>--</v>
      </c>
      <c r="U31" s="701" t="str">
        <f t="shared" si="9"/>
        <v>--</v>
      </c>
      <c r="V31" s="702" t="str">
        <f t="shared" si="10"/>
        <v>--</v>
      </c>
      <c r="W31" s="703" t="str">
        <f t="shared" si="11"/>
        <v>--</v>
      </c>
      <c r="X31" s="704" t="str">
        <f t="shared" si="12"/>
        <v>--</v>
      </c>
      <c r="Y31" s="705" t="str">
        <f t="shared" si="13"/>
        <v>--</v>
      </c>
      <c r="Z31" s="706">
        <f t="shared" si="14"/>
      </c>
      <c r="AA31" s="52">
        <f t="shared" si="15"/>
      </c>
      <c r="AB31" s="3"/>
    </row>
    <row r="32" spans="1:28" ht="16.5" customHeight="1">
      <c r="A32" s="1"/>
      <c r="B32" s="2"/>
      <c r="C32" s="479"/>
      <c r="D32" s="479"/>
      <c r="E32" s="479"/>
      <c r="F32" s="480"/>
      <c r="G32" s="481"/>
      <c r="H32" s="482"/>
      <c r="I32" s="270">
        <f t="shared" si="0"/>
        <v>17.4305</v>
      </c>
      <c r="J32" s="487"/>
      <c r="K32" s="487"/>
      <c r="L32" s="14">
        <f t="shared" si="1"/>
      </c>
      <c r="M32" s="15">
        <f t="shared" si="2"/>
      </c>
      <c r="N32" s="488"/>
      <c r="O32" s="695">
        <f t="shared" si="3"/>
      </c>
      <c r="P32" s="696" t="str">
        <f t="shared" si="4"/>
        <v>--</v>
      </c>
      <c r="Q32" s="697" t="str">
        <f t="shared" si="5"/>
        <v>--</v>
      </c>
      <c r="R32" s="698" t="str">
        <f t="shared" si="6"/>
        <v>--</v>
      </c>
      <c r="S32" s="699" t="str">
        <f t="shared" si="7"/>
        <v>--</v>
      </c>
      <c r="T32" s="700" t="str">
        <f t="shared" si="8"/>
        <v>--</v>
      </c>
      <c r="U32" s="701" t="str">
        <f t="shared" si="9"/>
        <v>--</v>
      </c>
      <c r="V32" s="702" t="str">
        <f t="shared" si="10"/>
        <v>--</v>
      </c>
      <c r="W32" s="703" t="str">
        <f t="shared" si="11"/>
        <v>--</v>
      </c>
      <c r="X32" s="704" t="str">
        <f t="shared" si="12"/>
        <v>--</v>
      </c>
      <c r="Y32" s="705" t="str">
        <f t="shared" si="13"/>
        <v>--</v>
      </c>
      <c r="Z32" s="706">
        <f t="shared" si="14"/>
      </c>
      <c r="AA32" s="52">
        <f t="shared" si="15"/>
      </c>
      <c r="AB32" s="3"/>
    </row>
    <row r="33" spans="1:28" ht="16.5" customHeight="1">
      <c r="A33" s="1"/>
      <c r="B33" s="2"/>
      <c r="C33" s="479"/>
      <c r="D33" s="479"/>
      <c r="E33" s="479"/>
      <c r="F33" s="480"/>
      <c r="G33" s="481"/>
      <c r="H33" s="482"/>
      <c r="I33" s="270">
        <f t="shared" si="0"/>
        <v>17.4305</v>
      </c>
      <c r="J33" s="487"/>
      <c r="K33" s="487"/>
      <c r="L33" s="14">
        <f t="shared" si="1"/>
      </c>
      <c r="M33" s="15">
        <f t="shared" si="2"/>
      </c>
      <c r="N33" s="488"/>
      <c r="O33" s="695">
        <f t="shared" si="3"/>
      </c>
      <c r="P33" s="696" t="str">
        <f t="shared" si="4"/>
        <v>--</v>
      </c>
      <c r="Q33" s="697" t="str">
        <f t="shared" si="5"/>
        <v>--</v>
      </c>
      <c r="R33" s="698" t="str">
        <f t="shared" si="6"/>
        <v>--</v>
      </c>
      <c r="S33" s="699" t="str">
        <f t="shared" si="7"/>
        <v>--</v>
      </c>
      <c r="T33" s="700" t="str">
        <f t="shared" si="8"/>
        <v>--</v>
      </c>
      <c r="U33" s="701" t="str">
        <f t="shared" si="9"/>
        <v>--</v>
      </c>
      <c r="V33" s="702" t="str">
        <f t="shared" si="10"/>
        <v>--</v>
      </c>
      <c r="W33" s="703" t="str">
        <f t="shared" si="11"/>
        <v>--</v>
      </c>
      <c r="X33" s="704" t="str">
        <f t="shared" si="12"/>
        <v>--</v>
      </c>
      <c r="Y33" s="705" t="str">
        <f t="shared" si="13"/>
        <v>--</v>
      </c>
      <c r="Z33" s="706">
        <f t="shared" si="14"/>
      </c>
      <c r="AA33" s="52">
        <f t="shared" si="15"/>
      </c>
      <c r="AB33" s="3"/>
    </row>
    <row r="34" spans="1:28" ht="16.5" customHeight="1">
      <c r="A34" s="1"/>
      <c r="B34" s="2"/>
      <c r="C34" s="479"/>
      <c r="D34" s="479"/>
      <c r="E34" s="479"/>
      <c r="F34" s="480"/>
      <c r="G34" s="481"/>
      <c r="H34" s="482"/>
      <c r="I34" s="270">
        <f t="shared" si="0"/>
        <v>17.4305</v>
      </c>
      <c r="J34" s="487"/>
      <c r="K34" s="487"/>
      <c r="L34" s="14">
        <f t="shared" si="1"/>
      </c>
      <c r="M34" s="15">
        <f t="shared" si="2"/>
      </c>
      <c r="N34" s="488"/>
      <c r="O34" s="695">
        <f t="shared" si="3"/>
      </c>
      <c r="P34" s="696" t="str">
        <f t="shared" si="4"/>
        <v>--</v>
      </c>
      <c r="Q34" s="697" t="str">
        <f t="shared" si="5"/>
        <v>--</v>
      </c>
      <c r="R34" s="698" t="str">
        <f t="shared" si="6"/>
        <v>--</v>
      </c>
      <c r="S34" s="699" t="str">
        <f t="shared" si="7"/>
        <v>--</v>
      </c>
      <c r="T34" s="700" t="str">
        <f t="shared" si="8"/>
        <v>--</v>
      </c>
      <c r="U34" s="701" t="str">
        <f t="shared" si="9"/>
        <v>--</v>
      </c>
      <c r="V34" s="702" t="str">
        <f t="shared" si="10"/>
        <v>--</v>
      </c>
      <c r="W34" s="703" t="str">
        <f t="shared" si="11"/>
        <v>--</v>
      </c>
      <c r="X34" s="704" t="str">
        <f t="shared" si="12"/>
        <v>--</v>
      </c>
      <c r="Y34" s="705" t="str">
        <f t="shared" si="13"/>
        <v>--</v>
      </c>
      <c r="Z34" s="706">
        <f t="shared" si="14"/>
      </c>
      <c r="AA34" s="52">
        <f t="shared" si="15"/>
      </c>
      <c r="AB34" s="3"/>
    </row>
    <row r="35" spans="1:28" ht="16.5" customHeight="1">
      <c r="A35" s="1"/>
      <c r="B35" s="2"/>
      <c r="C35" s="479"/>
      <c r="D35" s="479"/>
      <c r="E35" s="479"/>
      <c r="F35" s="480"/>
      <c r="G35" s="481"/>
      <c r="H35" s="482"/>
      <c r="I35" s="270">
        <f t="shared" si="0"/>
        <v>17.4305</v>
      </c>
      <c r="J35" s="487"/>
      <c r="K35" s="487"/>
      <c r="L35" s="14">
        <f t="shared" si="1"/>
      </c>
      <c r="M35" s="15">
        <f t="shared" si="2"/>
      </c>
      <c r="N35" s="488"/>
      <c r="O35" s="695">
        <f t="shared" si="3"/>
      </c>
      <c r="P35" s="696" t="str">
        <f t="shared" si="4"/>
        <v>--</v>
      </c>
      <c r="Q35" s="697" t="str">
        <f t="shared" si="5"/>
        <v>--</v>
      </c>
      <c r="R35" s="698" t="str">
        <f t="shared" si="6"/>
        <v>--</v>
      </c>
      <c r="S35" s="699" t="str">
        <f t="shared" si="7"/>
        <v>--</v>
      </c>
      <c r="T35" s="700" t="str">
        <f t="shared" si="8"/>
        <v>--</v>
      </c>
      <c r="U35" s="701" t="str">
        <f t="shared" si="9"/>
        <v>--</v>
      </c>
      <c r="V35" s="702" t="str">
        <f t="shared" si="10"/>
        <v>--</v>
      </c>
      <c r="W35" s="703" t="str">
        <f t="shared" si="11"/>
        <v>--</v>
      </c>
      <c r="X35" s="704" t="str">
        <f t="shared" si="12"/>
        <v>--</v>
      </c>
      <c r="Y35" s="705" t="str">
        <f t="shared" si="13"/>
        <v>--</v>
      </c>
      <c r="Z35" s="706">
        <f t="shared" si="14"/>
      </c>
      <c r="AA35" s="52">
        <f t="shared" si="15"/>
      </c>
      <c r="AB35" s="3"/>
    </row>
    <row r="36" spans="1:28" ht="16.5" customHeight="1">
      <c r="A36" s="1"/>
      <c r="B36" s="2"/>
      <c r="C36" s="479"/>
      <c r="D36" s="479"/>
      <c r="E36" s="479"/>
      <c r="F36" s="480"/>
      <c r="G36" s="481"/>
      <c r="H36" s="482"/>
      <c r="I36" s="270">
        <f t="shared" si="0"/>
        <v>17.4305</v>
      </c>
      <c r="J36" s="487"/>
      <c r="K36" s="487"/>
      <c r="L36" s="14">
        <f t="shared" si="1"/>
      </c>
      <c r="M36" s="15">
        <f t="shared" si="2"/>
      </c>
      <c r="N36" s="488"/>
      <c r="O36" s="695">
        <f t="shared" si="3"/>
      </c>
      <c r="P36" s="696" t="str">
        <f t="shared" si="4"/>
        <v>--</v>
      </c>
      <c r="Q36" s="697" t="str">
        <f t="shared" si="5"/>
        <v>--</v>
      </c>
      <c r="R36" s="698" t="str">
        <f t="shared" si="6"/>
        <v>--</v>
      </c>
      <c r="S36" s="699" t="str">
        <f t="shared" si="7"/>
        <v>--</v>
      </c>
      <c r="T36" s="700" t="str">
        <f t="shared" si="8"/>
        <v>--</v>
      </c>
      <c r="U36" s="701" t="str">
        <f t="shared" si="9"/>
        <v>--</v>
      </c>
      <c r="V36" s="702" t="str">
        <f t="shared" si="10"/>
        <v>--</v>
      </c>
      <c r="W36" s="703" t="str">
        <f t="shared" si="11"/>
        <v>--</v>
      </c>
      <c r="X36" s="704" t="str">
        <f t="shared" si="12"/>
        <v>--</v>
      </c>
      <c r="Y36" s="705" t="str">
        <f t="shared" si="13"/>
        <v>--</v>
      </c>
      <c r="Z36" s="706">
        <f t="shared" si="14"/>
      </c>
      <c r="AA36" s="52">
        <f t="shared" si="15"/>
      </c>
      <c r="AB36" s="3"/>
    </row>
    <row r="37" spans="1:28" ht="16.5" customHeight="1">
      <c r="A37" s="1"/>
      <c r="B37" s="2"/>
      <c r="C37" s="479"/>
      <c r="D37" s="479"/>
      <c r="E37" s="479"/>
      <c r="F37" s="480"/>
      <c r="G37" s="481"/>
      <c r="H37" s="482"/>
      <c r="I37" s="270">
        <f t="shared" si="0"/>
        <v>17.4305</v>
      </c>
      <c r="J37" s="487"/>
      <c r="K37" s="487"/>
      <c r="L37" s="14">
        <f t="shared" si="1"/>
      </c>
      <c r="M37" s="15">
        <f t="shared" si="2"/>
      </c>
      <c r="N37" s="488"/>
      <c r="O37" s="695">
        <f t="shared" si="3"/>
      </c>
      <c r="P37" s="696" t="str">
        <f t="shared" si="4"/>
        <v>--</v>
      </c>
      <c r="Q37" s="697" t="str">
        <f t="shared" si="5"/>
        <v>--</v>
      </c>
      <c r="R37" s="698" t="str">
        <f t="shared" si="6"/>
        <v>--</v>
      </c>
      <c r="S37" s="699" t="str">
        <f t="shared" si="7"/>
        <v>--</v>
      </c>
      <c r="T37" s="700" t="str">
        <f t="shared" si="8"/>
        <v>--</v>
      </c>
      <c r="U37" s="701" t="str">
        <f t="shared" si="9"/>
        <v>--</v>
      </c>
      <c r="V37" s="702" t="str">
        <f t="shared" si="10"/>
        <v>--</v>
      </c>
      <c r="W37" s="703" t="str">
        <f t="shared" si="11"/>
        <v>--</v>
      </c>
      <c r="X37" s="704" t="str">
        <f t="shared" si="12"/>
        <v>--</v>
      </c>
      <c r="Y37" s="705" t="str">
        <f t="shared" si="13"/>
        <v>--</v>
      </c>
      <c r="Z37" s="706">
        <f t="shared" si="14"/>
      </c>
      <c r="AA37" s="52">
        <f t="shared" si="15"/>
      </c>
      <c r="AB37" s="3"/>
    </row>
    <row r="38" spans="2:28" ht="16.5" customHeight="1">
      <c r="B38" s="53"/>
      <c r="C38" s="479"/>
      <c r="D38" s="479"/>
      <c r="E38" s="479"/>
      <c r="F38" s="480"/>
      <c r="G38" s="481"/>
      <c r="H38" s="482"/>
      <c r="I38" s="270">
        <f t="shared" si="0"/>
        <v>17.4305</v>
      </c>
      <c r="J38" s="487"/>
      <c r="K38" s="487"/>
      <c r="L38" s="14">
        <f t="shared" si="1"/>
      </c>
      <c r="M38" s="15">
        <f t="shared" si="2"/>
      </c>
      <c r="N38" s="488"/>
      <c r="O38" s="695">
        <f t="shared" si="3"/>
      </c>
      <c r="P38" s="696" t="str">
        <f t="shared" si="4"/>
        <v>--</v>
      </c>
      <c r="Q38" s="697" t="str">
        <f t="shared" si="5"/>
        <v>--</v>
      </c>
      <c r="R38" s="698" t="str">
        <f t="shared" si="6"/>
        <v>--</v>
      </c>
      <c r="S38" s="699" t="str">
        <f t="shared" si="7"/>
        <v>--</v>
      </c>
      <c r="T38" s="700" t="str">
        <f t="shared" si="8"/>
        <v>--</v>
      </c>
      <c r="U38" s="701" t="str">
        <f t="shared" si="9"/>
        <v>--</v>
      </c>
      <c r="V38" s="702" t="str">
        <f t="shared" si="10"/>
        <v>--</v>
      </c>
      <c r="W38" s="703" t="str">
        <f t="shared" si="11"/>
        <v>--</v>
      </c>
      <c r="X38" s="704" t="str">
        <f t="shared" si="12"/>
        <v>--</v>
      </c>
      <c r="Y38" s="705" t="str">
        <f t="shared" si="13"/>
        <v>--</v>
      </c>
      <c r="Z38" s="706">
        <f t="shared" si="14"/>
      </c>
      <c r="AA38" s="52">
        <f t="shared" si="15"/>
      </c>
      <c r="AB38" s="3"/>
    </row>
    <row r="39" spans="2:28" ht="16.5" customHeight="1">
      <c r="B39" s="53"/>
      <c r="C39" s="479"/>
      <c r="D39" s="479"/>
      <c r="E39" s="479"/>
      <c r="F39" s="480"/>
      <c r="G39" s="481"/>
      <c r="H39" s="482"/>
      <c r="I39" s="270">
        <f t="shared" si="0"/>
        <v>17.4305</v>
      </c>
      <c r="J39" s="487"/>
      <c r="K39" s="487"/>
      <c r="L39" s="14">
        <f t="shared" si="1"/>
      </c>
      <c r="M39" s="15">
        <f t="shared" si="2"/>
      </c>
      <c r="N39" s="488"/>
      <c r="O39" s="695">
        <f t="shared" si="3"/>
      </c>
      <c r="P39" s="696" t="str">
        <f t="shared" si="4"/>
        <v>--</v>
      </c>
      <c r="Q39" s="697" t="str">
        <f t="shared" si="5"/>
        <v>--</v>
      </c>
      <c r="R39" s="698" t="str">
        <f t="shared" si="6"/>
        <v>--</v>
      </c>
      <c r="S39" s="699" t="str">
        <f t="shared" si="7"/>
        <v>--</v>
      </c>
      <c r="T39" s="700" t="str">
        <f t="shared" si="8"/>
        <v>--</v>
      </c>
      <c r="U39" s="701" t="str">
        <f t="shared" si="9"/>
        <v>--</v>
      </c>
      <c r="V39" s="702" t="str">
        <f t="shared" si="10"/>
        <v>--</v>
      </c>
      <c r="W39" s="703" t="str">
        <f t="shared" si="11"/>
        <v>--</v>
      </c>
      <c r="X39" s="704" t="str">
        <f t="shared" si="12"/>
        <v>--</v>
      </c>
      <c r="Y39" s="705" t="str">
        <f t="shared" si="13"/>
        <v>--</v>
      </c>
      <c r="Z39" s="706">
        <f t="shared" si="14"/>
      </c>
      <c r="AA39" s="52">
        <f t="shared" si="15"/>
      </c>
      <c r="AB39" s="3"/>
    </row>
    <row r="40" spans="2:28" ht="16.5" customHeight="1">
      <c r="B40" s="53"/>
      <c r="C40" s="479"/>
      <c r="D40" s="479"/>
      <c r="E40" s="479"/>
      <c r="F40" s="480"/>
      <c r="G40" s="481"/>
      <c r="H40" s="482"/>
      <c r="I40" s="270">
        <f t="shared" si="0"/>
        <v>17.4305</v>
      </c>
      <c r="J40" s="487"/>
      <c r="K40" s="487"/>
      <c r="L40" s="14">
        <f t="shared" si="1"/>
      </c>
      <c r="M40" s="15">
        <f t="shared" si="2"/>
      </c>
      <c r="N40" s="488"/>
      <c r="O40" s="695">
        <f t="shared" si="3"/>
      </c>
      <c r="P40" s="696" t="str">
        <f t="shared" si="4"/>
        <v>--</v>
      </c>
      <c r="Q40" s="697" t="str">
        <f t="shared" si="5"/>
        <v>--</v>
      </c>
      <c r="R40" s="698" t="str">
        <f t="shared" si="6"/>
        <v>--</v>
      </c>
      <c r="S40" s="699" t="str">
        <f t="shared" si="7"/>
        <v>--</v>
      </c>
      <c r="T40" s="700" t="str">
        <f t="shared" si="8"/>
        <v>--</v>
      </c>
      <c r="U40" s="701" t="str">
        <f t="shared" si="9"/>
        <v>--</v>
      </c>
      <c r="V40" s="702" t="str">
        <f t="shared" si="10"/>
        <v>--</v>
      </c>
      <c r="W40" s="703" t="str">
        <f t="shared" si="11"/>
        <v>--</v>
      </c>
      <c r="X40" s="704" t="str">
        <f t="shared" si="12"/>
        <v>--</v>
      </c>
      <c r="Y40" s="705" t="str">
        <f t="shared" si="13"/>
        <v>--</v>
      </c>
      <c r="Z40" s="706">
        <f t="shared" si="14"/>
      </c>
      <c r="AA40" s="52">
        <f t="shared" si="15"/>
      </c>
      <c r="AB40" s="3"/>
    </row>
    <row r="41" spans="2:28" ht="16.5" customHeight="1">
      <c r="B41" s="53"/>
      <c r="C41" s="479"/>
      <c r="D41" s="479"/>
      <c r="E41" s="479"/>
      <c r="F41" s="480"/>
      <c r="G41" s="481"/>
      <c r="H41" s="482"/>
      <c r="I41" s="270">
        <f t="shared" si="0"/>
        <v>17.4305</v>
      </c>
      <c r="J41" s="487"/>
      <c r="K41" s="487"/>
      <c r="L41" s="14">
        <f t="shared" si="1"/>
      </c>
      <c r="M41" s="15">
        <f t="shared" si="2"/>
      </c>
      <c r="N41" s="488"/>
      <c r="O41" s="695">
        <f t="shared" si="3"/>
      </c>
      <c r="P41" s="696" t="str">
        <f t="shared" si="4"/>
        <v>--</v>
      </c>
      <c r="Q41" s="697" t="str">
        <f t="shared" si="5"/>
        <v>--</v>
      </c>
      <c r="R41" s="698" t="str">
        <f t="shared" si="6"/>
        <v>--</v>
      </c>
      <c r="S41" s="699" t="str">
        <f t="shared" si="7"/>
        <v>--</v>
      </c>
      <c r="T41" s="700" t="str">
        <f t="shared" si="8"/>
        <v>--</v>
      </c>
      <c r="U41" s="701" t="str">
        <f t="shared" si="9"/>
        <v>--</v>
      </c>
      <c r="V41" s="702" t="str">
        <f t="shared" si="10"/>
        <v>--</v>
      </c>
      <c r="W41" s="703" t="str">
        <f t="shared" si="11"/>
        <v>--</v>
      </c>
      <c r="X41" s="704" t="str">
        <f t="shared" si="12"/>
        <v>--</v>
      </c>
      <c r="Y41" s="705" t="str">
        <f t="shared" si="13"/>
        <v>--</v>
      </c>
      <c r="Z41" s="706">
        <f t="shared" si="14"/>
      </c>
      <c r="AA41" s="52">
        <f t="shared" si="15"/>
      </c>
      <c r="AB41" s="3"/>
    </row>
    <row r="42" spans="1:28" ht="16.5" customHeight="1" thickBot="1">
      <c r="A42" s="1"/>
      <c r="B42" s="2"/>
      <c r="C42" s="483"/>
      <c r="D42" s="483"/>
      <c r="E42" s="483"/>
      <c r="F42" s="484"/>
      <c r="G42" s="485"/>
      <c r="H42" s="486"/>
      <c r="I42" s="749"/>
      <c r="J42" s="486"/>
      <c r="K42" s="486"/>
      <c r="L42" s="16"/>
      <c r="M42" s="16"/>
      <c r="N42" s="486"/>
      <c r="O42" s="489"/>
      <c r="P42" s="490"/>
      <c r="Q42" s="491"/>
      <c r="R42" s="492"/>
      <c r="S42" s="493"/>
      <c r="T42" s="494"/>
      <c r="U42" s="495"/>
      <c r="V42" s="496"/>
      <c r="W42" s="497"/>
      <c r="X42" s="498"/>
      <c r="Y42" s="499"/>
      <c r="Z42" s="500"/>
      <c r="AA42" s="54"/>
      <c r="AB42" s="3"/>
    </row>
    <row r="43" spans="1:28" ht="16.5" customHeight="1" thickBot="1" thickTop="1">
      <c r="A43" s="1"/>
      <c r="B43" s="2"/>
      <c r="C43" s="244" t="s">
        <v>62</v>
      </c>
      <c r="D43" s="717" t="s">
        <v>266</v>
      </c>
      <c r="E43" s="690"/>
      <c r="F43" s="245"/>
      <c r="G43" s="17"/>
      <c r="H43" s="18"/>
      <c r="I43" s="55"/>
      <c r="J43" s="55"/>
      <c r="K43" s="55"/>
      <c r="L43" s="55"/>
      <c r="M43" s="55"/>
      <c r="N43" s="55"/>
      <c r="O43" s="56"/>
      <c r="P43" s="316">
        <f aca="true" t="shared" si="16" ref="P43:Y43">ROUND(SUM(P20:P42),2)</f>
        <v>893.73</v>
      </c>
      <c r="Q43" s="317">
        <f t="shared" si="16"/>
        <v>0</v>
      </c>
      <c r="R43" s="318">
        <f t="shared" si="16"/>
        <v>7324.99</v>
      </c>
      <c r="S43" s="318">
        <f t="shared" si="16"/>
        <v>10203.12</v>
      </c>
      <c r="T43" s="319">
        <f t="shared" si="16"/>
        <v>2710.63</v>
      </c>
      <c r="U43" s="320">
        <f t="shared" si="16"/>
        <v>0</v>
      </c>
      <c r="V43" s="320">
        <f t="shared" si="16"/>
        <v>0</v>
      </c>
      <c r="W43" s="321">
        <f t="shared" si="16"/>
        <v>0</v>
      </c>
      <c r="X43" s="322">
        <f t="shared" si="16"/>
        <v>0</v>
      </c>
      <c r="Y43" s="323">
        <f t="shared" si="16"/>
        <v>0</v>
      </c>
      <c r="Z43" s="57"/>
      <c r="AA43" s="694">
        <f>ROUND(SUM(AA20:AA42),2)</f>
        <v>21132.47</v>
      </c>
      <c r="AB43" s="58"/>
    </row>
    <row r="44" spans="1:28" s="259" customFormat="1" ht="9.75" thickTop="1">
      <c r="A44" s="248"/>
      <c r="B44" s="249"/>
      <c r="C44" s="246"/>
      <c r="D44" s="246"/>
      <c r="E44" s="246"/>
      <c r="F44" s="247"/>
      <c r="G44" s="250"/>
      <c r="H44" s="251"/>
      <c r="I44" s="252"/>
      <c r="J44" s="252"/>
      <c r="K44" s="252"/>
      <c r="L44" s="252"/>
      <c r="M44" s="252"/>
      <c r="N44" s="252"/>
      <c r="O44" s="253"/>
      <c r="P44" s="254"/>
      <c r="Q44" s="254"/>
      <c r="R44" s="255"/>
      <c r="S44" s="255"/>
      <c r="T44" s="256"/>
      <c r="U44" s="256"/>
      <c r="V44" s="256"/>
      <c r="W44" s="256"/>
      <c r="X44" s="256"/>
      <c r="Y44" s="256"/>
      <c r="Z44" s="256"/>
      <c r="AA44" s="257"/>
      <c r="AB44" s="258"/>
    </row>
    <row r="45" spans="1:28" s="11" customFormat="1" ht="16.5" customHeight="1" thickBot="1">
      <c r="A45" s="9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</row>
    <row r="46" spans="1:28" ht="13.5" thickTop="1">
      <c r="A46" s="1"/>
      <c r="B46" s="1"/>
      <c r="AB46" s="1"/>
    </row>
    <row r="91" spans="1:2" ht="12.75">
      <c r="A91" s="1"/>
      <c r="B91" s="1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Roman,Normal"&amp;8&amp;F-&amp;A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W49"/>
  <sheetViews>
    <sheetView tabSelected="1" zoomScale="70" zoomScaleNormal="70" workbookViewId="0" topLeftCell="E1">
      <selection activeCell="B2" sqref="B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40.7109375" style="0" customWidth="1"/>
    <col min="8" max="8" width="9.7109375" style="0" customWidth="1"/>
    <col min="9" max="9" width="13.14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2.140625" style="0" hidden="1" customWidth="1"/>
    <col min="17" max="17" width="16.8515625" style="0" hidden="1" customWidth="1"/>
    <col min="18" max="18" width="16.57421875" style="0" hidden="1" customWidth="1"/>
    <col min="19" max="20" width="15.57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6" customFormat="1" ht="26.25">
      <c r="W1" s="384"/>
    </row>
    <row r="2" spans="2:23" s="116" customFormat="1" ht="26.25">
      <c r="B2" s="117" t="s">
        <v>287</v>
      </c>
      <c r="C2" s="118"/>
      <c r="D2" s="118"/>
      <c r="E2" s="118"/>
      <c r="F2" s="118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="11" customFormat="1" ht="12.75"/>
    <row r="4" spans="1:4" s="119" customFormat="1" ht="11.25">
      <c r="A4" s="693" t="s">
        <v>16</v>
      </c>
      <c r="C4" s="692"/>
      <c r="D4" s="692"/>
    </row>
    <row r="5" spans="1:4" s="119" customFormat="1" ht="11.25">
      <c r="A5" s="693" t="s">
        <v>225</v>
      </c>
      <c r="C5" s="692"/>
      <c r="D5" s="692"/>
    </row>
    <row r="6" s="11" customFormat="1" ht="13.5" thickBot="1"/>
    <row r="7" spans="2:23" s="11" customFormat="1" ht="13.5" thickTop="1"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/>
    </row>
    <row r="8" spans="2:23" s="121" customFormat="1" ht="20.25">
      <c r="B8" s="120"/>
      <c r="C8" s="42"/>
      <c r="D8" s="42"/>
      <c r="E8" s="42"/>
      <c r="F8" s="21" t="s">
        <v>38</v>
      </c>
      <c r="P8" s="42"/>
      <c r="Q8" s="42"/>
      <c r="R8" s="42"/>
      <c r="S8" s="42"/>
      <c r="T8" s="42"/>
      <c r="U8" s="42"/>
      <c r="V8" s="42"/>
      <c r="W8" s="122"/>
    </row>
    <row r="9" spans="2:23" s="11" customFormat="1" ht="12.75">
      <c r="B9" s="41"/>
      <c r="C9" s="9"/>
      <c r="D9" s="9"/>
      <c r="E9" s="9"/>
      <c r="F9" s="9"/>
      <c r="G9" s="9"/>
      <c r="H9" s="9"/>
      <c r="I9" s="130"/>
      <c r="J9" s="130"/>
      <c r="K9" s="130"/>
      <c r="L9" s="130"/>
      <c r="M9" s="130"/>
      <c r="P9" s="9"/>
      <c r="Q9" s="9"/>
      <c r="R9" s="9"/>
      <c r="S9" s="9"/>
      <c r="T9" s="9"/>
      <c r="U9" s="9"/>
      <c r="V9" s="9"/>
      <c r="W9" s="12"/>
    </row>
    <row r="10" spans="2:23" s="121" customFormat="1" ht="20.25">
      <c r="B10" s="120"/>
      <c r="C10" s="42"/>
      <c r="D10" s="42"/>
      <c r="E10" s="42"/>
      <c r="F10" s="21" t="s">
        <v>198</v>
      </c>
      <c r="G10" s="21"/>
      <c r="H10" s="42"/>
      <c r="I10" s="21"/>
      <c r="J10" s="21"/>
      <c r="K10" s="21"/>
      <c r="L10" s="21"/>
      <c r="M10" s="21"/>
      <c r="P10" s="42"/>
      <c r="Q10" s="42"/>
      <c r="R10" s="42"/>
      <c r="S10" s="42"/>
      <c r="T10" s="42"/>
      <c r="U10" s="42"/>
      <c r="V10" s="42"/>
      <c r="W10" s="122"/>
    </row>
    <row r="11" spans="2:23" s="11" customFormat="1" ht="12.75">
      <c r="B11" s="41"/>
      <c r="C11" s="9"/>
      <c r="D11" s="9"/>
      <c r="E11" s="9"/>
      <c r="F11" s="132"/>
      <c r="G11" s="130"/>
      <c r="H11" s="9"/>
      <c r="I11" s="130"/>
      <c r="J11" s="130"/>
      <c r="K11" s="130"/>
      <c r="L11" s="130"/>
      <c r="M11" s="130"/>
      <c r="P11" s="9"/>
      <c r="Q11" s="9"/>
      <c r="R11" s="9"/>
      <c r="S11" s="9"/>
      <c r="T11" s="9"/>
      <c r="U11" s="9"/>
      <c r="V11" s="9"/>
      <c r="W11" s="12"/>
    </row>
    <row r="12" spans="2:23" s="128" customFormat="1" ht="19.5">
      <c r="B12" s="96" t="str">
        <f>+'TOT-0709'!B14</f>
        <v>Desde el 01 al 31 de julio de 2009</v>
      </c>
      <c r="C12" s="124"/>
      <c r="D12" s="124"/>
      <c r="E12" s="124"/>
      <c r="F12" s="124"/>
      <c r="G12" s="124"/>
      <c r="H12" s="95"/>
      <c r="I12" s="124"/>
      <c r="J12" s="125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7"/>
    </row>
    <row r="13" spans="2:23" s="128" customFormat="1" ht="7.5" customHeight="1">
      <c r="B13" s="96"/>
      <c r="C13" s="124"/>
      <c r="D13" s="124"/>
      <c r="E13" s="124"/>
      <c r="F13" s="124"/>
      <c r="G13" s="124"/>
      <c r="H13" s="95"/>
      <c r="I13" s="124"/>
      <c r="J13" s="125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7"/>
    </row>
    <row r="14" spans="2:23" s="11" customFormat="1" ht="7.5" customHeight="1" thickBot="1">
      <c r="B14" s="41"/>
      <c r="C14" s="9"/>
      <c r="D14" s="9"/>
      <c r="E14" s="9"/>
      <c r="I14" s="129"/>
      <c r="K14" s="9"/>
      <c r="L14" s="9"/>
      <c r="M14" s="9"/>
      <c r="N14" s="129"/>
      <c r="O14" s="129"/>
      <c r="P14" s="12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8" t="s">
        <v>81</v>
      </c>
      <c r="G15" s="209">
        <v>8.106</v>
      </c>
      <c r="H15" s="100">
        <f>60*'TOT-0709'!B13</f>
        <v>60</v>
      </c>
      <c r="I15" s="129"/>
      <c r="J15" s="241" t="str">
        <f>IF(H15=60," ",IF(H15=120,"Coeficiente duplicado por tasa de falla &gt;4 Sal. x año/100 km.","REVISAR COEFICIENTE"))</f>
        <v> </v>
      </c>
      <c r="K15" s="9"/>
      <c r="L15" s="9"/>
      <c r="M15" s="9"/>
      <c r="N15" s="129"/>
      <c r="O15" s="129"/>
      <c r="P15" s="12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08" t="s">
        <v>82</v>
      </c>
      <c r="G16" s="209">
        <v>3.243</v>
      </c>
      <c r="H16" s="100">
        <f>50*'TOT-0709'!B13</f>
        <v>50</v>
      </c>
      <c r="J16" s="241" t="str">
        <f>IF(H16=50," ",IF(H16=100,"Coeficiente duplicado por tasa de falla &gt;4 Sal. x año/100 km.","REVISAR COEFICIENTE"))</f>
        <v> </v>
      </c>
      <c r="Q16" s="273"/>
      <c r="S16" s="9"/>
      <c r="T16" s="9"/>
      <c r="U16" s="9"/>
      <c r="V16" s="205"/>
      <c r="W16" s="12"/>
    </row>
    <row r="17" spans="2:23" s="11" customFormat="1" ht="16.5" customHeight="1" thickBot="1" thickTop="1">
      <c r="B17" s="41"/>
      <c r="C17" s="9"/>
      <c r="D17" s="9"/>
      <c r="E17" s="9"/>
      <c r="F17" s="210" t="s">
        <v>83</v>
      </c>
      <c r="G17" s="211">
        <v>2.433</v>
      </c>
      <c r="H17" s="212">
        <f>25*'TOT-0709'!B13</f>
        <v>25</v>
      </c>
      <c r="J17" s="241" t="str">
        <f>IF(H17=25," ",IF(H17=50,"Coeficiente duplicado por tasa de falla &gt;4 Sal. x año/100 km.","REVISAR COEFICIENTE"))</f>
        <v> </v>
      </c>
      <c r="K17" s="174"/>
      <c r="L17" s="174"/>
      <c r="M17" s="9"/>
      <c r="P17" s="206"/>
      <c r="Q17" s="207"/>
      <c r="R17" s="33"/>
      <c r="S17" s="9"/>
      <c r="T17" s="9"/>
      <c r="U17" s="9"/>
      <c r="V17" s="205"/>
      <c r="W17" s="12"/>
    </row>
    <row r="18" spans="2:23" s="11" customFormat="1" ht="16.5" customHeight="1" thickBot="1" thickTop="1">
      <c r="B18" s="41"/>
      <c r="C18" s="9"/>
      <c r="D18" s="9"/>
      <c r="E18" s="9"/>
      <c r="F18" s="213" t="s">
        <v>84</v>
      </c>
      <c r="G18" s="211">
        <v>2.433</v>
      </c>
      <c r="H18" s="214">
        <f>20*'TOT-0709'!B13</f>
        <v>20</v>
      </c>
      <c r="J18" s="241" t="str">
        <f>IF(H18=20," ",IF(H18=40,"Coeficiente duplicado por tasa de falla &gt;4 Sal. x año/100 km.","REVISAR COEFICIENTE"))</f>
        <v> </v>
      </c>
      <c r="K18" s="174"/>
      <c r="L18" s="174"/>
      <c r="M18" s="9"/>
      <c r="P18" s="206"/>
      <c r="Q18" s="207"/>
      <c r="R18" s="33"/>
      <c r="S18" s="9"/>
      <c r="T18" s="9"/>
      <c r="U18" s="9"/>
      <c r="V18" s="205"/>
      <c r="W18" s="12"/>
    </row>
    <row r="19" spans="2:23" s="11" customFormat="1" ht="7.5" customHeight="1" thickTop="1">
      <c r="B19" s="41"/>
      <c r="C19" s="9"/>
      <c r="D19" s="9"/>
      <c r="E19" s="9"/>
      <c r="F19" s="105"/>
      <c r="G19" s="662"/>
      <c r="H19" s="663"/>
      <c r="J19" s="241"/>
      <c r="K19" s="174"/>
      <c r="L19" s="174"/>
      <c r="M19" s="9"/>
      <c r="P19" s="206"/>
      <c r="Q19" s="207"/>
      <c r="R19" s="33"/>
      <c r="S19" s="9"/>
      <c r="T19" s="9"/>
      <c r="U19" s="9"/>
      <c r="V19" s="205"/>
      <c r="W19" s="12"/>
    </row>
    <row r="20" spans="2:23" s="723" customFormat="1" ht="15" customHeight="1" thickBot="1">
      <c r="B20" s="720"/>
      <c r="C20" s="719">
        <v>3</v>
      </c>
      <c r="D20" s="719">
        <v>4</v>
      </c>
      <c r="E20" s="719">
        <v>5</v>
      </c>
      <c r="F20" s="719">
        <v>6</v>
      </c>
      <c r="G20" s="719">
        <v>7</v>
      </c>
      <c r="H20" s="719">
        <v>8</v>
      </c>
      <c r="I20" s="719">
        <v>9</v>
      </c>
      <c r="J20" s="719">
        <v>10</v>
      </c>
      <c r="K20" s="719">
        <v>11</v>
      </c>
      <c r="L20" s="719">
        <v>12</v>
      </c>
      <c r="M20" s="719">
        <v>13</v>
      </c>
      <c r="N20" s="719">
        <v>14</v>
      </c>
      <c r="O20" s="719">
        <v>15</v>
      </c>
      <c r="P20" s="719">
        <v>16</v>
      </c>
      <c r="Q20" s="719">
        <v>17</v>
      </c>
      <c r="R20" s="719">
        <v>18</v>
      </c>
      <c r="S20" s="719">
        <v>19</v>
      </c>
      <c r="T20" s="719">
        <v>20</v>
      </c>
      <c r="U20" s="719">
        <v>21</v>
      </c>
      <c r="V20" s="719">
        <v>22</v>
      </c>
      <c r="W20" s="722"/>
    </row>
    <row r="21" spans="2:23" s="11" customFormat="1" ht="33.75" customHeight="1" thickBot="1" thickTop="1">
      <c r="B21" s="41"/>
      <c r="C21" s="203" t="s">
        <v>44</v>
      </c>
      <c r="D21" s="108" t="s">
        <v>222</v>
      </c>
      <c r="E21" s="108" t="s">
        <v>221</v>
      </c>
      <c r="F21" s="201" t="s">
        <v>68</v>
      </c>
      <c r="G21" s="215" t="s">
        <v>14</v>
      </c>
      <c r="H21" s="218" t="s">
        <v>45</v>
      </c>
      <c r="I21" s="269" t="s">
        <v>47</v>
      </c>
      <c r="J21" s="197" t="s">
        <v>48</v>
      </c>
      <c r="K21" s="215" t="s">
        <v>49</v>
      </c>
      <c r="L21" s="217" t="s">
        <v>72</v>
      </c>
      <c r="M21" s="217" t="s">
        <v>73</v>
      </c>
      <c r="N21" s="112" t="s">
        <v>52</v>
      </c>
      <c r="O21" s="202" t="s">
        <v>74</v>
      </c>
      <c r="P21" s="337" t="s">
        <v>85</v>
      </c>
      <c r="Q21" s="311" t="s">
        <v>54</v>
      </c>
      <c r="R21" s="330" t="s">
        <v>78</v>
      </c>
      <c r="S21" s="331"/>
      <c r="T21" s="347" t="s">
        <v>58</v>
      </c>
      <c r="U21" s="199" t="s">
        <v>60</v>
      </c>
      <c r="V21" s="199" t="s">
        <v>61</v>
      </c>
      <c r="W21" s="35"/>
    </row>
    <row r="22" spans="2:23" s="11" customFormat="1" ht="16.5" customHeight="1" thickTop="1">
      <c r="B22" s="41"/>
      <c r="C22" s="20"/>
      <c r="D22" s="19"/>
      <c r="E22" s="19"/>
      <c r="F22" s="29"/>
      <c r="G22" s="29"/>
      <c r="H22" s="13"/>
      <c r="I22" s="272"/>
      <c r="J22" s="30"/>
      <c r="K22" s="31"/>
      <c r="L22" s="32"/>
      <c r="M22" s="59"/>
      <c r="N22" s="339"/>
      <c r="O22" s="339"/>
      <c r="P22" s="340"/>
      <c r="Q22" s="342"/>
      <c r="R22" s="344"/>
      <c r="S22" s="345"/>
      <c r="T22" s="348"/>
      <c r="U22" s="346"/>
      <c r="V22" s="341"/>
      <c r="W22" s="35"/>
    </row>
    <row r="23" spans="2:23" s="11" customFormat="1" ht="16.5" customHeight="1">
      <c r="B23" s="41"/>
      <c r="C23" s="20"/>
      <c r="D23" s="19"/>
      <c r="E23" s="19"/>
      <c r="F23" s="29"/>
      <c r="G23" s="29"/>
      <c r="H23" s="13"/>
      <c r="I23" s="272"/>
      <c r="J23" s="30"/>
      <c r="K23" s="31"/>
      <c r="L23" s="32"/>
      <c r="M23" s="59"/>
      <c r="N23" s="26"/>
      <c r="O23" s="26"/>
      <c r="P23" s="338"/>
      <c r="Q23" s="343"/>
      <c r="R23" s="332"/>
      <c r="S23" s="333"/>
      <c r="T23" s="349"/>
      <c r="U23" s="23"/>
      <c r="V23" s="216"/>
      <c r="W23" s="35"/>
    </row>
    <row r="24" spans="2:23" s="11" customFormat="1" ht="16.5" customHeight="1">
      <c r="B24" s="41"/>
      <c r="C24" s="630">
        <v>19</v>
      </c>
      <c r="D24" s="615">
        <v>209638</v>
      </c>
      <c r="E24" s="615">
        <v>4893</v>
      </c>
      <c r="F24" s="631" t="s">
        <v>13</v>
      </c>
      <c r="G24" s="631" t="s">
        <v>259</v>
      </c>
      <c r="H24" s="638">
        <v>13.2</v>
      </c>
      <c r="I24" s="272">
        <f aca="true" t="shared" si="0" ref="I24:I43">IF(H24=330,$G$15,IF(AND(H24&lt;=132,H24&gt;=66),$G$16,IF(AND(H24&lt;66,H24&gt;=33),$G$17,$G$18)))</f>
        <v>2.433</v>
      </c>
      <c r="J24" s="633">
        <v>40022.43402777778</v>
      </c>
      <c r="K24" s="634">
        <v>40022.61319444444</v>
      </c>
      <c r="L24" s="32">
        <f aca="true" t="shared" si="1" ref="L24:L43">IF(F24="","",(K24-J24)*24)</f>
        <v>4.299999999871943</v>
      </c>
      <c r="M24" s="59">
        <f aca="true" t="shared" si="2" ref="M24:M43">IF(F24="","",ROUND((K24-J24)*24*60,0))</f>
        <v>258</v>
      </c>
      <c r="N24" s="635" t="s">
        <v>245</v>
      </c>
      <c r="O24" s="26" t="str">
        <f aca="true" t="shared" si="3" ref="O24:O43">IF(F24="","",IF(N24="P","--","NO"))</f>
        <v>--</v>
      </c>
      <c r="P24" s="338">
        <f aca="true" t="shared" si="4" ref="P24:P43">IF(H24=330,$H$15,IF(AND(H24&lt;=132,H24&gt;=66),$H$16,IF(AND(H24&lt;66,H24&gt;13.2),$H$17,$H$18)))</f>
        <v>20</v>
      </c>
      <c r="Q24" s="710">
        <f aca="true" t="shared" si="5" ref="Q24:Q43">IF(N24="P",I24*P24*ROUND(M24/60,2)*0.1,"--")</f>
        <v>20.9238</v>
      </c>
      <c r="R24" s="332" t="str">
        <f aca="true" t="shared" si="6" ref="R24:R43">IF(AND(N24="F",O24="NO"),I24*P24,"--")</f>
        <v>--</v>
      </c>
      <c r="S24" s="333" t="str">
        <f aca="true" t="shared" si="7" ref="S24:S43">IF(N24="F",I24*P24*ROUND(M24/60,2),"--")</f>
        <v>--</v>
      </c>
      <c r="T24" s="349" t="str">
        <f aca="true" t="shared" si="8" ref="T24:T43">IF(N24="RF",I24*P24*ROUND(M24/60,2),"--")</f>
        <v>--</v>
      </c>
      <c r="U24" s="23" t="s">
        <v>235</v>
      </c>
      <c r="V24" s="60">
        <f aca="true" t="shared" si="9" ref="V24:V43">IF(F24="","",SUM(Q24:T24)*IF(U24="SI",1,2)*IF(H24="500/220",0,1))</f>
        <v>20.9238</v>
      </c>
      <c r="W24" s="35"/>
    </row>
    <row r="25" spans="2:23" s="11" customFormat="1" ht="16.5" customHeight="1">
      <c r="B25" s="41"/>
      <c r="C25" s="630">
        <v>20</v>
      </c>
      <c r="D25" s="615">
        <v>209083</v>
      </c>
      <c r="E25" s="615">
        <v>1770</v>
      </c>
      <c r="F25" s="631" t="s">
        <v>13</v>
      </c>
      <c r="G25" s="631" t="s">
        <v>280</v>
      </c>
      <c r="H25" s="638">
        <v>13.2</v>
      </c>
      <c r="I25" s="272">
        <f t="shared" si="0"/>
        <v>2.433</v>
      </c>
      <c r="J25" s="633">
        <v>40009.375</v>
      </c>
      <c r="K25" s="634">
        <v>40009.45486111111</v>
      </c>
      <c r="L25" s="32">
        <f t="shared" si="1"/>
        <v>1.9166666666278616</v>
      </c>
      <c r="M25" s="59">
        <f t="shared" si="2"/>
        <v>115</v>
      </c>
      <c r="N25" s="635" t="s">
        <v>245</v>
      </c>
      <c r="O25" s="26" t="str">
        <f t="shared" si="3"/>
        <v>--</v>
      </c>
      <c r="P25" s="338">
        <f t="shared" si="4"/>
        <v>20</v>
      </c>
      <c r="Q25" s="710">
        <f t="shared" si="5"/>
        <v>9.342719999999998</v>
      </c>
      <c r="R25" s="332" t="str">
        <f t="shared" si="6"/>
        <v>--</v>
      </c>
      <c r="S25" s="333" t="str">
        <f t="shared" si="7"/>
        <v>--</v>
      </c>
      <c r="T25" s="349" t="str">
        <f t="shared" si="8"/>
        <v>--</v>
      </c>
      <c r="U25" s="23" t="str">
        <f aca="true" t="shared" si="10" ref="U25:U43">IF(F25="","","SI")</f>
        <v>SI</v>
      </c>
      <c r="V25" s="60">
        <f t="shared" si="9"/>
        <v>9.342719999999998</v>
      </c>
      <c r="W25" s="35"/>
    </row>
    <row r="26" spans="2:23" s="11" customFormat="1" ht="16.5" customHeight="1">
      <c r="B26" s="41"/>
      <c r="C26" s="630">
        <v>21</v>
      </c>
      <c r="D26" s="615">
        <v>209367</v>
      </c>
      <c r="E26" s="615">
        <v>1771</v>
      </c>
      <c r="F26" s="631" t="s">
        <v>13</v>
      </c>
      <c r="G26" s="631" t="s">
        <v>281</v>
      </c>
      <c r="H26" s="638">
        <v>13.2</v>
      </c>
      <c r="I26" s="272">
        <f t="shared" si="0"/>
        <v>2.433</v>
      </c>
      <c r="J26" s="633">
        <v>40021.37847222222</v>
      </c>
      <c r="K26" s="634">
        <v>40021.48541666667</v>
      </c>
      <c r="L26" s="32">
        <f t="shared" si="1"/>
        <v>2.5666666668257676</v>
      </c>
      <c r="M26" s="59">
        <f t="shared" si="2"/>
        <v>154</v>
      </c>
      <c r="N26" s="635" t="s">
        <v>245</v>
      </c>
      <c r="O26" s="26" t="str">
        <f t="shared" si="3"/>
        <v>--</v>
      </c>
      <c r="P26" s="338">
        <f t="shared" si="4"/>
        <v>20</v>
      </c>
      <c r="Q26" s="710">
        <f t="shared" si="5"/>
        <v>12.50562</v>
      </c>
      <c r="R26" s="332" t="str">
        <f t="shared" si="6"/>
        <v>--</v>
      </c>
      <c r="S26" s="333" t="str">
        <f t="shared" si="7"/>
        <v>--</v>
      </c>
      <c r="T26" s="349" t="str">
        <f t="shared" si="8"/>
        <v>--</v>
      </c>
      <c r="U26" s="23" t="str">
        <f t="shared" si="10"/>
        <v>SI</v>
      </c>
      <c r="V26" s="60">
        <f t="shared" si="9"/>
        <v>12.50562</v>
      </c>
      <c r="W26" s="35"/>
    </row>
    <row r="27" spans="2:23" s="11" customFormat="1" ht="16.5" customHeight="1">
      <c r="B27" s="41"/>
      <c r="C27" s="630">
        <v>22</v>
      </c>
      <c r="D27" s="615">
        <v>209639</v>
      </c>
      <c r="E27" s="615">
        <v>1772</v>
      </c>
      <c r="F27" s="631" t="s">
        <v>13</v>
      </c>
      <c r="G27" s="631" t="s">
        <v>282</v>
      </c>
      <c r="H27" s="638">
        <v>13.2</v>
      </c>
      <c r="I27" s="272">
        <f t="shared" si="0"/>
        <v>2.433</v>
      </c>
      <c r="J27" s="633">
        <v>40023.39097222222</v>
      </c>
      <c r="K27" s="634">
        <v>40023.540972222225</v>
      </c>
      <c r="L27" s="32">
        <f t="shared" si="1"/>
        <v>3.6000000000349246</v>
      </c>
      <c r="M27" s="59">
        <f t="shared" si="2"/>
        <v>216</v>
      </c>
      <c r="N27" s="635" t="s">
        <v>245</v>
      </c>
      <c r="O27" s="26" t="str">
        <f t="shared" si="3"/>
        <v>--</v>
      </c>
      <c r="P27" s="338">
        <f t="shared" si="4"/>
        <v>20</v>
      </c>
      <c r="Q27" s="710">
        <f t="shared" si="5"/>
        <v>17.517599999999998</v>
      </c>
      <c r="R27" s="332" t="str">
        <f t="shared" si="6"/>
        <v>--</v>
      </c>
      <c r="S27" s="333" t="str">
        <f t="shared" si="7"/>
        <v>--</v>
      </c>
      <c r="T27" s="349" t="str">
        <f t="shared" si="8"/>
        <v>--</v>
      </c>
      <c r="U27" s="23" t="str">
        <f t="shared" si="10"/>
        <v>SI</v>
      </c>
      <c r="V27" s="60">
        <f t="shared" si="9"/>
        <v>17.517599999999998</v>
      </c>
      <c r="W27" s="35"/>
    </row>
    <row r="28" spans="2:23" s="11" customFormat="1" ht="16.5" customHeight="1">
      <c r="B28" s="41"/>
      <c r="C28" s="630">
        <v>23</v>
      </c>
      <c r="D28" s="615">
        <v>208643</v>
      </c>
      <c r="E28" s="615">
        <v>1759</v>
      </c>
      <c r="F28" s="631" t="s">
        <v>283</v>
      </c>
      <c r="G28" s="631" t="s">
        <v>284</v>
      </c>
      <c r="H28" s="638">
        <v>33</v>
      </c>
      <c r="I28" s="272">
        <f t="shared" si="0"/>
        <v>2.433</v>
      </c>
      <c r="J28" s="633">
        <v>39995.38055555556</v>
      </c>
      <c r="K28" s="634">
        <v>39995.475</v>
      </c>
      <c r="L28" s="32">
        <f t="shared" si="1"/>
        <v>2.266666666546371</v>
      </c>
      <c r="M28" s="59">
        <f t="shared" si="2"/>
        <v>136</v>
      </c>
      <c r="N28" s="635" t="s">
        <v>245</v>
      </c>
      <c r="O28" s="26" t="str">
        <f t="shared" si="3"/>
        <v>--</v>
      </c>
      <c r="P28" s="338">
        <f t="shared" si="4"/>
        <v>25</v>
      </c>
      <c r="Q28" s="710">
        <f t="shared" si="5"/>
        <v>13.807274999999999</v>
      </c>
      <c r="R28" s="332" t="str">
        <f t="shared" si="6"/>
        <v>--</v>
      </c>
      <c r="S28" s="333" t="str">
        <f t="shared" si="7"/>
        <v>--</v>
      </c>
      <c r="T28" s="349" t="str">
        <f t="shared" si="8"/>
        <v>--</v>
      </c>
      <c r="U28" s="23" t="str">
        <f t="shared" si="10"/>
        <v>SI</v>
      </c>
      <c r="V28" s="60">
        <f t="shared" si="9"/>
        <v>13.807274999999999</v>
      </c>
      <c r="W28" s="35"/>
    </row>
    <row r="29" spans="2:23" s="11" customFormat="1" ht="16.5" customHeight="1">
      <c r="B29" s="41"/>
      <c r="C29" s="630">
        <v>24</v>
      </c>
      <c r="D29" s="615">
        <v>209640</v>
      </c>
      <c r="E29" s="615">
        <v>1760</v>
      </c>
      <c r="F29" s="631" t="s">
        <v>285</v>
      </c>
      <c r="G29" s="631" t="s">
        <v>286</v>
      </c>
      <c r="H29" s="638">
        <v>132</v>
      </c>
      <c r="I29" s="272">
        <f t="shared" si="0"/>
        <v>3.243</v>
      </c>
      <c r="J29" s="633">
        <v>40025.25347222222</v>
      </c>
      <c r="K29" s="634">
        <v>40025.256944444445</v>
      </c>
      <c r="L29" s="32">
        <f t="shared" si="1"/>
        <v>0.0833333334303461</v>
      </c>
      <c r="M29" s="59">
        <f t="shared" si="2"/>
        <v>5</v>
      </c>
      <c r="N29" s="635" t="s">
        <v>234</v>
      </c>
      <c r="O29" s="26" t="str">
        <f t="shared" si="3"/>
        <v>NO</v>
      </c>
      <c r="P29" s="338">
        <f t="shared" si="4"/>
        <v>50</v>
      </c>
      <c r="Q29" s="710" t="str">
        <f t="shared" si="5"/>
        <v>--</v>
      </c>
      <c r="R29" s="332">
        <f t="shared" si="6"/>
        <v>162.15</v>
      </c>
      <c r="S29" s="333">
        <f t="shared" si="7"/>
        <v>12.972000000000001</v>
      </c>
      <c r="T29" s="349" t="str">
        <f t="shared" si="8"/>
        <v>--</v>
      </c>
      <c r="U29" s="23" t="str">
        <f t="shared" si="10"/>
        <v>SI</v>
      </c>
      <c r="V29" s="60">
        <f t="shared" si="9"/>
        <v>175.122</v>
      </c>
      <c r="W29" s="35"/>
    </row>
    <row r="30" spans="2:23" s="11" customFormat="1" ht="16.5" customHeight="1">
      <c r="B30" s="41"/>
      <c r="C30" s="630"/>
      <c r="D30" s="615"/>
      <c r="E30" s="615"/>
      <c r="F30" s="631"/>
      <c r="G30" s="631"/>
      <c r="H30" s="638"/>
      <c r="I30" s="272">
        <f t="shared" si="0"/>
        <v>2.433</v>
      </c>
      <c r="J30" s="633"/>
      <c r="K30" s="634"/>
      <c r="L30" s="32">
        <f t="shared" si="1"/>
      </c>
      <c r="M30" s="59">
        <f t="shared" si="2"/>
      </c>
      <c r="N30" s="635"/>
      <c r="O30" s="26">
        <f t="shared" si="3"/>
      </c>
      <c r="P30" s="338">
        <f t="shared" si="4"/>
        <v>20</v>
      </c>
      <c r="Q30" s="710" t="str">
        <f t="shared" si="5"/>
        <v>--</v>
      </c>
      <c r="R30" s="332" t="str">
        <f t="shared" si="6"/>
        <v>--</v>
      </c>
      <c r="S30" s="333" t="str">
        <f t="shared" si="7"/>
        <v>--</v>
      </c>
      <c r="T30" s="349" t="str">
        <f t="shared" si="8"/>
        <v>--</v>
      </c>
      <c r="U30" s="23">
        <f t="shared" si="10"/>
      </c>
      <c r="V30" s="60">
        <f t="shared" si="9"/>
      </c>
      <c r="W30" s="35"/>
    </row>
    <row r="31" spans="2:23" s="11" customFormat="1" ht="16.5" customHeight="1">
      <c r="B31" s="41"/>
      <c r="C31" s="630"/>
      <c r="D31" s="615"/>
      <c r="E31" s="615"/>
      <c r="F31" s="631"/>
      <c r="G31" s="631"/>
      <c r="H31" s="638"/>
      <c r="I31" s="272">
        <f t="shared" si="0"/>
        <v>2.433</v>
      </c>
      <c r="J31" s="633"/>
      <c r="K31" s="634"/>
      <c r="L31" s="32">
        <f t="shared" si="1"/>
      </c>
      <c r="M31" s="59">
        <f t="shared" si="2"/>
      </c>
      <c r="N31" s="635"/>
      <c r="O31" s="26">
        <f t="shared" si="3"/>
      </c>
      <c r="P31" s="338">
        <f t="shared" si="4"/>
        <v>20</v>
      </c>
      <c r="Q31" s="710" t="str">
        <f t="shared" si="5"/>
        <v>--</v>
      </c>
      <c r="R31" s="332" t="str">
        <f t="shared" si="6"/>
        <v>--</v>
      </c>
      <c r="S31" s="333" t="str">
        <f t="shared" si="7"/>
        <v>--</v>
      </c>
      <c r="T31" s="349" t="str">
        <f t="shared" si="8"/>
        <v>--</v>
      </c>
      <c r="U31" s="23">
        <f t="shared" si="10"/>
      </c>
      <c r="V31" s="60">
        <f t="shared" si="9"/>
      </c>
      <c r="W31" s="35"/>
    </row>
    <row r="32" spans="2:23" s="11" customFormat="1" ht="16.5" customHeight="1">
      <c r="B32" s="41"/>
      <c r="C32" s="630"/>
      <c r="D32" s="615"/>
      <c r="E32" s="615"/>
      <c r="F32" s="631"/>
      <c r="G32" s="631"/>
      <c r="H32" s="638"/>
      <c r="I32" s="272">
        <f t="shared" si="0"/>
        <v>2.433</v>
      </c>
      <c r="J32" s="633"/>
      <c r="K32" s="634"/>
      <c r="L32" s="32">
        <f t="shared" si="1"/>
      </c>
      <c r="M32" s="59">
        <f t="shared" si="2"/>
      </c>
      <c r="N32" s="635"/>
      <c r="O32" s="26">
        <f t="shared" si="3"/>
      </c>
      <c r="P32" s="338">
        <f t="shared" si="4"/>
        <v>20</v>
      </c>
      <c r="Q32" s="710" t="str">
        <f t="shared" si="5"/>
        <v>--</v>
      </c>
      <c r="R32" s="332" t="str">
        <f t="shared" si="6"/>
        <v>--</v>
      </c>
      <c r="S32" s="333" t="str">
        <f t="shared" si="7"/>
        <v>--</v>
      </c>
      <c r="T32" s="349" t="str">
        <f t="shared" si="8"/>
        <v>--</v>
      </c>
      <c r="U32" s="23">
        <f t="shared" si="10"/>
      </c>
      <c r="V32" s="60">
        <f t="shared" si="9"/>
      </c>
      <c r="W32" s="35"/>
    </row>
    <row r="33" spans="2:23" s="11" customFormat="1" ht="16.5" customHeight="1">
      <c r="B33" s="41"/>
      <c r="C33" s="630"/>
      <c r="D33" s="615"/>
      <c r="E33" s="615"/>
      <c r="F33" s="631"/>
      <c r="G33" s="631"/>
      <c r="H33" s="638"/>
      <c r="I33" s="272">
        <f t="shared" si="0"/>
        <v>2.433</v>
      </c>
      <c r="J33" s="633"/>
      <c r="K33" s="634"/>
      <c r="L33" s="32">
        <f t="shared" si="1"/>
      </c>
      <c r="M33" s="59">
        <f t="shared" si="2"/>
      </c>
      <c r="N33" s="635"/>
      <c r="O33" s="26">
        <f t="shared" si="3"/>
      </c>
      <c r="P33" s="338">
        <f t="shared" si="4"/>
        <v>20</v>
      </c>
      <c r="Q33" s="710" t="str">
        <f t="shared" si="5"/>
        <v>--</v>
      </c>
      <c r="R33" s="332" t="str">
        <f t="shared" si="6"/>
        <v>--</v>
      </c>
      <c r="S33" s="333" t="str">
        <f t="shared" si="7"/>
        <v>--</v>
      </c>
      <c r="T33" s="349" t="str">
        <f t="shared" si="8"/>
        <v>--</v>
      </c>
      <c r="U33" s="23">
        <f t="shared" si="10"/>
      </c>
      <c r="V33" s="60">
        <f t="shared" si="9"/>
      </c>
      <c r="W33" s="35"/>
    </row>
    <row r="34" spans="2:23" s="11" customFormat="1" ht="16.5" customHeight="1">
      <c r="B34" s="41"/>
      <c r="C34" s="630"/>
      <c r="D34" s="615"/>
      <c r="E34" s="615"/>
      <c r="F34" s="631"/>
      <c r="G34" s="631"/>
      <c r="H34" s="638"/>
      <c r="I34" s="272">
        <f t="shared" si="0"/>
        <v>2.433</v>
      </c>
      <c r="J34" s="633"/>
      <c r="K34" s="634"/>
      <c r="L34" s="32">
        <f t="shared" si="1"/>
      </c>
      <c r="M34" s="59">
        <f t="shared" si="2"/>
      </c>
      <c r="N34" s="635"/>
      <c r="O34" s="26">
        <f t="shared" si="3"/>
      </c>
      <c r="P34" s="338">
        <f t="shared" si="4"/>
        <v>20</v>
      </c>
      <c r="Q34" s="710" t="str">
        <f t="shared" si="5"/>
        <v>--</v>
      </c>
      <c r="R34" s="332" t="str">
        <f t="shared" si="6"/>
        <v>--</v>
      </c>
      <c r="S34" s="333" t="str">
        <f t="shared" si="7"/>
        <v>--</v>
      </c>
      <c r="T34" s="349" t="str">
        <f t="shared" si="8"/>
        <v>--</v>
      </c>
      <c r="U34" s="23">
        <f t="shared" si="10"/>
      </c>
      <c r="V34" s="60">
        <f t="shared" si="9"/>
      </c>
      <c r="W34" s="35"/>
    </row>
    <row r="35" spans="2:23" s="11" customFormat="1" ht="16.5" customHeight="1">
      <c r="B35" s="41"/>
      <c r="C35" s="630"/>
      <c r="D35" s="615"/>
      <c r="E35" s="615"/>
      <c r="F35" s="631"/>
      <c r="G35" s="631"/>
      <c r="H35" s="638"/>
      <c r="I35" s="272">
        <f t="shared" si="0"/>
        <v>2.433</v>
      </c>
      <c r="J35" s="633"/>
      <c r="K35" s="634"/>
      <c r="L35" s="32">
        <f t="shared" si="1"/>
      </c>
      <c r="M35" s="59">
        <f t="shared" si="2"/>
      </c>
      <c r="N35" s="635"/>
      <c r="O35" s="26">
        <f t="shared" si="3"/>
      </c>
      <c r="P35" s="338">
        <f t="shared" si="4"/>
        <v>20</v>
      </c>
      <c r="Q35" s="710" t="str">
        <f t="shared" si="5"/>
        <v>--</v>
      </c>
      <c r="R35" s="332" t="str">
        <f t="shared" si="6"/>
        <v>--</v>
      </c>
      <c r="S35" s="333" t="str">
        <f t="shared" si="7"/>
        <v>--</v>
      </c>
      <c r="T35" s="349" t="str">
        <f t="shared" si="8"/>
        <v>--</v>
      </c>
      <c r="U35" s="23">
        <f t="shared" si="10"/>
      </c>
      <c r="V35" s="60">
        <f t="shared" si="9"/>
      </c>
      <c r="W35" s="35"/>
    </row>
    <row r="36" spans="2:23" s="11" customFormat="1" ht="16.5" customHeight="1">
      <c r="B36" s="41"/>
      <c r="C36" s="630"/>
      <c r="D36" s="615"/>
      <c r="E36" s="615"/>
      <c r="F36" s="631"/>
      <c r="G36" s="631"/>
      <c r="H36" s="638"/>
      <c r="I36" s="272">
        <f t="shared" si="0"/>
        <v>2.433</v>
      </c>
      <c r="J36" s="633"/>
      <c r="K36" s="634"/>
      <c r="L36" s="32">
        <f t="shared" si="1"/>
      </c>
      <c r="M36" s="59">
        <f t="shared" si="2"/>
      </c>
      <c r="N36" s="635"/>
      <c r="O36" s="26">
        <f t="shared" si="3"/>
      </c>
      <c r="P36" s="338">
        <f t="shared" si="4"/>
        <v>20</v>
      </c>
      <c r="Q36" s="710" t="str">
        <f t="shared" si="5"/>
        <v>--</v>
      </c>
      <c r="R36" s="332" t="str">
        <f t="shared" si="6"/>
        <v>--</v>
      </c>
      <c r="S36" s="333" t="str">
        <f t="shared" si="7"/>
        <v>--</v>
      </c>
      <c r="T36" s="349" t="str">
        <f t="shared" si="8"/>
        <v>--</v>
      </c>
      <c r="U36" s="23">
        <f t="shared" si="10"/>
      </c>
      <c r="V36" s="60">
        <f t="shared" si="9"/>
      </c>
      <c r="W36" s="35"/>
    </row>
    <row r="37" spans="2:23" s="11" customFormat="1" ht="16.5" customHeight="1">
      <c r="B37" s="41"/>
      <c r="C37" s="630"/>
      <c r="D37" s="615"/>
      <c r="E37" s="615"/>
      <c r="F37" s="631"/>
      <c r="G37" s="631"/>
      <c r="H37" s="638"/>
      <c r="I37" s="272">
        <f t="shared" si="0"/>
        <v>2.433</v>
      </c>
      <c r="J37" s="633"/>
      <c r="K37" s="634"/>
      <c r="L37" s="32">
        <f t="shared" si="1"/>
      </c>
      <c r="M37" s="59">
        <f t="shared" si="2"/>
      </c>
      <c r="N37" s="635"/>
      <c r="O37" s="26">
        <f t="shared" si="3"/>
      </c>
      <c r="P37" s="338">
        <f t="shared" si="4"/>
        <v>20</v>
      </c>
      <c r="Q37" s="710" t="str">
        <f t="shared" si="5"/>
        <v>--</v>
      </c>
      <c r="R37" s="332" t="str">
        <f t="shared" si="6"/>
        <v>--</v>
      </c>
      <c r="S37" s="333" t="str">
        <f t="shared" si="7"/>
        <v>--</v>
      </c>
      <c r="T37" s="349" t="str">
        <f t="shared" si="8"/>
        <v>--</v>
      </c>
      <c r="U37" s="23">
        <f t="shared" si="10"/>
      </c>
      <c r="V37" s="60">
        <f t="shared" si="9"/>
      </c>
      <c r="W37" s="35"/>
    </row>
    <row r="38" spans="2:23" s="11" customFormat="1" ht="16.5" customHeight="1">
      <c r="B38" s="41"/>
      <c r="C38" s="630"/>
      <c r="D38" s="615"/>
      <c r="E38" s="615"/>
      <c r="F38" s="631"/>
      <c r="G38" s="631"/>
      <c r="H38" s="638"/>
      <c r="I38" s="272">
        <f t="shared" si="0"/>
        <v>2.433</v>
      </c>
      <c r="J38" s="633"/>
      <c r="K38" s="634"/>
      <c r="L38" s="32">
        <f t="shared" si="1"/>
      </c>
      <c r="M38" s="59">
        <f t="shared" si="2"/>
      </c>
      <c r="N38" s="635"/>
      <c r="O38" s="26">
        <f t="shared" si="3"/>
      </c>
      <c r="P38" s="338">
        <f t="shared" si="4"/>
        <v>20</v>
      </c>
      <c r="Q38" s="710" t="str">
        <f t="shared" si="5"/>
        <v>--</v>
      </c>
      <c r="R38" s="332" t="str">
        <f t="shared" si="6"/>
        <v>--</v>
      </c>
      <c r="S38" s="333" t="str">
        <f t="shared" si="7"/>
        <v>--</v>
      </c>
      <c r="T38" s="349" t="str">
        <f t="shared" si="8"/>
        <v>--</v>
      </c>
      <c r="U38" s="23">
        <f t="shared" si="10"/>
      </c>
      <c r="V38" s="60">
        <f t="shared" si="9"/>
      </c>
      <c r="W38" s="35"/>
    </row>
    <row r="39" spans="2:23" s="11" customFormat="1" ht="16.5" customHeight="1">
      <c r="B39" s="41"/>
      <c r="C39" s="630"/>
      <c r="D39" s="615"/>
      <c r="E39" s="615"/>
      <c r="F39" s="631"/>
      <c r="G39" s="631"/>
      <c r="H39" s="638"/>
      <c r="I39" s="272">
        <f t="shared" si="0"/>
        <v>2.433</v>
      </c>
      <c r="J39" s="633"/>
      <c r="K39" s="634"/>
      <c r="L39" s="32">
        <f t="shared" si="1"/>
      </c>
      <c r="M39" s="59">
        <f t="shared" si="2"/>
      </c>
      <c r="N39" s="635"/>
      <c r="O39" s="26">
        <f t="shared" si="3"/>
      </c>
      <c r="P39" s="338">
        <f t="shared" si="4"/>
        <v>20</v>
      </c>
      <c r="Q39" s="710" t="str">
        <f t="shared" si="5"/>
        <v>--</v>
      </c>
      <c r="R39" s="332" t="str">
        <f t="shared" si="6"/>
        <v>--</v>
      </c>
      <c r="S39" s="333" t="str">
        <f t="shared" si="7"/>
        <v>--</v>
      </c>
      <c r="T39" s="349" t="str">
        <f t="shared" si="8"/>
        <v>--</v>
      </c>
      <c r="U39" s="23">
        <f t="shared" si="10"/>
      </c>
      <c r="V39" s="60">
        <f t="shared" si="9"/>
      </c>
      <c r="W39" s="35"/>
    </row>
    <row r="40" spans="2:23" s="11" customFormat="1" ht="16.5" customHeight="1">
      <c r="B40" s="41"/>
      <c r="C40" s="630"/>
      <c r="D40" s="615"/>
      <c r="E40" s="615"/>
      <c r="F40" s="631"/>
      <c r="G40" s="631"/>
      <c r="H40" s="638"/>
      <c r="I40" s="272">
        <f t="shared" si="0"/>
        <v>2.433</v>
      </c>
      <c r="J40" s="633"/>
      <c r="K40" s="634"/>
      <c r="L40" s="32">
        <f t="shared" si="1"/>
      </c>
      <c r="M40" s="59">
        <f t="shared" si="2"/>
      </c>
      <c r="N40" s="635"/>
      <c r="O40" s="26">
        <f t="shared" si="3"/>
      </c>
      <c r="P40" s="338">
        <f t="shared" si="4"/>
        <v>20</v>
      </c>
      <c r="Q40" s="710" t="str">
        <f t="shared" si="5"/>
        <v>--</v>
      </c>
      <c r="R40" s="332" t="str">
        <f t="shared" si="6"/>
        <v>--</v>
      </c>
      <c r="S40" s="333" t="str">
        <f t="shared" si="7"/>
        <v>--</v>
      </c>
      <c r="T40" s="349" t="str">
        <f t="shared" si="8"/>
        <v>--</v>
      </c>
      <c r="U40" s="23">
        <f t="shared" si="10"/>
      </c>
      <c r="V40" s="60">
        <f t="shared" si="9"/>
      </c>
      <c r="W40" s="35"/>
    </row>
    <row r="41" spans="2:23" s="11" customFormat="1" ht="16.5" customHeight="1">
      <c r="B41" s="41"/>
      <c r="C41" s="630"/>
      <c r="D41" s="615"/>
      <c r="E41" s="615"/>
      <c r="F41" s="631"/>
      <c r="G41" s="631"/>
      <c r="H41" s="638"/>
      <c r="I41" s="272">
        <f t="shared" si="0"/>
        <v>2.433</v>
      </c>
      <c r="J41" s="633"/>
      <c r="K41" s="634"/>
      <c r="L41" s="32">
        <f t="shared" si="1"/>
      </c>
      <c r="M41" s="59">
        <f t="shared" si="2"/>
      </c>
      <c r="N41" s="635"/>
      <c r="O41" s="26">
        <f t="shared" si="3"/>
      </c>
      <c r="P41" s="338">
        <f t="shared" si="4"/>
        <v>20</v>
      </c>
      <c r="Q41" s="710" t="str">
        <f t="shared" si="5"/>
        <v>--</v>
      </c>
      <c r="R41" s="332" t="str">
        <f t="shared" si="6"/>
        <v>--</v>
      </c>
      <c r="S41" s="333" t="str">
        <f t="shared" si="7"/>
        <v>--</v>
      </c>
      <c r="T41" s="349" t="str">
        <f t="shared" si="8"/>
        <v>--</v>
      </c>
      <c r="U41" s="23">
        <f t="shared" si="10"/>
      </c>
      <c r="V41" s="60">
        <f t="shared" si="9"/>
      </c>
      <c r="W41" s="35"/>
    </row>
    <row r="42" spans="2:23" s="11" customFormat="1" ht="16.5" customHeight="1">
      <c r="B42" s="41"/>
      <c r="C42" s="630"/>
      <c r="D42" s="615"/>
      <c r="E42" s="615"/>
      <c r="F42" s="631"/>
      <c r="G42" s="631"/>
      <c r="H42" s="638"/>
      <c r="I42" s="272">
        <f t="shared" si="0"/>
        <v>2.433</v>
      </c>
      <c r="J42" s="633"/>
      <c r="K42" s="634"/>
      <c r="L42" s="32">
        <f t="shared" si="1"/>
      </c>
      <c r="M42" s="59">
        <f t="shared" si="2"/>
      </c>
      <c r="N42" s="635"/>
      <c r="O42" s="26">
        <f t="shared" si="3"/>
      </c>
      <c r="P42" s="338">
        <f t="shared" si="4"/>
        <v>20</v>
      </c>
      <c r="Q42" s="710" t="str">
        <f t="shared" si="5"/>
        <v>--</v>
      </c>
      <c r="R42" s="332" t="str">
        <f t="shared" si="6"/>
        <v>--</v>
      </c>
      <c r="S42" s="333" t="str">
        <f t="shared" si="7"/>
        <v>--</v>
      </c>
      <c r="T42" s="349" t="str">
        <f t="shared" si="8"/>
        <v>--</v>
      </c>
      <c r="U42" s="23">
        <f t="shared" si="10"/>
      </c>
      <c r="V42" s="60">
        <f t="shared" si="9"/>
      </c>
      <c r="W42" s="35"/>
    </row>
    <row r="43" spans="2:23" s="11" customFormat="1" ht="16.5" customHeight="1">
      <c r="B43" s="41"/>
      <c r="C43" s="630"/>
      <c r="D43" s="615"/>
      <c r="E43" s="615"/>
      <c r="F43" s="631"/>
      <c r="G43" s="631"/>
      <c r="H43" s="638"/>
      <c r="I43" s="272">
        <f t="shared" si="0"/>
        <v>2.433</v>
      </c>
      <c r="J43" s="633"/>
      <c r="K43" s="634"/>
      <c r="L43" s="32">
        <f t="shared" si="1"/>
      </c>
      <c r="M43" s="59">
        <f t="shared" si="2"/>
      </c>
      <c r="N43" s="635"/>
      <c r="O43" s="26">
        <f t="shared" si="3"/>
      </c>
      <c r="P43" s="338">
        <f t="shared" si="4"/>
        <v>20</v>
      </c>
      <c r="Q43" s="710" t="str">
        <f t="shared" si="5"/>
        <v>--</v>
      </c>
      <c r="R43" s="332" t="str">
        <f t="shared" si="6"/>
        <v>--</v>
      </c>
      <c r="S43" s="333" t="str">
        <f t="shared" si="7"/>
        <v>--</v>
      </c>
      <c r="T43" s="349" t="str">
        <f t="shared" si="8"/>
        <v>--</v>
      </c>
      <c r="U43" s="23">
        <f t="shared" si="10"/>
      </c>
      <c r="V43" s="60">
        <f t="shared" si="9"/>
      </c>
      <c r="W43" s="35"/>
    </row>
    <row r="44" spans="2:23" s="11" customFormat="1" ht="16.5" customHeight="1" thickBot="1">
      <c r="B44" s="41"/>
      <c r="C44" s="618"/>
      <c r="D44" s="618"/>
      <c r="E44" s="618"/>
      <c r="F44" s="618"/>
      <c r="G44" s="618"/>
      <c r="H44" s="618"/>
      <c r="I44" s="271"/>
      <c r="J44" s="618"/>
      <c r="K44" s="618"/>
      <c r="L44" s="27"/>
      <c r="M44" s="27"/>
      <c r="N44" s="618"/>
      <c r="O44" s="618"/>
      <c r="P44" s="636"/>
      <c r="Q44" s="637"/>
      <c r="R44" s="626"/>
      <c r="S44" s="627"/>
      <c r="T44" s="621"/>
      <c r="U44" s="618"/>
      <c r="V44" s="204"/>
      <c r="W44" s="35"/>
    </row>
    <row r="45" spans="2:23" s="11" customFormat="1" ht="16.5" customHeight="1" thickBot="1" thickTop="1">
      <c r="B45" s="41"/>
      <c r="C45" s="244" t="s">
        <v>62</v>
      </c>
      <c r="D45" s="717" t="s">
        <v>263</v>
      </c>
      <c r="E45" s="690"/>
      <c r="F45" s="245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50">
        <f>ROUND(SUM(Q22:Q44),2)</f>
        <v>74.1</v>
      </c>
      <c r="R45" s="316">
        <f>SUM(R22:R44)</f>
        <v>162.15</v>
      </c>
      <c r="S45" s="316">
        <f>SUM(S22:S44)</f>
        <v>12.972000000000001</v>
      </c>
      <c r="T45" s="351">
        <f>SUM(T22:T44)</f>
        <v>0</v>
      </c>
      <c r="U45" s="61"/>
      <c r="V45" s="260">
        <f>SUM(V22:V44)</f>
        <v>249.219015</v>
      </c>
      <c r="W45" s="35"/>
    </row>
    <row r="46" spans="2:23" s="263" customFormat="1" ht="9.75" thickTop="1">
      <c r="B46" s="262"/>
      <c r="C46" s="246"/>
      <c r="D46" s="246"/>
      <c r="E46" s="246"/>
      <c r="F46" s="247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5"/>
      <c r="V46" s="266"/>
      <c r="W46" s="267"/>
    </row>
    <row r="47" spans="1:23" s="11" customFormat="1" ht="16.5" customHeight="1" thickBot="1">
      <c r="A47" s="12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6"/>
    </row>
    <row r="48" spans="1:23" ht="13.5" thickTop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3:6" ht="12.75">
      <c r="C49" s="7"/>
      <c r="D49" s="7"/>
      <c r="E49" s="7"/>
      <c r="F49" s="7"/>
    </row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Roman,Normal"&amp;8&amp;F-&amp;A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Y158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6" customFormat="1" ht="26.25">
      <c r="W1" s="384"/>
    </row>
    <row r="2" spans="2:23" s="116" customFormat="1" ht="26.25">
      <c r="B2" s="117" t="s">
        <v>287</v>
      </c>
      <c r="C2" s="118"/>
      <c r="D2" s="118"/>
      <c r="E2" s="118"/>
      <c r="F2" s="118"/>
      <c r="G2" s="117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="11" customFormat="1" ht="12.75"/>
    <row r="4" spans="1:4" s="119" customFormat="1" ht="11.25">
      <c r="A4" s="693" t="s">
        <v>16</v>
      </c>
      <c r="C4" s="692"/>
      <c r="D4" s="692"/>
    </row>
    <row r="5" spans="1:4" s="119" customFormat="1" ht="11.25">
      <c r="A5" s="693" t="s">
        <v>225</v>
      </c>
      <c r="C5" s="692"/>
      <c r="D5" s="692"/>
    </row>
    <row r="6" s="11" customFormat="1" ht="12.75"/>
    <row r="7" s="11" customFormat="1" ht="13.5" thickBot="1"/>
    <row r="8" spans="2:23" s="11" customFormat="1" ht="13.5" thickTop="1"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2:23" s="121" customFormat="1" ht="20.25">
      <c r="B9" s="120"/>
      <c r="C9" s="21"/>
      <c r="D9" s="21"/>
      <c r="E9" s="21"/>
      <c r="F9" s="21" t="s">
        <v>38</v>
      </c>
      <c r="G9" s="80"/>
      <c r="H9" s="142"/>
      <c r="I9" s="141"/>
      <c r="J9" s="141"/>
      <c r="K9" s="141"/>
      <c r="L9" s="141"/>
      <c r="M9" s="141"/>
      <c r="N9" s="141"/>
      <c r="O9" s="142"/>
      <c r="P9" s="142"/>
      <c r="Q9" s="142"/>
      <c r="R9" s="142"/>
      <c r="S9" s="142"/>
      <c r="T9" s="142"/>
      <c r="U9" s="142"/>
      <c r="V9" s="142"/>
      <c r="W9" s="176"/>
    </row>
    <row r="10" spans="2:23" s="11" customFormat="1" ht="12.75">
      <c r="B10" s="4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21" customFormat="1" ht="20.25">
      <c r="B11" s="120"/>
      <c r="F11" s="21" t="s">
        <v>86</v>
      </c>
      <c r="H11" s="62"/>
      <c r="I11" s="123"/>
      <c r="J11" s="123"/>
      <c r="K11" s="123"/>
      <c r="L11" s="123"/>
      <c r="M11" s="123"/>
      <c r="N11" s="123"/>
      <c r="O11" s="123"/>
      <c r="P11" s="123"/>
      <c r="Q11" s="42"/>
      <c r="R11" s="42"/>
      <c r="S11" s="42"/>
      <c r="T11" s="42"/>
      <c r="U11" s="42"/>
      <c r="V11" s="42"/>
      <c r="W11" s="122"/>
    </row>
    <row r="12" spans="2:23" s="11" customFormat="1" ht="16.5" customHeight="1">
      <c r="B12" s="41"/>
      <c r="C12" s="9"/>
      <c r="D12" s="9"/>
      <c r="E12" s="9"/>
      <c r="F12" s="133"/>
      <c r="H12" s="143"/>
      <c r="I12" s="129"/>
      <c r="J12" s="129"/>
      <c r="K12" s="129"/>
      <c r="L12" s="129"/>
      <c r="M12" s="129"/>
      <c r="N12" s="129"/>
      <c r="O12" s="129"/>
      <c r="P12" s="129"/>
      <c r="Q12" s="9"/>
      <c r="R12" s="9"/>
      <c r="S12" s="9"/>
      <c r="T12" s="9"/>
      <c r="U12" s="9"/>
      <c r="V12" s="9"/>
      <c r="W12" s="12"/>
    </row>
    <row r="13" spans="2:23" s="128" customFormat="1" ht="16.5" customHeight="1">
      <c r="B13" s="96" t="str">
        <f>+'TOT-0709'!B14</f>
        <v>Desde el 01 al 31 de julio de 2009</v>
      </c>
      <c r="C13" s="124"/>
      <c r="D13" s="124"/>
      <c r="E13" s="124"/>
      <c r="F13" s="126"/>
      <c r="G13" s="126"/>
      <c r="H13" s="126"/>
      <c r="I13" s="126"/>
      <c r="J13" s="95"/>
      <c r="K13" s="126"/>
      <c r="L13" s="126"/>
      <c r="M13" s="126"/>
      <c r="N13" s="126"/>
      <c r="O13" s="126"/>
      <c r="P13" s="126"/>
      <c r="Q13" s="124"/>
      <c r="R13" s="124"/>
      <c r="S13" s="124"/>
      <c r="T13" s="124"/>
      <c r="U13" s="124"/>
      <c r="V13" s="124"/>
      <c r="W13" s="127"/>
    </row>
    <row r="14" spans="2:23" s="11" customFormat="1" ht="16.5" customHeight="1" thickBot="1">
      <c r="B14" s="4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41"/>
      <c r="C15" s="9"/>
      <c r="D15" s="9"/>
      <c r="E15" s="9"/>
      <c r="F15" s="208" t="s">
        <v>87</v>
      </c>
      <c r="G15" s="227"/>
      <c r="H15" s="228"/>
      <c r="I15" s="229"/>
      <c r="J15" s="378">
        <v>0.243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41"/>
      <c r="C16" s="9"/>
      <c r="D16" s="9"/>
      <c r="E16" s="9"/>
      <c r="F16" s="230" t="s">
        <v>67</v>
      </c>
      <c r="G16" s="231"/>
      <c r="H16" s="231"/>
      <c r="I16" s="229"/>
      <c r="J16" s="232">
        <f>6*'TOT-0709'!B13</f>
        <v>6</v>
      </c>
      <c r="K16" s="241" t="str">
        <f>IF(J16=20," ",IF(J16=40,"  Coeficiente duplicado por tasa de falla &gt;4 Sal. x año/100 km.","REVISAR COEFICIENTE"))</f>
        <v>REVISAR COEFICIENTE</v>
      </c>
      <c r="L16" s="9"/>
      <c r="M16" s="9"/>
      <c r="N16" s="9"/>
      <c r="P16" s="9"/>
      <c r="Q16" s="9"/>
      <c r="R16" s="9"/>
      <c r="S16" s="205"/>
      <c r="T16" s="205"/>
      <c r="U16" s="205"/>
      <c r="V16" s="205"/>
      <c r="W16" s="12"/>
    </row>
    <row r="17" spans="2:23" s="11" customFormat="1" ht="16.5" customHeight="1" thickTop="1">
      <c r="B17" s="4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723" customFormat="1" ht="16.5" customHeight="1" thickBot="1">
      <c r="B18" s="720"/>
      <c r="C18" s="721">
        <v>3</v>
      </c>
      <c r="D18" s="721">
        <v>4</v>
      </c>
      <c r="E18" s="721">
        <v>5</v>
      </c>
      <c r="F18" s="721">
        <v>6</v>
      </c>
      <c r="G18" s="721">
        <v>7</v>
      </c>
      <c r="H18" s="721">
        <v>8</v>
      </c>
      <c r="I18" s="721">
        <v>9</v>
      </c>
      <c r="J18" s="721">
        <v>10</v>
      </c>
      <c r="K18" s="721">
        <v>11</v>
      </c>
      <c r="L18" s="721">
        <v>12</v>
      </c>
      <c r="M18" s="721">
        <v>13</v>
      </c>
      <c r="N18" s="721">
        <v>14</v>
      </c>
      <c r="O18" s="721">
        <v>15</v>
      </c>
      <c r="P18" s="721">
        <v>16</v>
      </c>
      <c r="Q18" s="721">
        <v>17</v>
      </c>
      <c r="R18" s="721">
        <v>18</v>
      </c>
      <c r="S18" s="721">
        <v>19</v>
      </c>
      <c r="T18" s="721">
        <v>20</v>
      </c>
      <c r="U18" s="721">
        <v>21</v>
      </c>
      <c r="V18" s="721">
        <v>22</v>
      </c>
      <c r="W18" s="722"/>
    </row>
    <row r="19" spans="2:23" s="115" customFormat="1" ht="33.75" customHeight="1" thickBot="1" thickTop="1">
      <c r="B19" s="107"/>
      <c r="C19" s="108" t="s">
        <v>44</v>
      </c>
      <c r="D19" s="108" t="s">
        <v>222</v>
      </c>
      <c r="E19" s="108" t="s">
        <v>221</v>
      </c>
      <c r="F19" s="110" t="s">
        <v>68</v>
      </c>
      <c r="G19" s="109" t="s">
        <v>14</v>
      </c>
      <c r="H19" s="233" t="s">
        <v>88</v>
      </c>
      <c r="I19" s="269" t="s">
        <v>47</v>
      </c>
      <c r="J19" s="109" t="s">
        <v>48</v>
      </c>
      <c r="K19" s="109" t="s">
        <v>49</v>
      </c>
      <c r="L19" s="110" t="s">
        <v>72</v>
      </c>
      <c r="M19" s="110" t="s">
        <v>73</v>
      </c>
      <c r="N19" s="112" t="s">
        <v>52</v>
      </c>
      <c r="O19" s="109" t="s">
        <v>89</v>
      </c>
      <c r="P19" s="324" t="s">
        <v>90</v>
      </c>
      <c r="Q19" s="326" t="s">
        <v>54</v>
      </c>
      <c r="R19" s="366" t="s">
        <v>91</v>
      </c>
      <c r="S19" s="307"/>
      <c r="T19" s="311" t="s">
        <v>58</v>
      </c>
      <c r="U19" s="113" t="s">
        <v>60</v>
      </c>
      <c r="V19" s="234" t="s">
        <v>61</v>
      </c>
      <c r="W19" s="114"/>
    </row>
    <row r="20" spans="2:23" s="11" customFormat="1" ht="16.5" customHeight="1" thickTop="1">
      <c r="B20" s="41"/>
      <c r="C20" s="224"/>
      <c r="D20" s="688"/>
      <c r="E20" s="688"/>
      <c r="F20" s="688"/>
      <c r="G20" s="225"/>
      <c r="H20" s="225"/>
      <c r="I20" s="352"/>
      <c r="J20" s="226"/>
      <c r="K20" s="226"/>
      <c r="L20" s="224"/>
      <c r="M20" s="224"/>
      <c r="N20" s="225"/>
      <c r="O20" s="175"/>
      <c r="P20" s="359"/>
      <c r="Q20" s="360"/>
      <c r="R20" s="362"/>
      <c r="S20" s="367"/>
      <c r="T20" s="375"/>
      <c r="U20" s="369"/>
      <c r="V20" s="361"/>
      <c r="W20" s="12"/>
    </row>
    <row r="21" spans="2:23" s="11" customFormat="1" ht="16.5" customHeight="1">
      <c r="B21" s="41"/>
      <c r="C21" s="82"/>
      <c r="D21" s="82"/>
      <c r="E21" s="82"/>
      <c r="F21" s="85"/>
      <c r="G21" s="84"/>
      <c r="H21" s="85"/>
      <c r="I21" s="353"/>
      <c r="J21" s="87"/>
      <c r="K21" s="88"/>
      <c r="L21" s="89"/>
      <c r="M21" s="90"/>
      <c r="N21" s="91"/>
      <c r="O21" s="86"/>
      <c r="P21" s="356"/>
      <c r="Q21" s="357"/>
      <c r="R21" s="363"/>
      <c r="S21" s="368"/>
      <c r="T21" s="376"/>
      <c r="U21" s="86"/>
      <c r="V21" s="235"/>
      <c r="W21" s="12"/>
    </row>
    <row r="22" spans="2:23" s="11" customFormat="1" ht="16.5" customHeight="1">
      <c r="B22" s="41"/>
      <c r="C22" s="479">
        <v>20</v>
      </c>
      <c r="D22" s="479">
        <v>208900</v>
      </c>
      <c r="E22" s="479">
        <v>2630</v>
      </c>
      <c r="F22" s="641" t="s">
        <v>251</v>
      </c>
      <c r="G22" s="640" t="s">
        <v>252</v>
      </c>
      <c r="H22" s="641">
        <v>50</v>
      </c>
      <c r="I22" s="354">
        <f aca="true" t="shared" si="0" ref="I22:I41">H22*$J$15</f>
        <v>12.15</v>
      </c>
      <c r="J22" s="645">
        <v>40004.49652777778</v>
      </c>
      <c r="K22" s="646">
        <v>40004.58194444444</v>
      </c>
      <c r="L22" s="92">
        <f aca="true" t="shared" si="1" ref="L22:L41">IF(F22="","",(K22-J22)*24)</f>
        <v>2.049999999871943</v>
      </c>
      <c r="M22" s="59">
        <f aca="true" t="shared" si="2" ref="M22:M41">IF(F22="","",ROUND((K22-J22)*24*60,0))</f>
        <v>123</v>
      </c>
      <c r="N22" s="648" t="s">
        <v>245</v>
      </c>
      <c r="O22" s="711" t="str">
        <f aca="true" t="shared" si="3" ref="O22:O41">IF(F22="","",IF(N22="P","--","NO"))</f>
        <v>--</v>
      </c>
      <c r="P22" s="712">
        <f aca="true" t="shared" si="4" ref="P22:P41">IF(OR(N22="P",N22="RP"),$J$16*0.1,$J$16)</f>
        <v>0.6000000000000001</v>
      </c>
      <c r="Q22" s="713">
        <f aca="true" t="shared" si="5" ref="Q22:Q41">IF(N22="P",I22*P22*ROUND(M22/60,2),"--")</f>
        <v>14.944500000000001</v>
      </c>
      <c r="R22" s="701" t="str">
        <f aca="true" t="shared" si="6" ref="R22:R41">IF(AND(N22="F",O22="NO"),I22*P22,"--")</f>
        <v>--</v>
      </c>
      <c r="S22" s="714" t="str">
        <f aca="true" t="shared" si="7" ref="S22:S41">IF(N22="F",I22*P22*ROUND(M22/60,2),"--")</f>
        <v>--</v>
      </c>
      <c r="T22" s="715" t="str">
        <f aca="true" t="shared" si="8" ref="T22:T41">IF(N22="RF",I22*P22*ROUND(M22/60,2),"--")</f>
        <v>--</v>
      </c>
      <c r="U22" s="711" t="s">
        <v>235</v>
      </c>
      <c r="V22" s="93">
        <f aca="true" t="shared" si="9" ref="V22:V41">IF(F22="","",SUM(Q22:T22)*IF(U22="SI",1,2))</f>
        <v>14.944500000000001</v>
      </c>
      <c r="W22" s="12"/>
    </row>
    <row r="23" spans="2:23" s="11" customFormat="1" ht="16.5" customHeight="1">
      <c r="B23" s="41"/>
      <c r="C23" s="479">
        <v>21</v>
      </c>
      <c r="D23" s="479">
        <v>209635</v>
      </c>
      <c r="E23" s="479">
        <v>2630</v>
      </c>
      <c r="F23" s="641" t="s">
        <v>251</v>
      </c>
      <c r="G23" s="640" t="s">
        <v>252</v>
      </c>
      <c r="H23" s="641">
        <v>50</v>
      </c>
      <c r="I23" s="354">
        <f t="shared" si="0"/>
        <v>12.15</v>
      </c>
      <c r="J23" s="645">
        <v>40024.41458333333</v>
      </c>
      <c r="K23" s="646">
        <v>40024.62430555555</v>
      </c>
      <c r="L23" s="92">
        <f t="shared" si="1"/>
        <v>5.033333333325572</v>
      </c>
      <c r="M23" s="59">
        <f t="shared" si="2"/>
        <v>302</v>
      </c>
      <c r="N23" s="648" t="s">
        <v>245</v>
      </c>
      <c r="O23" s="711" t="str">
        <f t="shared" si="3"/>
        <v>--</v>
      </c>
      <c r="P23" s="712">
        <f t="shared" si="4"/>
        <v>0.6000000000000001</v>
      </c>
      <c r="Q23" s="713">
        <f t="shared" si="5"/>
        <v>36.66870000000001</v>
      </c>
      <c r="R23" s="701" t="str">
        <f t="shared" si="6"/>
        <v>--</v>
      </c>
      <c r="S23" s="714" t="str">
        <f t="shared" si="7"/>
        <v>--</v>
      </c>
      <c r="T23" s="715" t="str">
        <f t="shared" si="8"/>
        <v>--</v>
      </c>
      <c r="U23" s="711" t="s">
        <v>235</v>
      </c>
      <c r="V23" s="93">
        <f t="shared" si="9"/>
        <v>36.66870000000001</v>
      </c>
      <c r="W23" s="12"/>
    </row>
    <row r="24" spans="2:23" s="11" customFormat="1" ht="16.5" customHeight="1">
      <c r="B24" s="41"/>
      <c r="C24" s="479">
        <v>22</v>
      </c>
      <c r="D24" s="479">
        <v>209636</v>
      </c>
      <c r="E24" s="479">
        <v>2630</v>
      </c>
      <c r="F24" s="641" t="s">
        <v>251</v>
      </c>
      <c r="G24" s="640" t="s">
        <v>252</v>
      </c>
      <c r="H24" s="641">
        <v>50</v>
      </c>
      <c r="I24" s="354">
        <f t="shared" si="0"/>
        <v>12.15</v>
      </c>
      <c r="J24" s="645">
        <v>40025.427083333336</v>
      </c>
      <c r="K24" s="646">
        <v>40025.646527777775</v>
      </c>
      <c r="L24" s="92">
        <f t="shared" si="1"/>
        <v>5.266666666546371</v>
      </c>
      <c r="M24" s="59">
        <f t="shared" si="2"/>
        <v>316</v>
      </c>
      <c r="N24" s="648" t="s">
        <v>245</v>
      </c>
      <c r="O24" s="711" t="str">
        <f t="shared" si="3"/>
        <v>--</v>
      </c>
      <c r="P24" s="712">
        <f t="shared" si="4"/>
        <v>0.6000000000000001</v>
      </c>
      <c r="Q24" s="713">
        <f t="shared" si="5"/>
        <v>38.4183</v>
      </c>
      <c r="R24" s="701" t="str">
        <f t="shared" si="6"/>
        <v>--</v>
      </c>
      <c r="S24" s="714" t="str">
        <f t="shared" si="7"/>
        <v>--</v>
      </c>
      <c r="T24" s="715" t="str">
        <f t="shared" si="8"/>
        <v>--</v>
      </c>
      <c r="U24" s="711" t="s">
        <v>235</v>
      </c>
      <c r="V24" s="93">
        <f t="shared" si="9"/>
        <v>38.4183</v>
      </c>
      <c r="W24" s="12"/>
    </row>
    <row r="25" spans="2:23" s="11" customFormat="1" ht="16.5" customHeight="1">
      <c r="B25" s="41"/>
      <c r="C25" s="479"/>
      <c r="D25" s="479"/>
      <c r="E25" s="479"/>
      <c r="F25" s="641"/>
      <c r="G25" s="640"/>
      <c r="H25" s="641"/>
      <c r="I25" s="354">
        <f t="shared" si="0"/>
        <v>0</v>
      </c>
      <c r="J25" s="645"/>
      <c r="K25" s="646"/>
      <c r="L25" s="92">
        <f t="shared" si="1"/>
      </c>
      <c r="M25" s="59">
        <f t="shared" si="2"/>
      </c>
      <c r="N25" s="648"/>
      <c r="O25" s="711">
        <f t="shared" si="3"/>
      </c>
      <c r="P25" s="712">
        <f t="shared" si="4"/>
        <v>6</v>
      </c>
      <c r="Q25" s="713" t="str">
        <f t="shared" si="5"/>
        <v>--</v>
      </c>
      <c r="R25" s="701" t="str">
        <f t="shared" si="6"/>
        <v>--</v>
      </c>
      <c r="S25" s="714" t="str">
        <f t="shared" si="7"/>
        <v>--</v>
      </c>
      <c r="T25" s="715" t="str">
        <f t="shared" si="8"/>
        <v>--</v>
      </c>
      <c r="U25" s="711">
        <f aca="true" t="shared" si="10" ref="U25:U41">IF(F25="","","SI")</f>
      </c>
      <c r="V25" s="93">
        <f t="shared" si="9"/>
      </c>
      <c r="W25" s="220"/>
    </row>
    <row r="26" spans="2:23" s="11" customFormat="1" ht="16.5" customHeight="1">
      <c r="B26" s="41"/>
      <c r="C26" s="479"/>
      <c r="D26" s="479"/>
      <c r="E26" s="479"/>
      <c r="F26" s="641"/>
      <c r="G26" s="640"/>
      <c r="H26" s="641"/>
      <c r="I26" s="354">
        <f t="shared" si="0"/>
        <v>0</v>
      </c>
      <c r="J26" s="645"/>
      <c r="K26" s="646"/>
      <c r="L26" s="92">
        <f t="shared" si="1"/>
      </c>
      <c r="M26" s="59">
        <f t="shared" si="2"/>
      </c>
      <c r="N26" s="648"/>
      <c r="O26" s="711">
        <f t="shared" si="3"/>
      </c>
      <c r="P26" s="712">
        <f t="shared" si="4"/>
        <v>6</v>
      </c>
      <c r="Q26" s="713" t="str">
        <f t="shared" si="5"/>
        <v>--</v>
      </c>
      <c r="R26" s="701" t="str">
        <f t="shared" si="6"/>
        <v>--</v>
      </c>
      <c r="S26" s="714" t="str">
        <f t="shared" si="7"/>
        <v>--</v>
      </c>
      <c r="T26" s="715" t="str">
        <f t="shared" si="8"/>
        <v>--</v>
      </c>
      <c r="U26" s="711">
        <f t="shared" si="10"/>
      </c>
      <c r="V26" s="93">
        <f t="shared" si="9"/>
      </c>
      <c r="W26" s="220"/>
    </row>
    <row r="27" spans="2:23" s="11" customFormat="1" ht="16.5" customHeight="1">
      <c r="B27" s="41"/>
      <c r="C27" s="479"/>
      <c r="D27" s="479"/>
      <c r="E27" s="479"/>
      <c r="F27" s="641"/>
      <c r="G27" s="640"/>
      <c r="H27" s="641"/>
      <c r="I27" s="354">
        <f t="shared" si="0"/>
        <v>0</v>
      </c>
      <c r="J27" s="645"/>
      <c r="K27" s="646"/>
      <c r="L27" s="92">
        <f t="shared" si="1"/>
      </c>
      <c r="M27" s="59">
        <f t="shared" si="2"/>
      </c>
      <c r="N27" s="648"/>
      <c r="O27" s="711">
        <f t="shared" si="3"/>
      </c>
      <c r="P27" s="712">
        <f t="shared" si="4"/>
        <v>6</v>
      </c>
      <c r="Q27" s="713" t="str">
        <f t="shared" si="5"/>
        <v>--</v>
      </c>
      <c r="R27" s="701" t="str">
        <f t="shared" si="6"/>
        <v>--</v>
      </c>
      <c r="S27" s="714" t="str">
        <f t="shared" si="7"/>
        <v>--</v>
      </c>
      <c r="T27" s="715" t="str">
        <f t="shared" si="8"/>
        <v>--</v>
      </c>
      <c r="U27" s="711">
        <f t="shared" si="10"/>
      </c>
      <c r="V27" s="93">
        <f t="shared" si="9"/>
      </c>
      <c r="W27" s="220"/>
    </row>
    <row r="28" spans="2:23" s="11" customFormat="1" ht="16.5" customHeight="1">
      <c r="B28" s="41"/>
      <c r="C28" s="479"/>
      <c r="D28" s="479"/>
      <c r="E28" s="479"/>
      <c r="F28" s="641"/>
      <c r="G28" s="640"/>
      <c r="H28" s="641"/>
      <c r="I28" s="354">
        <f t="shared" si="0"/>
        <v>0</v>
      </c>
      <c r="J28" s="645"/>
      <c r="K28" s="646"/>
      <c r="L28" s="92">
        <f t="shared" si="1"/>
      </c>
      <c r="M28" s="59">
        <f t="shared" si="2"/>
      </c>
      <c r="N28" s="648"/>
      <c r="O28" s="711">
        <f t="shared" si="3"/>
      </c>
      <c r="P28" s="712">
        <f t="shared" si="4"/>
        <v>6</v>
      </c>
      <c r="Q28" s="713" t="str">
        <f t="shared" si="5"/>
        <v>--</v>
      </c>
      <c r="R28" s="701" t="str">
        <f t="shared" si="6"/>
        <v>--</v>
      </c>
      <c r="S28" s="714" t="str">
        <f t="shared" si="7"/>
        <v>--</v>
      </c>
      <c r="T28" s="715" t="str">
        <f t="shared" si="8"/>
        <v>--</v>
      </c>
      <c r="U28" s="711">
        <f t="shared" si="10"/>
      </c>
      <c r="V28" s="93">
        <f t="shared" si="9"/>
      </c>
      <c r="W28" s="220"/>
    </row>
    <row r="29" spans="2:23" s="11" customFormat="1" ht="16.5" customHeight="1">
      <c r="B29" s="41"/>
      <c r="C29" s="479"/>
      <c r="D29" s="479"/>
      <c r="E29" s="479"/>
      <c r="F29" s="641"/>
      <c r="G29" s="640"/>
      <c r="H29" s="641"/>
      <c r="I29" s="354">
        <f t="shared" si="0"/>
        <v>0</v>
      </c>
      <c r="J29" s="645"/>
      <c r="K29" s="646"/>
      <c r="L29" s="92">
        <f t="shared" si="1"/>
      </c>
      <c r="M29" s="59">
        <f t="shared" si="2"/>
      </c>
      <c r="N29" s="648"/>
      <c r="O29" s="711">
        <f t="shared" si="3"/>
      </c>
      <c r="P29" s="712">
        <f t="shared" si="4"/>
        <v>6</v>
      </c>
      <c r="Q29" s="713" t="str">
        <f t="shared" si="5"/>
        <v>--</v>
      </c>
      <c r="R29" s="701" t="str">
        <f t="shared" si="6"/>
        <v>--</v>
      </c>
      <c r="S29" s="714" t="str">
        <f t="shared" si="7"/>
        <v>--</v>
      </c>
      <c r="T29" s="715" t="str">
        <f t="shared" si="8"/>
        <v>--</v>
      </c>
      <c r="U29" s="711">
        <f t="shared" si="10"/>
      </c>
      <c r="V29" s="93">
        <f t="shared" si="9"/>
      </c>
      <c r="W29" s="220"/>
    </row>
    <row r="30" spans="2:23" s="11" customFormat="1" ht="16.5" customHeight="1">
      <c r="B30" s="41"/>
      <c r="C30" s="479"/>
      <c r="D30" s="479"/>
      <c r="E30" s="479"/>
      <c r="F30" s="641"/>
      <c r="G30" s="640"/>
      <c r="H30" s="641"/>
      <c r="I30" s="354">
        <f t="shared" si="0"/>
        <v>0</v>
      </c>
      <c r="J30" s="645"/>
      <c r="K30" s="646"/>
      <c r="L30" s="92">
        <f t="shared" si="1"/>
      </c>
      <c r="M30" s="59">
        <f t="shared" si="2"/>
      </c>
      <c r="N30" s="648"/>
      <c r="O30" s="711">
        <f t="shared" si="3"/>
      </c>
      <c r="P30" s="712">
        <f t="shared" si="4"/>
        <v>6</v>
      </c>
      <c r="Q30" s="713" t="str">
        <f t="shared" si="5"/>
        <v>--</v>
      </c>
      <c r="R30" s="701" t="str">
        <f t="shared" si="6"/>
        <v>--</v>
      </c>
      <c r="S30" s="714" t="str">
        <f t="shared" si="7"/>
        <v>--</v>
      </c>
      <c r="T30" s="715" t="str">
        <f t="shared" si="8"/>
        <v>--</v>
      </c>
      <c r="U30" s="711">
        <f t="shared" si="10"/>
      </c>
      <c r="V30" s="93">
        <f t="shared" si="9"/>
      </c>
      <c r="W30" s="220"/>
    </row>
    <row r="31" spans="2:23" s="11" customFormat="1" ht="16.5" customHeight="1">
      <c r="B31" s="41"/>
      <c r="C31" s="479"/>
      <c r="D31" s="479"/>
      <c r="E31" s="479"/>
      <c r="F31" s="641"/>
      <c r="G31" s="640"/>
      <c r="H31" s="641"/>
      <c r="I31" s="354">
        <f t="shared" si="0"/>
        <v>0</v>
      </c>
      <c r="J31" s="645"/>
      <c r="K31" s="646"/>
      <c r="L31" s="92">
        <f t="shared" si="1"/>
      </c>
      <c r="M31" s="59">
        <f t="shared" si="2"/>
      </c>
      <c r="N31" s="648"/>
      <c r="O31" s="711">
        <f t="shared" si="3"/>
      </c>
      <c r="P31" s="712">
        <f t="shared" si="4"/>
        <v>6</v>
      </c>
      <c r="Q31" s="713" t="str">
        <f t="shared" si="5"/>
        <v>--</v>
      </c>
      <c r="R31" s="701" t="str">
        <f t="shared" si="6"/>
        <v>--</v>
      </c>
      <c r="S31" s="714" t="str">
        <f t="shared" si="7"/>
        <v>--</v>
      </c>
      <c r="T31" s="715" t="str">
        <f t="shared" si="8"/>
        <v>--</v>
      </c>
      <c r="U31" s="711">
        <f t="shared" si="10"/>
      </c>
      <c r="V31" s="93">
        <f t="shared" si="9"/>
      </c>
      <c r="W31" s="12"/>
    </row>
    <row r="32" spans="2:23" s="11" customFormat="1" ht="16.5" customHeight="1">
      <c r="B32" s="41"/>
      <c r="C32" s="479"/>
      <c r="D32" s="479"/>
      <c r="E32" s="479"/>
      <c r="F32" s="641"/>
      <c r="G32" s="640"/>
      <c r="H32" s="641"/>
      <c r="I32" s="354">
        <f t="shared" si="0"/>
        <v>0</v>
      </c>
      <c r="J32" s="645"/>
      <c r="K32" s="646"/>
      <c r="L32" s="92">
        <f t="shared" si="1"/>
      </c>
      <c r="M32" s="59">
        <f t="shared" si="2"/>
      </c>
      <c r="N32" s="648"/>
      <c r="O32" s="711">
        <f t="shared" si="3"/>
      </c>
      <c r="P32" s="712">
        <f t="shared" si="4"/>
        <v>6</v>
      </c>
      <c r="Q32" s="713" t="str">
        <f t="shared" si="5"/>
        <v>--</v>
      </c>
      <c r="R32" s="701" t="str">
        <f t="shared" si="6"/>
        <v>--</v>
      </c>
      <c r="S32" s="714" t="str">
        <f t="shared" si="7"/>
        <v>--</v>
      </c>
      <c r="T32" s="715" t="str">
        <f t="shared" si="8"/>
        <v>--</v>
      </c>
      <c r="U32" s="711">
        <f t="shared" si="10"/>
      </c>
      <c r="V32" s="93">
        <f t="shared" si="9"/>
      </c>
      <c r="W32" s="12"/>
    </row>
    <row r="33" spans="2:23" s="11" customFormat="1" ht="16.5" customHeight="1">
      <c r="B33" s="41"/>
      <c r="C33" s="479"/>
      <c r="D33" s="479"/>
      <c r="E33" s="479"/>
      <c r="F33" s="641"/>
      <c r="G33" s="640"/>
      <c r="H33" s="641"/>
      <c r="I33" s="354">
        <f t="shared" si="0"/>
        <v>0</v>
      </c>
      <c r="J33" s="645"/>
      <c r="K33" s="646"/>
      <c r="L33" s="92">
        <f t="shared" si="1"/>
      </c>
      <c r="M33" s="59">
        <f t="shared" si="2"/>
      </c>
      <c r="N33" s="648"/>
      <c r="O33" s="711">
        <f t="shared" si="3"/>
      </c>
      <c r="P33" s="712">
        <f t="shared" si="4"/>
        <v>6</v>
      </c>
      <c r="Q33" s="713" t="str">
        <f t="shared" si="5"/>
        <v>--</v>
      </c>
      <c r="R33" s="701" t="str">
        <f t="shared" si="6"/>
        <v>--</v>
      </c>
      <c r="S33" s="714" t="str">
        <f t="shared" si="7"/>
        <v>--</v>
      </c>
      <c r="T33" s="715" t="str">
        <f t="shared" si="8"/>
        <v>--</v>
      </c>
      <c r="U33" s="711">
        <f t="shared" si="10"/>
      </c>
      <c r="V33" s="93">
        <f t="shared" si="9"/>
      </c>
      <c r="W33" s="12"/>
    </row>
    <row r="34" spans="2:23" s="11" customFormat="1" ht="16.5" customHeight="1">
      <c r="B34" s="41"/>
      <c r="C34" s="479"/>
      <c r="D34" s="479"/>
      <c r="E34" s="479"/>
      <c r="F34" s="641"/>
      <c r="G34" s="640"/>
      <c r="H34" s="641"/>
      <c r="I34" s="354">
        <f t="shared" si="0"/>
        <v>0</v>
      </c>
      <c r="J34" s="645"/>
      <c r="K34" s="646"/>
      <c r="L34" s="92">
        <f t="shared" si="1"/>
      </c>
      <c r="M34" s="59">
        <f t="shared" si="2"/>
      </c>
      <c r="N34" s="648"/>
      <c r="O34" s="711">
        <f t="shared" si="3"/>
      </c>
      <c r="P34" s="712">
        <f t="shared" si="4"/>
        <v>6</v>
      </c>
      <c r="Q34" s="713" t="str">
        <f t="shared" si="5"/>
        <v>--</v>
      </c>
      <c r="R34" s="701" t="str">
        <f t="shared" si="6"/>
        <v>--</v>
      </c>
      <c r="S34" s="714" t="str">
        <f t="shared" si="7"/>
        <v>--</v>
      </c>
      <c r="T34" s="715" t="str">
        <f t="shared" si="8"/>
        <v>--</v>
      </c>
      <c r="U34" s="711">
        <f t="shared" si="10"/>
      </c>
      <c r="V34" s="93">
        <f t="shared" si="9"/>
      </c>
      <c r="W34" s="12"/>
    </row>
    <row r="35" spans="2:23" s="11" customFormat="1" ht="16.5" customHeight="1">
      <c r="B35" s="41"/>
      <c r="C35" s="479"/>
      <c r="D35" s="479"/>
      <c r="E35" s="479"/>
      <c r="F35" s="641"/>
      <c r="G35" s="640"/>
      <c r="H35" s="641"/>
      <c r="I35" s="354">
        <f t="shared" si="0"/>
        <v>0</v>
      </c>
      <c r="J35" s="645"/>
      <c r="K35" s="646"/>
      <c r="L35" s="92">
        <f t="shared" si="1"/>
      </c>
      <c r="M35" s="59">
        <f t="shared" si="2"/>
      </c>
      <c r="N35" s="648"/>
      <c r="O35" s="711">
        <f t="shared" si="3"/>
      </c>
      <c r="P35" s="712">
        <f t="shared" si="4"/>
        <v>6</v>
      </c>
      <c r="Q35" s="713" t="str">
        <f t="shared" si="5"/>
        <v>--</v>
      </c>
      <c r="R35" s="701" t="str">
        <f t="shared" si="6"/>
        <v>--</v>
      </c>
      <c r="S35" s="714" t="str">
        <f t="shared" si="7"/>
        <v>--</v>
      </c>
      <c r="T35" s="715" t="str">
        <f t="shared" si="8"/>
        <v>--</v>
      </c>
      <c r="U35" s="711">
        <f t="shared" si="10"/>
      </c>
      <c r="V35" s="93">
        <f t="shared" si="9"/>
      </c>
      <c r="W35" s="12"/>
    </row>
    <row r="36" spans="2:23" s="11" customFormat="1" ht="16.5" customHeight="1">
      <c r="B36" s="41"/>
      <c r="C36" s="479"/>
      <c r="D36" s="479"/>
      <c r="E36" s="479"/>
      <c r="F36" s="641"/>
      <c r="G36" s="640"/>
      <c r="H36" s="641"/>
      <c r="I36" s="354">
        <f t="shared" si="0"/>
        <v>0</v>
      </c>
      <c r="J36" s="645"/>
      <c r="K36" s="646"/>
      <c r="L36" s="92">
        <f t="shared" si="1"/>
      </c>
      <c r="M36" s="59">
        <f t="shared" si="2"/>
      </c>
      <c r="N36" s="648"/>
      <c r="O36" s="711">
        <f t="shared" si="3"/>
      </c>
      <c r="P36" s="712">
        <f t="shared" si="4"/>
        <v>6</v>
      </c>
      <c r="Q36" s="713" t="str">
        <f t="shared" si="5"/>
        <v>--</v>
      </c>
      <c r="R36" s="701" t="str">
        <f t="shared" si="6"/>
        <v>--</v>
      </c>
      <c r="S36" s="714" t="str">
        <f t="shared" si="7"/>
        <v>--</v>
      </c>
      <c r="T36" s="715" t="str">
        <f t="shared" si="8"/>
        <v>--</v>
      </c>
      <c r="U36" s="711">
        <f t="shared" si="10"/>
      </c>
      <c r="V36" s="93">
        <f t="shared" si="9"/>
      </c>
      <c r="W36" s="12"/>
    </row>
    <row r="37" spans="2:23" s="11" customFormat="1" ht="16.5" customHeight="1">
      <c r="B37" s="41"/>
      <c r="C37" s="479"/>
      <c r="D37" s="479"/>
      <c r="E37" s="479"/>
      <c r="F37" s="641"/>
      <c r="G37" s="640"/>
      <c r="H37" s="641"/>
      <c r="I37" s="354">
        <f t="shared" si="0"/>
        <v>0</v>
      </c>
      <c r="J37" s="645"/>
      <c r="K37" s="646"/>
      <c r="L37" s="92">
        <f t="shared" si="1"/>
      </c>
      <c r="M37" s="59">
        <f t="shared" si="2"/>
      </c>
      <c r="N37" s="648"/>
      <c r="O37" s="711">
        <f t="shared" si="3"/>
      </c>
      <c r="P37" s="712">
        <f t="shared" si="4"/>
        <v>6</v>
      </c>
      <c r="Q37" s="713" t="str">
        <f t="shared" si="5"/>
        <v>--</v>
      </c>
      <c r="R37" s="701" t="str">
        <f t="shared" si="6"/>
        <v>--</v>
      </c>
      <c r="S37" s="714" t="str">
        <f t="shared" si="7"/>
        <v>--</v>
      </c>
      <c r="T37" s="715" t="str">
        <f t="shared" si="8"/>
        <v>--</v>
      </c>
      <c r="U37" s="711">
        <f t="shared" si="10"/>
      </c>
      <c r="V37" s="93">
        <f t="shared" si="9"/>
      </c>
      <c r="W37" s="12"/>
    </row>
    <row r="38" spans="2:23" s="11" customFormat="1" ht="16.5" customHeight="1">
      <c r="B38" s="41"/>
      <c r="C38" s="479"/>
      <c r="D38" s="479"/>
      <c r="E38" s="479"/>
      <c r="F38" s="641"/>
      <c r="G38" s="640"/>
      <c r="H38" s="641"/>
      <c r="I38" s="354">
        <f t="shared" si="0"/>
        <v>0</v>
      </c>
      <c r="J38" s="645"/>
      <c r="K38" s="646"/>
      <c r="L38" s="92">
        <f t="shared" si="1"/>
      </c>
      <c r="M38" s="59">
        <f t="shared" si="2"/>
      </c>
      <c r="N38" s="648"/>
      <c r="O38" s="711">
        <f t="shared" si="3"/>
      </c>
      <c r="P38" s="712">
        <f t="shared" si="4"/>
        <v>6</v>
      </c>
      <c r="Q38" s="713" t="str">
        <f t="shared" si="5"/>
        <v>--</v>
      </c>
      <c r="R38" s="701" t="str">
        <f t="shared" si="6"/>
        <v>--</v>
      </c>
      <c r="S38" s="714" t="str">
        <f t="shared" si="7"/>
        <v>--</v>
      </c>
      <c r="T38" s="715" t="str">
        <f t="shared" si="8"/>
        <v>--</v>
      </c>
      <c r="U38" s="711">
        <f t="shared" si="10"/>
      </c>
      <c r="V38" s="93">
        <f t="shared" si="9"/>
      </c>
      <c r="W38" s="12"/>
    </row>
    <row r="39" spans="2:23" s="11" customFormat="1" ht="16.5" customHeight="1">
      <c r="B39" s="41"/>
      <c r="C39" s="479"/>
      <c r="D39" s="479"/>
      <c r="E39" s="479"/>
      <c r="F39" s="641"/>
      <c r="G39" s="640"/>
      <c r="H39" s="641"/>
      <c r="I39" s="354">
        <f t="shared" si="0"/>
        <v>0</v>
      </c>
      <c r="J39" s="645"/>
      <c r="K39" s="646"/>
      <c r="L39" s="92">
        <f t="shared" si="1"/>
      </c>
      <c r="M39" s="59">
        <f t="shared" si="2"/>
      </c>
      <c r="N39" s="648"/>
      <c r="O39" s="711">
        <f t="shared" si="3"/>
      </c>
      <c r="P39" s="712">
        <f t="shared" si="4"/>
        <v>6</v>
      </c>
      <c r="Q39" s="713" t="str">
        <f t="shared" si="5"/>
        <v>--</v>
      </c>
      <c r="R39" s="701" t="str">
        <f t="shared" si="6"/>
        <v>--</v>
      </c>
      <c r="S39" s="714" t="str">
        <f t="shared" si="7"/>
        <v>--</v>
      </c>
      <c r="T39" s="715" t="str">
        <f t="shared" si="8"/>
        <v>--</v>
      </c>
      <c r="U39" s="711">
        <f t="shared" si="10"/>
      </c>
      <c r="V39" s="93">
        <f t="shared" si="9"/>
      </c>
      <c r="W39" s="12"/>
    </row>
    <row r="40" spans="2:23" s="11" customFormat="1" ht="16.5" customHeight="1">
      <c r="B40" s="41"/>
      <c r="C40" s="479"/>
      <c r="D40" s="479"/>
      <c r="E40" s="479"/>
      <c r="F40" s="641"/>
      <c r="G40" s="640"/>
      <c r="H40" s="641"/>
      <c r="I40" s="354">
        <f t="shared" si="0"/>
        <v>0</v>
      </c>
      <c r="J40" s="645"/>
      <c r="K40" s="646"/>
      <c r="L40" s="92">
        <f t="shared" si="1"/>
      </c>
      <c r="M40" s="59">
        <f t="shared" si="2"/>
      </c>
      <c r="N40" s="648"/>
      <c r="O40" s="711">
        <f t="shared" si="3"/>
      </c>
      <c r="P40" s="712">
        <f t="shared" si="4"/>
        <v>6</v>
      </c>
      <c r="Q40" s="713" t="str">
        <f t="shared" si="5"/>
        <v>--</v>
      </c>
      <c r="R40" s="701" t="str">
        <f t="shared" si="6"/>
        <v>--</v>
      </c>
      <c r="S40" s="714" t="str">
        <f t="shared" si="7"/>
        <v>--</v>
      </c>
      <c r="T40" s="715" t="str">
        <f t="shared" si="8"/>
        <v>--</v>
      </c>
      <c r="U40" s="711">
        <f t="shared" si="10"/>
      </c>
      <c r="V40" s="93">
        <f t="shared" si="9"/>
      </c>
      <c r="W40" s="12"/>
    </row>
    <row r="41" spans="2:23" s="11" customFormat="1" ht="16.5" customHeight="1">
      <c r="B41" s="41"/>
      <c r="C41" s="479"/>
      <c r="D41" s="479"/>
      <c r="E41" s="479"/>
      <c r="F41" s="641"/>
      <c r="G41" s="640"/>
      <c r="H41" s="641"/>
      <c r="I41" s="354">
        <f t="shared" si="0"/>
        <v>0</v>
      </c>
      <c r="J41" s="645"/>
      <c r="K41" s="646"/>
      <c r="L41" s="92">
        <f t="shared" si="1"/>
      </c>
      <c r="M41" s="59">
        <f t="shared" si="2"/>
      </c>
      <c r="N41" s="648"/>
      <c r="O41" s="711">
        <f t="shared" si="3"/>
      </c>
      <c r="P41" s="712">
        <f t="shared" si="4"/>
        <v>6</v>
      </c>
      <c r="Q41" s="713" t="str">
        <f t="shared" si="5"/>
        <v>--</v>
      </c>
      <c r="R41" s="701" t="str">
        <f t="shared" si="6"/>
        <v>--</v>
      </c>
      <c r="S41" s="714" t="str">
        <f t="shared" si="7"/>
        <v>--</v>
      </c>
      <c r="T41" s="715" t="str">
        <f t="shared" si="8"/>
        <v>--</v>
      </c>
      <c r="U41" s="711">
        <f t="shared" si="10"/>
      </c>
      <c r="V41" s="93">
        <f t="shared" si="9"/>
      </c>
      <c r="W41" s="12"/>
    </row>
    <row r="42" spans="2:23" s="11" customFormat="1" ht="16.5" customHeight="1" thickBot="1">
      <c r="B42" s="41"/>
      <c r="C42" s="642"/>
      <c r="D42" s="642"/>
      <c r="E42" s="642"/>
      <c r="F42" s="644"/>
      <c r="G42" s="643"/>
      <c r="H42" s="644"/>
      <c r="I42" s="355"/>
      <c r="J42" s="647"/>
      <c r="K42" s="647"/>
      <c r="L42" s="94"/>
      <c r="M42" s="94"/>
      <c r="N42" s="647"/>
      <c r="O42" s="486"/>
      <c r="P42" s="649"/>
      <c r="Q42" s="650"/>
      <c r="R42" s="495"/>
      <c r="S42" s="651"/>
      <c r="T42" s="652"/>
      <c r="U42" s="486"/>
      <c r="V42" s="236"/>
      <c r="W42" s="12"/>
    </row>
    <row r="43" spans="2:23" s="11" customFormat="1" ht="16.5" customHeight="1" thickBot="1" thickTop="1">
      <c r="B43" s="41"/>
      <c r="C43" s="244" t="s">
        <v>62</v>
      </c>
      <c r="D43" s="717" t="s">
        <v>263</v>
      </c>
      <c r="E43" s="690"/>
      <c r="F43" s="245"/>
      <c r="G43"/>
      <c r="I43" s="9"/>
      <c r="J43" s="9"/>
      <c r="K43" s="9"/>
      <c r="L43" s="9"/>
      <c r="M43" s="9"/>
      <c r="N43" s="9"/>
      <c r="O43" s="9"/>
      <c r="P43" s="9"/>
      <c r="Q43" s="358">
        <f>SUM(Q20:Q42)</f>
        <v>90.03150000000001</v>
      </c>
      <c r="R43" s="364">
        <f>SUM(R20:R42)</f>
        <v>0</v>
      </c>
      <c r="S43" s="365">
        <f>SUM(S20:S42)</f>
        <v>0</v>
      </c>
      <c r="T43" s="377">
        <f>SUM(T20:T42)</f>
        <v>0</v>
      </c>
      <c r="V43" s="260">
        <f>ROUND(SUM(V20:V42),2)</f>
        <v>90.03</v>
      </c>
      <c r="W43" s="221"/>
    </row>
    <row r="44" spans="2:23" s="263" customFormat="1" ht="9.75" thickTop="1">
      <c r="B44" s="262"/>
      <c r="C44" s="261"/>
      <c r="D44" s="261"/>
      <c r="E44" s="261"/>
      <c r="F44" s="247"/>
      <c r="G44" s="259"/>
      <c r="I44" s="261"/>
      <c r="J44" s="261"/>
      <c r="K44" s="261"/>
      <c r="L44" s="261"/>
      <c r="M44" s="261"/>
      <c r="N44" s="261"/>
      <c r="O44" s="261"/>
      <c r="P44" s="261"/>
      <c r="Q44" s="274"/>
      <c r="R44" s="274"/>
      <c r="S44" s="274"/>
      <c r="T44" s="274"/>
      <c r="V44" s="266"/>
      <c r="W44" s="268"/>
    </row>
    <row r="45" spans="2:23" s="11" customFormat="1" ht="16.5" customHeight="1" thickBot="1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7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Roman,Normal"&amp;8&amp;F-&amp;A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J158"/>
  <sheetViews>
    <sheetView tabSelected="1" zoomScale="70" zoomScaleNormal="70" workbookViewId="0" topLeftCell="B1">
      <selection activeCell="B2" sqref="B2"/>
    </sheetView>
  </sheetViews>
  <sheetFormatPr defaultColWidth="11.421875" defaultRowHeight="12.75"/>
  <cols>
    <col min="1" max="2" width="4.140625" style="0" customWidth="1"/>
    <col min="3" max="3" width="10.7109375" style="0" bestFit="1" customWidth="1"/>
    <col min="4" max="4" width="10.7109375" style="0" customWidth="1"/>
    <col min="5" max="6" width="13.57421875" style="0" customWidth="1"/>
    <col min="7" max="7" width="150.140625" style="0" customWidth="1"/>
    <col min="8" max="8" width="4.140625" style="0" customWidth="1"/>
    <col min="9" max="9" width="3.28125" style="0" customWidth="1"/>
  </cols>
  <sheetData>
    <row r="1" s="116" customFormat="1" ht="26.25">
      <c r="H1" s="384"/>
    </row>
    <row r="2" spans="1:8" s="116" customFormat="1" ht="26.25">
      <c r="A2" s="179"/>
      <c r="B2" s="683" t="s">
        <v>287</v>
      </c>
      <c r="C2" s="683"/>
      <c r="D2" s="683"/>
      <c r="E2" s="683"/>
      <c r="F2" s="683"/>
      <c r="G2" s="683"/>
      <c r="H2" s="683"/>
    </row>
    <row r="3" s="11" customFormat="1" ht="12.75">
      <c r="A3" s="178"/>
    </row>
    <row r="4" spans="1:5" s="119" customFormat="1" ht="11.25">
      <c r="A4" s="693" t="s">
        <v>16</v>
      </c>
      <c r="B4" s="219"/>
      <c r="C4" s="219"/>
      <c r="D4" s="219"/>
      <c r="E4" s="219"/>
    </row>
    <row r="5" spans="1:5" s="119" customFormat="1" ht="11.25">
      <c r="A5" s="693" t="s">
        <v>225</v>
      </c>
      <c r="B5" s="219"/>
      <c r="C5" s="219"/>
      <c r="D5" s="219"/>
      <c r="E5" s="219"/>
    </row>
    <row r="6" s="11" customFormat="1" ht="13.5" thickBot="1"/>
    <row r="7" spans="2:8" s="11" customFormat="1" ht="13.5" thickTop="1">
      <c r="B7" s="38"/>
      <c r="C7" s="39"/>
      <c r="D7" s="39"/>
      <c r="E7" s="39"/>
      <c r="F7" s="39"/>
      <c r="G7" s="39"/>
      <c r="H7" s="40"/>
    </row>
    <row r="8" spans="2:8" s="121" customFormat="1" ht="20.25">
      <c r="B8" s="120"/>
      <c r="C8" s="42"/>
      <c r="D8" s="42"/>
      <c r="E8" s="42"/>
      <c r="F8" s="21" t="s">
        <v>38</v>
      </c>
      <c r="H8" s="176"/>
    </row>
    <row r="9" spans="2:8" s="11" customFormat="1" ht="12.75">
      <c r="B9" s="41"/>
      <c r="C9" s="9"/>
      <c r="D9" s="9"/>
      <c r="E9" s="9"/>
      <c r="F9" s="9"/>
      <c r="H9" s="12"/>
    </row>
    <row r="10" spans="2:8" s="121" customFormat="1" ht="20.25">
      <c r="B10" s="120"/>
      <c r="C10" s="42"/>
      <c r="D10" s="42"/>
      <c r="E10" s="42"/>
      <c r="H10" s="122"/>
    </row>
    <row r="11" spans="2:8" s="11" customFormat="1" ht="16.5" customHeight="1">
      <c r="B11" s="41"/>
      <c r="C11" s="9"/>
      <c r="D11" s="9"/>
      <c r="E11" s="9"/>
      <c r="G11" s="21" t="s">
        <v>230</v>
      </c>
      <c r="H11" s="12"/>
    </row>
    <row r="12" spans="2:8" s="121" customFormat="1" ht="20.25">
      <c r="B12" s="120"/>
      <c r="C12" s="42"/>
      <c r="D12" s="42"/>
      <c r="E12" s="42"/>
      <c r="G12" s="21"/>
      <c r="H12" s="122"/>
    </row>
    <row r="13" spans="2:8" s="11" customFormat="1" ht="16.5" customHeight="1">
      <c r="B13" s="41"/>
      <c r="C13" s="9"/>
      <c r="D13" s="9"/>
      <c r="E13" s="9"/>
      <c r="F13" s="9"/>
      <c r="G13" s="133"/>
      <c r="H13" s="12"/>
    </row>
    <row r="14" spans="2:8" s="128" customFormat="1" ht="16.5" customHeight="1">
      <c r="B14" s="240" t="str">
        <f>'TOT-0709'!B14</f>
        <v>Desde el 01 al 31 de julio de 2009</v>
      </c>
      <c r="C14" s="150"/>
      <c r="D14" s="150"/>
      <c r="E14" s="150"/>
      <c r="F14" s="684"/>
      <c r="G14" s="685"/>
      <c r="H14" s="686"/>
    </row>
    <row r="15" spans="2:8" s="11" customFormat="1" ht="16.5" customHeight="1">
      <c r="B15" s="41"/>
      <c r="C15" s="9"/>
      <c r="D15" s="9"/>
      <c r="E15" s="9"/>
      <c r="F15" s="9"/>
      <c r="G15" s="9"/>
      <c r="H15" s="12"/>
    </row>
    <row r="16" spans="2:8" s="11" customFormat="1" ht="16.5" customHeight="1" thickBot="1">
      <c r="B16" s="41"/>
      <c r="C16" s="9"/>
      <c r="D16" s="9"/>
      <c r="E16" s="33"/>
      <c r="F16" s="222"/>
      <c r="G16" s="223"/>
      <c r="H16" s="12"/>
    </row>
    <row r="17" spans="2:8" s="11" customFormat="1" ht="33.75" customHeight="1" thickBot="1" thickTop="1">
      <c r="B17" s="41"/>
      <c r="C17" s="108" t="s">
        <v>231</v>
      </c>
      <c r="D17" s="108" t="s">
        <v>221</v>
      </c>
      <c r="E17" s="108" t="s">
        <v>222</v>
      </c>
      <c r="F17" s="110" t="s">
        <v>223</v>
      </c>
      <c r="G17" s="109" t="s">
        <v>224</v>
      </c>
      <c r="H17" s="12"/>
    </row>
    <row r="18" spans="2:8" s="11" customFormat="1" ht="16.5" customHeight="1" thickTop="1">
      <c r="B18" s="41"/>
      <c r="C18" s="687"/>
      <c r="D18" s="687"/>
      <c r="E18" s="687"/>
      <c r="F18" s="225"/>
      <c r="G18" s="688"/>
      <c r="H18" s="12"/>
    </row>
    <row r="19" spans="2:8" s="11" customFormat="1" ht="16.5" customHeight="1">
      <c r="B19" s="41"/>
      <c r="C19" s="689">
        <v>23</v>
      </c>
      <c r="D19" s="689">
        <v>1755</v>
      </c>
      <c r="E19" s="689">
        <v>209086</v>
      </c>
      <c r="F19" s="83" t="s">
        <v>253</v>
      </c>
      <c r="G19" s="85" t="s">
        <v>254</v>
      </c>
      <c r="H19" s="12"/>
    </row>
    <row r="20" spans="2:8" s="11" customFormat="1" ht="16.5" customHeight="1">
      <c r="B20" s="41"/>
      <c r="C20" s="689">
        <v>24</v>
      </c>
      <c r="D20" s="20">
        <v>1756</v>
      </c>
      <c r="E20" s="630">
        <v>209087</v>
      </c>
      <c r="F20" s="639" t="s">
        <v>253</v>
      </c>
      <c r="G20" s="641" t="s">
        <v>254</v>
      </c>
      <c r="H20" s="12"/>
    </row>
    <row r="21" spans="2:8" s="11" customFormat="1" ht="16.5" customHeight="1">
      <c r="B21" s="41"/>
      <c r="C21" s="689">
        <v>25</v>
      </c>
      <c r="D21" s="20">
        <v>1804</v>
      </c>
      <c r="E21" s="630">
        <v>209088</v>
      </c>
      <c r="F21" s="639" t="s">
        <v>253</v>
      </c>
      <c r="G21" s="641" t="s">
        <v>254</v>
      </c>
      <c r="H21" s="12"/>
    </row>
    <row r="22" spans="2:8" s="11" customFormat="1" ht="16.5" customHeight="1">
      <c r="B22" s="41"/>
      <c r="C22" s="689">
        <v>26</v>
      </c>
      <c r="D22" s="689">
        <v>1817</v>
      </c>
      <c r="E22" s="689">
        <v>209354</v>
      </c>
      <c r="F22" s="639" t="s">
        <v>253</v>
      </c>
      <c r="G22" s="641" t="s">
        <v>254</v>
      </c>
      <c r="H22" s="12"/>
    </row>
    <row r="23" spans="2:8" s="11" customFormat="1" ht="16.5" customHeight="1">
      <c r="B23" s="41"/>
      <c r="C23" s="689">
        <v>27</v>
      </c>
      <c r="D23" s="20">
        <v>1761</v>
      </c>
      <c r="E23" s="630">
        <v>209355</v>
      </c>
      <c r="F23" s="639" t="s">
        <v>253</v>
      </c>
      <c r="G23" s="641" t="s">
        <v>254</v>
      </c>
      <c r="H23" s="12"/>
    </row>
    <row r="24" spans="2:8" s="11" customFormat="1" ht="16.5" customHeight="1">
      <c r="B24" s="41"/>
      <c r="C24" s="689">
        <v>28</v>
      </c>
      <c r="D24" s="20">
        <v>1808</v>
      </c>
      <c r="E24" s="630">
        <v>209356</v>
      </c>
      <c r="F24" s="639" t="s">
        <v>253</v>
      </c>
      <c r="G24" s="641" t="s">
        <v>254</v>
      </c>
      <c r="H24" s="12"/>
    </row>
    <row r="25" spans="2:8" s="11" customFormat="1" ht="16.5" customHeight="1">
      <c r="B25" s="41"/>
      <c r="C25" s="689">
        <v>29</v>
      </c>
      <c r="D25" s="20">
        <v>1806</v>
      </c>
      <c r="E25" s="630">
        <v>209357</v>
      </c>
      <c r="F25" s="639" t="s">
        <v>253</v>
      </c>
      <c r="G25" s="641" t="s">
        <v>254</v>
      </c>
      <c r="H25" s="12"/>
    </row>
    <row r="26" spans="2:8" s="11" customFormat="1" ht="16.5" customHeight="1">
      <c r="B26" s="41"/>
      <c r="C26" s="689">
        <v>30</v>
      </c>
      <c r="D26" s="689">
        <v>1807</v>
      </c>
      <c r="E26" s="689">
        <v>209358</v>
      </c>
      <c r="F26" s="639" t="s">
        <v>253</v>
      </c>
      <c r="G26" s="641" t="s">
        <v>254</v>
      </c>
      <c r="H26" s="12"/>
    </row>
    <row r="27" spans="2:8" s="11" customFormat="1" ht="16.5" customHeight="1">
      <c r="B27" s="41"/>
      <c r="C27" s="689">
        <v>31</v>
      </c>
      <c r="D27" s="20">
        <v>1632</v>
      </c>
      <c r="E27" s="630">
        <v>209359</v>
      </c>
      <c r="F27" s="639" t="s">
        <v>253</v>
      </c>
      <c r="G27" s="641" t="s">
        <v>254</v>
      </c>
      <c r="H27" s="12"/>
    </row>
    <row r="28" spans="2:8" s="11" customFormat="1" ht="16.5" customHeight="1">
      <c r="B28" s="41"/>
      <c r="C28" s="689">
        <v>32</v>
      </c>
      <c r="D28" s="689">
        <v>1750</v>
      </c>
      <c r="E28" s="689">
        <v>209360</v>
      </c>
      <c r="F28" s="639" t="s">
        <v>253</v>
      </c>
      <c r="G28" s="641" t="s">
        <v>254</v>
      </c>
      <c r="H28" s="12"/>
    </row>
    <row r="29" spans="2:8" s="11" customFormat="1" ht="16.5" customHeight="1">
      <c r="B29" s="41"/>
      <c r="C29" s="689">
        <v>33</v>
      </c>
      <c r="D29" s="20">
        <v>1802</v>
      </c>
      <c r="E29" s="630">
        <v>209361</v>
      </c>
      <c r="F29" s="639" t="s">
        <v>253</v>
      </c>
      <c r="G29" s="641" t="s">
        <v>254</v>
      </c>
      <c r="H29" s="12"/>
    </row>
    <row r="30" spans="2:8" s="11" customFormat="1" ht="16.5" customHeight="1">
      <c r="B30" s="41"/>
      <c r="C30" s="689">
        <v>34</v>
      </c>
      <c r="D30" s="689">
        <v>1633</v>
      </c>
      <c r="E30" s="689">
        <v>209362</v>
      </c>
      <c r="F30" s="639" t="s">
        <v>253</v>
      </c>
      <c r="G30" s="641" t="s">
        <v>254</v>
      </c>
      <c r="H30" s="12"/>
    </row>
    <row r="31" spans="2:8" s="11" customFormat="1" ht="16.5" customHeight="1">
      <c r="B31" s="41"/>
      <c r="C31" s="689">
        <v>35</v>
      </c>
      <c r="D31" s="20">
        <v>1757</v>
      </c>
      <c r="E31" s="630">
        <v>209363</v>
      </c>
      <c r="F31" s="639" t="s">
        <v>253</v>
      </c>
      <c r="G31" s="641" t="s">
        <v>254</v>
      </c>
      <c r="H31" s="12"/>
    </row>
    <row r="32" spans="2:8" s="11" customFormat="1" ht="16.5" customHeight="1">
      <c r="B32" s="41"/>
      <c r="C32" s="689">
        <v>36</v>
      </c>
      <c r="D32" s="689">
        <v>1758</v>
      </c>
      <c r="E32" s="689">
        <v>209364</v>
      </c>
      <c r="F32" s="639" t="s">
        <v>253</v>
      </c>
      <c r="G32" s="641" t="s">
        <v>254</v>
      </c>
      <c r="H32" s="12"/>
    </row>
    <row r="33" spans="2:8" s="11" customFormat="1" ht="16.5" customHeight="1">
      <c r="B33" s="41"/>
      <c r="C33" s="689">
        <v>37</v>
      </c>
      <c r="D33" s="20">
        <v>1759</v>
      </c>
      <c r="E33" s="630">
        <v>209365</v>
      </c>
      <c r="F33" s="639" t="s">
        <v>253</v>
      </c>
      <c r="G33" s="641" t="s">
        <v>254</v>
      </c>
      <c r="H33" s="12"/>
    </row>
    <row r="34" spans="2:8" s="11" customFormat="1" ht="16.5" customHeight="1">
      <c r="B34" s="41"/>
      <c r="C34" s="689">
        <v>38</v>
      </c>
      <c r="D34" s="689">
        <v>1805</v>
      </c>
      <c r="E34" s="689">
        <v>209366</v>
      </c>
      <c r="F34" s="639" t="s">
        <v>253</v>
      </c>
      <c r="G34" s="641" t="s">
        <v>254</v>
      </c>
      <c r="H34" s="12"/>
    </row>
    <row r="35" spans="2:8" s="11" customFormat="1" ht="16.5" customHeight="1">
      <c r="B35" s="41"/>
      <c r="C35" s="689">
        <v>39</v>
      </c>
      <c r="D35" s="20">
        <v>1755</v>
      </c>
      <c r="E35" s="630">
        <v>209368</v>
      </c>
      <c r="F35" s="639" t="s">
        <v>253</v>
      </c>
      <c r="G35" s="641" t="s">
        <v>254</v>
      </c>
      <c r="H35" s="12"/>
    </row>
    <row r="36" spans="2:8" s="11" customFormat="1" ht="16.5" customHeight="1">
      <c r="B36" s="41"/>
      <c r="C36" s="689">
        <v>40</v>
      </c>
      <c r="D36" s="689">
        <v>1756</v>
      </c>
      <c r="E36" s="689">
        <v>209369</v>
      </c>
      <c r="F36" s="639" t="s">
        <v>253</v>
      </c>
      <c r="G36" s="641" t="s">
        <v>254</v>
      </c>
      <c r="H36" s="12"/>
    </row>
    <row r="37" spans="2:8" s="11" customFormat="1" ht="16.5" customHeight="1">
      <c r="B37" s="41"/>
      <c r="C37" s="689">
        <v>41</v>
      </c>
      <c r="D37" s="20">
        <v>1804</v>
      </c>
      <c r="E37" s="630">
        <v>209370</v>
      </c>
      <c r="F37" s="639" t="s">
        <v>253</v>
      </c>
      <c r="G37" s="641" t="s">
        <v>254</v>
      </c>
      <c r="H37" s="12"/>
    </row>
    <row r="38" spans="2:8" s="11" customFormat="1" ht="16.5" customHeight="1">
      <c r="B38" s="41"/>
      <c r="C38" s="689">
        <v>42</v>
      </c>
      <c r="D38" s="689">
        <v>1817</v>
      </c>
      <c r="E38" s="689">
        <v>209641</v>
      </c>
      <c r="F38" s="639" t="s">
        <v>253</v>
      </c>
      <c r="G38" s="641" t="s">
        <v>254</v>
      </c>
      <c r="H38" s="12"/>
    </row>
    <row r="39" spans="2:8" s="11" customFormat="1" ht="16.5" customHeight="1">
      <c r="B39" s="41"/>
      <c r="C39" s="689">
        <v>43</v>
      </c>
      <c r="D39" s="20">
        <v>1761</v>
      </c>
      <c r="E39" s="630">
        <v>209642</v>
      </c>
      <c r="F39" s="639" t="s">
        <v>253</v>
      </c>
      <c r="G39" s="641" t="s">
        <v>254</v>
      </c>
      <c r="H39" s="12"/>
    </row>
    <row r="40" spans="2:8" s="11" customFormat="1" ht="16.5" customHeight="1">
      <c r="B40" s="41"/>
      <c r="C40" s="689">
        <v>44</v>
      </c>
      <c r="D40" s="689">
        <v>1808</v>
      </c>
      <c r="E40" s="689">
        <v>209643</v>
      </c>
      <c r="F40" s="639" t="s">
        <v>253</v>
      </c>
      <c r="G40" s="641" t="s">
        <v>254</v>
      </c>
      <c r="H40" s="12"/>
    </row>
    <row r="41" spans="2:8" s="11" customFormat="1" ht="16.5" customHeight="1">
      <c r="B41" s="41"/>
      <c r="C41" s="689">
        <v>45</v>
      </c>
      <c r="D41" s="20">
        <v>1806</v>
      </c>
      <c r="E41" s="630">
        <v>209644</v>
      </c>
      <c r="F41" s="639" t="s">
        <v>253</v>
      </c>
      <c r="G41" s="641" t="s">
        <v>254</v>
      </c>
      <c r="H41" s="12"/>
    </row>
    <row r="42" spans="2:8" s="11" customFormat="1" ht="16.5" customHeight="1">
      <c r="B42" s="41"/>
      <c r="C42" s="689"/>
      <c r="D42" s="689"/>
      <c r="E42" s="689"/>
      <c r="F42" s="639"/>
      <c r="G42" s="641"/>
      <c r="H42" s="12"/>
    </row>
    <row r="43" spans="2:8" s="11" customFormat="1" ht="16.5" customHeight="1" thickBot="1">
      <c r="B43" s="41"/>
      <c r="C43" s="644"/>
      <c r="D43" s="644"/>
      <c r="E43" s="644"/>
      <c r="F43" s="644"/>
      <c r="G43" s="644"/>
      <c r="H43" s="12"/>
    </row>
    <row r="44" spans="2:8" s="11" customFormat="1" ht="16.5" customHeight="1" thickTop="1">
      <c r="B44" s="41"/>
      <c r="C44" s="174"/>
      <c r="D44" s="174"/>
      <c r="E44" s="244"/>
      <c r="F44" s="245"/>
      <c r="H44" s="12"/>
    </row>
    <row r="45" spans="2:8" s="11" customFormat="1" ht="16.5" customHeight="1" thickBot="1">
      <c r="B45" s="45"/>
      <c r="C45" s="46"/>
      <c r="D45" s="46"/>
      <c r="E45" s="46"/>
      <c r="F45" s="46"/>
      <c r="G45" s="46"/>
      <c r="H45" s="47"/>
    </row>
    <row r="46" spans="7:10" ht="16.5" customHeight="1" thickTop="1">
      <c r="G46" s="4"/>
      <c r="H46" s="5"/>
      <c r="I46" s="5"/>
      <c r="J46" s="5"/>
    </row>
    <row r="47" spans="7:10" ht="16.5" customHeight="1">
      <c r="G47" s="4"/>
      <c r="H47" s="5"/>
      <c r="I47" s="5"/>
      <c r="J47" s="5"/>
    </row>
    <row r="48" spans="7:10" ht="16.5" customHeight="1">
      <c r="G48" s="4"/>
      <c r="H48" s="5"/>
      <c r="I48" s="5"/>
      <c r="J48" s="5"/>
    </row>
    <row r="49" spans="7:10" ht="16.5" customHeight="1">
      <c r="G49" s="4"/>
      <c r="H49" s="5"/>
      <c r="I49" s="5"/>
      <c r="J49" s="5"/>
    </row>
    <row r="50" spans="7:10" ht="16.5" customHeight="1">
      <c r="G50" s="4"/>
      <c r="H50" s="5"/>
      <c r="I50" s="5"/>
      <c r="J50" s="5"/>
    </row>
    <row r="51" spans="7:10" ht="16.5" customHeight="1">
      <c r="G51" s="4"/>
      <c r="H51" s="5"/>
      <c r="I51" s="5"/>
      <c r="J51" s="5"/>
    </row>
    <row r="52" spans="7:10" ht="16.5" customHeight="1">
      <c r="G52" s="5"/>
      <c r="H52" s="5"/>
      <c r="I52" s="5"/>
      <c r="J52" s="5"/>
    </row>
    <row r="53" spans="7:10" ht="16.5" customHeight="1">
      <c r="G53" s="5"/>
      <c r="H53" s="5"/>
      <c r="I53" s="5"/>
      <c r="J53" s="5"/>
    </row>
    <row r="54" spans="7:10" ht="16.5" customHeight="1">
      <c r="G54" s="5"/>
      <c r="H54" s="5"/>
      <c r="I54" s="5"/>
      <c r="J54" s="5"/>
    </row>
    <row r="55" spans="7:10" ht="16.5" customHeight="1">
      <c r="G55" s="5"/>
      <c r="H55" s="5"/>
      <c r="I55" s="5"/>
      <c r="J55" s="5"/>
    </row>
    <row r="56" spans="7:10" ht="16.5" customHeight="1">
      <c r="G56" s="5"/>
      <c r="H56" s="5"/>
      <c r="I56" s="5"/>
      <c r="J56" s="5"/>
    </row>
    <row r="57" spans="7:10" ht="16.5" customHeight="1">
      <c r="G57" s="5"/>
      <c r="H57" s="5"/>
      <c r="I57" s="5"/>
      <c r="J57" s="5"/>
    </row>
    <row r="58" spans="7:10" ht="16.5" customHeight="1">
      <c r="G58" s="5"/>
      <c r="H58" s="5"/>
      <c r="I58" s="5"/>
      <c r="J58" s="5"/>
    </row>
    <row r="59" spans="7:10" ht="16.5" customHeight="1">
      <c r="G59" s="5"/>
      <c r="H59" s="5"/>
      <c r="I59" s="5"/>
      <c r="J59" s="5"/>
    </row>
    <row r="60" spans="7:10" ht="16.5" customHeight="1">
      <c r="G60" s="5"/>
      <c r="H60" s="5"/>
      <c r="I60" s="5"/>
      <c r="J60" s="5"/>
    </row>
    <row r="61" spans="7:10" ht="16.5" customHeight="1">
      <c r="G61" s="5"/>
      <c r="H61" s="5"/>
      <c r="I61" s="5"/>
      <c r="J61" s="5"/>
    </row>
    <row r="62" spans="7:10" ht="16.5" customHeight="1">
      <c r="G62" s="5"/>
      <c r="H62" s="5"/>
      <c r="I62" s="5"/>
      <c r="J62" s="5"/>
    </row>
    <row r="63" spans="7:10" ht="16.5" customHeight="1">
      <c r="G63" s="5"/>
      <c r="H63" s="5"/>
      <c r="I63" s="5"/>
      <c r="J63" s="5"/>
    </row>
    <row r="64" spans="7:10" ht="16.5" customHeight="1">
      <c r="G64" s="5"/>
      <c r="H64" s="5"/>
      <c r="I64" s="5"/>
      <c r="J64" s="5"/>
    </row>
    <row r="65" spans="7:10" ht="16.5" customHeight="1">
      <c r="G65" s="5"/>
      <c r="H65" s="5"/>
      <c r="I65" s="5"/>
      <c r="J65" s="5"/>
    </row>
    <row r="66" spans="7:10" ht="16.5" customHeight="1">
      <c r="G66" s="5"/>
      <c r="H66" s="5"/>
      <c r="I66" s="5"/>
      <c r="J66" s="5"/>
    </row>
    <row r="67" spans="7:10" ht="16.5" customHeight="1">
      <c r="G67" s="5"/>
      <c r="H67" s="5"/>
      <c r="I67" s="5"/>
      <c r="J67" s="5"/>
    </row>
    <row r="68" spans="7:10" ht="16.5" customHeight="1">
      <c r="G68" s="5"/>
      <c r="H68" s="5"/>
      <c r="I68" s="5"/>
      <c r="J68" s="5"/>
    </row>
    <row r="69" spans="7:10" ht="16.5" customHeight="1">
      <c r="G69" s="5"/>
      <c r="H69" s="5"/>
      <c r="I69" s="5"/>
      <c r="J69" s="5"/>
    </row>
    <row r="70" spans="7:10" ht="16.5" customHeight="1">
      <c r="G70" s="5"/>
      <c r="H70" s="5"/>
      <c r="I70" s="5"/>
      <c r="J70" s="5"/>
    </row>
    <row r="71" spans="7:10" ht="16.5" customHeight="1">
      <c r="G71" s="5"/>
      <c r="H71" s="5"/>
      <c r="I71" s="5"/>
      <c r="J71" s="5"/>
    </row>
    <row r="72" spans="7:10" ht="16.5" customHeight="1">
      <c r="G72" s="5"/>
      <c r="H72" s="5"/>
      <c r="I72" s="5"/>
      <c r="J72" s="5"/>
    </row>
    <row r="73" spans="7:10" ht="16.5" customHeight="1">
      <c r="G73" s="5"/>
      <c r="H73" s="5"/>
      <c r="I73" s="5"/>
      <c r="J73" s="5"/>
    </row>
    <row r="74" spans="7:10" ht="16.5" customHeight="1">
      <c r="G74" s="5"/>
      <c r="H74" s="5"/>
      <c r="I74" s="5"/>
      <c r="J74" s="5"/>
    </row>
    <row r="75" spans="7:10" ht="16.5" customHeight="1">
      <c r="G75" s="5"/>
      <c r="H75" s="5"/>
      <c r="I75" s="5"/>
      <c r="J75" s="5"/>
    </row>
    <row r="76" spans="7:10" ht="16.5" customHeight="1">
      <c r="G76" s="5"/>
      <c r="H76" s="5"/>
      <c r="I76" s="5"/>
      <c r="J76" s="5"/>
    </row>
    <row r="77" spans="7:10" ht="16.5" customHeight="1">
      <c r="G77" s="5"/>
      <c r="H77" s="5"/>
      <c r="I77" s="5"/>
      <c r="J77" s="5"/>
    </row>
    <row r="78" spans="7:10" ht="16.5" customHeight="1">
      <c r="G78" s="5"/>
      <c r="H78" s="5"/>
      <c r="I78" s="5"/>
      <c r="J78" s="5"/>
    </row>
    <row r="79" spans="7:10" ht="16.5" customHeight="1">
      <c r="G79" s="5"/>
      <c r="H79" s="5"/>
      <c r="I79" s="5"/>
      <c r="J79" s="5"/>
    </row>
    <row r="80" spans="7:10" ht="16.5" customHeight="1">
      <c r="G80" s="5"/>
      <c r="H80" s="5"/>
      <c r="I80" s="5"/>
      <c r="J80" s="5"/>
    </row>
    <row r="81" spans="7:10" ht="16.5" customHeight="1">
      <c r="G81" s="5"/>
      <c r="H81" s="5"/>
      <c r="I81" s="5"/>
      <c r="J81" s="5"/>
    </row>
    <row r="82" spans="7:10" ht="16.5" customHeight="1">
      <c r="G82" s="5"/>
      <c r="H82" s="5"/>
      <c r="I82" s="5"/>
      <c r="J82" s="5"/>
    </row>
    <row r="83" spans="7:10" ht="16.5" customHeight="1">
      <c r="G83" s="5"/>
      <c r="H83" s="5"/>
      <c r="I83" s="5"/>
      <c r="J83" s="5"/>
    </row>
    <row r="84" spans="7:10" ht="16.5" customHeight="1">
      <c r="G84" s="5"/>
      <c r="H84" s="5"/>
      <c r="I84" s="5"/>
      <c r="J84" s="5"/>
    </row>
    <row r="85" spans="7:10" ht="16.5" customHeight="1">
      <c r="G85" s="5"/>
      <c r="H85" s="5"/>
      <c r="I85" s="5"/>
      <c r="J85" s="5"/>
    </row>
    <row r="86" spans="7:10" ht="16.5" customHeight="1">
      <c r="G86" s="5"/>
      <c r="H86" s="5"/>
      <c r="I86" s="5"/>
      <c r="J86" s="5"/>
    </row>
    <row r="87" spans="7:10" ht="16.5" customHeight="1">
      <c r="G87" s="5"/>
      <c r="H87" s="5"/>
      <c r="I87" s="5"/>
      <c r="J87" s="5"/>
    </row>
    <row r="88" spans="7:10" ht="16.5" customHeight="1">
      <c r="G88" s="5"/>
      <c r="H88" s="5"/>
      <c r="I88" s="5"/>
      <c r="J88" s="5"/>
    </row>
    <row r="89" spans="7:10" ht="16.5" customHeight="1">
      <c r="G89" s="5"/>
      <c r="H89" s="5"/>
      <c r="I89" s="5"/>
      <c r="J89" s="5"/>
    </row>
    <row r="90" spans="7:10" ht="16.5" customHeight="1">
      <c r="G90" s="5"/>
      <c r="H90" s="5"/>
      <c r="I90" s="5"/>
      <c r="J90" s="5"/>
    </row>
    <row r="91" spans="7:10" ht="16.5" customHeight="1">
      <c r="G91" s="5"/>
      <c r="H91" s="5"/>
      <c r="I91" s="5"/>
      <c r="J91" s="5"/>
    </row>
    <row r="92" spans="7:10" ht="16.5" customHeight="1">
      <c r="G92" s="5"/>
      <c r="H92" s="5"/>
      <c r="I92" s="5"/>
      <c r="J92" s="5"/>
    </row>
    <row r="93" spans="7:10" ht="16.5" customHeight="1">
      <c r="G93" s="5"/>
      <c r="H93" s="5"/>
      <c r="I93" s="5"/>
      <c r="J93" s="5"/>
    </row>
    <row r="94" spans="7:10" ht="16.5" customHeight="1">
      <c r="G94" s="5"/>
      <c r="H94" s="5"/>
      <c r="I94" s="5"/>
      <c r="J94" s="5"/>
    </row>
    <row r="95" spans="7:10" ht="16.5" customHeight="1">
      <c r="G95" s="5"/>
      <c r="H95" s="5"/>
      <c r="I95" s="5"/>
      <c r="J95" s="5"/>
    </row>
    <row r="96" spans="7:10" ht="16.5" customHeight="1">
      <c r="G96" s="5"/>
      <c r="H96" s="5"/>
      <c r="I96" s="5"/>
      <c r="J96" s="5"/>
    </row>
    <row r="97" spans="7:10" ht="16.5" customHeight="1">
      <c r="G97" s="5"/>
      <c r="H97" s="5"/>
      <c r="I97" s="5"/>
      <c r="J97" s="5"/>
    </row>
    <row r="98" spans="7:10" ht="16.5" customHeight="1">
      <c r="G98" s="5"/>
      <c r="H98" s="5"/>
      <c r="I98" s="5"/>
      <c r="J98" s="5"/>
    </row>
    <row r="99" spans="7:10" ht="16.5" customHeight="1">
      <c r="G99" s="5"/>
      <c r="H99" s="5"/>
      <c r="I99" s="5"/>
      <c r="J99" s="5"/>
    </row>
    <row r="100" spans="7:10" ht="16.5" customHeight="1">
      <c r="G100" s="5"/>
      <c r="H100" s="5"/>
      <c r="I100" s="5"/>
      <c r="J100" s="5"/>
    </row>
    <row r="101" spans="7:10" ht="16.5" customHeight="1">
      <c r="G101" s="5"/>
      <c r="H101" s="5"/>
      <c r="I101" s="5"/>
      <c r="J101" s="5"/>
    </row>
    <row r="102" spans="7:10" ht="16.5" customHeight="1">
      <c r="G102" s="5"/>
      <c r="H102" s="5"/>
      <c r="I102" s="5"/>
      <c r="J102" s="5"/>
    </row>
    <row r="103" spans="7:10" ht="16.5" customHeight="1">
      <c r="G103" s="5"/>
      <c r="H103" s="5"/>
      <c r="I103" s="5"/>
      <c r="J103" s="5"/>
    </row>
    <row r="104" spans="7:10" ht="16.5" customHeight="1">
      <c r="G104" s="5"/>
      <c r="H104" s="5"/>
      <c r="I104" s="5"/>
      <c r="J104" s="5"/>
    </row>
    <row r="105" spans="7:10" ht="16.5" customHeight="1">
      <c r="G105" s="5"/>
      <c r="H105" s="5"/>
      <c r="I105" s="5"/>
      <c r="J105" s="5"/>
    </row>
    <row r="106" spans="7:10" ht="16.5" customHeight="1">
      <c r="G106" s="5"/>
      <c r="H106" s="5"/>
      <c r="I106" s="5"/>
      <c r="J106" s="5"/>
    </row>
    <row r="107" spans="7:10" ht="16.5" customHeight="1">
      <c r="G107" s="5"/>
      <c r="H107" s="5"/>
      <c r="I107" s="5"/>
      <c r="J107" s="5"/>
    </row>
    <row r="108" spans="7:10" ht="16.5" customHeight="1">
      <c r="G108" s="5"/>
      <c r="H108" s="5"/>
      <c r="I108" s="5"/>
      <c r="J108" s="5"/>
    </row>
    <row r="109" spans="7:10" ht="16.5" customHeight="1">
      <c r="G109" s="5"/>
      <c r="H109" s="5"/>
      <c r="I109" s="5"/>
      <c r="J109" s="5"/>
    </row>
    <row r="110" spans="7:10" ht="16.5" customHeight="1">
      <c r="G110" s="5"/>
      <c r="H110" s="5"/>
      <c r="I110" s="5"/>
      <c r="J110" s="5"/>
    </row>
    <row r="111" spans="7:10" ht="16.5" customHeight="1">
      <c r="G111" s="5"/>
      <c r="H111" s="5"/>
      <c r="I111" s="5"/>
      <c r="J111" s="5"/>
    </row>
    <row r="112" spans="7:10" ht="16.5" customHeight="1">
      <c r="G112" s="5"/>
      <c r="H112" s="5"/>
      <c r="I112" s="5"/>
      <c r="J112" s="5"/>
    </row>
    <row r="113" spans="7:10" ht="16.5" customHeight="1">
      <c r="G113" s="5"/>
      <c r="H113" s="5"/>
      <c r="I113" s="5"/>
      <c r="J113" s="5"/>
    </row>
    <row r="114" spans="7:10" ht="16.5" customHeight="1">
      <c r="G114" s="5"/>
      <c r="H114" s="5"/>
      <c r="I114" s="5"/>
      <c r="J114" s="5"/>
    </row>
    <row r="115" spans="7:10" ht="16.5" customHeight="1">
      <c r="G115" s="5"/>
      <c r="H115" s="5"/>
      <c r="I115" s="5"/>
      <c r="J115" s="5"/>
    </row>
    <row r="116" spans="7:10" ht="16.5" customHeight="1">
      <c r="G116" s="5"/>
      <c r="H116" s="5"/>
      <c r="I116" s="5"/>
      <c r="J116" s="5"/>
    </row>
    <row r="117" spans="7:10" ht="16.5" customHeight="1">
      <c r="G117" s="5"/>
      <c r="H117" s="5"/>
      <c r="I117" s="5"/>
      <c r="J117" s="5"/>
    </row>
    <row r="118" spans="7:10" ht="16.5" customHeight="1">
      <c r="G118" s="5"/>
      <c r="H118" s="5"/>
      <c r="I118" s="5"/>
      <c r="J118" s="5"/>
    </row>
    <row r="119" spans="7:10" ht="16.5" customHeight="1">
      <c r="G119" s="5"/>
      <c r="H119" s="5"/>
      <c r="I119" s="5"/>
      <c r="J119" s="5"/>
    </row>
    <row r="120" spans="7:10" ht="16.5" customHeight="1">
      <c r="G120" s="5"/>
      <c r="H120" s="5"/>
      <c r="I120" s="5"/>
      <c r="J120" s="5"/>
    </row>
    <row r="121" spans="7:10" ht="16.5" customHeight="1">
      <c r="G121" s="5"/>
      <c r="H121" s="5"/>
      <c r="I121" s="5"/>
      <c r="J121" s="5"/>
    </row>
    <row r="122" spans="7:10" ht="16.5" customHeight="1">
      <c r="G122" s="5"/>
      <c r="H122" s="5"/>
      <c r="I122" s="5"/>
      <c r="J122" s="5"/>
    </row>
    <row r="123" spans="7:10" ht="16.5" customHeight="1">
      <c r="G123" s="5"/>
      <c r="H123" s="5"/>
      <c r="I123" s="5"/>
      <c r="J123" s="5"/>
    </row>
    <row r="124" spans="7:10" ht="16.5" customHeight="1">
      <c r="G124" s="5"/>
      <c r="H124" s="5"/>
      <c r="I124" s="5"/>
      <c r="J124" s="5"/>
    </row>
    <row r="125" spans="7:10" ht="16.5" customHeight="1">
      <c r="G125" s="5"/>
      <c r="H125" s="5"/>
      <c r="I125" s="5"/>
      <c r="J125" s="5"/>
    </row>
    <row r="126" spans="7:10" ht="16.5" customHeight="1">
      <c r="G126" s="5"/>
      <c r="H126" s="5"/>
      <c r="I126" s="5"/>
      <c r="J126" s="5"/>
    </row>
    <row r="127" spans="7:10" ht="16.5" customHeight="1">
      <c r="G127" s="5"/>
      <c r="H127" s="5"/>
      <c r="I127" s="5"/>
      <c r="J127" s="5"/>
    </row>
    <row r="128" spans="7:10" ht="16.5" customHeight="1">
      <c r="G128" s="5"/>
      <c r="H128" s="5"/>
      <c r="I128" s="5"/>
      <c r="J128" s="5"/>
    </row>
    <row r="129" spans="7:10" ht="16.5" customHeight="1">
      <c r="G129" s="5"/>
      <c r="H129" s="5"/>
      <c r="I129" s="5"/>
      <c r="J129" s="5"/>
    </row>
    <row r="130" spans="7:10" ht="16.5" customHeight="1">
      <c r="G130" s="5"/>
      <c r="H130" s="5"/>
      <c r="I130" s="5"/>
      <c r="J130" s="5"/>
    </row>
    <row r="131" spans="7:10" ht="16.5" customHeight="1">
      <c r="G131" s="5"/>
      <c r="H131" s="5"/>
      <c r="I131" s="5"/>
      <c r="J131" s="5"/>
    </row>
    <row r="132" spans="7:10" ht="16.5" customHeight="1">
      <c r="G132" s="5"/>
      <c r="H132" s="5"/>
      <c r="I132" s="5"/>
      <c r="J132" s="5"/>
    </row>
    <row r="133" spans="7:10" ht="16.5" customHeight="1">
      <c r="G133" s="5"/>
      <c r="H133" s="5"/>
      <c r="I133" s="5"/>
      <c r="J133" s="5"/>
    </row>
    <row r="134" spans="7:10" ht="16.5" customHeight="1">
      <c r="G134" s="5"/>
      <c r="H134" s="5"/>
      <c r="I134" s="5"/>
      <c r="J134" s="5"/>
    </row>
    <row r="135" spans="7:10" ht="16.5" customHeight="1">
      <c r="G135" s="5"/>
      <c r="H135" s="5"/>
      <c r="I135" s="5"/>
      <c r="J135" s="5"/>
    </row>
    <row r="136" spans="7:10" ht="16.5" customHeight="1">
      <c r="G136" s="5"/>
      <c r="H136" s="5"/>
      <c r="I136" s="5"/>
      <c r="J136" s="5"/>
    </row>
    <row r="137" spans="7:10" ht="16.5" customHeight="1">
      <c r="G137" s="5"/>
      <c r="H137" s="5"/>
      <c r="I137" s="5"/>
      <c r="J137" s="5"/>
    </row>
    <row r="138" spans="7:10" ht="16.5" customHeight="1">
      <c r="G138" s="5"/>
      <c r="H138" s="5"/>
      <c r="I138" s="5"/>
      <c r="J138" s="5"/>
    </row>
    <row r="139" spans="7:10" ht="16.5" customHeight="1">
      <c r="G139" s="5"/>
      <c r="H139" s="5"/>
      <c r="I139" s="5"/>
      <c r="J139" s="5"/>
    </row>
    <row r="140" spans="7:10" ht="16.5" customHeight="1">
      <c r="G140" s="5"/>
      <c r="H140" s="5"/>
      <c r="I140" s="5"/>
      <c r="J140" s="5"/>
    </row>
    <row r="141" spans="7:10" ht="16.5" customHeight="1">
      <c r="G141" s="5"/>
      <c r="H141" s="5"/>
      <c r="I141" s="5"/>
      <c r="J141" s="5"/>
    </row>
    <row r="142" spans="7:10" ht="16.5" customHeight="1">
      <c r="G142" s="5"/>
      <c r="H142" s="5"/>
      <c r="I142" s="5"/>
      <c r="J142" s="5"/>
    </row>
    <row r="143" spans="7:10" ht="16.5" customHeight="1">
      <c r="G143" s="5"/>
      <c r="H143" s="5"/>
      <c r="I143" s="5"/>
      <c r="J143" s="5"/>
    </row>
    <row r="144" spans="7:10" ht="16.5" customHeight="1">
      <c r="G144" s="5"/>
      <c r="H144" s="5"/>
      <c r="I144" s="5"/>
      <c r="J144" s="5"/>
    </row>
    <row r="145" spans="7:10" ht="16.5" customHeight="1">
      <c r="G145" s="5"/>
      <c r="H145" s="5"/>
      <c r="I145" s="5"/>
      <c r="J145" s="5"/>
    </row>
    <row r="146" spans="7:10" ht="16.5" customHeight="1">
      <c r="G146" s="5"/>
      <c r="H146" s="5"/>
      <c r="I146" s="5"/>
      <c r="J146" s="5"/>
    </row>
    <row r="147" spans="7:10" ht="16.5" customHeight="1">
      <c r="G147" s="5"/>
      <c r="H147" s="5"/>
      <c r="I147" s="5"/>
      <c r="J147" s="5"/>
    </row>
    <row r="148" spans="7:10" ht="16.5" customHeight="1">
      <c r="G148" s="5"/>
      <c r="H148" s="5"/>
      <c r="I148" s="5"/>
      <c r="J148" s="5"/>
    </row>
    <row r="149" spans="7:10" ht="16.5" customHeight="1">
      <c r="G149" s="5"/>
      <c r="H149" s="5"/>
      <c r="I149" s="5"/>
      <c r="J149" s="5"/>
    </row>
    <row r="150" spans="7:10" ht="16.5" customHeight="1">
      <c r="G150" s="5"/>
      <c r="H150" s="5"/>
      <c r="I150" s="5"/>
      <c r="J150" s="5"/>
    </row>
    <row r="151" spans="7:10" ht="16.5" customHeight="1">
      <c r="G151" s="5"/>
      <c r="H151" s="5"/>
      <c r="I151" s="5"/>
      <c r="J151" s="5"/>
    </row>
    <row r="152" spans="7:10" ht="16.5" customHeight="1">
      <c r="G152" s="5"/>
      <c r="H152" s="5"/>
      <c r="I152" s="5"/>
      <c r="J152" s="5"/>
    </row>
    <row r="153" spans="7:10" ht="16.5" customHeight="1">
      <c r="G153" s="5"/>
      <c r="I153" s="5"/>
      <c r="J153" s="5"/>
    </row>
    <row r="154" ht="16.5" customHeight="1">
      <c r="G154" s="5"/>
    </row>
    <row r="155" ht="16.5" customHeight="1">
      <c r="G155" s="5"/>
    </row>
    <row r="156" ht="16.5" customHeight="1">
      <c r="G156" s="5"/>
    </row>
    <row r="157" ht="16.5" customHeight="1">
      <c r="G157" s="5"/>
    </row>
    <row r="158" ht="16.5" customHeight="1">
      <c r="G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Roman,Normal"&amp;8&amp;F-&amp;A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J158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2" width="4.140625" style="0" customWidth="1"/>
    <col min="3" max="3" width="10.7109375" style="0" bestFit="1" customWidth="1"/>
    <col min="4" max="4" width="10.7109375" style="0" customWidth="1"/>
    <col min="5" max="6" width="13.57421875" style="0" customWidth="1"/>
    <col min="7" max="7" width="150.140625" style="0" customWidth="1"/>
    <col min="8" max="8" width="4.140625" style="0" customWidth="1"/>
    <col min="9" max="9" width="3.28125" style="0" customWidth="1"/>
  </cols>
  <sheetData>
    <row r="1" s="116" customFormat="1" ht="26.25">
      <c r="H1" s="384"/>
    </row>
    <row r="2" spans="1:8" s="116" customFormat="1" ht="26.25">
      <c r="A2" s="179"/>
      <c r="B2" s="683" t="s">
        <v>287</v>
      </c>
      <c r="C2" s="683"/>
      <c r="D2" s="683"/>
      <c r="E2" s="683"/>
      <c r="F2" s="683"/>
      <c r="G2" s="683"/>
      <c r="H2" s="683"/>
    </row>
    <row r="3" s="11" customFormat="1" ht="12.75">
      <c r="A3" s="178"/>
    </row>
    <row r="4" spans="1:5" s="119" customFormat="1" ht="11.25">
      <c r="A4" s="693" t="s">
        <v>16</v>
      </c>
      <c r="B4" s="219"/>
      <c r="C4" s="219"/>
      <c r="D4" s="219"/>
      <c r="E4" s="219"/>
    </row>
    <row r="5" spans="1:5" s="119" customFormat="1" ht="11.25">
      <c r="A5" s="693" t="s">
        <v>225</v>
      </c>
      <c r="B5" s="219"/>
      <c r="C5" s="219"/>
      <c r="D5" s="219"/>
      <c r="E5" s="219"/>
    </row>
    <row r="6" s="11" customFormat="1" ht="13.5" thickBot="1"/>
    <row r="7" spans="2:8" s="11" customFormat="1" ht="13.5" thickTop="1">
      <c r="B7" s="38"/>
      <c r="C7" s="39"/>
      <c r="D7" s="39"/>
      <c r="E7" s="39"/>
      <c r="F7" s="39"/>
      <c r="G7" s="39"/>
      <c r="H7" s="40"/>
    </row>
    <row r="8" spans="2:8" s="121" customFormat="1" ht="20.25">
      <c r="B8" s="120"/>
      <c r="C8" s="42"/>
      <c r="D8" s="42"/>
      <c r="E8" s="42"/>
      <c r="F8" s="21" t="s">
        <v>38</v>
      </c>
      <c r="H8" s="176"/>
    </row>
    <row r="9" spans="2:8" s="11" customFormat="1" ht="12.75">
      <c r="B9" s="41"/>
      <c r="C9" s="9"/>
      <c r="D9" s="9"/>
      <c r="E9" s="9"/>
      <c r="F9" s="9"/>
      <c r="H9" s="12"/>
    </row>
    <row r="10" spans="2:8" s="121" customFormat="1" ht="20.25">
      <c r="B10" s="120"/>
      <c r="C10" s="42"/>
      <c r="D10" s="42"/>
      <c r="E10" s="42"/>
      <c r="H10" s="122"/>
    </row>
    <row r="11" spans="2:8" s="11" customFormat="1" ht="16.5" customHeight="1">
      <c r="B11" s="41"/>
      <c r="C11" s="9"/>
      <c r="D11" s="9"/>
      <c r="E11" s="9"/>
      <c r="G11" s="21" t="s">
        <v>230</v>
      </c>
      <c r="H11" s="12"/>
    </row>
    <row r="12" spans="2:8" s="121" customFormat="1" ht="20.25">
      <c r="B12" s="120"/>
      <c r="C12" s="42"/>
      <c r="D12" s="42"/>
      <c r="E12" s="42"/>
      <c r="G12" s="21"/>
      <c r="H12" s="122"/>
    </row>
    <row r="13" spans="2:8" s="11" customFormat="1" ht="16.5" customHeight="1">
      <c r="B13" s="41"/>
      <c r="C13" s="9"/>
      <c r="D13" s="9"/>
      <c r="E13" s="9"/>
      <c r="F13" s="9"/>
      <c r="G13" s="133"/>
      <c r="H13" s="12"/>
    </row>
    <row r="14" spans="2:8" s="128" customFormat="1" ht="16.5" customHeight="1">
      <c r="B14" s="240" t="str">
        <f>'TOT-0709'!B14</f>
        <v>Desde el 01 al 31 de julio de 2009</v>
      </c>
      <c r="C14" s="150"/>
      <c r="D14" s="150"/>
      <c r="E14" s="150"/>
      <c r="F14" s="684"/>
      <c r="G14" s="685"/>
      <c r="H14" s="686"/>
    </row>
    <row r="15" spans="2:8" s="11" customFormat="1" ht="16.5" customHeight="1">
      <c r="B15" s="41"/>
      <c r="C15" s="9"/>
      <c r="D15" s="9"/>
      <c r="E15" s="9"/>
      <c r="F15" s="9"/>
      <c r="G15" s="9"/>
      <c r="H15" s="12"/>
    </row>
    <row r="16" spans="2:8" s="11" customFormat="1" ht="16.5" customHeight="1" thickBot="1">
      <c r="B16" s="41"/>
      <c r="C16" s="9"/>
      <c r="D16" s="9"/>
      <c r="E16" s="33"/>
      <c r="F16" s="222"/>
      <c r="G16" s="223"/>
      <c r="H16" s="12"/>
    </row>
    <row r="17" spans="2:8" s="11" customFormat="1" ht="33.75" customHeight="1" thickBot="1" thickTop="1">
      <c r="B17" s="41"/>
      <c r="C17" s="108" t="s">
        <v>231</v>
      </c>
      <c r="D17" s="108" t="s">
        <v>221</v>
      </c>
      <c r="E17" s="108" t="s">
        <v>222</v>
      </c>
      <c r="F17" s="110" t="s">
        <v>223</v>
      </c>
      <c r="G17" s="109" t="s">
        <v>224</v>
      </c>
      <c r="H17" s="12"/>
    </row>
    <row r="18" spans="2:8" s="11" customFormat="1" ht="16.5" customHeight="1" thickTop="1">
      <c r="B18" s="41"/>
      <c r="C18" s="687"/>
      <c r="D18" s="687"/>
      <c r="E18" s="687"/>
      <c r="F18" s="225"/>
      <c r="G18" s="688"/>
      <c r="H18" s="12"/>
    </row>
    <row r="19" spans="2:8" s="11" customFormat="1" ht="16.5" customHeight="1">
      <c r="B19" s="41"/>
      <c r="C19" s="689">
        <v>46</v>
      </c>
      <c r="D19" s="689">
        <v>1807</v>
      </c>
      <c r="E19" s="689">
        <v>209645</v>
      </c>
      <c r="F19" s="83" t="s">
        <v>253</v>
      </c>
      <c r="G19" s="85" t="s">
        <v>254</v>
      </c>
      <c r="H19" s="12"/>
    </row>
    <row r="20" spans="2:8" s="11" customFormat="1" ht="16.5" customHeight="1">
      <c r="B20" s="41"/>
      <c r="C20" s="689">
        <v>47</v>
      </c>
      <c r="D20" s="20">
        <v>1632</v>
      </c>
      <c r="E20" s="630">
        <v>209646</v>
      </c>
      <c r="F20" s="639" t="s">
        <v>253</v>
      </c>
      <c r="G20" s="641" t="s">
        <v>254</v>
      </c>
      <c r="H20" s="12"/>
    </row>
    <row r="21" spans="2:8" s="11" customFormat="1" ht="16.5" customHeight="1">
      <c r="B21" s="41"/>
      <c r="C21" s="689">
        <v>48</v>
      </c>
      <c r="D21" s="20">
        <v>1750</v>
      </c>
      <c r="E21" s="630">
        <v>209647</v>
      </c>
      <c r="F21" s="639" t="s">
        <v>253</v>
      </c>
      <c r="G21" s="641" t="s">
        <v>254</v>
      </c>
      <c r="H21" s="12"/>
    </row>
    <row r="22" spans="2:8" s="11" customFormat="1" ht="16.5" customHeight="1">
      <c r="B22" s="41"/>
      <c r="C22" s="689">
        <v>49</v>
      </c>
      <c r="D22" s="689">
        <v>1802</v>
      </c>
      <c r="E22" s="689">
        <v>209648</v>
      </c>
      <c r="F22" s="639" t="s">
        <v>253</v>
      </c>
      <c r="G22" s="641" t="s">
        <v>254</v>
      </c>
      <c r="H22" s="12"/>
    </row>
    <row r="23" spans="2:8" s="11" customFormat="1" ht="16.5" customHeight="1">
      <c r="B23" s="41"/>
      <c r="C23" s="689">
        <v>50</v>
      </c>
      <c r="D23" s="20">
        <v>1633</v>
      </c>
      <c r="E23" s="630">
        <v>209649</v>
      </c>
      <c r="F23" s="639" t="s">
        <v>253</v>
      </c>
      <c r="G23" s="641" t="s">
        <v>254</v>
      </c>
      <c r="H23" s="12"/>
    </row>
    <row r="24" spans="2:8" s="11" customFormat="1" ht="16.5" customHeight="1">
      <c r="B24" s="41"/>
      <c r="C24" s="689">
        <v>51</v>
      </c>
      <c r="D24" s="20">
        <v>1757</v>
      </c>
      <c r="E24" s="630">
        <v>209650</v>
      </c>
      <c r="F24" s="639" t="s">
        <v>253</v>
      </c>
      <c r="G24" s="641" t="s">
        <v>254</v>
      </c>
      <c r="H24" s="12"/>
    </row>
    <row r="25" spans="2:8" s="11" customFormat="1" ht="16.5" customHeight="1">
      <c r="B25" s="41"/>
      <c r="C25" s="689">
        <v>52</v>
      </c>
      <c r="D25" s="20">
        <v>1758</v>
      </c>
      <c r="E25" s="630">
        <v>209651</v>
      </c>
      <c r="F25" s="639" t="s">
        <v>253</v>
      </c>
      <c r="G25" s="641" t="s">
        <v>254</v>
      </c>
      <c r="H25" s="12"/>
    </row>
    <row r="26" spans="2:8" s="11" customFormat="1" ht="16.5" customHeight="1">
      <c r="B26" s="41"/>
      <c r="C26" s="689">
        <v>53</v>
      </c>
      <c r="D26" s="689">
        <v>1759</v>
      </c>
      <c r="E26" s="689">
        <v>209652</v>
      </c>
      <c r="F26" s="639" t="s">
        <v>253</v>
      </c>
      <c r="G26" s="641" t="s">
        <v>254</v>
      </c>
      <c r="H26" s="12"/>
    </row>
    <row r="27" spans="2:8" s="11" customFormat="1" ht="16.5" customHeight="1">
      <c r="B27" s="41"/>
      <c r="C27" s="689">
        <v>54</v>
      </c>
      <c r="D27" s="20">
        <v>1805</v>
      </c>
      <c r="E27" s="630">
        <v>209653</v>
      </c>
      <c r="F27" s="639" t="s">
        <v>253</v>
      </c>
      <c r="G27" s="641" t="s">
        <v>254</v>
      </c>
      <c r="H27" s="12"/>
    </row>
    <row r="28" spans="2:8" s="11" customFormat="1" ht="16.5" customHeight="1">
      <c r="B28" s="41"/>
      <c r="C28" s="689"/>
      <c r="D28" s="689"/>
      <c r="E28" s="689"/>
      <c r="F28" s="639"/>
      <c r="G28" s="641"/>
      <c r="H28" s="12"/>
    </row>
    <row r="29" spans="2:8" s="11" customFormat="1" ht="16.5" customHeight="1">
      <c r="B29" s="41"/>
      <c r="C29" s="689"/>
      <c r="D29" s="20"/>
      <c r="E29" s="630"/>
      <c r="F29" s="639"/>
      <c r="G29" s="641"/>
      <c r="H29" s="12"/>
    </row>
    <row r="30" spans="2:8" s="11" customFormat="1" ht="16.5" customHeight="1">
      <c r="B30" s="41"/>
      <c r="C30" s="689"/>
      <c r="D30" s="689"/>
      <c r="E30" s="689"/>
      <c r="F30" s="639"/>
      <c r="G30" s="641"/>
      <c r="H30" s="12"/>
    </row>
    <row r="31" spans="2:8" s="11" customFormat="1" ht="16.5" customHeight="1">
      <c r="B31" s="41"/>
      <c r="C31" s="689"/>
      <c r="D31" s="20"/>
      <c r="E31" s="630"/>
      <c r="F31" s="639"/>
      <c r="G31" s="641"/>
      <c r="H31" s="12"/>
    </row>
    <row r="32" spans="2:8" s="11" customFormat="1" ht="16.5" customHeight="1">
      <c r="B32" s="41"/>
      <c r="C32" s="689"/>
      <c r="D32" s="689"/>
      <c r="E32" s="689"/>
      <c r="F32" s="639"/>
      <c r="G32" s="641"/>
      <c r="H32" s="12"/>
    </row>
    <row r="33" spans="2:8" s="11" customFormat="1" ht="16.5" customHeight="1">
      <c r="B33" s="41"/>
      <c r="C33" s="689"/>
      <c r="D33" s="20"/>
      <c r="E33" s="630"/>
      <c r="F33" s="639"/>
      <c r="G33" s="641"/>
      <c r="H33" s="12"/>
    </row>
    <row r="34" spans="2:8" s="11" customFormat="1" ht="16.5" customHeight="1">
      <c r="B34" s="41"/>
      <c r="C34" s="689"/>
      <c r="D34" s="689"/>
      <c r="E34" s="689"/>
      <c r="F34" s="639"/>
      <c r="G34" s="641"/>
      <c r="H34" s="12"/>
    </row>
    <row r="35" spans="2:8" s="11" customFormat="1" ht="16.5" customHeight="1">
      <c r="B35" s="41"/>
      <c r="C35" s="689"/>
      <c r="D35" s="20"/>
      <c r="E35" s="630"/>
      <c r="F35" s="639"/>
      <c r="G35" s="641"/>
      <c r="H35" s="12"/>
    </row>
    <row r="36" spans="2:8" s="11" customFormat="1" ht="16.5" customHeight="1">
      <c r="B36" s="41"/>
      <c r="C36" s="689"/>
      <c r="D36" s="689"/>
      <c r="E36" s="689"/>
      <c r="F36" s="639"/>
      <c r="G36" s="641"/>
      <c r="H36" s="12"/>
    </row>
    <row r="37" spans="2:8" s="11" customFormat="1" ht="16.5" customHeight="1">
      <c r="B37" s="41"/>
      <c r="C37" s="689"/>
      <c r="D37" s="20"/>
      <c r="E37" s="630"/>
      <c r="F37" s="639"/>
      <c r="G37" s="641"/>
      <c r="H37" s="12"/>
    </row>
    <row r="38" spans="2:8" s="11" customFormat="1" ht="16.5" customHeight="1">
      <c r="B38" s="41"/>
      <c r="C38" s="689"/>
      <c r="D38" s="689"/>
      <c r="E38" s="689"/>
      <c r="F38" s="639"/>
      <c r="G38" s="641"/>
      <c r="H38" s="12"/>
    </row>
    <row r="39" spans="2:8" s="11" customFormat="1" ht="16.5" customHeight="1">
      <c r="B39" s="41"/>
      <c r="C39" s="689"/>
      <c r="D39" s="20"/>
      <c r="E39" s="630"/>
      <c r="F39" s="639"/>
      <c r="G39" s="641"/>
      <c r="H39" s="12"/>
    </row>
    <row r="40" spans="2:8" s="11" customFormat="1" ht="16.5" customHeight="1">
      <c r="B40" s="41"/>
      <c r="C40" s="689"/>
      <c r="D40" s="689"/>
      <c r="E40" s="689"/>
      <c r="F40" s="639"/>
      <c r="G40" s="641"/>
      <c r="H40" s="12"/>
    </row>
    <row r="41" spans="2:8" s="11" customFormat="1" ht="16.5" customHeight="1">
      <c r="B41" s="41"/>
      <c r="C41" s="689"/>
      <c r="D41" s="20"/>
      <c r="E41" s="630"/>
      <c r="F41" s="639"/>
      <c r="G41" s="641"/>
      <c r="H41" s="12"/>
    </row>
    <row r="42" spans="2:8" s="11" customFormat="1" ht="16.5" customHeight="1">
      <c r="B42" s="41"/>
      <c r="C42" s="689"/>
      <c r="D42" s="689"/>
      <c r="E42" s="689"/>
      <c r="F42" s="639"/>
      <c r="G42" s="641"/>
      <c r="H42" s="12"/>
    </row>
    <row r="43" spans="2:8" s="11" customFormat="1" ht="16.5" customHeight="1" thickBot="1">
      <c r="B43" s="41"/>
      <c r="C43" s="644"/>
      <c r="D43" s="644"/>
      <c r="E43" s="644"/>
      <c r="F43" s="644"/>
      <c r="G43" s="644"/>
      <c r="H43" s="12"/>
    </row>
    <row r="44" spans="2:8" s="11" customFormat="1" ht="16.5" customHeight="1" thickTop="1">
      <c r="B44" s="41"/>
      <c r="C44" s="174"/>
      <c r="D44" s="174"/>
      <c r="E44" s="244"/>
      <c r="F44" s="245"/>
      <c r="H44" s="12"/>
    </row>
    <row r="45" spans="2:8" s="11" customFormat="1" ht="16.5" customHeight="1" thickBot="1">
      <c r="B45" s="45"/>
      <c r="C45" s="46"/>
      <c r="D45" s="46"/>
      <c r="E45" s="46"/>
      <c r="F45" s="46"/>
      <c r="G45" s="46"/>
      <c r="H45" s="47"/>
    </row>
    <row r="46" spans="7:10" ht="16.5" customHeight="1" thickTop="1">
      <c r="G46" s="4"/>
      <c r="H46" s="5"/>
      <c r="I46" s="5"/>
      <c r="J46" s="5"/>
    </row>
    <row r="47" spans="7:10" ht="16.5" customHeight="1">
      <c r="G47" s="4"/>
      <c r="H47" s="5"/>
      <c r="I47" s="5"/>
      <c r="J47" s="5"/>
    </row>
    <row r="48" spans="7:10" ht="16.5" customHeight="1">
      <c r="G48" s="4"/>
      <c r="H48" s="5"/>
      <c r="I48" s="5"/>
      <c r="J48" s="5"/>
    </row>
    <row r="49" spans="7:10" ht="16.5" customHeight="1">
      <c r="G49" s="4"/>
      <c r="H49" s="5"/>
      <c r="I49" s="5"/>
      <c r="J49" s="5"/>
    </row>
    <row r="50" spans="7:10" ht="16.5" customHeight="1">
      <c r="G50" s="4"/>
      <c r="H50" s="5"/>
      <c r="I50" s="5"/>
      <c r="J50" s="5"/>
    </row>
    <row r="51" spans="7:10" ht="16.5" customHeight="1">
      <c r="G51" s="4"/>
      <c r="H51" s="5"/>
      <c r="I51" s="5"/>
      <c r="J51" s="5"/>
    </row>
    <row r="52" spans="7:10" ht="16.5" customHeight="1">
      <c r="G52" s="5"/>
      <c r="H52" s="5"/>
      <c r="I52" s="5"/>
      <c r="J52" s="5"/>
    </row>
    <row r="53" spans="7:10" ht="16.5" customHeight="1">
      <c r="G53" s="5"/>
      <c r="H53" s="5"/>
      <c r="I53" s="5"/>
      <c r="J53" s="5"/>
    </row>
    <row r="54" spans="7:10" ht="16.5" customHeight="1">
      <c r="G54" s="5"/>
      <c r="H54" s="5"/>
      <c r="I54" s="5"/>
      <c r="J54" s="5"/>
    </row>
    <row r="55" spans="7:10" ht="16.5" customHeight="1">
      <c r="G55" s="5"/>
      <c r="H55" s="5"/>
      <c r="I55" s="5"/>
      <c r="J55" s="5"/>
    </row>
    <row r="56" spans="7:10" ht="16.5" customHeight="1">
      <c r="G56" s="5"/>
      <c r="H56" s="5"/>
      <c r="I56" s="5"/>
      <c r="J56" s="5"/>
    </row>
    <row r="57" spans="7:10" ht="16.5" customHeight="1">
      <c r="G57" s="5"/>
      <c r="H57" s="5"/>
      <c r="I57" s="5"/>
      <c r="J57" s="5"/>
    </row>
    <row r="58" spans="7:10" ht="16.5" customHeight="1">
      <c r="G58" s="5"/>
      <c r="H58" s="5"/>
      <c r="I58" s="5"/>
      <c r="J58" s="5"/>
    </row>
    <row r="59" spans="7:10" ht="16.5" customHeight="1">
      <c r="G59" s="5"/>
      <c r="H59" s="5"/>
      <c r="I59" s="5"/>
      <c r="J59" s="5"/>
    </row>
    <row r="60" spans="7:10" ht="16.5" customHeight="1">
      <c r="G60" s="5"/>
      <c r="H60" s="5"/>
      <c r="I60" s="5"/>
      <c r="J60" s="5"/>
    </row>
    <row r="61" spans="7:10" ht="16.5" customHeight="1">
      <c r="G61" s="5"/>
      <c r="H61" s="5"/>
      <c r="I61" s="5"/>
      <c r="J61" s="5"/>
    </row>
    <row r="62" spans="7:10" ht="16.5" customHeight="1">
      <c r="G62" s="5"/>
      <c r="H62" s="5"/>
      <c r="I62" s="5"/>
      <c r="J62" s="5"/>
    </row>
    <row r="63" spans="7:10" ht="16.5" customHeight="1">
      <c r="G63" s="5"/>
      <c r="H63" s="5"/>
      <c r="I63" s="5"/>
      <c r="J63" s="5"/>
    </row>
    <row r="64" spans="7:10" ht="16.5" customHeight="1">
      <c r="G64" s="5"/>
      <c r="H64" s="5"/>
      <c r="I64" s="5"/>
      <c r="J64" s="5"/>
    </row>
    <row r="65" spans="7:10" ht="16.5" customHeight="1">
      <c r="G65" s="5"/>
      <c r="H65" s="5"/>
      <c r="I65" s="5"/>
      <c r="J65" s="5"/>
    </row>
    <row r="66" spans="7:10" ht="16.5" customHeight="1">
      <c r="G66" s="5"/>
      <c r="H66" s="5"/>
      <c r="I66" s="5"/>
      <c r="J66" s="5"/>
    </row>
    <row r="67" spans="7:10" ht="16.5" customHeight="1">
      <c r="G67" s="5"/>
      <c r="H67" s="5"/>
      <c r="I67" s="5"/>
      <c r="J67" s="5"/>
    </row>
    <row r="68" spans="7:10" ht="16.5" customHeight="1">
      <c r="G68" s="5"/>
      <c r="H68" s="5"/>
      <c r="I68" s="5"/>
      <c r="J68" s="5"/>
    </row>
    <row r="69" spans="7:10" ht="16.5" customHeight="1">
      <c r="G69" s="5"/>
      <c r="H69" s="5"/>
      <c r="I69" s="5"/>
      <c r="J69" s="5"/>
    </row>
    <row r="70" spans="7:10" ht="16.5" customHeight="1">
      <c r="G70" s="5"/>
      <c r="H70" s="5"/>
      <c r="I70" s="5"/>
      <c r="J70" s="5"/>
    </row>
    <row r="71" spans="7:10" ht="16.5" customHeight="1">
      <c r="G71" s="5"/>
      <c r="H71" s="5"/>
      <c r="I71" s="5"/>
      <c r="J71" s="5"/>
    </row>
    <row r="72" spans="7:10" ht="16.5" customHeight="1">
      <c r="G72" s="5"/>
      <c r="H72" s="5"/>
      <c r="I72" s="5"/>
      <c r="J72" s="5"/>
    </row>
    <row r="73" spans="7:10" ht="16.5" customHeight="1">
      <c r="G73" s="5"/>
      <c r="H73" s="5"/>
      <c r="I73" s="5"/>
      <c r="J73" s="5"/>
    </row>
    <row r="74" spans="7:10" ht="16.5" customHeight="1">
      <c r="G74" s="5"/>
      <c r="H74" s="5"/>
      <c r="I74" s="5"/>
      <c r="J74" s="5"/>
    </row>
    <row r="75" spans="7:10" ht="16.5" customHeight="1">
      <c r="G75" s="5"/>
      <c r="H75" s="5"/>
      <c r="I75" s="5"/>
      <c r="J75" s="5"/>
    </row>
    <row r="76" spans="7:10" ht="16.5" customHeight="1">
      <c r="G76" s="5"/>
      <c r="H76" s="5"/>
      <c r="I76" s="5"/>
      <c r="J76" s="5"/>
    </row>
    <row r="77" spans="7:10" ht="16.5" customHeight="1">
      <c r="G77" s="5"/>
      <c r="H77" s="5"/>
      <c r="I77" s="5"/>
      <c r="J77" s="5"/>
    </row>
    <row r="78" spans="7:10" ht="16.5" customHeight="1">
      <c r="G78" s="5"/>
      <c r="H78" s="5"/>
      <c r="I78" s="5"/>
      <c r="J78" s="5"/>
    </row>
    <row r="79" spans="7:10" ht="16.5" customHeight="1">
      <c r="G79" s="5"/>
      <c r="H79" s="5"/>
      <c r="I79" s="5"/>
      <c r="J79" s="5"/>
    </row>
    <row r="80" spans="7:10" ht="16.5" customHeight="1">
      <c r="G80" s="5"/>
      <c r="H80" s="5"/>
      <c r="I80" s="5"/>
      <c r="J80" s="5"/>
    </row>
    <row r="81" spans="7:10" ht="16.5" customHeight="1">
      <c r="G81" s="5"/>
      <c r="H81" s="5"/>
      <c r="I81" s="5"/>
      <c r="J81" s="5"/>
    </row>
    <row r="82" spans="7:10" ht="16.5" customHeight="1">
      <c r="G82" s="5"/>
      <c r="H82" s="5"/>
      <c r="I82" s="5"/>
      <c r="J82" s="5"/>
    </row>
    <row r="83" spans="7:10" ht="16.5" customHeight="1">
      <c r="G83" s="5"/>
      <c r="H83" s="5"/>
      <c r="I83" s="5"/>
      <c r="J83" s="5"/>
    </row>
    <row r="84" spans="7:10" ht="16.5" customHeight="1">
      <c r="G84" s="5"/>
      <c r="H84" s="5"/>
      <c r="I84" s="5"/>
      <c r="J84" s="5"/>
    </row>
    <row r="85" spans="7:10" ht="16.5" customHeight="1">
      <c r="G85" s="5"/>
      <c r="H85" s="5"/>
      <c r="I85" s="5"/>
      <c r="J85" s="5"/>
    </row>
    <row r="86" spans="7:10" ht="16.5" customHeight="1">
      <c r="G86" s="5"/>
      <c r="H86" s="5"/>
      <c r="I86" s="5"/>
      <c r="J86" s="5"/>
    </row>
    <row r="87" spans="7:10" ht="16.5" customHeight="1">
      <c r="G87" s="5"/>
      <c r="H87" s="5"/>
      <c r="I87" s="5"/>
      <c r="J87" s="5"/>
    </row>
    <row r="88" spans="7:10" ht="16.5" customHeight="1">
      <c r="G88" s="5"/>
      <c r="H88" s="5"/>
      <c r="I88" s="5"/>
      <c r="J88" s="5"/>
    </row>
    <row r="89" spans="7:10" ht="16.5" customHeight="1">
      <c r="G89" s="5"/>
      <c r="H89" s="5"/>
      <c r="I89" s="5"/>
      <c r="J89" s="5"/>
    </row>
    <row r="90" spans="7:10" ht="16.5" customHeight="1">
      <c r="G90" s="5"/>
      <c r="H90" s="5"/>
      <c r="I90" s="5"/>
      <c r="J90" s="5"/>
    </row>
    <row r="91" spans="7:10" ht="16.5" customHeight="1">
      <c r="G91" s="5"/>
      <c r="H91" s="5"/>
      <c r="I91" s="5"/>
      <c r="J91" s="5"/>
    </row>
    <row r="92" spans="7:10" ht="16.5" customHeight="1">
      <c r="G92" s="5"/>
      <c r="H92" s="5"/>
      <c r="I92" s="5"/>
      <c r="J92" s="5"/>
    </row>
    <row r="93" spans="7:10" ht="16.5" customHeight="1">
      <c r="G93" s="5"/>
      <c r="H93" s="5"/>
      <c r="I93" s="5"/>
      <c r="J93" s="5"/>
    </row>
    <row r="94" spans="7:10" ht="16.5" customHeight="1">
      <c r="G94" s="5"/>
      <c r="H94" s="5"/>
      <c r="I94" s="5"/>
      <c r="J94" s="5"/>
    </row>
    <row r="95" spans="7:10" ht="16.5" customHeight="1">
      <c r="G95" s="5"/>
      <c r="H95" s="5"/>
      <c r="I95" s="5"/>
      <c r="J95" s="5"/>
    </row>
    <row r="96" spans="7:10" ht="16.5" customHeight="1">
      <c r="G96" s="5"/>
      <c r="H96" s="5"/>
      <c r="I96" s="5"/>
      <c r="J96" s="5"/>
    </row>
    <row r="97" spans="7:10" ht="16.5" customHeight="1">
      <c r="G97" s="5"/>
      <c r="H97" s="5"/>
      <c r="I97" s="5"/>
      <c r="J97" s="5"/>
    </row>
    <row r="98" spans="7:10" ht="16.5" customHeight="1">
      <c r="G98" s="5"/>
      <c r="H98" s="5"/>
      <c r="I98" s="5"/>
      <c r="J98" s="5"/>
    </row>
    <row r="99" spans="7:10" ht="16.5" customHeight="1">
      <c r="G99" s="5"/>
      <c r="H99" s="5"/>
      <c r="I99" s="5"/>
      <c r="J99" s="5"/>
    </row>
    <row r="100" spans="7:10" ht="16.5" customHeight="1">
      <c r="G100" s="5"/>
      <c r="H100" s="5"/>
      <c r="I100" s="5"/>
      <c r="J100" s="5"/>
    </row>
    <row r="101" spans="7:10" ht="16.5" customHeight="1">
      <c r="G101" s="5"/>
      <c r="H101" s="5"/>
      <c r="I101" s="5"/>
      <c r="J101" s="5"/>
    </row>
    <row r="102" spans="7:10" ht="16.5" customHeight="1">
      <c r="G102" s="5"/>
      <c r="H102" s="5"/>
      <c r="I102" s="5"/>
      <c r="J102" s="5"/>
    </row>
    <row r="103" spans="7:10" ht="16.5" customHeight="1">
      <c r="G103" s="5"/>
      <c r="H103" s="5"/>
      <c r="I103" s="5"/>
      <c r="J103" s="5"/>
    </row>
    <row r="104" spans="7:10" ht="16.5" customHeight="1">
      <c r="G104" s="5"/>
      <c r="H104" s="5"/>
      <c r="I104" s="5"/>
      <c r="J104" s="5"/>
    </row>
    <row r="105" spans="7:10" ht="16.5" customHeight="1">
      <c r="G105" s="5"/>
      <c r="H105" s="5"/>
      <c r="I105" s="5"/>
      <c r="J105" s="5"/>
    </row>
    <row r="106" spans="7:10" ht="16.5" customHeight="1">
      <c r="G106" s="5"/>
      <c r="H106" s="5"/>
      <c r="I106" s="5"/>
      <c r="J106" s="5"/>
    </row>
    <row r="107" spans="7:10" ht="16.5" customHeight="1">
      <c r="G107" s="5"/>
      <c r="H107" s="5"/>
      <c r="I107" s="5"/>
      <c r="J107" s="5"/>
    </row>
    <row r="108" spans="7:10" ht="16.5" customHeight="1">
      <c r="G108" s="5"/>
      <c r="H108" s="5"/>
      <c r="I108" s="5"/>
      <c r="J108" s="5"/>
    </row>
    <row r="109" spans="7:10" ht="16.5" customHeight="1">
      <c r="G109" s="5"/>
      <c r="H109" s="5"/>
      <c r="I109" s="5"/>
      <c r="J109" s="5"/>
    </row>
    <row r="110" spans="7:10" ht="16.5" customHeight="1">
      <c r="G110" s="5"/>
      <c r="H110" s="5"/>
      <c r="I110" s="5"/>
      <c r="J110" s="5"/>
    </row>
    <row r="111" spans="7:10" ht="16.5" customHeight="1">
      <c r="G111" s="5"/>
      <c r="H111" s="5"/>
      <c r="I111" s="5"/>
      <c r="J111" s="5"/>
    </row>
    <row r="112" spans="7:10" ht="16.5" customHeight="1">
      <c r="G112" s="5"/>
      <c r="H112" s="5"/>
      <c r="I112" s="5"/>
      <c r="J112" s="5"/>
    </row>
    <row r="113" spans="7:10" ht="16.5" customHeight="1">
      <c r="G113" s="5"/>
      <c r="H113" s="5"/>
      <c r="I113" s="5"/>
      <c r="J113" s="5"/>
    </row>
    <row r="114" spans="7:10" ht="16.5" customHeight="1">
      <c r="G114" s="5"/>
      <c r="H114" s="5"/>
      <c r="I114" s="5"/>
      <c r="J114" s="5"/>
    </row>
    <row r="115" spans="7:10" ht="16.5" customHeight="1">
      <c r="G115" s="5"/>
      <c r="H115" s="5"/>
      <c r="I115" s="5"/>
      <c r="J115" s="5"/>
    </row>
    <row r="116" spans="7:10" ht="16.5" customHeight="1">
      <c r="G116" s="5"/>
      <c r="H116" s="5"/>
      <c r="I116" s="5"/>
      <c r="J116" s="5"/>
    </row>
    <row r="117" spans="7:10" ht="16.5" customHeight="1">
      <c r="G117" s="5"/>
      <c r="H117" s="5"/>
      <c r="I117" s="5"/>
      <c r="J117" s="5"/>
    </row>
    <row r="118" spans="7:10" ht="16.5" customHeight="1">
      <c r="G118" s="5"/>
      <c r="H118" s="5"/>
      <c r="I118" s="5"/>
      <c r="J118" s="5"/>
    </row>
    <row r="119" spans="7:10" ht="16.5" customHeight="1">
      <c r="G119" s="5"/>
      <c r="H119" s="5"/>
      <c r="I119" s="5"/>
      <c r="J119" s="5"/>
    </row>
    <row r="120" spans="7:10" ht="16.5" customHeight="1">
      <c r="G120" s="5"/>
      <c r="H120" s="5"/>
      <c r="I120" s="5"/>
      <c r="J120" s="5"/>
    </row>
    <row r="121" spans="7:10" ht="16.5" customHeight="1">
      <c r="G121" s="5"/>
      <c r="H121" s="5"/>
      <c r="I121" s="5"/>
      <c r="J121" s="5"/>
    </row>
    <row r="122" spans="7:10" ht="16.5" customHeight="1">
      <c r="G122" s="5"/>
      <c r="H122" s="5"/>
      <c r="I122" s="5"/>
      <c r="J122" s="5"/>
    </row>
    <row r="123" spans="7:10" ht="16.5" customHeight="1">
      <c r="G123" s="5"/>
      <c r="H123" s="5"/>
      <c r="I123" s="5"/>
      <c r="J123" s="5"/>
    </row>
    <row r="124" spans="7:10" ht="16.5" customHeight="1">
      <c r="G124" s="5"/>
      <c r="H124" s="5"/>
      <c r="I124" s="5"/>
      <c r="J124" s="5"/>
    </row>
    <row r="125" spans="7:10" ht="16.5" customHeight="1">
      <c r="G125" s="5"/>
      <c r="H125" s="5"/>
      <c r="I125" s="5"/>
      <c r="J125" s="5"/>
    </row>
    <row r="126" spans="7:10" ht="16.5" customHeight="1">
      <c r="G126" s="5"/>
      <c r="H126" s="5"/>
      <c r="I126" s="5"/>
      <c r="J126" s="5"/>
    </row>
    <row r="127" spans="7:10" ht="16.5" customHeight="1">
      <c r="G127" s="5"/>
      <c r="H127" s="5"/>
      <c r="I127" s="5"/>
      <c r="J127" s="5"/>
    </row>
    <row r="128" spans="7:10" ht="16.5" customHeight="1">
      <c r="G128" s="5"/>
      <c r="H128" s="5"/>
      <c r="I128" s="5"/>
      <c r="J128" s="5"/>
    </row>
    <row r="129" spans="7:10" ht="16.5" customHeight="1">
      <c r="G129" s="5"/>
      <c r="H129" s="5"/>
      <c r="I129" s="5"/>
      <c r="J129" s="5"/>
    </row>
    <row r="130" spans="7:10" ht="16.5" customHeight="1">
      <c r="G130" s="5"/>
      <c r="H130" s="5"/>
      <c r="I130" s="5"/>
      <c r="J130" s="5"/>
    </row>
    <row r="131" spans="7:10" ht="16.5" customHeight="1">
      <c r="G131" s="5"/>
      <c r="H131" s="5"/>
      <c r="I131" s="5"/>
      <c r="J131" s="5"/>
    </row>
    <row r="132" spans="7:10" ht="16.5" customHeight="1">
      <c r="G132" s="5"/>
      <c r="H132" s="5"/>
      <c r="I132" s="5"/>
      <c r="J132" s="5"/>
    </row>
    <row r="133" spans="7:10" ht="16.5" customHeight="1">
      <c r="G133" s="5"/>
      <c r="H133" s="5"/>
      <c r="I133" s="5"/>
      <c r="J133" s="5"/>
    </row>
    <row r="134" spans="7:10" ht="16.5" customHeight="1">
      <c r="G134" s="5"/>
      <c r="H134" s="5"/>
      <c r="I134" s="5"/>
      <c r="J134" s="5"/>
    </row>
    <row r="135" spans="7:10" ht="16.5" customHeight="1">
      <c r="G135" s="5"/>
      <c r="H135" s="5"/>
      <c r="I135" s="5"/>
      <c r="J135" s="5"/>
    </row>
    <row r="136" spans="7:10" ht="16.5" customHeight="1">
      <c r="G136" s="5"/>
      <c r="H136" s="5"/>
      <c r="I136" s="5"/>
      <c r="J136" s="5"/>
    </row>
    <row r="137" spans="7:10" ht="16.5" customHeight="1">
      <c r="G137" s="5"/>
      <c r="H137" s="5"/>
      <c r="I137" s="5"/>
      <c r="J137" s="5"/>
    </row>
    <row r="138" spans="7:10" ht="16.5" customHeight="1">
      <c r="G138" s="5"/>
      <c r="H138" s="5"/>
      <c r="I138" s="5"/>
      <c r="J138" s="5"/>
    </row>
    <row r="139" spans="7:10" ht="16.5" customHeight="1">
      <c r="G139" s="5"/>
      <c r="H139" s="5"/>
      <c r="I139" s="5"/>
      <c r="J139" s="5"/>
    </row>
    <row r="140" spans="7:10" ht="16.5" customHeight="1">
      <c r="G140" s="5"/>
      <c r="H140" s="5"/>
      <c r="I140" s="5"/>
      <c r="J140" s="5"/>
    </row>
    <row r="141" spans="7:10" ht="16.5" customHeight="1">
      <c r="G141" s="5"/>
      <c r="H141" s="5"/>
      <c r="I141" s="5"/>
      <c r="J141" s="5"/>
    </row>
    <row r="142" spans="7:10" ht="16.5" customHeight="1">
      <c r="G142" s="5"/>
      <c r="H142" s="5"/>
      <c r="I142" s="5"/>
      <c r="J142" s="5"/>
    </row>
    <row r="143" spans="7:10" ht="16.5" customHeight="1">
      <c r="G143" s="5"/>
      <c r="H143" s="5"/>
      <c r="I143" s="5"/>
      <c r="J143" s="5"/>
    </row>
    <row r="144" spans="7:10" ht="16.5" customHeight="1">
      <c r="G144" s="5"/>
      <c r="H144" s="5"/>
      <c r="I144" s="5"/>
      <c r="J144" s="5"/>
    </row>
    <row r="145" spans="7:10" ht="16.5" customHeight="1">
      <c r="G145" s="5"/>
      <c r="H145" s="5"/>
      <c r="I145" s="5"/>
      <c r="J145" s="5"/>
    </row>
    <row r="146" spans="7:10" ht="16.5" customHeight="1">
      <c r="G146" s="5"/>
      <c r="H146" s="5"/>
      <c r="I146" s="5"/>
      <c r="J146" s="5"/>
    </row>
    <row r="147" spans="7:10" ht="16.5" customHeight="1">
      <c r="G147" s="5"/>
      <c r="H147" s="5"/>
      <c r="I147" s="5"/>
      <c r="J147" s="5"/>
    </row>
    <row r="148" spans="7:10" ht="16.5" customHeight="1">
      <c r="G148" s="5"/>
      <c r="H148" s="5"/>
      <c r="I148" s="5"/>
      <c r="J148" s="5"/>
    </row>
    <row r="149" spans="7:10" ht="16.5" customHeight="1">
      <c r="G149" s="5"/>
      <c r="H149" s="5"/>
      <c r="I149" s="5"/>
      <c r="J149" s="5"/>
    </row>
    <row r="150" spans="7:10" ht="16.5" customHeight="1">
      <c r="G150" s="5"/>
      <c r="H150" s="5"/>
      <c r="I150" s="5"/>
      <c r="J150" s="5"/>
    </row>
    <row r="151" spans="7:10" ht="16.5" customHeight="1">
      <c r="G151" s="5"/>
      <c r="H151" s="5"/>
      <c r="I151" s="5"/>
      <c r="J151" s="5"/>
    </row>
    <row r="152" spans="7:10" ht="16.5" customHeight="1">
      <c r="G152" s="5"/>
      <c r="H152" s="5"/>
      <c r="I152" s="5"/>
      <c r="J152" s="5"/>
    </row>
    <row r="153" spans="7:10" ht="16.5" customHeight="1">
      <c r="G153" s="5"/>
      <c r="I153" s="5"/>
      <c r="J153" s="5"/>
    </row>
    <row r="154" ht="16.5" customHeight="1">
      <c r="G154" s="5"/>
    </row>
    <row r="155" ht="16.5" customHeight="1">
      <c r="G155" s="5"/>
    </row>
    <row r="156" ht="16.5" customHeight="1">
      <c r="G156" s="5"/>
    </row>
    <row r="157" ht="16.5" customHeight="1">
      <c r="G157" s="5"/>
    </row>
    <row r="158" ht="16.5" customHeight="1">
      <c r="G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2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2011-02-15T15:05:37Z</cp:lastPrinted>
  <dcterms:created xsi:type="dcterms:W3CDTF">2000-10-04T20:14:32Z</dcterms:created>
  <dcterms:modified xsi:type="dcterms:W3CDTF">2011-04-06T19:18:03Z</dcterms:modified>
  <cp:category/>
  <cp:version/>
  <cp:contentType/>
  <cp:contentStatus/>
</cp:coreProperties>
</file>