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activeTab="0"/>
  </bookViews>
  <sheets>
    <sheet name="TOT-0413" sheetId="1" r:id="rId1"/>
    <sheet name="LI-04 (1)" sheetId="2" r:id="rId2"/>
    <sheet name="LI-LICCSA D-04 (1)" sheetId="3" r:id="rId3"/>
    <sheet name="T-04 (1)" sheetId="4" r:id="rId4"/>
    <sheet name="SA-04 (1)" sheetId="5" r:id="rId5"/>
    <sheet name="SUP-LICCSA D" sheetId="6" r:id="rId6"/>
    <sheet name="TASA FALLA" sheetId="7" r:id="rId7"/>
  </sheets>
  <externalReferences>
    <externalReference r:id="rId10"/>
    <externalReference r:id="rId11"/>
    <externalReference r:id="rId12"/>
  </externalReferences>
  <definedNames>
    <definedName name="_xlnm.Print_Area" localSheetId="6">'TASA FALLA'!$A$1:$T$44</definedName>
    <definedName name="DD" localSheetId="6">'TASA FALLA'!DD</definedName>
    <definedName name="DD">[0]!DD</definedName>
    <definedName name="DDD" localSheetId="6">'TASA FALLA'!DDD</definedName>
    <definedName name="DDD">[0]!DDD</definedName>
    <definedName name="DISTROCUYO" localSheetId="6">'TASA FALLA'!DISTROCUYO</definedName>
    <definedName name="DISTROCUYO">[0]!DISTROCUYO</definedName>
    <definedName name="INICIO" localSheetId="6">'TASA FALLA'!INICIO</definedName>
    <definedName name="INICIO">[0]!INICIO</definedName>
    <definedName name="INICIOTI" localSheetId="6">'TASA FALLA'!INICIOTI</definedName>
    <definedName name="INICIOTI">[0]!INICIOTI</definedName>
    <definedName name="LINEAS" localSheetId="6">'TASA FALLA'!LINEAS</definedName>
    <definedName name="LINEAS">[0]!LINEAS</definedName>
    <definedName name="LINEASTI" localSheetId="6">'TASA FALLA'!LINEASTI</definedName>
    <definedName name="LINEASTI">[0]!LINEASTI</definedName>
    <definedName name="NAME_L" localSheetId="6">'TASA FALLA'!NAME_L</definedName>
    <definedName name="NAME_L">[0]!NAME_L</definedName>
    <definedName name="NAME_L_TI" localSheetId="6">'TASA FALLA'!NAME_L_TI</definedName>
    <definedName name="NAME_L_TI">[0]!NAME_L_TI</definedName>
    <definedName name="TRAN" localSheetId="6">'TASA FALLA'!TRAN</definedName>
    <definedName name="TRAN">[0]!TRAN</definedName>
    <definedName name="TRANSNOA" localSheetId="6">'TASA FALLA'!TRANSNOA</definedName>
    <definedName name="TRANSNOA">[0]!TRANSNOA</definedName>
    <definedName name="TRANSPA" localSheetId="6">'TASA FALLA'!TRANSPA</definedName>
    <definedName name="TRANSPA">[0]!TRANSPA</definedName>
    <definedName name="x" localSheetId="6">'TASA FALLA'!x</definedName>
    <definedName name="x">[0]!x</definedName>
    <definedName name="XX" localSheetId="6">'TASA FALLA'!XX</definedName>
    <definedName name="XX">[0]!XX</definedName>
    <definedName name="Z_CED65634_EC76_48B7_BCDE_CE4F22E2E6C4_.wvu.PrintArea" localSheetId="6" hidden="1">'TASA FALLA'!$A$1:$T$44</definedName>
    <definedName name="Z_CED65634_EC76_48B7_BCDE_CE4F22E2E6C4_.wvu.Rows" localSheetId="6" hidden="1">'TASA FALLA'!$16:$16</definedName>
  </definedNames>
  <calcPr fullCalcOnLoad="1"/>
</workbook>
</file>

<file path=xl/sharedStrings.xml><?xml version="1.0" encoding="utf-8"?>
<sst xmlns="http://schemas.openxmlformats.org/spreadsheetml/2006/main" count="323" uniqueCount="161">
  <si>
    <t>SISTEMA DE TRANSPORTE DE ENERGÍA ELÉCTRICA POR DISTRIBUCIÓN TRONCAL</t>
  </si>
  <si>
    <t>DISTROCUYO S.A.</t>
  </si>
  <si>
    <t>LÍNEAS</t>
  </si>
  <si>
    <t xml:space="preserve">ENTE NACIONAL REGULADOR </t>
  </si>
  <si>
    <t>DE LA ELECTRICIDAD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</si>
  <si>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</si>
  <si>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</si>
  <si>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</si>
  <si>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</si>
  <si>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</si>
  <si>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</si>
  <si>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</si>
  <si>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</si>
  <si>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</si>
  <si>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SISTEMA DE TRANSPORTE DE ENERGÍA ELÉCTRICA POR DISTRIBUCIÓN TRONCAL - DISTROCUYO S.A.</t>
  </si>
  <si>
    <t xml:space="preserve">$/100 km-h : LÍNEAS 220 kV </t>
  </si>
  <si>
    <t xml:space="preserve">$/100 km-h : LÍNEAS 132 kV </t>
  </si>
  <si>
    <t>FACTOR DE PENALIZACIÓN   K=</t>
  </si>
  <si>
    <t xml:space="preserve">$/100 km-h : LÍNEAS 66 kV 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</si>
  <si>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</si>
  <si>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</si>
  <si>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</si>
  <si>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</si>
  <si>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</si>
  <si>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</si>
  <si>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</si>
  <si>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</si>
  <si>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</si>
  <si>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</si>
  <si>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</si>
  <si>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</si>
  <si>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</si>
  <si>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</si>
  <si>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</si>
  <si>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</si>
  <si>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</si>
  <si>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</si>
  <si>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</si>
  <si>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</si>
  <si>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</si>
  <si>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</si>
  <si>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</si>
  <si>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</si>
  <si>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</si>
  <si>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</si>
  <si>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</si>
  <si>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</si>
  <si>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</si>
  <si>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</si>
  <si>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</si>
  <si>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</si>
  <si>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DISTROCUYO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</si>
  <si>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</si>
  <si>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</si>
  <si>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</si>
  <si>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</si>
  <si>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</si>
  <si>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</si>
  <si>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</si>
  <si>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</si>
  <si>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INDISP</t>
  </si>
  <si>
    <t>ID EQUIPO</t>
  </si>
  <si>
    <t>Desde el 01 al 30 de abril de 2013</t>
  </si>
  <si>
    <t>P</t>
  </si>
  <si>
    <t>VARGAS - NIHUIL    1</t>
  </si>
  <si>
    <t>CRUZ DE PIEDRA - AGUA DEL TORO</t>
  </si>
  <si>
    <t>CRUZ DE PIEDRA - GRAN MENDOZA   2</t>
  </si>
  <si>
    <t xml:space="preserve"> - </t>
  </si>
  <si>
    <t>SAN JUAN</t>
  </si>
  <si>
    <t>132/66/13,2</t>
  </si>
  <si>
    <t>CAPIZ</t>
  </si>
  <si>
    <t>TRAFO 2</t>
  </si>
  <si>
    <t>TRAFO 4</t>
  </si>
  <si>
    <t>132/33/13,2</t>
  </si>
  <si>
    <t>ANCHORIS</t>
  </si>
  <si>
    <t>TRAFO 1</t>
  </si>
  <si>
    <t>Res. Se 01-03</t>
  </si>
  <si>
    <t>CRUZ DE PIEDRA</t>
  </si>
  <si>
    <t>SALIDA LINEA BARRIALES</t>
  </si>
  <si>
    <t>F</t>
  </si>
  <si>
    <t>SALIDA LINEA R. MEDIO   1</t>
  </si>
  <si>
    <t>SALIDA LINEA R. MEDIO   2</t>
  </si>
  <si>
    <t>SALIDA LINEA LC35</t>
  </si>
  <si>
    <t>SALIDA LINEA AGRELO</t>
  </si>
  <si>
    <t>SAN RAFAEL</t>
  </si>
  <si>
    <t>SALIDA AUTOTRAFO EMSE 1</t>
  </si>
  <si>
    <t>PEDRO VARGAS</t>
  </si>
  <si>
    <t>SALIDA AUTOTRAFO EMSE</t>
  </si>
  <si>
    <t>MONTECASEROS MZA.</t>
  </si>
  <si>
    <t>SALIDA LAS MARGARITAS</t>
  </si>
  <si>
    <t>SALIDA LINEA ARGENTINA   1</t>
  </si>
  <si>
    <t>SALIDA ALIM. CD ANCH.   2</t>
  </si>
  <si>
    <t>SALIDA LINEA PIEDRAS COLORADAS</t>
  </si>
  <si>
    <t>SALIDA DIST. CERECETTO</t>
  </si>
  <si>
    <t>SALIDA DIST. REP. DEL LIBANO</t>
  </si>
  <si>
    <t>SALIDA DIST. I. DE ROSA</t>
  </si>
  <si>
    <t>SALIDA DIST. DR. ORTEGA</t>
  </si>
  <si>
    <t>SALIDA ALIM. CD ANCH.   1</t>
  </si>
  <si>
    <t xml:space="preserve"> ENTE NACIONAL REGULADOR </t>
  </si>
  <si>
    <t xml:space="preserve">       DE LA ELECTRICIDAD</t>
  </si>
  <si>
    <t>FACTOR DE PENALIZACIÓN K =</t>
  </si>
  <si>
    <t xml:space="preserve">Hs.
Indisp. </t>
  </si>
  <si>
    <t>PENALIZACIÓN FORZADA
Por Salida    1ras. 3 hs.  hs. Restantes</t>
  </si>
  <si>
    <t>REDUCC. FORZADA
Por Salida    1ras. 3 hs.  hs. Restantes</t>
  </si>
  <si>
    <t>Informó
enTérm.</t>
  </si>
  <si>
    <t>a) Datos</t>
  </si>
  <si>
    <t>K</t>
  </si>
  <si>
    <t>Tiempo de servicio =</t>
  </si>
  <si>
    <t>hs</t>
  </si>
  <si>
    <t>Porcentaje por Supervisión  =</t>
  </si>
  <si>
    <t>I</t>
  </si>
  <si>
    <t>II</t>
  </si>
  <si>
    <t>SM=</t>
  </si>
  <si>
    <t>Cargo por Capacidad</t>
  </si>
  <si>
    <t>kV</t>
  </si>
  <si>
    <t>km</t>
  </si>
  <si>
    <t>TOTAL</t>
  </si>
  <si>
    <t>RM =</t>
  </si>
  <si>
    <t xml:space="preserve">Cargo por Supervisión afectado a la sanción </t>
  </si>
  <si>
    <t>CS =</t>
  </si>
  <si>
    <t>e) SANCIÓN</t>
  </si>
  <si>
    <t>Sanción Calculada</t>
  </si>
  <si>
    <t>SANCIÓN  =</t>
  </si>
  <si>
    <r>
      <t>b) 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</si>
  <si>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r>
      <t>c)</t>
    </r>
    <r>
      <rPr>
        <b/>
        <u val="single"/>
        <sz val="11"/>
        <rFont val="Times New Roman"/>
        <family val="1"/>
      </rPr>
      <t xml:space="preserve"> 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</si>
  <si>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r>
      <t>RM</t>
    </r>
    <r>
      <rPr>
        <sz val="11"/>
        <rFont val="Times New Roman"/>
        <family val="1"/>
      </rPr>
      <t xml:space="preserve"> por Cap. Transporte</t>
    </r>
  </si>
  <si>
    <r>
      <t>RM</t>
    </r>
    <r>
      <rPr>
        <sz val="11"/>
        <rFont val="Times New Roman"/>
        <family val="1"/>
      </rPr>
      <t xml:space="preserve"> por E. E. T.</t>
    </r>
  </si>
  <si>
    <r>
      <t>d) 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</si>
  <si>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>RIO DIAMANTE - LOS REYUNOS</t>
  </si>
  <si>
    <t>P - PROGRAMADA</t>
  </si>
  <si>
    <t>TOTAL A PENALIZAR A DISTROCUYO S.A. POR SUPERVISIÓN DE SU T.I.</t>
  </si>
  <si>
    <r>
      <t>RM *</t>
    </r>
    <r>
      <rPr>
        <sz val="10"/>
        <rFont val="MS Sans Serif"/>
        <family val="0"/>
      </rPr>
      <t xml:space="preserve"> = VALOR EMPLEADO PARA CALCULAR </t>
    </r>
    <r>
      <rPr>
        <b/>
        <sz val="10"/>
        <rFont val="MS Sans Serif"/>
        <family val="2"/>
      </rPr>
      <t>CS</t>
    </r>
  </si>
  <si>
    <t>3.-</t>
  </si>
  <si>
    <t>SUPERVISIÓN</t>
  </si>
  <si>
    <t>3.1.-</t>
  </si>
  <si>
    <t>1.2.-</t>
  </si>
  <si>
    <t>1.1.-</t>
  </si>
  <si>
    <t>III</t>
  </si>
  <si>
    <r>
      <t>(</t>
    </r>
    <r>
      <rPr>
        <sz val="9"/>
        <rFont val="Wingdings"/>
        <family val="0"/>
      </rPr>
      <t>²</t>
    </r>
    <r>
      <rPr>
        <sz val="9"/>
        <rFont val="Times New Roman"/>
        <family val="1"/>
      </rPr>
      <t>)</t>
    </r>
  </si>
  <si>
    <t>P - PROGRAMADA  ; F - FORZADA</t>
  </si>
  <si>
    <t>1.1.- LÍNEAS Equipamiento Propio</t>
  </si>
  <si>
    <t>Líneas Equipamiento Propio</t>
  </si>
  <si>
    <t>3.1.-SUPERVISIÓN - Transportista Independiente L.I.C.C.S.A.  D</t>
  </si>
  <si>
    <t>Líneas Transp. Indep. L.I.C.C.S.A.  D</t>
  </si>
  <si>
    <t>Transportista Independiente L.I.C.C.S.A.  D</t>
  </si>
  <si>
    <t>1.2.-Transportista Independiente L.I.C.C.S.A.  D</t>
  </si>
  <si>
    <t>Valores remuneratorios según el Convenio de Renovación del Acuerdo Instrumental del Acta Acuerdo</t>
  </si>
  <si>
    <t xml:space="preserve">        DE LA ELECTRICIDAD</t>
  </si>
  <si>
    <t>TOTAL DE PENALIZACIONES A APLICAR</t>
  </si>
  <si>
    <t xml:space="preserve">SISTEMA DE TRANSPORTE DE ENERGÍA ELÉCTRICA POR DISTRIBUCIÓN TRONCAL </t>
  </si>
  <si>
    <t>INDISPONIBILIDADES FORZADAS DE LÍNEAS - TASA DE FALLA</t>
  </si>
  <si>
    <t>LINEAS</t>
  </si>
  <si>
    <t xml:space="preserve">Longitud Total </t>
  </si>
  <si>
    <t xml:space="preserve">Indisponibilidades Forzadas </t>
  </si>
  <si>
    <t xml:space="preserve">TASA DE FALLA </t>
  </si>
  <si>
    <t>VALOR PROVISORIO</t>
  </si>
  <si>
    <t>TASA DE FALLA</t>
  </si>
  <si>
    <t>SALIDAS x AÑO/ 100 km</t>
  </si>
  <si>
    <t xml:space="preserve">Tasa de falla Correspondiente al mes de Abril de 2013 </t>
  </si>
  <si>
    <t>(DTE 0413)</t>
  </si>
  <si>
    <t>ANEXO V al Memorándum  D.T.E.E.  N° 376 / 2014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</si>
</sst>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#,##0.0000"/>
    <numFmt numFmtId="171" formatCode="0.00_)"/>
    <numFmt numFmtId="172" formatCode="&quot;$&quot;\ #,##0.000;&quot;$&quot;\ \-#,##0.000"/>
    <numFmt numFmtId="173" formatCode="#,##0.0"/>
    <numFmt numFmtId="174" formatCode="0.000"/>
    <numFmt numFmtId="175" formatCode="#,##0.00000"/>
    <numFmt numFmtId="176" formatCode="&quot;$&quot;\ #,##0.00"/>
    <numFmt numFmtId="177" formatCode="0.0000000_)"/>
    <numFmt numFmtId="178" formatCode="0.0"/>
    <numFmt numFmtId="179" formatCode="0.0\ \k\V"/>
    <numFmt numFmtId="180" formatCode="0.00\ &quot;km&quot;"/>
    <numFmt numFmtId="181" formatCode="0.00\ &quot;MVA&quot;"/>
    <numFmt numFmtId="182" formatCode="d/m/yy\ h:mm"/>
    <numFmt numFmtId="183" formatCode="mmm\-yyyy"/>
    <numFmt numFmtId="184" formatCode="0#"/>
    <numFmt numFmtId="185" formatCode="d\ &quot;días&quot;\ \ h:mm\ &quot;horas&quot;"/>
    <numFmt numFmtId="186" formatCode="dd/mm/yy"/>
    <numFmt numFmtId="187" formatCode="0.000_)"/>
    <numFmt numFmtId="188" formatCode="#,##0;[Red]#,##0"/>
    <numFmt numFmtId="189" formatCode="#,##0.000000"/>
    <numFmt numFmtId="190" formatCode="#&quot;.&quot;#&quot;.-&quot;"/>
    <numFmt numFmtId="191" formatCode="#&quot;.&quot;#&quot;.&quot;#&quot;.-&quot;"/>
    <numFmt numFmtId="192" formatCode="&quot;$&quot;#,##0.00;&quot;$&quot;\-#,##0.00"/>
    <numFmt numFmtId="193" formatCode="&quot;$&quot;#,##0.00"/>
    <numFmt numFmtId="194" formatCode="#,##0.00;[Red]#,##0.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&quot;$&quot;\ #,##0.0;&quot;$&quot;\ \-#,##0.0"/>
    <numFmt numFmtId="200" formatCode="&quot;$&quot;\ #,##0.0000;&quot;$&quot;\ \-#,##0.0000"/>
    <numFmt numFmtId="201" formatCode="&quot;$&quot;\ #,##0.00000;&quot;$&quot;\ \-#,##0.00000"/>
    <numFmt numFmtId="202" formatCode="&quot;$&quot;\ #,##0.000000;&quot;$&quot;\ \-#,##0.000000"/>
    <numFmt numFmtId="203" formatCode="&quot;$&quot;#,##0.0;&quot;$&quot;\-#,##0.0"/>
    <numFmt numFmtId="204" formatCode="&quot;$&quot;#,##0;&quot;$&quot;\-#,##0"/>
    <numFmt numFmtId="205" formatCode="&quot;$&quot;\ #,##0.0000000;&quot;$&quot;\ \-#,##0.00000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d\-m"/>
    <numFmt numFmtId="210" formatCode="dd/mm/\a\a\a\a\ hh:\n\n"/>
    <numFmt numFmtId="211" formatCode="d\-m\-yy\ h:mm"/>
    <numFmt numFmtId="212" formatCode="#,##0\ &quot;€&quot;;\-#,##0\ &quot;€&quot;"/>
    <numFmt numFmtId="213" formatCode="#,##0\ &quot;€&quot;;[Red]\-#,##0\ &quot;€&quot;"/>
    <numFmt numFmtId="214" formatCode="#,##0.00\ &quot;€&quot;;\-#,##0.00\ &quot;€&quot;"/>
    <numFmt numFmtId="215" formatCode="#,##0.00\ &quot;€&quot;;[Red]\-#,##0.00\ &quot;€&quot;"/>
    <numFmt numFmtId="216" formatCode="_-* #,##0\ &quot;€&quot;_-;\-* #,##0\ &quot;€&quot;_-;_-* &quot;-&quot;\ &quot;€&quot;_-;_-@_-"/>
    <numFmt numFmtId="217" formatCode="_-* #,##0\ _€_-;\-* #,##0\ _€_-;_-* &quot;-&quot;\ _€_-;_-@_-"/>
    <numFmt numFmtId="218" formatCode="_-* #,##0.00\ &quot;€&quot;_-;\-* #,##0.00\ &quot;€&quot;_-;_-* &quot;-&quot;??\ &quot;€&quot;_-;_-@_-"/>
    <numFmt numFmtId="219" formatCode="_-* #,##0.00\ _€_-;\-* #,##0.00\ _€_-;_-* &quot;-&quot;??\ _€_-;_-@_-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0.0000"/>
    <numFmt numFmtId="225" formatCode="[$€-2]\ #,##0.00_);[Red]\([$€-2]\ #,##0.00\)"/>
    <numFmt numFmtId="226" formatCode="[$-2C0A]dddd\,\ dd&quot; de &quot;mmmm&quot; de &quot;yyyy"/>
    <numFmt numFmtId="227" formatCode="[$-2C0A]hh:mm:ss\ AM/PM"/>
  </numFmts>
  <fonts count="110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MS Sans Serif"/>
      <family val="2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MS Sans Serif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b/>
      <sz val="10"/>
      <color indexed="56"/>
      <name val="Times New Roman"/>
      <family val="0"/>
    </font>
    <font>
      <b/>
      <sz val="10"/>
      <color indexed="27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58"/>
      <name val="Times New Roman"/>
      <family val="0"/>
    </font>
    <font>
      <b/>
      <sz val="10"/>
      <color indexed="47"/>
      <name val="Times New Roman"/>
      <family val="0"/>
    </font>
    <font>
      <sz val="11"/>
      <name val="Times New Roman"/>
      <family val="1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9"/>
      <name val="MS Sans Serif"/>
      <family val="2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9"/>
      <name val="Times New Roman"/>
      <family val="0"/>
    </font>
    <font>
      <b/>
      <sz val="10"/>
      <color indexed="26"/>
      <name val="Times New Roman"/>
      <family val="0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sz val="10"/>
      <color indexed="9"/>
      <name val="Times New Roman"/>
      <family val="1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MS Sans Serif"/>
      <family val="2"/>
    </font>
    <font>
      <sz val="11"/>
      <color indexed="34"/>
      <name val="MS Sans Serif"/>
      <family val="2"/>
    </font>
    <font>
      <b/>
      <sz val="10"/>
      <color indexed="8"/>
      <name val="Times New Roman"/>
      <family val="0"/>
    </font>
    <font>
      <b/>
      <sz val="10"/>
      <color indexed="3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0"/>
    </font>
    <font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2"/>
      <name val="MS Sans Serif"/>
      <family val="2"/>
    </font>
    <font>
      <b/>
      <sz val="14"/>
      <color indexed="8"/>
      <name val="Times New Roman"/>
      <family val="1"/>
    </font>
    <font>
      <sz val="16"/>
      <name val="MS Sans Serif"/>
      <family val="0"/>
    </font>
    <font>
      <b/>
      <sz val="10"/>
      <name val="MS Sans Serif"/>
      <family val="2"/>
    </font>
    <font>
      <sz val="9"/>
      <name val="Times New Roman"/>
      <family val="1"/>
    </font>
    <font>
      <sz val="9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4"/>
      <name val="Times New Roman"/>
      <family val="1"/>
    </font>
    <font>
      <b/>
      <u val="single"/>
      <sz val="24"/>
      <name val="Times New Roman"/>
      <family val="1"/>
    </font>
    <font>
      <sz val="8"/>
      <name val="MS Sans Serif"/>
      <family val="0"/>
    </font>
    <font>
      <b/>
      <u val="single"/>
      <sz val="8"/>
      <name val="Arial"/>
      <family val="0"/>
    </font>
    <font>
      <b/>
      <sz val="10"/>
      <name val="Arial"/>
      <family val="2"/>
    </font>
    <font>
      <b/>
      <u val="single"/>
      <sz val="20"/>
      <name val="Arial"/>
      <family val="0"/>
    </font>
    <font>
      <b/>
      <u val="single"/>
      <sz val="18"/>
      <name val="Times New Roman"/>
      <family val="1"/>
    </font>
    <font>
      <sz val="12"/>
      <name val="Arial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u val="single"/>
      <sz val="12"/>
      <name val="Arial"/>
      <family val="0"/>
    </font>
    <font>
      <b/>
      <i/>
      <sz val="12"/>
      <name val="MS Sans Serif"/>
      <family val="2"/>
    </font>
    <font>
      <b/>
      <sz val="12"/>
      <name val="MS Sans Serif"/>
      <family val="2"/>
    </font>
    <font>
      <b/>
      <i/>
      <sz val="12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5" borderId="0" applyNumberFormat="0" applyBorder="0" applyAlignment="0" applyProtection="0"/>
    <xf numFmtId="0" fontId="79" fillId="8" borderId="0" applyNumberFormat="0" applyBorder="0" applyAlignment="0" applyProtection="0"/>
    <xf numFmtId="0" fontId="79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1" fillId="4" borderId="0" applyNumberFormat="0" applyBorder="0" applyAlignment="0" applyProtection="0"/>
    <xf numFmtId="0" fontId="82" fillId="16" borderId="1" applyNumberFormat="0" applyAlignment="0" applyProtection="0"/>
    <xf numFmtId="0" fontId="83" fillId="17" borderId="2" applyNumberFormat="0" applyAlignment="0" applyProtection="0"/>
    <xf numFmtId="0" fontId="84" fillId="0" borderId="3" applyNumberFormat="0" applyFill="0" applyAlignment="0" applyProtection="0"/>
    <xf numFmtId="0" fontId="85" fillId="0" borderId="0" applyNumberFormat="0" applyFill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21" borderId="0" applyNumberFormat="0" applyBorder="0" applyAlignment="0" applyProtection="0"/>
    <xf numFmtId="0" fontId="86" fillId="7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7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89" fillId="16" borderId="5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85" fillId="0" borderId="8" applyNumberFormat="0" applyFill="0" applyAlignment="0" applyProtection="0"/>
    <xf numFmtId="0" fontId="95" fillId="0" borderId="9" applyNumberFormat="0" applyFill="0" applyAlignment="0" applyProtection="0"/>
  </cellStyleXfs>
  <cellXfs count="851">
    <xf numFmtId="0" fontId="0" fillId="0" borderId="0" xfId="0" applyAlignment="1">
      <alignment/>
    </xf>
    <xf numFmtId="0" fontId="1" fillId="0" borderId="0" xfId="54">
      <alignment/>
      <protection/>
    </xf>
    <xf numFmtId="0" fontId="1" fillId="0" borderId="0" xfId="54" applyFill="1" applyBorder="1">
      <alignment/>
      <protection/>
    </xf>
    <xf numFmtId="0" fontId="6" fillId="0" borderId="0" xfId="54" applyFont="1" applyBorder="1" applyAlignment="1" applyProtection="1">
      <alignment horizontal="center"/>
      <protection/>
    </xf>
    <xf numFmtId="0" fontId="6" fillId="0" borderId="0" xfId="54" applyFont="1" applyBorder="1" applyAlignment="1">
      <alignment horizontal="center"/>
      <protection/>
    </xf>
    <xf numFmtId="2" fontId="6" fillId="0" borderId="0" xfId="54" applyNumberFormat="1" applyFont="1" applyBorder="1" applyAlignment="1" applyProtection="1">
      <alignment horizontal="center"/>
      <protection/>
    </xf>
    <xf numFmtId="0" fontId="8" fillId="0" borderId="0" xfId="54" applyFont="1">
      <alignment/>
      <protection/>
    </xf>
    <xf numFmtId="0" fontId="9" fillId="0" borderId="0" xfId="54" applyFont="1" applyAlignment="1">
      <alignment horizontal="centerContinuous"/>
      <protection/>
    </xf>
    <xf numFmtId="0" fontId="10" fillId="0" borderId="0" xfId="54" applyFont="1" applyAlignment="1">
      <alignment horizontal="centerContinuous"/>
      <protection/>
    </xf>
    <xf numFmtId="0" fontId="8" fillId="0" borderId="0" xfId="54" applyFont="1" applyAlignment="1">
      <alignment horizontal="centerContinuous"/>
      <protection/>
    </xf>
    <xf numFmtId="0" fontId="6" fillId="0" borderId="0" xfId="54" applyFont="1">
      <alignment/>
      <protection/>
    </xf>
    <xf numFmtId="0" fontId="6" fillId="0" borderId="0" xfId="54" applyFont="1" applyAlignment="1">
      <alignment horizontal="centerContinuous"/>
      <protection/>
    </xf>
    <xf numFmtId="0" fontId="6" fillId="0" borderId="0" xfId="54" applyFont="1" applyBorder="1">
      <alignment/>
      <protection/>
    </xf>
    <xf numFmtId="0" fontId="11" fillId="0" borderId="0" xfId="54" applyFont="1">
      <alignment/>
      <protection/>
    </xf>
    <xf numFmtId="0" fontId="11" fillId="0" borderId="0" xfId="54" applyFont="1" applyBorder="1">
      <alignment/>
      <protection/>
    </xf>
    <xf numFmtId="0" fontId="12" fillId="0" borderId="0" xfId="54" applyFont="1" applyFill="1" applyBorder="1" applyAlignment="1" applyProtection="1">
      <alignment horizontal="left"/>
      <protection/>
    </xf>
    <xf numFmtId="0" fontId="8" fillId="0" borderId="0" xfId="54" applyFont="1" applyBorder="1">
      <alignment/>
      <protection/>
    </xf>
    <xf numFmtId="0" fontId="13" fillId="0" borderId="0" xfId="54" applyFont="1">
      <alignment/>
      <protection/>
    </xf>
    <xf numFmtId="0" fontId="14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centerContinuous"/>
      <protection/>
    </xf>
    <xf numFmtId="0" fontId="13" fillId="0" borderId="0" xfId="54" applyFont="1" applyAlignment="1">
      <alignment horizontal="centerContinuous"/>
      <protection/>
    </xf>
    <xf numFmtId="0" fontId="13" fillId="0" borderId="0" xfId="54" applyFont="1" applyBorder="1" applyAlignment="1">
      <alignment horizontal="centerContinuous"/>
      <protection/>
    </xf>
    <xf numFmtId="0" fontId="13" fillId="0" borderId="0" xfId="54" applyFont="1" applyBorder="1">
      <alignment/>
      <protection/>
    </xf>
    <xf numFmtId="0" fontId="16" fillId="0" borderId="0" xfId="54" applyFont="1">
      <alignment/>
      <protection/>
    </xf>
    <xf numFmtId="0" fontId="17" fillId="0" borderId="0" xfId="54" applyFont="1">
      <alignment/>
      <protection/>
    </xf>
    <xf numFmtId="0" fontId="18" fillId="0" borderId="0" xfId="54" applyFont="1" applyBorder="1">
      <alignment/>
      <protection/>
    </xf>
    <xf numFmtId="0" fontId="17" fillId="0" borderId="0" xfId="54" applyFont="1" applyBorder="1">
      <alignment/>
      <protection/>
    </xf>
    <xf numFmtId="0" fontId="19" fillId="0" borderId="10" xfId="54" applyFont="1" applyBorder="1">
      <alignment/>
      <protection/>
    </xf>
    <xf numFmtId="0" fontId="19" fillId="0" borderId="11" xfId="54" applyFont="1" applyBorder="1">
      <alignment/>
      <protection/>
    </xf>
    <xf numFmtId="0" fontId="17" fillId="0" borderId="11" xfId="54" applyFont="1" applyBorder="1">
      <alignment/>
      <protection/>
    </xf>
    <xf numFmtId="0" fontId="17" fillId="0" borderId="12" xfId="54" applyFont="1" applyBorder="1">
      <alignment/>
      <protection/>
    </xf>
    <xf numFmtId="0" fontId="20" fillId="0" borderId="13" xfId="54" applyFont="1" applyBorder="1" applyAlignment="1">
      <alignment horizontal="centerContinuous"/>
      <protection/>
    </xf>
    <xf numFmtId="0" fontId="1" fillId="0" borderId="0" xfId="54" applyNumberFormat="1" applyAlignment="1">
      <alignment horizontal="centerContinuous"/>
      <protection/>
    </xf>
    <xf numFmtId="0" fontId="13" fillId="0" borderId="0" xfId="54" applyNumberFormat="1" applyFont="1" applyAlignment="1">
      <alignment horizontal="centerContinuous"/>
      <protection/>
    </xf>
    <xf numFmtId="0" fontId="20" fillId="0" borderId="0" xfId="54" applyFont="1" applyBorder="1" applyAlignment="1">
      <alignment horizontal="centerContinuous"/>
      <protection/>
    </xf>
    <xf numFmtId="0" fontId="13" fillId="0" borderId="14" xfId="54" applyFont="1" applyBorder="1" applyAlignment="1">
      <alignment horizontal="centerContinuous"/>
      <protection/>
    </xf>
    <xf numFmtId="0" fontId="13" fillId="0" borderId="13" xfId="54" applyFont="1" applyBorder="1">
      <alignment/>
      <protection/>
    </xf>
    <xf numFmtId="0" fontId="21" fillId="0" borderId="0" xfId="54" applyNumberFormat="1" applyFont="1" applyBorder="1" applyAlignment="1">
      <alignment horizontal="right"/>
      <protection/>
    </xf>
    <xf numFmtId="0" fontId="20" fillId="0" borderId="0" xfId="54" applyFont="1" applyBorder="1">
      <alignment/>
      <protection/>
    </xf>
    <xf numFmtId="0" fontId="13" fillId="0" borderId="14" xfId="54" applyFont="1" applyBorder="1">
      <alignment/>
      <protection/>
    </xf>
    <xf numFmtId="0" fontId="21" fillId="0" borderId="0" xfId="54" applyNumberFormat="1" applyFont="1" applyBorder="1" applyAlignment="1">
      <alignment horizontal="centerContinuous"/>
      <protection/>
    </xf>
    <xf numFmtId="0" fontId="21" fillId="0" borderId="0" xfId="54" applyNumberFormat="1" applyFont="1" applyBorder="1" applyAlignment="1">
      <alignment horizontal="right"/>
      <protection/>
    </xf>
    <xf numFmtId="0" fontId="21" fillId="0" borderId="0" xfId="54" applyNumberFormat="1" applyFont="1" applyBorder="1" applyAlignment="1">
      <alignment/>
      <protection/>
    </xf>
    <xf numFmtId="7" fontId="21" fillId="0" borderId="0" xfId="54" applyNumberFormat="1" applyFont="1" applyBorder="1" applyAlignment="1">
      <alignment horizontal="right"/>
      <protection/>
    </xf>
    <xf numFmtId="0" fontId="6" fillId="0" borderId="13" xfId="54" applyFont="1" applyBorder="1">
      <alignment/>
      <protection/>
    </xf>
    <xf numFmtId="0" fontId="3" fillId="0" borderId="0" xfId="54" applyNumberFormat="1" applyFont="1" applyBorder="1" applyAlignment="1">
      <alignment horizontal="right"/>
      <protection/>
    </xf>
    <xf numFmtId="0" fontId="3" fillId="0" borderId="0" xfId="54" applyNumberFormat="1" applyFont="1" applyBorder="1" applyAlignment="1">
      <alignment/>
      <protection/>
    </xf>
    <xf numFmtId="0" fontId="22" fillId="0" borderId="0" xfId="54" applyFont="1" applyBorder="1">
      <alignment/>
      <protection/>
    </xf>
    <xf numFmtId="7" fontId="3" fillId="0" borderId="0" xfId="54" applyNumberFormat="1" applyFont="1" applyBorder="1" applyAlignment="1">
      <alignment horizontal="right"/>
      <protection/>
    </xf>
    <xf numFmtId="0" fontId="6" fillId="0" borderId="14" xfId="54" applyFont="1" applyBorder="1">
      <alignment/>
      <protection/>
    </xf>
    <xf numFmtId="0" fontId="6" fillId="0" borderId="0" xfId="54" applyFont="1" applyBorder="1" applyAlignment="1">
      <alignment horizontal="right"/>
      <protection/>
    </xf>
    <xf numFmtId="0" fontId="21" fillId="0" borderId="0" xfId="54" applyFont="1" applyBorder="1">
      <alignment/>
      <protection/>
    </xf>
    <xf numFmtId="0" fontId="21" fillId="0" borderId="15" xfId="54" applyFont="1" applyBorder="1" applyAlignment="1">
      <alignment horizontal="center"/>
      <protection/>
    </xf>
    <xf numFmtId="7" fontId="21" fillId="0" borderId="16" xfId="54" applyNumberFormat="1" applyFont="1" applyBorder="1" applyAlignment="1">
      <alignment horizontal="center"/>
      <protection/>
    </xf>
    <xf numFmtId="7" fontId="21" fillId="0" borderId="0" xfId="54" applyNumberFormat="1" applyFont="1" applyBorder="1" applyAlignment="1">
      <alignment horizontal="center"/>
      <protection/>
    </xf>
    <xf numFmtId="0" fontId="17" fillId="0" borderId="17" xfId="54" applyFont="1" applyBorder="1">
      <alignment/>
      <protection/>
    </xf>
    <xf numFmtId="0" fontId="17" fillId="0" borderId="18" xfId="54" applyNumberFormat="1" applyFont="1" applyBorder="1">
      <alignment/>
      <protection/>
    </xf>
    <xf numFmtId="0" fontId="17" fillId="0" borderId="18" xfId="54" applyFont="1" applyBorder="1">
      <alignment/>
      <protection/>
    </xf>
    <xf numFmtId="0" fontId="17" fillId="0" borderId="19" xfId="54" applyFont="1" applyBorder="1">
      <alignment/>
      <protection/>
    </xf>
    <xf numFmtId="0" fontId="17" fillId="0" borderId="0" xfId="54" applyFont="1" applyFill="1" applyBorder="1">
      <alignment/>
      <protection/>
    </xf>
    <xf numFmtId="4" fontId="17" fillId="0" borderId="0" xfId="54" applyNumberFormat="1" applyFont="1" applyFill="1" applyBorder="1">
      <alignment/>
      <protection/>
    </xf>
    <xf numFmtId="7" fontId="17" fillId="0" borderId="0" xfId="54" applyNumberFormat="1" applyFont="1" applyBorder="1">
      <alignment/>
      <protection/>
    </xf>
    <xf numFmtId="171" fontId="17" fillId="0" borderId="0" xfId="54" applyNumberFormat="1" applyFont="1" applyBorder="1" applyAlignment="1">
      <alignment horizontal="center"/>
      <protection/>
    </xf>
    <xf numFmtId="0" fontId="6" fillId="0" borderId="0" xfId="54" applyFont="1" applyFill="1" applyBorder="1">
      <alignment/>
      <protection/>
    </xf>
    <xf numFmtId="4" fontId="6" fillId="0" borderId="0" xfId="54" applyNumberFormat="1" applyFont="1" applyFill="1" applyBorder="1">
      <alignment/>
      <protection/>
    </xf>
    <xf numFmtId="4" fontId="6" fillId="0" borderId="0" xfId="54" applyNumberFormat="1" applyFont="1" applyBorder="1">
      <alignment/>
      <protection/>
    </xf>
    <xf numFmtId="4" fontId="3" fillId="0" borderId="0" xfId="54" applyNumberFormat="1" applyFont="1" applyBorder="1" applyAlignment="1">
      <alignment horizontal="center"/>
      <protection/>
    </xf>
    <xf numFmtId="0" fontId="9" fillId="0" borderId="0" xfId="54" applyFont="1" applyAlignment="1" applyProtection="1">
      <alignment horizontal="centerContinuous"/>
      <protection locked="0"/>
    </xf>
    <xf numFmtId="0" fontId="16" fillId="0" borderId="0" xfId="54" applyFont="1" applyAlignment="1" applyProtection="1">
      <alignment horizontal="centerContinuous"/>
      <protection locked="0"/>
    </xf>
    <xf numFmtId="0" fontId="4" fillId="0" borderId="0" xfId="54" applyFont="1" applyBorder="1" applyAlignment="1" applyProtection="1">
      <alignment horizontal="centerContinuous"/>
      <protection/>
    </xf>
    <xf numFmtId="0" fontId="6" fillId="0" borderId="10" xfId="54" applyFont="1" applyBorder="1">
      <alignment/>
      <protection/>
    </xf>
    <xf numFmtId="0" fontId="6" fillId="0" borderId="11" xfId="54" applyFont="1" applyBorder="1">
      <alignment/>
      <protection/>
    </xf>
    <xf numFmtId="0" fontId="6" fillId="0" borderId="12" xfId="54" applyFont="1" applyBorder="1">
      <alignment/>
      <protection/>
    </xf>
    <xf numFmtId="0" fontId="23" fillId="0" borderId="0" xfId="54" applyFont="1">
      <alignment/>
      <protection/>
    </xf>
    <xf numFmtId="0" fontId="23" fillId="0" borderId="13" xfId="54" applyFont="1" applyBorder="1">
      <alignment/>
      <protection/>
    </xf>
    <xf numFmtId="0" fontId="24" fillId="0" borderId="0" xfId="54" applyFont="1" applyBorder="1">
      <alignment/>
      <protection/>
    </xf>
    <xf numFmtId="0" fontId="23" fillId="0" borderId="0" xfId="54" applyFont="1" applyBorder="1">
      <alignment/>
      <protection/>
    </xf>
    <xf numFmtId="0" fontId="23" fillId="0" borderId="14" xfId="54" applyFont="1" applyBorder="1">
      <alignment/>
      <protection/>
    </xf>
    <xf numFmtId="0" fontId="3" fillId="0" borderId="0" xfId="54" applyFont="1" applyBorder="1">
      <alignment/>
      <protection/>
    </xf>
    <xf numFmtId="0" fontId="20" fillId="0" borderId="0" xfId="54" applyFont="1" applyFill="1" applyBorder="1" applyAlignment="1" applyProtection="1">
      <alignment horizontal="centerContinuous"/>
      <protection locked="0"/>
    </xf>
    <xf numFmtId="0" fontId="20" fillId="0" borderId="0" xfId="54" applyFont="1" applyAlignment="1">
      <alignment horizontal="centerContinuous"/>
      <protection/>
    </xf>
    <xf numFmtId="0" fontId="20" fillId="0" borderId="0" xfId="54" applyFont="1" applyBorder="1" applyAlignment="1" applyProtection="1">
      <alignment horizontal="centerContinuous"/>
      <protection/>
    </xf>
    <xf numFmtId="0" fontId="20" fillId="0" borderId="14" xfId="54" applyFont="1" applyBorder="1" applyAlignment="1">
      <alignment horizontal="centerContinuous"/>
      <protection/>
    </xf>
    <xf numFmtId="0" fontId="16" fillId="0" borderId="0" xfId="54" applyFont="1" applyBorder="1">
      <alignment/>
      <protection/>
    </xf>
    <xf numFmtId="0" fontId="3" fillId="0" borderId="0" xfId="54" applyFont="1" applyBorder="1" applyProtection="1">
      <alignment/>
      <protection/>
    </xf>
    <xf numFmtId="0" fontId="6" fillId="0" borderId="0" xfId="54" applyFont="1" applyBorder="1" applyProtection="1">
      <alignment/>
      <protection/>
    </xf>
    <xf numFmtId="0" fontId="1" fillId="0" borderId="15" xfId="54" applyFont="1" applyBorder="1" applyAlignment="1" applyProtection="1">
      <alignment horizontal="center"/>
      <protection/>
    </xf>
    <xf numFmtId="174" fontId="1" fillId="0" borderId="15" xfId="54" applyNumberFormat="1" applyFont="1" applyBorder="1" applyAlignment="1">
      <alignment horizontal="centerContinuous"/>
      <protection/>
    </xf>
    <xf numFmtId="0" fontId="3" fillId="0" borderId="16" xfId="54" applyFont="1" applyBorder="1" applyAlignment="1" applyProtection="1">
      <alignment horizontal="centerContinuous"/>
      <protection/>
    </xf>
    <xf numFmtId="170" fontId="6" fillId="0" borderId="16" xfId="54" applyNumberFormat="1" applyFont="1" applyBorder="1" applyAlignment="1">
      <alignment horizontal="centerContinuous"/>
      <protection/>
    </xf>
    <xf numFmtId="0" fontId="1" fillId="0" borderId="0" xfId="54" applyFont="1" applyAlignment="1">
      <alignment horizontal="right"/>
      <protection/>
    </xf>
    <xf numFmtId="0" fontId="1" fillId="0" borderId="0" xfId="54" applyFont="1" applyBorder="1" applyAlignment="1">
      <alignment horizontal="right"/>
      <protection/>
    </xf>
    <xf numFmtId="0" fontId="1" fillId="0" borderId="0" xfId="54" applyFont="1" applyBorder="1" applyAlignment="1" applyProtection="1">
      <alignment horizontal="left"/>
      <protection locked="0"/>
    </xf>
    <xf numFmtId="0" fontId="1" fillId="0" borderId="0" xfId="54" applyFont="1" applyAlignment="1" applyProtection="1">
      <alignment/>
      <protection/>
    </xf>
    <xf numFmtId="0" fontId="6" fillId="0" borderId="0" xfId="54" applyFont="1" applyBorder="1" applyAlignment="1">
      <alignment horizontal="left"/>
      <protection/>
    </xf>
    <xf numFmtId="0" fontId="6" fillId="0" borderId="0" xfId="54" applyFont="1" applyAlignment="1">
      <alignment horizontal="center" vertical="center"/>
      <protection/>
    </xf>
    <xf numFmtId="0" fontId="6" fillId="0" borderId="13" xfId="54" applyFont="1" applyBorder="1" applyAlignment="1">
      <alignment horizontal="center" vertical="center"/>
      <protection/>
    </xf>
    <xf numFmtId="0" fontId="25" fillId="0" borderId="20" xfId="54" applyFont="1" applyBorder="1" applyAlignment="1" applyProtection="1">
      <alignment horizontal="center" vertical="center"/>
      <protection/>
    </xf>
    <xf numFmtId="0" fontId="25" fillId="0" borderId="20" xfId="54" applyFont="1" applyBorder="1" applyAlignment="1" applyProtection="1">
      <alignment horizontal="center" vertical="center" wrapText="1"/>
      <protection/>
    </xf>
    <xf numFmtId="0" fontId="26" fillId="16" borderId="20" xfId="54" applyFont="1" applyFill="1" applyBorder="1" applyAlignment="1" applyProtection="1">
      <alignment horizontal="center" vertical="center"/>
      <protection/>
    </xf>
    <xf numFmtId="0" fontId="28" fillId="24" borderId="20" xfId="54" applyFont="1" applyFill="1" applyBorder="1" applyAlignment="1">
      <alignment horizontal="center" vertical="center" wrapText="1"/>
      <protection/>
    </xf>
    <xf numFmtId="0" fontId="29" fillId="25" borderId="20" xfId="54" applyFont="1" applyFill="1" applyBorder="1" applyAlignment="1">
      <alignment horizontal="center" vertical="center" wrapText="1"/>
      <protection/>
    </xf>
    <xf numFmtId="0" fontId="30" fillId="16" borderId="15" xfId="54" applyFont="1" applyFill="1" applyBorder="1" applyAlignment="1" applyProtection="1">
      <alignment horizontal="centerContinuous" vertical="center" wrapText="1"/>
      <protection/>
    </xf>
    <xf numFmtId="0" fontId="7" fillId="16" borderId="21" xfId="54" applyFont="1" applyFill="1" applyBorder="1" applyAlignment="1">
      <alignment horizontal="centerContinuous"/>
      <protection/>
    </xf>
    <xf numFmtId="0" fontId="30" fillId="16" borderId="16" xfId="54" applyFont="1" applyFill="1" applyBorder="1" applyAlignment="1">
      <alignment horizontal="centerContinuous" vertical="center"/>
      <protection/>
    </xf>
    <xf numFmtId="0" fontId="28" fillId="6" borderId="15" xfId="54" applyFont="1" applyFill="1" applyBorder="1" applyAlignment="1" applyProtection="1">
      <alignment horizontal="centerContinuous" vertical="center" wrapText="1"/>
      <protection/>
    </xf>
    <xf numFmtId="0" fontId="28" fillId="6" borderId="21" xfId="54" applyFont="1" applyFill="1" applyBorder="1" applyAlignment="1">
      <alignment horizontal="centerContinuous" vertical="center"/>
      <protection/>
    </xf>
    <xf numFmtId="0" fontId="28" fillId="6" borderId="16" xfId="54" applyFont="1" applyFill="1" applyBorder="1" applyAlignment="1">
      <alignment horizontal="centerContinuous" vertical="center"/>
      <protection/>
    </xf>
    <xf numFmtId="0" fontId="31" fillId="4" borderId="20" xfId="54" applyFont="1" applyFill="1" applyBorder="1" applyAlignment="1">
      <alignment horizontal="center" vertical="center" wrapText="1"/>
      <protection/>
    </xf>
    <xf numFmtId="0" fontId="32" fillId="21" borderId="20" xfId="54" applyFont="1" applyFill="1" applyBorder="1" applyAlignment="1">
      <alignment horizontal="center" vertical="center" wrapText="1"/>
      <protection/>
    </xf>
    <xf numFmtId="0" fontId="25" fillId="0" borderId="20" xfId="54" applyFont="1" applyBorder="1" applyAlignment="1">
      <alignment horizontal="center" vertical="center" wrapText="1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22" xfId="54" applyFont="1" applyBorder="1" applyProtection="1">
      <alignment/>
      <protection locked="0"/>
    </xf>
    <xf numFmtId="0" fontId="6" fillId="0" borderId="22" xfId="54" applyFont="1" applyBorder="1" applyAlignment="1" applyProtection="1">
      <alignment horizontal="center"/>
      <protection locked="0"/>
    </xf>
    <xf numFmtId="0" fontId="33" fillId="16" borderId="22" xfId="54" applyFont="1" applyFill="1" applyBorder="1" applyProtection="1">
      <alignment/>
      <protection locked="0"/>
    </xf>
    <xf numFmtId="0" fontId="6" fillId="0" borderId="22" xfId="54" applyFont="1" applyBorder="1" applyAlignment="1">
      <alignment horizontal="center"/>
      <protection/>
    </xf>
    <xf numFmtId="0" fontId="34" fillId="24" borderId="22" xfId="54" applyFont="1" applyFill="1" applyBorder="1" applyProtection="1">
      <alignment/>
      <protection locked="0"/>
    </xf>
    <xf numFmtId="0" fontId="35" fillId="25" borderId="22" xfId="54" applyFont="1" applyFill="1" applyBorder="1" applyProtection="1">
      <alignment/>
      <protection locked="0"/>
    </xf>
    <xf numFmtId="0" fontId="36" fillId="16" borderId="22" xfId="54" applyFont="1" applyFill="1" applyBorder="1" applyAlignment="1" applyProtection="1">
      <alignment horizontal="center"/>
      <protection locked="0"/>
    </xf>
    <xf numFmtId="0" fontId="36" fillId="16" borderId="22" xfId="54" applyFont="1" applyFill="1" applyBorder="1" applyProtection="1">
      <alignment/>
      <protection locked="0"/>
    </xf>
    <xf numFmtId="0" fontId="34" fillId="6" borderId="22" xfId="54" applyFont="1" applyFill="1" applyBorder="1" applyProtection="1">
      <alignment/>
      <protection locked="0"/>
    </xf>
    <xf numFmtId="0" fontId="37" fillId="4" borderId="22" xfId="54" applyFont="1" applyFill="1" applyBorder="1" applyProtection="1">
      <alignment/>
      <protection locked="0"/>
    </xf>
    <xf numFmtId="0" fontId="38" fillId="21" borderId="22" xfId="54" applyFont="1" applyFill="1" applyBorder="1" applyProtection="1">
      <alignment/>
      <protection locked="0"/>
    </xf>
    <xf numFmtId="0" fontId="39" fillId="0" borderId="22" xfId="54" applyFont="1" applyBorder="1" applyAlignment="1">
      <alignment horizontal="center"/>
      <protection/>
    </xf>
    <xf numFmtId="0" fontId="6" fillId="0" borderId="23" xfId="54" applyFont="1" applyBorder="1" applyProtection="1">
      <alignment/>
      <protection locked="0"/>
    </xf>
    <xf numFmtId="0" fontId="6" fillId="0" borderId="24" xfId="54" applyFont="1" applyBorder="1" applyAlignment="1" applyProtection="1">
      <alignment horizontal="center"/>
      <protection locked="0"/>
    </xf>
    <xf numFmtId="0" fontId="33" fillId="16" borderId="23" xfId="54" applyFont="1" applyFill="1" applyBorder="1" applyProtection="1">
      <alignment/>
      <protection locked="0"/>
    </xf>
    <xf numFmtId="0" fontId="6" fillId="0" borderId="23" xfId="54" applyFont="1" applyBorder="1" applyAlignment="1" applyProtection="1">
      <alignment horizontal="center"/>
      <protection locked="0"/>
    </xf>
    <xf numFmtId="0" fontId="6" fillId="0" borderId="23" xfId="54" applyFont="1" applyBorder="1" applyAlignment="1">
      <alignment horizontal="center"/>
      <protection/>
    </xf>
    <xf numFmtId="0" fontId="34" fillId="24" borderId="23" xfId="54" applyFont="1" applyFill="1" applyBorder="1" applyProtection="1">
      <alignment/>
      <protection locked="0"/>
    </xf>
    <xf numFmtId="0" fontId="35" fillId="25" borderId="23" xfId="54" applyFont="1" applyFill="1" applyBorder="1" applyProtection="1">
      <alignment/>
      <protection locked="0"/>
    </xf>
    <xf numFmtId="0" fontId="36" fillId="16" borderId="23" xfId="54" applyFont="1" applyFill="1" applyBorder="1" applyAlignment="1" applyProtection="1">
      <alignment horizontal="center"/>
      <protection locked="0"/>
    </xf>
    <xf numFmtId="0" fontId="36" fillId="16" borderId="23" xfId="54" applyFont="1" applyFill="1" applyBorder="1" applyProtection="1">
      <alignment/>
      <protection locked="0"/>
    </xf>
    <xf numFmtId="0" fontId="34" fillId="6" borderId="23" xfId="54" applyFont="1" applyFill="1" applyBorder="1" applyProtection="1">
      <alignment/>
      <protection locked="0"/>
    </xf>
    <xf numFmtId="0" fontId="37" fillId="4" borderId="23" xfId="54" applyFont="1" applyFill="1" applyBorder="1" applyProtection="1">
      <alignment/>
      <protection locked="0"/>
    </xf>
    <xf numFmtId="0" fontId="38" fillId="21" borderId="23" xfId="54" applyFont="1" applyFill="1" applyBorder="1" applyProtection="1">
      <alignment/>
      <protection locked="0"/>
    </xf>
    <xf numFmtId="0" fontId="39" fillId="0" borderId="23" xfId="54" applyFont="1" applyBorder="1" applyAlignment="1">
      <alignment horizontal="center"/>
      <protection/>
    </xf>
    <xf numFmtId="2" fontId="6" fillId="0" borderId="24" xfId="54" applyNumberFormat="1" applyFont="1" applyBorder="1" applyAlignment="1" applyProtection="1">
      <alignment horizontal="center"/>
      <protection locked="0"/>
    </xf>
    <xf numFmtId="171" fontId="33" fillId="16" borderId="23" xfId="54" applyNumberFormat="1" applyFont="1" applyFill="1" applyBorder="1" applyAlignment="1" applyProtection="1">
      <alignment horizontal="center"/>
      <protection locked="0"/>
    </xf>
    <xf numFmtId="22" fontId="6" fillId="0" borderId="23" xfId="54" applyNumberFormat="1" applyFont="1" applyBorder="1" applyAlignment="1" applyProtection="1">
      <alignment horizontal="center"/>
      <protection locked="0"/>
    </xf>
    <xf numFmtId="2" fontId="6" fillId="0" borderId="23" xfId="54" applyNumberFormat="1" applyFont="1" applyBorder="1" applyAlignment="1" applyProtection="1">
      <alignment horizontal="center"/>
      <protection/>
    </xf>
    <xf numFmtId="1" fontId="6" fillId="0" borderId="23" xfId="54" applyNumberFormat="1" applyFont="1" applyBorder="1" applyAlignment="1" applyProtection="1">
      <alignment horizontal="center"/>
      <protection/>
    </xf>
    <xf numFmtId="171" fontId="6" fillId="0" borderId="23" xfId="54" applyNumberFormat="1" applyFont="1" applyBorder="1" applyAlignment="1" applyProtection="1">
      <alignment horizontal="center"/>
      <protection locked="0"/>
    </xf>
    <xf numFmtId="171" fontId="6" fillId="0" borderId="23" xfId="54" applyNumberFormat="1" applyFont="1" applyBorder="1" applyAlignment="1" applyProtection="1" quotePrefix="1">
      <alignment horizontal="center"/>
      <protection locked="0"/>
    </xf>
    <xf numFmtId="2" fontId="34" fillId="24" borderId="23" xfId="54" applyNumberFormat="1" applyFont="1" applyFill="1" applyBorder="1" applyAlignment="1" applyProtection="1">
      <alignment horizontal="center"/>
      <protection locked="0"/>
    </xf>
    <xf numFmtId="2" fontId="35" fillId="25" borderId="23" xfId="54" applyNumberFormat="1" applyFont="1" applyFill="1" applyBorder="1" applyAlignment="1" applyProtection="1">
      <alignment horizontal="center"/>
      <protection locked="0"/>
    </xf>
    <xf numFmtId="171" fontId="36" fillId="16" borderId="23" xfId="54" applyNumberFormat="1" applyFont="1" applyFill="1" applyBorder="1" applyAlignment="1" applyProtection="1" quotePrefix="1">
      <alignment horizontal="center"/>
      <protection locked="0"/>
    </xf>
    <xf numFmtId="4" fontId="36" fillId="16" borderId="23" xfId="54" applyNumberFormat="1" applyFont="1" applyFill="1" applyBorder="1" applyAlignment="1" applyProtection="1">
      <alignment horizontal="center"/>
      <protection locked="0"/>
    </xf>
    <xf numFmtId="171" fontId="34" fillId="6" borderId="23" xfId="54" applyNumberFormat="1" applyFont="1" applyFill="1" applyBorder="1" applyAlignment="1" applyProtection="1" quotePrefix="1">
      <alignment horizontal="center"/>
      <protection locked="0"/>
    </xf>
    <xf numFmtId="4" fontId="34" fillId="6" borderId="23" xfId="54" applyNumberFormat="1" applyFont="1" applyFill="1" applyBorder="1" applyAlignment="1" applyProtection="1">
      <alignment horizontal="center"/>
      <protection locked="0"/>
    </xf>
    <xf numFmtId="4" fontId="37" fillId="4" borderId="23" xfId="54" applyNumberFormat="1" applyFont="1" applyFill="1" applyBorder="1" applyAlignment="1" applyProtection="1">
      <alignment horizontal="center"/>
      <protection locked="0"/>
    </xf>
    <xf numFmtId="4" fontId="38" fillId="21" borderId="23" xfId="54" applyNumberFormat="1" applyFont="1" applyFill="1" applyBorder="1" applyAlignment="1" applyProtection="1">
      <alignment horizontal="center"/>
      <protection locked="0"/>
    </xf>
    <xf numFmtId="4" fontId="6" fillId="0" borderId="23" xfId="54" applyNumberFormat="1" applyFont="1" applyBorder="1" applyAlignment="1" applyProtection="1">
      <alignment horizontal="center"/>
      <protection locked="0"/>
    </xf>
    <xf numFmtId="4" fontId="39" fillId="0" borderId="23" xfId="54" applyNumberFormat="1" applyFont="1" applyBorder="1" applyAlignment="1">
      <alignment horizontal="right"/>
      <protection/>
    </xf>
    <xf numFmtId="2" fontId="6" fillId="0" borderId="14" xfId="54" applyNumberFormat="1" applyFont="1" applyBorder="1">
      <alignment/>
      <protection/>
    </xf>
    <xf numFmtId="0" fontId="6" fillId="0" borderId="13" xfId="54" applyFont="1" applyBorder="1" applyAlignment="1">
      <alignment horizontal="center"/>
      <protection/>
    </xf>
    <xf numFmtId="0" fontId="6" fillId="0" borderId="25" xfId="54" applyFont="1" applyBorder="1" applyAlignment="1" applyProtection="1">
      <alignment horizontal="center"/>
      <protection locked="0"/>
    </xf>
    <xf numFmtId="0" fontId="6" fillId="0" borderId="26" xfId="54" applyFont="1" applyBorder="1" applyAlignment="1" applyProtection="1">
      <alignment horizontal="center"/>
      <protection/>
    </xf>
    <xf numFmtId="2" fontId="6" fillId="0" borderId="26" xfId="54" applyNumberFormat="1" applyFont="1" applyBorder="1" applyAlignment="1" applyProtection="1">
      <alignment horizontal="center"/>
      <protection/>
    </xf>
    <xf numFmtId="171" fontId="6" fillId="0" borderId="25" xfId="54" applyNumberFormat="1" applyFont="1" applyBorder="1" applyAlignment="1" applyProtection="1">
      <alignment horizontal="center"/>
      <protection/>
    </xf>
    <xf numFmtId="171" fontId="33" fillId="16" borderId="25" xfId="54" applyNumberFormat="1" applyFont="1" applyFill="1" applyBorder="1" applyAlignment="1" applyProtection="1">
      <alignment horizontal="center"/>
      <protection/>
    </xf>
    <xf numFmtId="22" fontId="6" fillId="0" borderId="25" xfId="54" applyNumberFormat="1" applyFont="1" applyBorder="1" applyAlignment="1">
      <alignment horizontal="center"/>
      <protection/>
    </xf>
    <xf numFmtId="171" fontId="34" fillId="24" borderId="25" xfId="54" applyNumberFormat="1" applyFont="1" applyFill="1" applyBorder="1" applyAlignment="1" applyProtection="1" quotePrefix="1">
      <alignment horizontal="center"/>
      <protection/>
    </xf>
    <xf numFmtId="171" fontId="35" fillId="25" borderId="25" xfId="54" applyNumberFormat="1" applyFont="1" applyFill="1" applyBorder="1" applyAlignment="1" applyProtection="1" quotePrefix="1">
      <alignment horizontal="center"/>
      <protection/>
    </xf>
    <xf numFmtId="171" fontId="36" fillId="16" borderId="25" xfId="54" applyNumberFormat="1" applyFont="1" applyFill="1" applyBorder="1" applyAlignment="1" applyProtection="1" quotePrefix="1">
      <alignment horizontal="center"/>
      <protection/>
    </xf>
    <xf numFmtId="4" fontId="36" fillId="16" borderId="25" xfId="54" applyNumberFormat="1" applyFont="1" applyFill="1" applyBorder="1" applyAlignment="1">
      <alignment horizontal="center"/>
      <protection/>
    </xf>
    <xf numFmtId="4" fontId="34" fillId="6" borderId="25" xfId="54" applyNumberFormat="1" applyFont="1" applyFill="1" applyBorder="1" applyAlignment="1">
      <alignment horizontal="center"/>
      <protection/>
    </xf>
    <xf numFmtId="4" fontId="37" fillId="4" borderId="25" xfId="54" applyNumberFormat="1" applyFont="1" applyFill="1" applyBorder="1" applyAlignment="1">
      <alignment horizontal="center"/>
      <protection/>
    </xf>
    <xf numFmtId="4" fontId="38" fillId="21" borderId="25" xfId="54" applyNumberFormat="1" applyFont="1" applyFill="1" applyBorder="1" applyAlignment="1">
      <alignment horizontal="center"/>
      <protection/>
    </xf>
    <xf numFmtId="4" fontId="6" fillId="0" borderId="25" xfId="54" applyNumberFormat="1" applyFont="1" applyBorder="1" applyAlignment="1">
      <alignment horizontal="center"/>
      <protection/>
    </xf>
    <xf numFmtId="7" fontId="39" fillId="0" borderId="27" xfId="54" applyNumberFormat="1" applyFont="1" applyBorder="1" applyAlignment="1">
      <alignment horizontal="center"/>
      <protection/>
    </xf>
    <xf numFmtId="0" fontId="41" fillId="0" borderId="0" xfId="54" applyFont="1" applyBorder="1" applyAlignment="1" applyProtection="1">
      <alignment horizontal="left"/>
      <protection/>
    </xf>
    <xf numFmtId="171" fontId="6" fillId="0" borderId="0" xfId="54" applyNumberFormat="1" applyFont="1" applyBorder="1" applyAlignment="1" applyProtection="1">
      <alignment horizontal="center"/>
      <protection/>
    </xf>
    <xf numFmtId="171" fontId="6" fillId="0" borderId="0" xfId="54" applyNumberFormat="1" applyFont="1" applyBorder="1" applyAlignment="1" applyProtection="1" quotePrefix="1">
      <alignment horizontal="center"/>
      <protection/>
    </xf>
    <xf numFmtId="2" fontId="34" fillId="24" borderId="20" xfId="54" applyNumberFormat="1" applyFont="1" applyFill="1" applyBorder="1" applyAlignment="1">
      <alignment horizontal="center"/>
      <protection/>
    </xf>
    <xf numFmtId="2" fontId="35" fillId="25" borderId="20" xfId="54" applyNumberFormat="1" applyFont="1" applyFill="1" applyBorder="1" applyAlignment="1">
      <alignment horizontal="center"/>
      <protection/>
    </xf>
    <xf numFmtId="171" fontId="36" fillId="16" borderId="20" xfId="54" applyNumberFormat="1" applyFont="1" applyFill="1" applyBorder="1" applyAlignment="1" applyProtection="1" quotePrefix="1">
      <alignment horizontal="center"/>
      <protection/>
    </xf>
    <xf numFmtId="171" fontId="34" fillId="6" borderId="20" xfId="54" applyNumberFormat="1" applyFont="1" applyFill="1" applyBorder="1" applyAlignment="1" applyProtection="1" quotePrefix="1">
      <alignment horizontal="center"/>
      <protection/>
    </xf>
    <xf numFmtId="171" fontId="37" fillId="4" borderId="20" xfId="54" applyNumberFormat="1" applyFont="1" applyFill="1" applyBorder="1" applyAlignment="1" applyProtection="1" quotePrefix="1">
      <alignment horizontal="center"/>
      <protection/>
    </xf>
    <xf numFmtId="171" fontId="38" fillId="21" borderId="20" xfId="54" applyNumberFormat="1" applyFont="1" applyFill="1" applyBorder="1" applyAlignment="1" applyProtection="1" quotePrefix="1">
      <alignment horizontal="center"/>
      <protection/>
    </xf>
    <xf numFmtId="4" fontId="5" fillId="0" borderId="0" xfId="54" applyNumberFormat="1" applyFont="1" applyBorder="1" applyAlignment="1">
      <alignment horizontal="center"/>
      <protection/>
    </xf>
    <xf numFmtId="8" fontId="2" fillId="0" borderId="20" xfId="54" applyNumberFormat="1" applyFont="1" applyBorder="1" applyAlignment="1" applyProtection="1">
      <alignment horizontal="right"/>
      <protection locked="0"/>
    </xf>
    <xf numFmtId="2" fontId="6" fillId="0" borderId="14" xfId="54" applyNumberFormat="1" applyFont="1" applyBorder="1" applyAlignment="1">
      <alignment horizontal="center"/>
      <protection/>
    </xf>
    <xf numFmtId="0" fontId="40" fillId="0" borderId="0" xfId="54" applyFont="1">
      <alignment/>
      <protection/>
    </xf>
    <xf numFmtId="0" fontId="40" fillId="0" borderId="13" xfId="54" applyFont="1" applyBorder="1">
      <alignment/>
      <protection/>
    </xf>
    <xf numFmtId="0" fontId="40" fillId="0" borderId="0" xfId="54" applyFont="1" applyBorder="1" applyAlignment="1">
      <alignment horizontal="center"/>
      <protection/>
    </xf>
    <xf numFmtId="0" fontId="41" fillId="0" borderId="0" xfId="54" applyFont="1" applyBorder="1" applyAlignment="1" applyProtection="1">
      <alignment horizontal="left" vertical="top"/>
      <protection/>
    </xf>
    <xf numFmtId="0" fontId="40" fillId="0" borderId="0" xfId="54" applyFont="1" applyBorder="1" applyAlignment="1" applyProtection="1">
      <alignment horizontal="center"/>
      <protection/>
    </xf>
    <xf numFmtId="2" fontId="40" fillId="0" borderId="0" xfId="54" applyNumberFormat="1" applyFont="1" applyBorder="1" applyAlignment="1" applyProtection="1">
      <alignment horizontal="center"/>
      <protection/>
    </xf>
    <xf numFmtId="171" fontId="40" fillId="0" borderId="0" xfId="54" applyNumberFormat="1" applyFont="1" applyBorder="1" applyAlignment="1" applyProtection="1">
      <alignment horizontal="center"/>
      <protection/>
    </xf>
    <xf numFmtId="171" fontId="40" fillId="0" borderId="0" xfId="54" applyNumberFormat="1" applyFont="1" applyBorder="1" applyAlignment="1" applyProtection="1" quotePrefix="1">
      <alignment horizontal="center"/>
      <protection/>
    </xf>
    <xf numFmtId="2" fontId="42" fillId="0" borderId="0" xfId="54" applyNumberFormat="1" applyFont="1" applyBorder="1" applyAlignment="1">
      <alignment horizontal="center"/>
      <protection/>
    </xf>
    <xf numFmtId="171" fontId="43" fillId="0" borderId="0" xfId="54" applyNumberFormat="1" applyFont="1" applyBorder="1" applyAlignment="1" applyProtection="1" quotePrefix="1">
      <alignment horizontal="center"/>
      <protection/>
    </xf>
    <xf numFmtId="4" fontId="43" fillId="0" borderId="0" xfId="54" applyNumberFormat="1" applyFont="1" applyBorder="1" applyAlignment="1">
      <alignment horizontal="center"/>
      <protection/>
    </xf>
    <xf numFmtId="8" fontId="44" fillId="0" borderId="0" xfId="54" applyNumberFormat="1" applyFont="1" applyBorder="1" applyAlignment="1" applyProtection="1">
      <alignment horizontal="right"/>
      <protection locked="0"/>
    </xf>
    <xf numFmtId="2" fontId="40" fillId="0" borderId="14" xfId="54" applyNumberFormat="1" applyFont="1" applyBorder="1" applyAlignment="1">
      <alignment horizontal="center"/>
      <protection/>
    </xf>
    <xf numFmtId="0" fontId="6" fillId="0" borderId="17" xfId="54" applyFont="1" applyBorder="1">
      <alignment/>
      <protection/>
    </xf>
    <xf numFmtId="0" fontId="6" fillId="0" borderId="18" xfId="54" applyFont="1" applyBorder="1">
      <alignment/>
      <protection/>
    </xf>
    <xf numFmtId="0" fontId="6" fillId="0" borderId="19" xfId="54" applyFont="1" applyBorder="1">
      <alignment/>
      <protection/>
    </xf>
    <xf numFmtId="0" fontId="1" fillId="0" borderId="0" xfId="54" applyBorder="1">
      <alignment/>
      <protection/>
    </xf>
    <xf numFmtId="0" fontId="8" fillId="0" borderId="0" xfId="54" applyFont="1" applyFill="1">
      <alignment/>
      <protection/>
    </xf>
    <xf numFmtId="0" fontId="8" fillId="0" borderId="0" xfId="54" applyFont="1" applyFill="1" applyAlignment="1">
      <alignment horizontal="centerContinuous"/>
      <protection/>
    </xf>
    <xf numFmtId="0" fontId="6" fillId="0" borderId="0" xfId="54" applyFont="1" applyFill="1" applyAlignment="1">
      <alignment horizontal="centerContinuous"/>
      <protection/>
    </xf>
    <xf numFmtId="0" fontId="4" fillId="0" borderId="0" xfId="54" applyFont="1" applyFill="1" applyBorder="1" applyAlignment="1" applyProtection="1">
      <alignment horizontal="centerContinuous"/>
      <protection/>
    </xf>
    <xf numFmtId="0" fontId="11" fillId="0" borderId="0" xfId="54" applyFont="1" applyFill="1" applyAlignment="1">
      <alignment horizontal="centerContinuous"/>
      <protection/>
    </xf>
    <xf numFmtId="0" fontId="11" fillId="0" borderId="0" xfId="54" applyFont="1" applyFill="1">
      <alignment/>
      <protection/>
    </xf>
    <xf numFmtId="0" fontId="6" fillId="0" borderId="0" xfId="54" applyFont="1" applyFill="1">
      <alignment/>
      <protection/>
    </xf>
    <xf numFmtId="0" fontId="6" fillId="0" borderId="10" xfId="54" applyFont="1" applyFill="1" applyBorder="1">
      <alignment/>
      <protection/>
    </xf>
    <xf numFmtId="0" fontId="6" fillId="0" borderId="11" xfId="54" applyFont="1" applyFill="1" applyBorder="1">
      <alignment/>
      <protection/>
    </xf>
    <xf numFmtId="0" fontId="6" fillId="0" borderId="12" xfId="54" applyFont="1" applyFill="1" applyBorder="1">
      <alignment/>
      <protection/>
    </xf>
    <xf numFmtId="0" fontId="23" fillId="0" borderId="13" xfId="54" applyFont="1" applyFill="1" applyBorder="1">
      <alignment/>
      <protection/>
    </xf>
    <xf numFmtId="0" fontId="23" fillId="0" borderId="0" xfId="54" applyFont="1" applyFill="1" applyBorder="1">
      <alignment/>
      <protection/>
    </xf>
    <xf numFmtId="0" fontId="24" fillId="0" borderId="0" xfId="54" applyFont="1" applyFill="1" applyBorder="1">
      <alignment/>
      <protection/>
    </xf>
    <xf numFmtId="0" fontId="23" fillId="0" borderId="0" xfId="54" applyFont="1" applyFill="1">
      <alignment/>
      <protection/>
    </xf>
    <xf numFmtId="0" fontId="23" fillId="0" borderId="14" xfId="54" applyFont="1" applyFill="1" applyBorder="1">
      <alignment/>
      <protection/>
    </xf>
    <xf numFmtId="0" fontId="6" fillId="0" borderId="13" xfId="54" applyFont="1" applyFill="1" applyBorder="1">
      <alignment/>
      <protection/>
    </xf>
    <xf numFmtId="0" fontId="6" fillId="0" borderId="14" xfId="54" applyFont="1" applyFill="1" applyBorder="1">
      <alignment/>
      <protection/>
    </xf>
    <xf numFmtId="0" fontId="3" fillId="0" borderId="0" xfId="54" applyFont="1" applyFill="1" applyBorder="1">
      <alignment/>
      <protection/>
    </xf>
    <xf numFmtId="0" fontId="24" fillId="0" borderId="0" xfId="54" applyFont="1" applyFill="1">
      <alignment/>
      <protection/>
    </xf>
    <xf numFmtId="0" fontId="23" fillId="0" borderId="0" xfId="54" applyFont="1" applyFill="1" applyBorder="1" applyProtection="1">
      <alignment/>
      <protection/>
    </xf>
    <xf numFmtId="0" fontId="6" fillId="0" borderId="0" xfId="54" applyFont="1" applyFill="1" applyBorder="1" applyAlignment="1" applyProtection="1">
      <alignment horizontal="left"/>
      <protection/>
    </xf>
    <xf numFmtId="168" fontId="6" fillId="0" borderId="0" xfId="54" applyNumberFormat="1" applyFont="1" applyFill="1" applyBorder="1" applyProtection="1">
      <alignment/>
      <protection/>
    </xf>
    <xf numFmtId="0" fontId="6" fillId="0" borderId="0" xfId="54" applyFont="1" applyFill="1" applyBorder="1" applyProtection="1">
      <alignment/>
      <protection/>
    </xf>
    <xf numFmtId="0" fontId="20" fillId="0" borderId="13" xfId="54" applyFont="1" applyFill="1" applyBorder="1" applyAlignment="1">
      <alignment horizontal="centerContinuous"/>
      <protection/>
    </xf>
    <xf numFmtId="0" fontId="20" fillId="0" borderId="0" xfId="54" applyFont="1" applyFill="1" applyBorder="1" applyAlignment="1">
      <alignment horizontal="centerContinuous"/>
      <protection/>
    </xf>
    <xf numFmtId="0" fontId="20" fillId="0" borderId="14" xfId="54" applyFont="1" applyFill="1" applyBorder="1" applyAlignment="1">
      <alignment horizontal="centerContinuous"/>
      <protection/>
    </xf>
    <xf numFmtId="0" fontId="6" fillId="0" borderId="0" xfId="54" applyFont="1" applyFill="1" applyBorder="1" applyAlignment="1">
      <alignment horizontal="center"/>
      <protection/>
    </xf>
    <xf numFmtId="0" fontId="22" fillId="0" borderId="0" xfId="54" applyFont="1" applyFill="1" applyBorder="1" applyAlignment="1">
      <alignment horizontal="left"/>
      <protection/>
    </xf>
    <xf numFmtId="0" fontId="1" fillId="0" borderId="15" xfId="54" applyFont="1" applyFill="1" applyBorder="1" applyAlignment="1" applyProtection="1">
      <alignment horizontal="left"/>
      <protection/>
    </xf>
    <xf numFmtId="0" fontId="1" fillId="0" borderId="28" xfId="54" applyFont="1" applyFill="1" applyBorder="1" applyAlignment="1" applyProtection="1">
      <alignment horizontal="center"/>
      <protection/>
    </xf>
    <xf numFmtId="0" fontId="1" fillId="0" borderId="28" xfId="54" applyFont="1" applyFill="1" applyBorder="1">
      <alignment/>
      <protection/>
    </xf>
    <xf numFmtId="0" fontId="1" fillId="0" borderId="20" xfId="54" applyFont="1" applyFill="1" applyBorder="1" applyAlignment="1">
      <alignment horizontal="center"/>
      <protection/>
    </xf>
    <xf numFmtId="0" fontId="1" fillId="0" borderId="15" xfId="54" applyFont="1" applyFill="1" applyBorder="1" applyAlignment="1" applyProtection="1" quotePrefix="1">
      <alignment horizontal="left"/>
      <protection/>
    </xf>
    <xf numFmtId="0" fontId="1" fillId="0" borderId="21" xfId="54" applyFont="1" applyFill="1" applyBorder="1" applyAlignment="1" applyProtection="1">
      <alignment horizontal="center"/>
      <protection/>
    </xf>
    <xf numFmtId="168" fontId="1" fillId="0" borderId="20" xfId="54" applyNumberFormat="1" applyFont="1" applyFill="1" applyBorder="1" applyAlignment="1" applyProtection="1">
      <alignment horizontal="center"/>
      <protection/>
    </xf>
    <xf numFmtId="0" fontId="6" fillId="0" borderId="0" xfId="54" applyFont="1" applyAlignment="1" applyProtection="1">
      <alignment/>
      <protection/>
    </xf>
    <xf numFmtId="22" fontId="6" fillId="0" borderId="0" xfId="54" applyNumberFormat="1" applyFont="1" applyFill="1" applyBorder="1">
      <alignment/>
      <protection/>
    </xf>
    <xf numFmtId="0" fontId="6" fillId="0" borderId="0" xfId="54" applyFont="1" applyAlignment="1">
      <alignment vertical="center"/>
      <protection/>
    </xf>
    <xf numFmtId="0" fontId="6" fillId="0" borderId="13" xfId="54" applyFont="1" applyFill="1" applyBorder="1" applyAlignment="1">
      <alignment vertical="center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/>
      <protection/>
    </xf>
    <xf numFmtId="0" fontId="25" fillId="0" borderId="20" xfId="54" applyFont="1" applyFill="1" applyBorder="1" applyAlignment="1" applyProtection="1" quotePrefix="1">
      <alignment horizontal="center" vertical="center" wrapText="1"/>
      <protection/>
    </xf>
    <xf numFmtId="0" fontId="25" fillId="0" borderId="20" xfId="54" applyFont="1" applyFill="1" applyBorder="1" applyAlignment="1">
      <alignment horizontal="center" vertical="center" wrapText="1"/>
      <protection/>
    </xf>
    <xf numFmtId="0" fontId="26" fillId="16" borderId="20" xfId="54" applyFont="1" applyFill="1" applyBorder="1" applyAlignment="1" applyProtection="1">
      <alignment horizontal="center" vertical="center"/>
      <protection/>
    </xf>
    <xf numFmtId="0" fontId="32" fillId="21" borderId="20" xfId="54" applyFont="1" applyFill="1" applyBorder="1" applyAlignment="1" applyProtection="1">
      <alignment horizontal="center" vertical="center"/>
      <protection/>
    </xf>
    <xf numFmtId="0" fontId="28" fillId="6" borderId="20" xfId="54" applyFont="1" applyFill="1" applyBorder="1" applyAlignment="1">
      <alignment horizontal="center" vertical="center" wrapText="1"/>
      <protection/>
    </xf>
    <xf numFmtId="0" fontId="45" fillId="26" borderId="20" xfId="54" applyFont="1" applyFill="1" applyBorder="1" applyAlignment="1">
      <alignment horizontal="center" vertical="center" wrapText="1"/>
      <protection/>
    </xf>
    <xf numFmtId="0" fontId="45" fillId="27" borderId="15" xfId="54" applyFont="1" applyFill="1" applyBorder="1" applyAlignment="1" applyProtection="1">
      <alignment horizontal="centerContinuous" vertical="center" wrapText="1"/>
      <protection/>
    </xf>
    <xf numFmtId="0" fontId="45" fillId="27" borderId="16" xfId="54" applyFont="1" applyFill="1" applyBorder="1" applyAlignment="1">
      <alignment horizontal="centerContinuous" vertical="center"/>
      <protection/>
    </xf>
    <xf numFmtId="0" fontId="46" fillId="28" borderId="15" xfId="54" applyFont="1" applyFill="1" applyBorder="1" applyAlignment="1" applyProtection="1">
      <alignment horizontal="centerContinuous" vertical="center" wrapText="1"/>
      <protection/>
    </xf>
    <xf numFmtId="0" fontId="46" fillId="28" borderId="16" xfId="54" applyFont="1" applyFill="1" applyBorder="1" applyAlignment="1">
      <alignment horizontal="centerContinuous" vertical="center"/>
      <protection/>
    </xf>
    <xf numFmtId="0" fontId="31" fillId="23" borderId="20" xfId="54" applyFont="1" applyFill="1" applyBorder="1" applyAlignment="1">
      <alignment horizontal="center" vertical="center" wrapText="1"/>
      <protection/>
    </xf>
    <xf numFmtId="0" fontId="45" fillId="3" borderId="20" xfId="54" applyFont="1" applyFill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vertical="center"/>
      <protection/>
    </xf>
    <xf numFmtId="0" fontId="6" fillId="0" borderId="29" xfId="54" applyFont="1" applyFill="1" applyBorder="1" applyAlignment="1" applyProtection="1">
      <alignment horizontal="center"/>
      <protection locked="0"/>
    </xf>
    <xf numFmtId="0" fontId="6" fillId="0" borderId="22" xfId="54" applyFont="1" applyFill="1" applyBorder="1" applyAlignment="1" applyProtection="1">
      <alignment horizontal="center"/>
      <protection locked="0"/>
    </xf>
    <xf numFmtId="0" fontId="6" fillId="0" borderId="22" xfId="54" applyFont="1" applyFill="1" applyBorder="1" applyProtection="1">
      <alignment/>
      <protection locked="0"/>
    </xf>
    <xf numFmtId="0" fontId="47" fillId="16" borderId="22" xfId="54" applyFont="1" applyFill="1" applyBorder="1" applyProtection="1">
      <alignment/>
      <protection locked="0"/>
    </xf>
    <xf numFmtId="0" fontId="6" fillId="0" borderId="22" xfId="54" applyFont="1" applyFill="1" applyBorder="1" applyAlignment="1">
      <alignment horizontal="center"/>
      <protection/>
    </xf>
    <xf numFmtId="0" fontId="48" fillId="26" borderId="22" xfId="54" applyFont="1" applyFill="1" applyBorder="1" applyProtection="1">
      <alignment/>
      <protection locked="0"/>
    </xf>
    <xf numFmtId="0" fontId="48" fillId="27" borderId="30" xfId="54" applyFont="1" applyFill="1" applyBorder="1" applyAlignment="1" applyProtection="1">
      <alignment horizontal="center"/>
      <protection locked="0"/>
    </xf>
    <xf numFmtId="0" fontId="48" fillId="27" borderId="31" xfId="54" applyFont="1" applyFill="1" applyBorder="1" applyProtection="1">
      <alignment/>
      <protection locked="0"/>
    </xf>
    <xf numFmtId="0" fontId="49" fillId="28" borderId="30" xfId="54" applyFont="1" applyFill="1" applyBorder="1" applyAlignment="1" applyProtection="1">
      <alignment horizontal="center"/>
      <protection locked="0"/>
    </xf>
    <xf numFmtId="0" fontId="49" fillId="28" borderId="31" xfId="54" applyFont="1" applyFill="1" applyBorder="1" applyProtection="1">
      <alignment/>
      <protection locked="0"/>
    </xf>
    <xf numFmtId="0" fontId="37" fillId="23" borderId="22" xfId="54" applyFont="1" applyFill="1" applyBorder="1" applyProtection="1">
      <alignment/>
      <protection locked="0"/>
    </xf>
    <xf numFmtId="0" fontId="48" fillId="3" borderId="22" xfId="54" applyFont="1" applyFill="1" applyBorder="1" applyProtection="1">
      <alignment/>
      <protection locked="0"/>
    </xf>
    <xf numFmtId="0" fontId="39" fillId="0" borderId="22" xfId="54" applyFont="1" applyFill="1" applyBorder="1" applyAlignment="1">
      <alignment horizontal="right"/>
      <protection/>
    </xf>
    <xf numFmtId="0" fontId="6" fillId="0" borderId="32" xfId="54" applyFont="1" applyFill="1" applyBorder="1" applyAlignment="1" applyProtection="1">
      <alignment horizontal="center"/>
      <protection locked="0"/>
    </xf>
    <xf numFmtId="0" fontId="6" fillId="0" borderId="23" xfId="54" applyFont="1" applyFill="1" applyBorder="1" applyProtection="1">
      <alignment/>
      <protection locked="0"/>
    </xf>
    <xf numFmtId="0" fontId="47" fillId="16" borderId="23" xfId="54" applyFont="1" applyFill="1" applyBorder="1" applyProtection="1">
      <alignment/>
      <protection locked="0"/>
    </xf>
    <xf numFmtId="0" fontId="6" fillId="0" borderId="23" xfId="54" applyFont="1" applyFill="1" applyBorder="1" applyAlignment="1" applyProtection="1">
      <alignment horizontal="center"/>
      <protection locked="0"/>
    </xf>
    <xf numFmtId="0" fontId="6" fillId="0" borderId="23" xfId="54" applyFont="1" applyFill="1" applyBorder="1" applyAlignment="1">
      <alignment horizontal="center"/>
      <protection/>
    </xf>
    <xf numFmtId="0" fontId="48" fillId="26" borderId="23" xfId="54" applyFont="1" applyFill="1" applyBorder="1" applyProtection="1">
      <alignment/>
      <protection locked="0"/>
    </xf>
    <xf numFmtId="0" fontId="48" fillId="27" borderId="33" xfId="54" applyFont="1" applyFill="1" applyBorder="1" applyAlignment="1" applyProtection="1">
      <alignment horizontal="center"/>
      <protection locked="0"/>
    </xf>
    <xf numFmtId="0" fontId="48" fillId="27" borderId="34" xfId="54" applyFont="1" applyFill="1" applyBorder="1" applyProtection="1">
      <alignment/>
      <protection locked="0"/>
    </xf>
    <xf numFmtId="0" fontId="49" fillId="28" borderId="33" xfId="54" applyFont="1" applyFill="1" applyBorder="1" applyAlignment="1" applyProtection="1">
      <alignment horizontal="center"/>
      <protection locked="0"/>
    </xf>
    <xf numFmtId="0" fontId="49" fillId="28" borderId="34" xfId="54" applyFont="1" applyFill="1" applyBorder="1" applyProtection="1">
      <alignment/>
      <protection locked="0"/>
    </xf>
    <xf numFmtId="0" fontId="37" fillId="23" borderId="23" xfId="54" applyFont="1" applyFill="1" applyBorder="1" applyProtection="1">
      <alignment/>
      <protection locked="0"/>
    </xf>
    <xf numFmtId="0" fontId="48" fillId="3" borderId="23" xfId="54" applyFont="1" applyFill="1" applyBorder="1" applyProtection="1">
      <alignment/>
      <protection locked="0"/>
    </xf>
    <xf numFmtId="0" fontId="39" fillId="0" borderId="34" xfId="54" applyFont="1" applyFill="1" applyBorder="1" applyAlignment="1">
      <alignment horizontal="right"/>
      <protection/>
    </xf>
    <xf numFmtId="169" fontId="6" fillId="0" borderId="24" xfId="54" applyNumberFormat="1" applyFont="1" applyBorder="1" applyAlignment="1" applyProtection="1" quotePrefix="1">
      <alignment horizontal="center"/>
      <protection locked="0"/>
    </xf>
    <xf numFmtId="2" fontId="6" fillId="0" borderId="24" xfId="54" applyNumberFormat="1" applyFont="1" applyBorder="1" applyAlignment="1" applyProtection="1" quotePrefix="1">
      <alignment horizontal="center"/>
      <protection locked="0"/>
    </xf>
    <xf numFmtId="171" fontId="47" fillId="16" borderId="23" xfId="54" applyNumberFormat="1" applyFont="1" applyFill="1" applyBorder="1" applyAlignment="1" applyProtection="1">
      <alignment horizontal="center"/>
      <protection locked="0"/>
    </xf>
    <xf numFmtId="22" fontId="6" fillId="0" borderId="23" xfId="54" applyNumberFormat="1" applyFont="1" applyFill="1" applyBorder="1" applyAlignment="1" applyProtection="1">
      <alignment horizontal="center"/>
      <protection locked="0"/>
    </xf>
    <xf numFmtId="2" fontId="6" fillId="0" borderId="23" xfId="54" applyNumberFormat="1" applyFont="1" applyFill="1" applyBorder="1" applyAlignment="1" applyProtection="1">
      <alignment horizontal="center"/>
      <protection/>
    </xf>
    <xf numFmtId="3" fontId="6" fillId="0" borderId="23" xfId="54" applyNumberFormat="1" applyFont="1" applyFill="1" applyBorder="1" applyAlignment="1" applyProtection="1">
      <alignment horizontal="center"/>
      <protection/>
    </xf>
    <xf numFmtId="171" fontId="6" fillId="0" borderId="23" xfId="54" applyNumberFormat="1" applyFont="1" applyFill="1" applyBorder="1" applyAlignment="1" applyProtection="1">
      <alignment horizontal="center"/>
      <protection locked="0"/>
    </xf>
    <xf numFmtId="171" fontId="6" fillId="0" borderId="23" xfId="54" applyNumberFormat="1" applyFont="1" applyFill="1" applyBorder="1" applyAlignment="1" applyProtection="1" quotePrefix="1">
      <alignment horizontal="center"/>
      <protection locked="0"/>
    </xf>
    <xf numFmtId="2" fontId="34" fillId="6" borderId="23" xfId="54" applyNumberFormat="1" applyFont="1" applyFill="1" applyBorder="1" applyAlignment="1" applyProtection="1">
      <alignment horizontal="center"/>
      <protection locked="0"/>
    </xf>
    <xf numFmtId="2" fontId="48" fillId="26" borderId="23" xfId="54" applyNumberFormat="1" applyFont="1" applyFill="1" applyBorder="1" applyAlignment="1" applyProtection="1">
      <alignment horizontal="center"/>
      <protection locked="0"/>
    </xf>
    <xf numFmtId="171" fontId="48" fillId="27" borderId="33" xfId="54" applyNumberFormat="1" applyFont="1" applyFill="1" applyBorder="1" applyAlignment="1" applyProtection="1" quotePrefix="1">
      <alignment horizontal="center"/>
      <protection locked="0"/>
    </xf>
    <xf numFmtId="171" fontId="48" fillId="27" borderId="35" xfId="54" applyNumberFormat="1" applyFont="1" applyFill="1" applyBorder="1" applyAlignment="1" applyProtection="1" quotePrefix="1">
      <alignment horizontal="center"/>
      <protection locked="0"/>
    </xf>
    <xf numFmtId="171" fontId="49" fillId="28" borderId="33" xfId="54" applyNumberFormat="1" applyFont="1" applyFill="1" applyBorder="1" applyAlignment="1" applyProtection="1" quotePrefix="1">
      <alignment horizontal="center"/>
      <protection locked="0"/>
    </xf>
    <xf numFmtId="171" fontId="49" fillId="28" borderId="35" xfId="54" applyNumberFormat="1" applyFont="1" applyFill="1" applyBorder="1" applyAlignment="1" applyProtection="1" quotePrefix="1">
      <alignment horizontal="center"/>
      <protection locked="0"/>
    </xf>
    <xf numFmtId="171" fontId="37" fillId="23" borderId="23" xfId="54" applyNumberFormat="1" applyFont="1" applyFill="1" applyBorder="1" applyAlignment="1" applyProtection="1" quotePrefix="1">
      <alignment horizontal="center"/>
      <protection locked="0"/>
    </xf>
    <xf numFmtId="171" fontId="48" fillId="3" borderId="24" xfId="54" applyNumberFormat="1" applyFont="1" applyFill="1" applyBorder="1" applyAlignment="1" applyProtection="1" quotePrefix="1">
      <alignment horizontal="center"/>
      <protection locked="0"/>
    </xf>
    <xf numFmtId="171" fontId="39" fillId="0" borderId="34" xfId="54" applyNumberFormat="1" applyFont="1" applyFill="1" applyBorder="1" applyAlignment="1">
      <alignment horizontal="right"/>
      <protection/>
    </xf>
    <xf numFmtId="2" fontId="6" fillId="0" borderId="14" xfId="54" applyNumberFormat="1" applyFont="1" applyFill="1" applyBorder="1">
      <alignment/>
      <protection/>
    </xf>
    <xf numFmtId="0" fontId="6" fillId="0" borderId="25" xfId="54" applyFont="1" applyFill="1" applyBorder="1">
      <alignment/>
      <protection/>
    </xf>
    <xf numFmtId="0" fontId="47" fillId="16" borderId="25" xfId="54" applyFont="1" applyFill="1" applyBorder="1">
      <alignment/>
      <protection/>
    </xf>
    <xf numFmtId="0" fontId="38" fillId="21" borderId="25" xfId="54" applyFont="1" applyFill="1" applyBorder="1">
      <alignment/>
      <protection/>
    </xf>
    <xf numFmtId="0" fontId="34" fillId="6" borderId="25" xfId="54" applyFont="1" applyFill="1" applyBorder="1">
      <alignment/>
      <protection/>
    </xf>
    <xf numFmtId="0" fontId="48" fillId="26" borderId="25" xfId="54" applyFont="1" applyFill="1" applyBorder="1">
      <alignment/>
      <protection/>
    </xf>
    <xf numFmtId="0" fontId="48" fillId="27" borderId="36" xfId="54" applyFont="1" applyFill="1" applyBorder="1">
      <alignment/>
      <protection/>
    </xf>
    <xf numFmtId="0" fontId="48" fillId="27" borderId="37" xfId="54" applyFont="1" applyFill="1" applyBorder="1">
      <alignment/>
      <protection/>
    </xf>
    <xf numFmtId="0" fontId="49" fillId="28" borderId="36" xfId="54" applyFont="1" applyFill="1" applyBorder="1">
      <alignment/>
      <protection/>
    </xf>
    <xf numFmtId="0" fontId="49" fillId="28" borderId="37" xfId="54" applyFont="1" applyFill="1" applyBorder="1">
      <alignment/>
      <protection/>
    </xf>
    <xf numFmtId="0" fontId="37" fillId="23" borderId="25" xfId="54" applyFont="1" applyFill="1" applyBorder="1">
      <alignment/>
      <protection/>
    </xf>
    <xf numFmtId="0" fontId="48" fillId="3" borderId="25" xfId="54" applyFont="1" applyFill="1" applyBorder="1">
      <alignment/>
      <protection/>
    </xf>
    <xf numFmtId="0" fontId="39" fillId="0" borderId="27" xfId="54" applyFont="1" applyFill="1" applyBorder="1" applyAlignment="1">
      <alignment horizontal="right"/>
      <protection/>
    </xf>
    <xf numFmtId="7" fontId="34" fillId="6" borderId="20" xfId="54" applyNumberFormat="1" applyFont="1" applyFill="1" applyBorder="1" applyAlignment="1">
      <alignment horizontal="center"/>
      <protection/>
    </xf>
    <xf numFmtId="7" fontId="48" fillId="26" borderId="20" xfId="54" applyNumberFormat="1" applyFont="1" applyFill="1" applyBorder="1" applyAlignment="1">
      <alignment horizontal="center"/>
      <protection/>
    </xf>
    <xf numFmtId="7" fontId="48" fillId="27" borderId="20" xfId="54" applyNumberFormat="1" applyFont="1" applyFill="1" applyBorder="1" applyAlignment="1">
      <alignment horizontal="center"/>
      <protection/>
    </xf>
    <xf numFmtId="7" fontId="48" fillId="27" borderId="38" xfId="54" applyNumberFormat="1" applyFont="1" applyFill="1" applyBorder="1" applyAlignment="1">
      <alignment horizontal="center"/>
      <protection/>
    </xf>
    <xf numFmtId="7" fontId="49" fillId="28" borderId="20" xfId="54" applyNumberFormat="1" applyFont="1" applyFill="1" applyBorder="1" applyAlignment="1">
      <alignment horizontal="center"/>
      <protection/>
    </xf>
    <xf numFmtId="7" fontId="37" fillId="23" borderId="20" xfId="54" applyNumberFormat="1" applyFont="1" applyFill="1" applyBorder="1" applyAlignment="1">
      <alignment horizontal="center"/>
      <protection/>
    </xf>
    <xf numFmtId="7" fontId="48" fillId="3" borderId="20" xfId="54" applyNumberFormat="1" applyFont="1" applyFill="1" applyBorder="1" applyAlignment="1">
      <alignment horizontal="center"/>
      <protection/>
    </xf>
    <xf numFmtId="0" fontId="6" fillId="0" borderId="39" xfId="54" applyFont="1" applyFill="1" applyBorder="1">
      <alignment/>
      <protection/>
    </xf>
    <xf numFmtId="7" fontId="2" fillId="0" borderId="20" xfId="54" applyNumberFormat="1" applyFont="1" applyFill="1" applyBorder="1" applyAlignment="1" applyProtection="1">
      <alignment horizontal="right"/>
      <protection locked="0"/>
    </xf>
    <xf numFmtId="0" fontId="40" fillId="0" borderId="13" xfId="54" applyFont="1" applyFill="1" applyBorder="1">
      <alignment/>
      <protection/>
    </xf>
    <xf numFmtId="0" fontId="40" fillId="0" borderId="0" xfId="54" applyFont="1" applyFill="1" applyBorder="1">
      <alignment/>
      <protection/>
    </xf>
    <xf numFmtId="7" fontId="40" fillId="0" borderId="0" xfId="54" applyNumberFormat="1" applyFont="1" applyFill="1" applyBorder="1" applyAlignment="1">
      <alignment horizontal="center"/>
      <protection/>
    </xf>
    <xf numFmtId="7" fontId="40" fillId="0" borderId="0" xfId="54" applyNumberFormat="1" applyFont="1" applyFill="1" applyBorder="1" applyAlignment="1" applyProtection="1">
      <alignment horizontal="right"/>
      <protection locked="0"/>
    </xf>
    <xf numFmtId="0" fontId="40" fillId="0" borderId="14" xfId="54" applyFont="1" applyFill="1" applyBorder="1">
      <alignment/>
      <protection/>
    </xf>
    <xf numFmtId="0" fontId="6" fillId="0" borderId="17" xfId="54" applyFont="1" applyFill="1" applyBorder="1">
      <alignment/>
      <protection/>
    </xf>
    <xf numFmtId="0" fontId="6" fillId="0" borderId="18" xfId="54" applyFont="1" applyFill="1" applyBorder="1">
      <alignment/>
      <protection/>
    </xf>
    <xf numFmtId="0" fontId="6" fillId="0" borderId="19" xfId="54" applyFont="1" applyFill="1" applyBorder="1">
      <alignment/>
      <protection/>
    </xf>
    <xf numFmtId="0" fontId="0" fillId="0" borderId="0" xfId="54" applyFont="1" applyFill="1" applyBorder="1">
      <alignment/>
      <protection/>
    </xf>
    <xf numFmtId="0" fontId="8" fillId="0" borderId="0" xfId="54" applyFont="1" applyAlignment="1">
      <alignment horizontal="centerContinuous" vertical="center"/>
      <protection/>
    </xf>
    <xf numFmtId="0" fontId="6" fillId="0" borderId="0" xfId="54" applyFont="1" applyAlignment="1">
      <alignment horizontal="centerContinuous" vertical="center"/>
      <protection/>
    </xf>
    <xf numFmtId="0" fontId="11" fillId="0" borderId="0" xfId="54" applyFont="1" applyAlignment="1">
      <alignment horizontal="centerContinuous"/>
      <protection/>
    </xf>
    <xf numFmtId="0" fontId="50" fillId="0" borderId="0" xfId="54" applyFont="1" applyBorder="1">
      <alignment/>
      <protection/>
    </xf>
    <xf numFmtId="0" fontId="20" fillId="0" borderId="0" xfId="54" applyFont="1" applyFill="1" applyBorder="1" applyAlignment="1" applyProtection="1" quotePrefix="1">
      <alignment horizontal="centerContinuous"/>
      <protection locked="0"/>
    </xf>
    <xf numFmtId="0" fontId="1" fillId="0" borderId="15" xfId="54" applyFont="1" applyBorder="1" applyAlignment="1" applyProtection="1">
      <alignment horizontal="left"/>
      <protection/>
    </xf>
    <xf numFmtId="172" fontId="1" fillId="0" borderId="38" xfId="54" applyNumberFormat="1" applyFont="1" applyBorder="1" applyAlignment="1" applyProtection="1">
      <alignment horizontal="center"/>
      <protection/>
    </xf>
    <xf numFmtId="0" fontId="1" fillId="0" borderId="20" xfId="54" applyFont="1" applyBorder="1" applyAlignment="1">
      <alignment horizontal="center"/>
      <protection/>
    </xf>
    <xf numFmtId="22" fontId="6" fillId="0" borderId="0" xfId="54" applyNumberFormat="1" applyFont="1" applyBorder="1">
      <alignment/>
      <protection/>
    </xf>
    <xf numFmtId="0" fontId="1" fillId="0" borderId="15" xfId="54" applyFont="1" applyBorder="1">
      <alignment/>
      <protection/>
    </xf>
    <xf numFmtId="172" fontId="51" fillId="0" borderId="38" xfId="54" applyNumberFormat="1" applyFont="1" applyBorder="1" applyAlignment="1">
      <alignment horizontal="center"/>
      <protection/>
    </xf>
    <xf numFmtId="0" fontId="1" fillId="0" borderId="25" xfId="54" applyFont="1" applyBorder="1" applyAlignment="1">
      <alignment horizontal="center"/>
      <protection/>
    </xf>
    <xf numFmtId="172" fontId="6" fillId="0" borderId="0" xfId="54" applyNumberFormat="1" applyFont="1" applyBorder="1">
      <alignment/>
      <protection/>
    </xf>
    <xf numFmtId="0" fontId="6" fillId="0" borderId="0" xfId="54" applyFont="1" applyBorder="1" applyAlignment="1" quotePrefix="1">
      <alignment horizontal="center"/>
      <protection/>
    </xf>
    <xf numFmtId="0" fontId="1" fillId="0" borderId="15" xfId="54" applyFont="1" applyBorder="1" applyAlignment="1">
      <alignment horizontal="left"/>
      <protection/>
    </xf>
    <xf numFmtId="1" fontId="1" fillId="0" borderId="25" xfId="54" applyNumberFormat="1" applyFont="1" applyBorder="1" applyAlignment="1">
      <alignment horizontal="center"/>
      <protection/>
    </xf>
    <xf numFmtId="0" fontId="25" fillId="0" borderId="0" xfId="54" applyFont="1">
      <alignment/>
      <protection/>
    </xf>
    <xf numFmtId="0" fontId="25" fillId="0" borderId="13" xfId="54" applyFont="1" applyBorder="1">
      <alignment/>
      <protection/>
    </xf>
    <xf numFmtId="0" fontId="25" fillId="0" borderId="16" xfId="54" applyFont="1" applyFill="1" applyBorder="1" applyAlignment="1" applyProtection="1">
      <alignment horizontal="center" vertical="center"/>
      <protection/>
    </xf>
    <xf numFmtId="0" fontId="25" fillId="0" borderId="21" xfId="54" applyFont="1" applyFill="1" applyBorder="1" applyAlignment="1">
      <alignment horizontal="center" vertical="center" wrapText="1"/>
      <protection/>
    </xf>
    <xf numFmtId="0" fontId="45" fillId="3" borderId="20" xfId="54" applyFont="1" applyFill="1" applyBorder="1" applyAlignment="1" applyProtection="1">
      <alignment horizontal="center" vertical="center"/>
      <protection/>
    </xf>
    <xf numFmtId="0" fontId="52" fillId="23" borderId="20" xfId="54" applyFont="1" applyFill="1" applyBorder="1" applyAlignment="1">
      <alignment horizontal="center" vertical="center" wrapText="1"/>
      <protection/>
    </xf>
    <xf numFmtId="0" fontId="45" fillId="28" borderId="15" xfId="54" applyFont="1" applyFill="1" applyBorder="1" applyAlignment="1" applyProtection="1">
      <alignment horizontal="centerContinuous" vertical="center" wrapText="1"/>
      <protection/>
    </xf>
    <xf numFmtId="0" fontId="45" fillId="28" borderId="16" xfId="54" applyFont="1" applyFill="1" applyBorder="1" applyAlignment="1">
      <alignment horizontal="centerContinuous" vertical="center"/>
      <protection/>
    </xf>
    <xf numFmtId="0" fontId="28" fillId="8" borderId="20" xfId="54" applyFont="1" applyFill="1" applyBorder="1" applyAlignment="1">
      <alignment horizontal="center" vertical="center" wrapText="1"/>
      <protection/>
    </xf>
    <xf numFmtId="0" fontId="25" fillId="0" borderId="14" xfId="54" applyFont="1" applyFill="1" applyBorder="1">
      <alignment/>
      <protection/>
    </xf>
    <xf numFmtId="168" fontId="6" fillId="0" borderId="23" xfId="54" applyNumberFormat="1" applyFont="1" applyFill="1" applyBorder="1" applyAlignment="1" applyProtection="1">
      <alignment horizontal="center"/>
      <protection locked="0"/>
    </xf>
    <xf numFmtId="0" fontId="33" fillId="16" borderId="22" xfId="54" applyFont="1" applyFill="1" applyBorder="1" applyAlignment="1" applyProtection="1">
      <alignment horizontal="center"/>
      <protection locked="0"/>
    </xf>
    <xf numFmtId="0" fontId="6" fillId="0" borderId="34" xfId="54" applyFont="1" applyFill="1" applyBorder="1" applyAlignment="1" applyProtection="1">
      <alignment horizontal="center"/>
      <protection locked="0"/>
    </xf>
    <xf numFmtId="0" fontId="53" fillId="3" borderId="22" xfId="54" applyFont="1" applyFill="1" applyBorder="1" applyAlignment="1" applyProtection="1">
      <alignment horizontal="center"/>
      <protection locked="0"/>
    </xf>
    <xf numFmtId="0" fontId="54" fillId="23" borderId="22" xfId="54" applyFont="1" applyFill="1" applyBorder="1" applyAlignment="1" applyProtection="1">
      <alignment horizontal="center"/>
      <protection locked="0"/>
    </xf>
    <xf numFmtId="171" fontId="48" fillId="28" borderId="30" xfId="54" applyNumberFormat="1" applyFont="1" applyFill="1" applyBorder="1" applyAlignment="1" applyProtection="1" quotePrefix="1">
      <alignment horizontal="center"/>
      <protection locked="0"/>
    </xf>
    <xf numFmtId="171" fontId="48" fillId="28" borderId="40" xfId="54" applyNumberFormat="1" applyFont="1" applyFill="1" applyBorder="1" applyAlignment="1" applyProtection="1" quotePrefix="1">
      <alignment horizontal="center"/>
      <protection locked="0"/>
    </xf>
    <xf numFmtId="171" fontId="34" fillId="8" borderId="22" xfId="54" applyNumberFormat="1" applyFont="1" applyFill="1" applyBorder="1" applyAlignment="1" applyProtection="1" quotePrefix="1">
      <alignment horizontal="center"/>
      <protection locked="0"/>
    </xf>
    <xf numFmtId="0" fontId="6" fillId="0" borderId="32" xfId="54" applyFont="1" applyFill="1" applyBorder="1" applyAlignment="1" applyProtection="1">
      <alignment horizontal="left"/>
      <protection locked="0"/>
    </xf>
    <xf numFmtId="0" fontId="39" fillId="0" borderId="23" xfId="54" applyFont="1" applyFill="1" applyBorder="1" applyAlignment="1">
      <alignment horizontal="center"/>
      <protection/>
    </xf>
    <xf numFmtId="0" fontId="55" fillId="0" borderId="32" xfId="54" applyFont="1" applyFill="1" applyBorder="1" applyAlignment="1" applyProtection="1">
      <alignment horizontal="center"/>
      <protection locked="0"/>
    </xf>
    <xf numFmtId="173" fontId="5" fillId="0" borderId="23" xfId="54" applyNumberFormat="1" applyFont="1" applyFill="1" applyBorder="1" applyAlignment="1" applyProtection="1">
      <alignment horizontal="center"/>
      <protection locked="0"/>
    </xf>
    <xf numFmtId="172" fontId="33" fillId="16" borderId="23" xfId="54" applyNumberFormat="1" applyFont="1" applyFill="1" applyBorder="1" applyAlignment="1" applyProtection="1">
      <alignment horizontal="center"/>
      <protection locked="0"/>
    </xf>
    <xf numFmtId="22" fontId="6" fillId="0" borderId="24" xfId="54" applyNumberFormat="1" applyFont="1" applyFill="1" applyBorder="1" applyAlignment="1" applyProtection="1">
      <alignment horizontal="center"/>
      <protection locked="0"/>
    </xf>
    <xf numFmtId="22" fontId="6" fillId="0" borderId="35" xfId="54" applyNumberFormat="1" applyFont="1" applyFill="1" applyBorder="1" applyAlignment="1" applyProtection="1">
      <alignment horizontal="center"/>
      <protection locked="0"/>
    </xf>
    <xf numFmtId="168" fontId="6" fillId="0" borderId="23" xfId="54" applyNumberFormat="1" applyFont="1" applyFill="1" applyBorder="1" applyAlignment="1" applyProtection="1" quotePrefix="1">
      <alignment horizontal="center"/>
      <protection/>
    </xf>
    <xf numFmtId="168" fontId="53" fillId="3" borderId="23" xfId="54" applyNumberFormat="1" applyFont="1" applyFill="1" applyBorder="1" applyAlignment="1" applyProtection="1">
      <alignment horizontal="center"/>
      <protection locked="0"/>
    </xf>
    <xf numFmtId="2" fontId="54" fillId="23" borderId="23" xfId="54" applyNumberFormat="1" applyFont="1" applyFill="1" applyBorder="1" applyAlignment="1" applyProtection="1">
      <alignment horizontal="center"/>
      <protection locked="0"/>
    </xf>
    <xf numFmtId="171" fontId="48" fillId="28" borderId="33" xfId="54" applyNumberFormat="1" applyFont="1" applyFill="1" applyBorder="1" applyAlignment="1" applyProtection="1" quotePrefix="1">
      <alignment horizontal="center"/>
      <protection locked="0"/>
    </xf>
    <xf numFmtId="171" fontId="48" fillId="28" borderId="35" xfId="54" applyNumberFormat="1" applyFont="1" applyFill="1" applyBorder="1" applyAlignment="1" applyProtection="1" quotePrefix="1">
      <alignment horizontal="center"/>
      <protection locked="0"/>
    </xf>
    <xf numFmtId="171" fontId="34" fillId="8" borderId="23" xfId="54" applyNumberFormat="1" applyFont="1" applyFill="1" applyBorder="1" applyAlignment="1" applyProtection="1" quotePrefix="1">
      <alignment horizontal="center"/>
      <protection locked="0"/>
    </xf>
    <xf numFmtId="171" fontId="6" fillId="0" borderId="32" xfId="54" applyNumberFormat="1" applyFont="1" applyFill="1" applyBorder="1" applyAlignment="1" applyProtection="1">
      <alignment horizontal="center"/>
      <protection locked="0"/>
    </xf>
    <xf numFmtId="171" fontId="39" fillId="0" borderId="23" xfId="54" applyNumberFormat="1" applyFont="1" applyFill="1" applyBorder="1" applyAlignment="1">
      <alignment horizontal="center"/>
      <protection/>
    </xf>
    <xf numFmtId="173" fontId="5" fillId="0" borderId="23" xfId="54" applyNumberFormat="1" applyFont="1" applyFill="1" applyBorder="1" applyAlignment="1" applyProtection="1" quotePrefix="1">
      <alignment horizontal="center"/>
      <protection locked="0"/>
    </xf>
    <xf numFmtId="171" fontId="39" fillId="0" borderId="23" xfId="54" applyNumberFormat="1" applyFont="1" applyFill="1" applyBorder="1" applyAlignment="1">
      <alignment horizontal="right"/>
      <protection/>
    </xf>
    <xf numFmtId="0" fontId="33" fillId="16" borderId="25" xfId="54" applyFont="1" applyFill="1" applyBorder="1">
      <alignment/>
      <protection/>
    </xf>
    <xf numFmtId="0" fontId="53" fillId="3" borderId="25" xfId="54" applyFont="1" applyFill="1" applyBorder="1">
      <alignment/>
      <protection/>
    </xf>
    <xf numFmtId="0" fontId="54" fillId="23" borderId="25" xfId="54" applyFont="1" applyFill="1" applyBorder="1">
      <alignment/>
      <protection/>
    </xf>
    <xf numFmtId="0" fontId="48" fillId="28" borderId="36" xfId="54" applyFont="1" applyFill="1" applyBorder="1">
      <alignment/>
      <protection/>
    </xf>
    <xf numFmtId="0" fontId="48" fillId="28" borderId="37" xfId="54" applyFont="1" applyFill="1" applyBorder="1">
      <alignment/>
      <protection/>
    </xf>
    <xf numFmtId="0" fontId="34" fillId="8" borderId="25" xfId="54" applyFont="1" applyFill="1" applyBorder="1">
      <alignment/>
      <protection/>
    </xf>
    <xf numFmtId="0" fontId="39" fillId="0" borderId="27" xfId="54" applyFont="1" applyFill="1" applyBorder="1">
      <alignment/>
      <protection/>
    </xf>
    <xf numFmtId="2" fontId="54" fillId="23" borderId="20" xfId="54" applyNumberFormat="1" applyFont="1" applyFill="1" applyBorder="1" applyAlignment="1">
      <alignment horizontal="center"/>
      <protection/>
    </xf>
    <xf numFmtId="2" fontId="48" fillId="28" borderId="20" xfId="54" applyNumberFormat="1" applyFont="1" applyFill="1" applyBorder="1" applyAlignment="1">
      <alignment horizontal="center"/>
      <protection/>
    </xf>
    <xf numFmtId="2" fontId="34" fillId="8" borderId="20" xfId="54" applyNumberFormat="1" applyFont="1" applyFill="1" applyBorder="1" applyAlignment="1">
      <alignment horizontal="center"/>
      <protection/>
    </xf>
    <xf numFmtId="7" fontId="6" fillId="0" borderId="0" xfId="54" applyNumberFormat="1" applyFont="1" applyFill="1" applyBorder="1" applyAlignment="1">
      <alignment horizontal="center"/>
      <protection/>
    </xf>
    <xf numFmtId="7" fontId="2" fillId="0" borderId="20" xfId="54" applyNumberFormat="1" applyFont="1" applyFill="1" applyBorder="1" applyAlignment="1" applyProtection="1">
      <alignment horizontal="right"/>
      <protection locked="0"/>
    </xf>
    <xf numFmtId="7" fontId="44" fillId="0" borderId="0" xfId="54" applyNumberFormat="1" applyFont="1" applyFill="1" applyBorder="1" applyAlignment="1" applyProtection="1">
      <alignment horizontal="center"/>
      <protection locked="0"/>
    </xf>
    <xf numFmtId="0" fontId="1" fillId="0" borderId="0" xfId="54" applyFont="1">
      <alignment/>
      <protection/>
    </xf>
    <xf numFmtId="0" fontId="56" fillId="0" borderId="0" xfId="54" applyFont="1" applyAlignment="1">
      <alignment horizontal="right" vertical="top"/>
      <protection/>
    </xf>
    <xf numFmtId="0" fontId="56" fillId="0" borderId="0" xfId="54" applyFont="1" applyFill="1" applyAlignment="1">
      <alignment horizontal="right" vertical="top"/>
      <protection/>
    </xf>
    <xf numFmtId="0" fontId="21" fillId="0" borderId="0" xfId="54" applyFont="1" applyBorder="1" applyAlignment="1">
      <alignment horizontal="center"/>
      <protection/>
    </xf>
    <xf numFmtId="0" fontId="57" fillId="0" borderId="0" xfId="54" applyNumberFormat="1" applyFont="1" applyBorder="1" applyAlignment="1">
      <alignment horizontal="left"/>
      <protection/>
    </xf>
    <xf numFmtId="0" fontId="6" fillId="0" borderId="32" xfId="54" applyFont="1" applyFill="1" applyBorder="1" applyProtection="1">
      <alignment/>
      <protection locked="0"/>
    </xf>
    <xf numFmtId="0" fontId="25" fillId="0" borderId="20" xfId="0" applyFont="1" applyBorder="1" applyAlignment="1">
      <alignment horizontal="center" vertical="center"/>
    </xf>
    <xf numFmtId="172" fontId="1" fillId="0" borderId="38" xfId="54" applyNumberFormat="1" applyFont="1" applyBorder="1" applyAlignment="1">
      <alignment horizontal="center"/>
      <protection/>
    </xf>
    <xf numFmtId="0" fontId="53" fillId="0" borderId="0" xfId="54" applyFont="1" applyBorder="1">
      <alignment/>
      <protection/>
    </xf>
    <xf numFmtId="0" fontId="53" fillId="0" borderId="0" xfId="54" applyFont="1" applyFill="1" applyBorder="1">
      <alignment/>
      <protection/>
    </xf>
    <xf numFmtId="0" fontId="6" fillId="0" borderId="16" xfId="54" applyFont="1" applyFill="1" applyBorder="1" applyAlignment="1">
      <alignment horizontal="center"/>
      <protection/>
    </xf>
    <xf numFmtId="0" fontId="8" fillId="0" borderId="0" xfId="55" applyFont="1">
      <alignment/>
      <protection/>
    </xf>
    <xf numFmtId="0" fontId="56" fillId="0" borderId="0" xfId="55" applyFont="1" applyAlignment="1">
      <alignment horizontal="right" vertical="top"/>
      <protection/>
    </xf>
    <xf numFmtId="0" fontId="9" fillId="0" borderId="0" xfId="55" applyFont="1" applyAlignment="1" applyProtection="1">
      <alignment horizontal="centerContinuous"/>
      <protection/>
    </xf>
    <xf numFmtId="0" fontId="8" fillId="0" borderId="0" xfId="55" applyFont="1" applyAlignment="1">
      <alignment horizontal="centerContinuous"/>
      <protection/>
    </xf>
    <xf numFmtId="0" fontId="9" fillId="0" borderId="0" xfId="55" applyFont="1" applyAlignment="1">
      <alignment horizontal="centerContinuous"/>
      <protection/>
    </xf>
    <xf numFmtId="0" fontId="6" fillId="0" borderId="0" xfId="55" applyFont="1">
      <alignment/>
      <protection/>
    </xf>
    <xf numFmtId="0" fontId="4" fillId="0" borderId="0" xfId="55" applyFont="1" applyBorder="1" applyAlignment="1" applyProtection="1">
      <alignment horizontal="left"/>
      <protection/>
    </xf>
    <xf numFmtId="0" fontId="4" fillId="0" borderId="0" xfId="55" applyFont="1" applyBorder="1" applyAlignment="1" applyProtection="1">
      <alignment horizontal="centerContinuous"/>
      <protection/>
    </xf>
    <xf numFmtId="0" fontId="11" fillId="0" borderId="0" xfId="55" applyFont="1">
      <alignment/>
      <protection/>
    </xf>
    <xf numFmtId="0" fontId="6" fillId="0" borderId="0" xfId="55" applyFont="1" applyBorder="1">
      <alignment/>
      <protection/>
    </xf>
    <xf numFmtId="0" fontId="6" fillId="0" borderId="10" xfId="55" applyFont="1" applyBorder="1">
      <alignment/>
      <protection/>
    </xf>
    <xf numFmtId="0" fontId="6" fillId="0" borderId="11" xfId="55" applyFont="1" applyBorder="1">
      <alignment/>
      <protection/>
    </xf>
    <xf numFmtId="0" fontId="6" fillId="0" borderId="12" xfId="55" applyFont="1" applyBorder="1">
      <alignment/>
      <protection/>
    </xf>
    <xf numFmtId="0" fontId="23" fillId="0" borderId="0" xfId="55" applyFont="1" applyBorder="1">
      <alignment/>
      <protection/>
    </xf>
    <xf numFmtId="0" fontId="23" fillId="0" borderId="13" xfId="55" applyFont="1" applyBorder="1">
      <alignment/>
      <protection/>
    </xf>
    <xf numFmtId="0" fontId="23" fillId="0" borderId="0" xfId="55" applyFont="1">
      <alignment/>
      <protection/>
    </xf>
    <xf numFmtId="0" fontId="24" fillId="0" borderId="0" xfId="55" applyFont="1" applyBorder="1" applyProtection="1">
      <alignment/>
      <protection locked="0"/>
    </xf>
    <xf numFmtId="0" fontId="23" fillId="0" borderId="14" xfId="55" applyFont="1" applyBorder="1">
      <alignment/>
      <protection/>
    </xf>
    <xf numFmtId="0" fontId="6" fillId="0" borderId="13" xfId="55" applyFont="1" applyBorder="1">
      <alignment/>
      <protection/>
    </xf>
    <xf numFmtId="0" fontId="3" fillId="0" borderId="0" xfId="55" applyFont="1" applyBorder="1">
      <alignment/>
      <protection/>
    </xf>
    <xf numFmtId="0" fontId="6" fillId="0" borderId="14" xfId="55" applyFont="1" applyBorder="1">
      <alignment/>
      <protection/>
    </xf>
    <xf numFmtId="0" fontId="13" fillId="0" borderId="0" xfId="55" applyFont="1" applyBorder="1">
      <alignment/>
      <protection/>
    </xf>
    <xf numFmtId="0" fontId="20" fillId="0" borderId="13" xfId="55" applyFont="1" applyBorder="1" applyAlignment="1" applyProtection="1">
      <alignment horizontal="centerContinuous"/>
      <protection locked="0"/>
    </xf>
    <xf numFmtId="0" fontId="13" fillId="0" borderId="0" xfId="55" applyFont="1" applyBorder="1" applyAlignment="1">
      <alignment horizontal="centerContinuous"/>
      <protection/>
    </xf>
    <xf numFmtId="0" fontId="14" fillId="0" borderId="0" xfId="55" applyFont="1" applyBorder="1" applyAlignment="1">
      <alignment horizontal="centerContinuous"/>
      <protection/>
    </xf>
    <xf numFmtId="0" fontId="13" fillId="0" borderId="0" xfId="55" applyFont="1" applyAlignment="1">
      <alignment horizontal="centerContinuous"/>
      <protection/>
    </xf>
    <xf numFmtId="0" fontId="13" fillId="0" borderId="0" xfId="55" applyFont="1" applyBorder="1" applyAlignment="1" applyProtection="1">
      <alignment horizontal="centerContinuous"/>
      <protection/>
    </xf>
    <xf numFmtId="0" fontId="20" fillId="0" borderId="0" xfId="55" applyFont="1" applyFill="1" applyBorder="1" applyAlignment="1" applyProtection="1" quotePrefix="1">
      <alignment horizontal="centerContinuous"/>
      <protection locked="0"/>
    </xf>
    <xf numFmtId="0" fontId="13" fillId="0" borderId="14" xfId="55" applyFont="1" applyBorder="1" applyAlignment="1">
      <alignment horizontal="centerContinuous"/>
      <protection/>
    </xf>
    <xf numFmtId="0" fontId="13" fillId="0" borderId="0" xfId="55" applyFont="1">
      <alignment/>
      <protection/>
    </xf>
    <xf numFmtId="0" fontId="16" fillId="0" borderId="0" xfId="55" applyFont="1" applyBorder="1">
      <alignment/>
      <protection/>
    </xf>
    <xf numFmtId="0" fontId="3" fillId="0" borderId="0" xfId="55" applyFont="1" applyBorder="1" applyProtection="1">
      <alignment/>
      <protection/>
    </xf>
    <xf numFmtId="0" fontId="6" fillId="0" borderId="0" xfId="55" applyFont="1" applyBorder="1" applyProtection="1">
      <alignment/>
      <protection/>
    </xf>
    <xf numFmtId="0" fontId="1" fillId="0" borderId="15" xfId="55" applyFont="1" applyBorder="1" applyAlignment="1" applyProtection="1">
      <alignment horizontal="center"/>
      <protection/>
    </xf>
    <xf numFmtId="170" fontId="6" fillId="0" borderId="16" xfId="55" applyNumberFormat="1" applyFont="1" applyBorder="1" applyAlignment="1">
      <alignment horizontal="centerContinuous"/>
      <protection/>
    </xf>
    <xf numFmtId="0" fontId="1" fillId="0" borderId="0" xfId="55" applyFont="1">
      <alignment/>
      <protection/>
    </xf>
    <xf numFmtId="0" fontId="1" fillId="0" borderId="0" xfId="55" applyFont="1" applyBorder="1" applyAlignment="1">
      <alignment horizontal="right"/>
      <protection/>
    </xf>
    <xf numFmtId="0" fontId="1" fillId="0" borderId="0" xfId="55" applyFont="1" applyBorder="1" applyAlignment="1">
      <alignment horizontal="left"/>
      <protection/>
    </xf>
    <xf numFmtId="0" fontId="1" fillId="0" borderId="0" xfId="55" applyFont="1" applyAlignment="1" applyProtection="1">
      <alignment/>
      <protection/>
    </xf>
    <xf numFmtId="0" fontId="6" fillId="0" borderId="0" xfId="55" applyFont="1" applyBorder="1" applyAlignment="1">
      <alignment horizontal="right"/>
      <protection/>
    </xf>
    <xf numFmtId="0" fontId="6" fillId="0" borderId="0" xfId="55" applyFont="1" applyBorder="1" applyAlignment="1">
      <alignment horizontal="left"/>
      <protection/>
    </xf>
    <xf numFmtId="0" fontId="1" fillId="0" borderId="0" xfId="55" applyFont="1" applyBorder="1" applyAlignment="1" applyProtection="1">
      <alignment horizontal="center"/>
      <protection/>
    </xf>
    <xf numFmtId="174" fontId="1" fillId="0" borderId="0" xfId="55" applyNumberFormat="1" applyFont="1" applyBorder="1" applyAlignment="1" applyProtection="1">
      <alignment horizontal="centerContinuous"/>
      <protection locked="0"/>
    </xf>
    <xf numFmtId="170" fontId="6" fillId="0" borderId="0" xfId="55" applyNumberFormat="1" applyFont="1" applyBorder="1" applyAlignment="1">
      <alignment horizontal="centerContinuous"/>
      <protection/>
    </xf>
    <xf numFmtId="0" fontId="53" fillId="0" borderId="0" xfId="55" applyFont="1" applyBorder="1">
      <alignment/>
      <protection/>
    </xf>
    <xf numFmtId="0" fontId="25" fillId="0" borderId="20" xfId="55" applyFont="1" applyBorder="1" applyAlignment="1">
      <alignment horizontal="center" vertical="center"/>
      <protection/>
    </xf>
    <xf numFmtId="0" fontId="25" fillId="0" borderId="20" xfId="55" applyFont="1" applyBorder="1" applyAlignment="1" applyProtection="1">
      <alignment horizontal="center" vertical="center"/>
      <protection/>
    </xf>
    <xf numFmtId="0" fontId="25" fillId="0" borderId="20" xfId="55" applyFont="1" applyBorder="1" applyAlignment="1" applyProtection="1">
      <alignment horizontal="center" vertical="center" wrapText="1"/>
      <protection/>
    </xf>
    <xf numFmtId="0" fontId="26" fillId="16" borderId="20" xfId="55" applyFont="1" applyFill="1" applyBorder="1" applyAlignment="1" applyProtection="1">
      <alignment horizontal="center" vertical="center"/>
      <protection/>
    </xf>
    <xf numFmtId="0" fontId="32" fillId="20" borderId="20" xfId="55" applyFont="1" applyFill="1" applyBorder="1" applyAlignment="1">
      <alignment horizontal="center" vertical="center" wrapText="1"/>
      <protection/>
    </xf>
    <xf numFmtId="0" fontId="60" fillId="23" borderId="20" xfId="55" applyFont="1" applyFill="1" applyBorder="1" applyAlignment="1">
      <alignment horizontal="center" vertical="center" wrapText="1"/>
      <protection/>
    </xf>
    <xf numFmtId="0" fontId="30" fillId="16" borderId="15" xfId="55" applyFont="1" applyFill="1" applyBorder="1" applyAlignment="1" applyProtection="1">
      <alignment horizontal="centerContinuous" vertical="center" wrapText="1"/>
      <protection/>
    </xf>
    <xf numFmtId="0" fontId="7" fillId="16" borderId="21" xfId="55" applyFont="1" applyFill="1" applyBorder="1" applyAlignment="1">
      <alignment horizontal="centerContinuous"/>
      <protection/>
    </xf>
    <xf numFmtId="0" fontId="30" fillId="16" borderId="16" xfId="55" applyFont="1" applyFill="1" applyBorder="1" applyAlignment="1">
      <alignment horizontal="centerContinuous" vertical="center"/>
      <protection/>
    </xf>
    <xf numFmtId="0" fontId="45" fillId="14" borderId="15" xfId="55" applyFont="1" applyFill="1" applyBorder="1" applyAlignment="1" applyProtection="1">
      <alignment horizontal="centerContinuous" vertical="center" wrapText="1"/>
      <protection/>
    </xf>
    <xf numFmtId="0" fontId="45" fillId="14" borderId="21" xfId="55" applyFont="1" applyFill="1" applyBorder="1" applyAlignment="1">
      <alignment horizontal="centerContinuous" vertical="center"/>
      <protection/>
    </xf>
    <xf numFmtId="0" fontId="45" fillId="14" borderId="16" xfId="55" applyFont="1" applyFill="1" applyBorder="1" applyAlignment="1">
      <alignment horizontal="centerContinuous" vertical="center"/>
      <protection/>
    </xf>
    <xf numFmtId="0" fontId="61" fillId="29" borderId="20" xfId="55" applyFont="1" applyFill="1" applyBorder="1" applyAlignment="1">
      <alignment horizontal="center" vertical="center" wrapText="1"/>
      <protection/>
    </xf>
    <xf numFmtId="0" fontId="45" fillId="19" borderId="20" xfId="55" applyFont="1" applyFill="1" applyBorder="1" applyAlignment="1">
      <alignment horizontal="center" vertical="center" wrapText="1"/>
      <protection/>
    </xf>
    <xf numFmtId="0" fontId="25" fillId="0" borderId="20" xfId="55" applyFont="1" applyBorder="1" applyAlignment="1">
      <alignment horizontal="center" vertical="center" wrapText="1"/>
      <protection/>
    </xf>
    <xf numFmtId="16" fontId="25" fillId="0" borderId="20" xfId="55" applyNumberFormat="1" applyFont="1" applyBorder="1" applyAlignment="1" quotePrefix="1">
      <alignment horizontal="center" vertical="center" wrapText="1"/>
      <protection/>
    </xf>
    <xf numFmtId="0" fontId="6" fillId="0" borderId="23" xfId="55" applyFont="1" applyBorder="1">
      <alignment/>
      <protection/>
    </xf>
    <xf numFmtId="0" fontId="6" fillId="0" borderId="22" xfId="55" applyFont="1" applyBorder="1" applyAlignment="1">
      <alignment horizontal="center"/>
      <protection/>
    </xf>
    <xf numFmtId="0" fontId="6" fillId="0" borderId="22" xfId="55" applyFont="1" applyBorder="1">
      <alignment/>
      <protection/>
    </xf>
    <xf numFmtId="0" fontId="47" fillId="16" borderId="22" xfId="55" applyFont="1" applyFill="1" applyBorder="1">
      <alignment/>
      <protection/>
    </xf>
    <xf numFmtId="0" fontId="38" fillId="20" borderId="20" xfId="55" applyFont="1" applyFill="1" applyBorder="1">
      <alignment/>
      <protection/>
    </xf>
    <xf numFmtId="0" fontId="62" fillId="23" borderId="22" xfId="55" applyFont="1" applyFill="1" applyBorder="1">
      <alignment/>
      <protection/>
    </xf>
    <xf numFmtId="0" fontId="36" fillId="16" borderId="30" xfId="55" applyFont="1" applyFill="1" applyBorder="1" applyAlignment="1">
      <alignment horizontal="center"/>
      <protection/>
    </xf>
    <xf numFmtId="0" fontId="36" fillId="16" borderId="41" xfId="55" applyFont="1" applyFill="1" applyBorder="1">
      <alignment/>
      <protection/>
    </xf>
    <xf numFmtId="0" fontId="36" fillId="16" borderId="31" xfId="55" applyFont="1" applyFill="1" applyBorder="1">
      <alignment/>
      <protection/>
    </xf>
    <xf numFmtId="0" fontId="48" fillId="14" borderId="30" xfId="55" applyFont="1" applyFill="1" applyBorder="1">
      <alignment/>
      <protection/>
    </xf>
    <xf numFmtId="0" fontId="48" fillId="14" borderId="42" xfId="55" applyFont="1" applyFill="1" applyBorder="1">
      <alignment/>
      <protection/>
    </xf>
    <xf numFmtId="0" fontId="48" fillId="14" borderId="40" xfId="55" applyFont="1" applyFill="1" applyBorder="1">
      <alignment/>
      <protection/>
    </xf>
    <xf numFmtId="0" fontId="63" fillId="29" borderId="22" xfId="55" applyFont="1" applyFill="1" applyBorder="1">
      <alignment/>
      <protection/>
    </xf>
    <xf numFmtId="0" fontId="48" fillId="19" borderId="22" xfId="55" applyFont="1" applyFill="1" applyBorder="1">
      <alignment/>
      <protection/>
    </xf>
    <xf numFmtId="0" fontId="6" fillId="0" borderId="31" xfId="55" applyFont="1" applyBorder="1">
      <alignment/>
      <protection/>
    </xf>
    <xf numFmtId="7" fontId="39" fillId="0" borderId="22" xfId="55" applyNumberFormat="1" applyFont="1" applyBorder="1" applyAlignment="1">
      <alignment/>
      <protection/>
    </xf>
    <xf numFmtId="0" fontId="47" fillId="16" borderId="23" xfId="55" applyFont="1" applyFill="1" applyBorder="1">
      <alignment/>
      <protection/>
    </xf>
    <xf numFmtId="0" fontId="6" fillId="0" borderId="23" xfId="55" applyFont="1" applyBorder="1" applyAlignment="1">
      <alignment horizontal="center"/>
      <protection/>
    </xf>
    <xf numFmtId="0" fontId="62" fillId="23" borderId="24" xfId="55" applyFont="1" applyFill="1" applyBorder="1">
      <alignment/>
      <protection/>
    </xf>
    <xf numFmtId="0" fontId="36" fillId="16" borderId="33" xfId="55" applyFont="1" applyFill="1" applyBorder="1" applyAlignment="1">
      <alignment horizontal="center"/>
      <protection/>
    </xf>
    <xf numFmtId="0" fontId="36" fillId="16" borderId="43" xfId="55" applyFont="1" applyFill="1" applyBorder="1">
      <alignment/>
      <protection/>
    </xf>
    <xf numFmtId="0" fontId="36" fillId="16" borderId="34" xfId="55" applyFont="1" applyFill="1" applyBorder="1">
      <alignment/>
      <protection/>
    </xf>
    <xf numFmtId="0" fontId="48" fillId="14" borderId="33" xfId="55" applyFont="1" applyFill="1" applyBorder="1">
      <alignment/>
      <protection/>
    </xf>
    <xf numFmtId="0" fontId="48" fillId="14" borderId="44" xfId="55" applyFont="1" applyFill="1" applyBorder="1">
      <alignment/>
      <protection/>
    </xf>
    <xf numFmtId="0" fontId="48" fillId="14" borderId="35" xfId="55" applyFont="1" applyFill="1" applyBorder="1">
      <alignment/>
      <protection/>
    </xf>
    <xf numFmtId="0" fontId="63" fillId="29" borderId="23" xfId="55" applyFont="1" applyFill="1" applyBorder="1">
      <alignment/>
      <protection/>
    </xf>
    <xf numFmtId="0" fontId="48" fillId="19" borderId="23" xfId="55" applyFont="1" applyFill="1" applyBorder="1">
      <alignment/>
      <protection/>
    </xf>
    <xf numFmtId="0" fontId="6" fillId="0" borderId="34" xfId="55" applyFont="1" applyBorder="1">
      <alignment/>
      <protection/>
    </xf>
    <xf numFmtId="0" fontId="39" fillId="0" borderId="23" xfId="55" applyFont="1" applyBorder="1" applyAlignment="1">
      <alignment horizontal="right"/>
      <protection/>
    </xf>
    <xf numFmtId="0" fontId="6" fillId="0" borderId="23" xfId="55" applyFont="1" applyBorder="1" applyAlignment="1" applyProtection="1">
      <alignment horizontal="center"/>
      <protection locked="0"/>
    </xf>
    <xf numFmtId="0" fontId="6" fillId="0" borderId="24" xfId="55" applyFont="1" applyBorder="1" applyAlignment="1" applyProtection="1">
      <alignment horizontal="center"/>
      <protection locked="0"/>
    </xf>
    <xf numFmtId="2" fontId="6" fillId="0" borderId="24" xfId="55" applyNumberFormat="1" applyFont="1" applyBorder="1" applyAlignment="1" applyProtection="1">
      <alignment horizontal="center"/>
      <protection locked="0"/>
    </xf>
    <xf numFmtId="171" fontId="47" fillId="16" borderId="23" xfId="55" applyNumberFormat="1" applyFont="1" applyFill="1" applyBorder="1" applyAlignment="1" applyProtection="1">
      <alignment horizontal="center"/>
      <protection/>
    </xf>
    <xf numFmtId="22" fontId="6" fillId="0" borderId="23" xfId="55" applyNumberFormat="1" applyFont="1" applyBorder="1" applyAlignment="1" applyProtection="1">
      <alignment horizontal="center"/>
      <protection locked="0"/>
    </xf>
    <xf numFmtId="2" fontId="6" fillId="0" borderId="23" xfId="55" applyNumberFormat="1" applyFont="1" applyBorder="1" applyAlignment="1" applyProtection="1">
      <alignment horizontal="center"/>
      <protection/>
    </xf>
    <xf numFmtId="1" fontId="6" fillId="0" borderId="23" xfId="55" applyNumberFormat="1" applyFont="1" applyBorder="1" applyAlignment="1" applyProtection="1">
      <alignment horizontal="center"/>
      <protection/>
    </xf>
    <xf numFmtId="171" fontId="6" fillId="0" borderId="23" xfId="55" applyNumberFormat="1" applyFont="1" applyBorder="1" applyAlignment="1" applyProtection="1">
      <alignment horizontal="center"/>
      <protection locked="0"/>
    </xf>
    <xf numFmtId="171" fontId="6" fillId="0" borderId="23" xfId="55" applyNumberFormat="1" applyFont="1" applyBorder="1" applyAlignment="1" applyProtection="1" quotePrefix="1">
      <alignment horizontal="center"/>
      <protection locked="0"/>
    </xf>
    <xf numFmtId="2" fontId="38" fillId="20" borderId="20" xfId="55" applyNumberFormat="1" applyFont="1" applyFill="1" applyBorder="1" applyAlignment="1">
      <alignment horizontal="center"/>
      <protection/>
    </xf>
    <xf numFmtId="2" fontId="62" fillId="23" borderId="24" xfId="55" applyNumberFormat="1" applyFont="1" applyFill="1" applyBorder="1" applyAlignment="1">
      <alignment horizontal="center"/>
      <protection/>
    </xf>
    <xf numFmtId="171" fontId="36" fillId="16" borderId="33" xfId="55" applyNumberFormat="1" applyFont="1" applyFill="1" applyBorder="1" applyAlignment="1" applyProtection="1" quotePrefix="1">
      <alignment horizontal="center"/>
      <protection/>
    </xf>
    <xf numFmtId="171" fontId="36" fillId="16" borderId="43" xfId="55" applyNumberFormat="1" applyFont="1" applyFill="1" applyBorder="1" applyAlignment="1" applyProtection="1" quotePrefix="1">
      <alignment horizontal="center"/>
      <protection/>
    </xf>
    <xf numFmtId="4" fontId="36" fillId="16" borderId="34" xfId="55" applyNumberFormat="1" applyFont="1" applyFill="1" applyBorder="1" applyAlignment="1">
      <alignment horizontal="center"/>
      <protection/>
    </xf>
    <xf numFmtId="171" fontId="48" fillId="14" borderId="33" xfId="55" applyNumberFormat="1" applyFont="1" applyFill="1" applyBorder="1" applyAlignment="1" applyProtection="1" quotePrefix="1">
      <alignment horizontal="center"/>
      <protection/>
    </xf>
    <xf numFmtId="171" fontId="48" fillId="14" borderId="43" xfId="55" applyNumberFormat="1" applyFont="1" applyFill="1" applyBorder="1" applyAlignment="1" applyProtection="1" quotePrefix="1">
      <alignment horizontal="center"/>
      <protection/>
    </xf>
    <xf numFmtId="4" fontId="48" fillId="14" borderId="34" xfId="55" applyNumberFormat="1" applyFont="1" applyFill="1" applyBorder="1" applyAlignment="1">
      <alignment horizontal="center"/>
      <protection/>
    </xf>
    <xf numFmtId="4" fontId="63" fillId="29" borderId="23" xfId="55" applyNumberFormat="1" applyFont="1" applyFill="1" applyBorder="1" applyAlignment="1">
      <alignment horizontal="center"/>
      <protection/>
    </xf>
    <xf numFmtId="4" fontId="48" fillId="19" borderId="23" xfId="55" applyNumberFormat="1" applyFont="1" applyFill="1" applyBorder="1" applyAlignment="1">
      <alignment horizontal="center"/>
      <protection/>
    </xf>
    <xf numFmtId="4" fontId="6" fillId="0" borderId="34" xfId="55" applyNumberFormat="1" applyFont="1" applyBorder="1" applyAlignment="1" applyProtection="1">
      <alignment horizontal="center"/>
      <protection locked="0"/>
    </xf>
    <xf numFmtId="4" fontId="39" fillId="0" borderId="23" xfId="55" applyNumberFormat="1" applyFont="1" applyBorder="1" applyAlignment="1">
      <alignment horizontal="right"/>
      <protection/>
    </xf>
    <xf numFmtId="0" fontId="6" fillId="0" borderId="13" xfId="55" applyFont="1" applyBorder="1" applyAlignment="1">
      <alignment horizontal="right"/>
      <protection/>
    </xf>
    <xf numFmtId="0" fontId="6" fillId="0" borderId="13" xfId="55" applyFont="1" applyBorder="1" applyAlignment="1">
      <alignment horizontal="center"/>
      <protection/>
    </xf>
    <xf numFmtId="0" fontId="6" fillId="0" borderId="25" xfId="55" applyFont="1" applyBorder="1" applyProtection="1">
      <alignment/>
      <protection locked="0"/>
    </xf>
    <xf numFmtId="0" fontId="6" fillId="0" borderId="26" xfId="55" applyFont="1" applyBorder="1" applyAlignment="1" applyProtection="1">
      <alignment horizontal="center"/>
      <protection locked="0"/>
    </xf>
    <xf numFmtId="2" fontId="6" fillId="0" borderId="26" xfId="55" applyNumberFormat="1" applyFont="1" applyBorder="1" applyAlignment="1" applyProtection="1">
      <alignment horizontal="center"/>
      <protection locked="0"/>
    </xf>
    <xf numFmtId="171" fontId="6" fillId="0" borderId="25" xfId="55" applyNumberFormat="1" applyFont="1" applyBorder="1" applyAlignment="1" applyProtection="1">
      <alignment horizontal="center"/>
      <protection locked="0"/>
    </xf>
    <xf numFmtId="171" fontId="47" fillId="16" borderId="25" xfId="55" applyNumberFormat="1" applyFont="1" applyFill="1" applyBorder="1" applyAlignment="1" applyProtection="1">
      <alignment horizontal="center"/>
      <protection/>
    </xf>
    <xf numFmtId="171" fontId="6" fillId="0" borderId="25" xfId="55" applyNumberFormat="1" applyFont="1" applyBorder="1" applyAlignment="1" applyProtection="1">
      <alignment horizontal="center"/>
      <protection/>
    </xf>
    <xf numFmtId="22" fontId="6" fillId="0" borderId="25" xfId="55" applyNumberFormat="1" applyFont="1" applyBorder="1" applyAlignment="1" applyProtection="1">
      <alignment horizontal="center"/>
      <protection locked="0"/>
    </xf>
    <xf numFmtId="171" fontId="38" fillId="20" borderId="20" xfId="55" applyNumberFormat="1" applyFont="1" applyFill="1" applyBorder="1" applyAlignment="1" applyProtection="1" quotePrefix="1">
      <alignment horizontal="center"/>
      <protection/>
    </xf>
    <xf numFmtId="171" fontId="62" fillId="23" borderId="26" xfId="55" applyNumberFormat="1" applyFont="1" applyFill="1" applyBorder="1" applyAlignment="1" applyProtection="1" quotePrefix="1">
      <alignment horizontal="center"/>
      <protection/>
    </xf>
    <xf numFmtId="171" fontId="36" fillId="16" borderId="36" xfId="55" applyNumberFormat="1" applyFont="1" applyFill="1" applyBorder="1" applyAlignment="1" applyProtection="1" quotePrefix="1">
      <alignment horizontal="center"/>
      <protection/>
    </xf>
    <xf numFmtId="4" fontId="36" fillId="16" borderId="45" xfId="55" applyNumberFormat="1" applyFont="1" applyFill="1" applyBorder="1" applyAlignment="1">
      <alignment horizontal="center"/>
      <protection/>
    </xf>
    <xf numFmtId="4" fontId="36" fillId="16" borderId="46" xfId="55" applyNumberFormat="1" applyFont="1" applyFill="1" applyBorder="1" applyAlignment="1">
      <alignment horizontal="center"/>
      <protection/>
    </xf>
    <xf numFmtId="4" fontId="48" fillId="14" borderId="36" xfId="55" applyNumberFormat="1" applyFont="1" applyFill="1" applyBorder="1" applyAlignment="1">
      <alignment horizontal="center"/>
      <protection/>
    </xf>
    <xf numFmtId="4" fontId="48" fillId="14" borderId="47" xfId="55" applyNumberFormat="1" applyFont="1" applyFill="1" applyBorder="1" applyAlignment="1">
      <alignment horizontal="center"/>
      <protection/>
    </xf>
    <xf numFmtId="4" fontId="48" fillId="14" borderId="37" xfId="55" applyNumberFormat="1" applyFont="1" applyFill="1" applyBorder="1" applyAlignment="1">
      <alignment horizontal="center"/>
      <protection/>
    </xf>
    <xf numFmtId="4" fontId="63" fillId="29" borderId="25" xfId="55" applyNumberFormat="1" applyFont="1" applyFill="1" applyBorder="1" applyAlignment="1">
      <alignment horizontal="center"/>
      <protection/>
    </xf>
    <xf numFmtId="4" fontId="48" fillId="19" borderId="25" xfId="55" applyNumberFormat="1" applyFont="1" applyFill="1" applyBorder="1" applyAlignment="1">
      <alignment horizontal="center"/>
      <protection/>
    </xf>
    <xf numFmtId="4" fontId="6" fillId="0" borderId="25" xfId="55" applyNumberFormat="1" applyFont="1" applyBorder="1" applyAlignment="1" applyProtection="1">
      <alignment horizontal="center"/>
      <protection locked="0"/>
    </xf>
    <xf numFmtId="7" fontId="39" fillId="0" borderId="48" xfId="55" applyNumberFormat="1" applyFont="1" applyBorder="1" applyAlignment="1">
      <alignment horizontal="right"/>
      <protection/>
    </xf>
    <xf numFmtId="0" fontId="40" fillId="0" borderId="0" xfId="55" applyFont="1" applyBorder="1" applyAlignment="1">
      <alignment horizontal="center"/>
      <protection/>
    </xf>
    <xf numFmtId="0" fontId="41" fillId="0" borderId="0" xfId="55" applyFont="1" applyBorder="1" applyAlignment="1" applyProtection="1">
      <alignment horizontal="left"/>
      <protection/>
    </xf>
    <xf numFmtId="0" fontId="6" fillId="0" borderId="0" xfId="55" applyFont="1" applyBorder="1" applyAlignment="1" applyProtection="1">
      <alignment horizontal="center"/>
      <protection/>
    </xf>
    <xf numFmtId="2" fontId="6" fillId="0" borderId="0" xfId="55" applyNumberFormat="1" applyFont="1" applyBorder="1" applyAlignment="1" applyProtection="1">
      <alignment horizontal="center"/>
      <protection/>
    </xf>
    <xf numFmtId="171" fontId="6" fillId="0" borderId="0" xfId="55" applyNumberFormat="1" applyFont="1" applyBorder="1" applyAlignment="1" applyProtection="1">
      <alignment horizontal="center"/>
      <protection/>
    </xf>
    <xf numFmtId="171" fontId="6" fillId="0" borderId="0" xfId="55" applyNumberFormat="1" applyFont="1" applyBorder="1" applyAlignment="1" applyProtection="1" quotePrefix="1">
      <alignment horizontal="center"/>
      <protection/>
    </xf>
    <xf numFmtId="171" fontId="62" fillId="23" borderId="20" xfId="55" applyNumberFormat="1" applyFont="1" applyFill="1" applyBorder="1" applyAlignment="1" applyProtection="1" quotePrefix="1">
      <alignment horizontal="center"/>
      <protection/>
    </xf>
    <xf numFmtId="171" fontId="36" fillId="16" borderId="20" xfId="55" applyNumberFormat="1" applyFont="1" applyFill="1" applyBorder="1" applyAlignment="1" applyProtection="1" quotePrefix="1">
      <alignment horizontal="center"/>
      <protection/>
    </xf>
    <xf numFmtId="171" fontId="48" fillId="14" borderId="20" xfId="55" applyNumberFormat="1" applyFont="1" applyFill="1" applyBorder="1" applyAlignment="1" applyProtection="1" quotePrefix="1">
      <alignment horizontal="center"/>
      <protection/>
    </xf>
    <xf numFmtId="171" fontId="63" fillId="29" borderId="20" xfId="55" applyNumberFormat="1" applyFont="1" applyFill="1" applyBorder="1" applyAlignment="1" applyProtection="1" quotePrefix="1">
      <alignment horizontal="center"/>
      <protection/>
    </xf>
    <xf numFmtId="171" fontId="48" fillId="19" borderId="20" xfId="55" applyNumberFormat="1" applyFont="1" applyFill="1" applyBorder="1" applyAlignment="1" applyProtection="1" quotePrefix="1">
      <alignment horizontal="center"/>
      <protection/>
    </xf>
    <xf numFmtId="4" fontId="5" fillId="0" borderId="0" xfId="55" applyNumberFormat="1" applyFont="1" applyBorder="1" applyAlignment="1">
      <alignment horizontal="center"/>
      <protection/>
    </xf>
    <xf numFmtId="7" fontId="2" fillId="0" borderId="20" xfId="55" applyNumberFormat="1" applyFont="1" applyBorder="1" applyAlignment="1">
      <alignment horizontal="right"/>
      <protection/>
    </xf>
    <xf numFmtId="2" fontId="6" fillId="0" borderId="14" xfId="55" applyNumberFormat="1" applyFont="1" applyBorder="1" applyAlignment="1">
      <alignment horizontal="center"/>
      <protection/>
    </xf>
    <xf numFmtId="0" fontId="40" fillId="0" borderId="0" xfId="55" applyFont="1" applyBorder="1">
      <alignment/>
      <protection/>
    </xf>
    <xf numFmtId="0" fontId="40" fillId="0" borderId="13" xfId="55" applyFont="1" applyBorder="1">
      <alignment/>
      <protection/>
    </xf>
    <xf numFmtId="0" fontId="41" fillId="0" borderId="0" xfId="55" applyFont="1" applyBorder="1" applyAlignment="1" applyProtection="1">
      <alignment horizontal="left" vertical="top"/>
      <protection/>
    </xf>
    <xf numFmtId="0" fontId="40" fillId="0" borderId="0" xfId="55" applyFont="1" applyBorder="1" applyAlignment="1" applyProtection="1">
      <alignment horizontal="center"/>
      <protection/>
    </xf>
    <xf numFmtId="2" fontId="40" fillId="0" borderId="0" xfId="55" applyNumberFormat="1" applyFont="1" applyBorder="1" applyAlignment="1" applyProtection="1">
      <alignment horizontal="center"/>
      <protection/>
    </xf>
    <xf numFmtId="171" fontId="40" fillId="0" borderId="0" xfId="55" applyNumberFormat="1" applyFont="1" applyBorder="1" applyAlignment="1" applyProtection="1">
      <alignment horizontal="center"/>
      <protection/>
    </xf>
    <xf numFmtId="171" fontId="40" fillId="0" borderId="0" xfId="55" applyNumberFormat="1" applyFont="1" applyBorder="1" applyAlignment="1" applyProtection="1" quotePrefix="1">
      <alignment horizontal="center"/>
      <protection/>
    </xf>
    <xf numFmtId="2" fontId="42" fillId="0" borderId="0" xfId="55" applyNumberFormat="1" applyFont="1" applyBorder="1" applyAlignment="1">
      <alignment horizontal="center"/>
      <protection/>
    </xf>
    <xf numFmtId="171" fontId="43" fillId="0" borderId="0" xfId="55" applyNumberFormat="1" applyFont="1" applyBorder="1" applyAlignment="1" applyProtection="1" quotePrefix="1">
      <alignment horizontal="center"/>
      <protection/>
    </xf>
    <xf numFmtId="4" fontId="43" fillId="0" borderId="0" xfId="55" applyNumberFormat="1" applyFont="1" applyBorder="1" applyAlignment="1">
      <alignment horizontal="center"/>
      <protection/>
    </xf>
    <xf numFmtId="7" fontId="44" fillId="0" borderId="0" xfId="55" applyNumberFormat="1" applyFont="1" applyBorder="1" applyAlignment="1">
      <alignment horizontal="right"/>
      <protection/>
    </xf>
    <xf numFmtId="2" fontId="40" fillId="0" borderId="14" xfId="55" applyNumberFormat="1" applyFont="1" applyBorder="1" applyAlignment="1">
      <alignment horizontal="center"/>
      <protection/>
    </xf>
    <xf numFmtId="0" fontId="40" fillId="0" borderId="0" xfId="55" applyFont="1">
      <alignment/>
      <protection/>
    </xf>
    <xf numFmtId="0" fontId="6" fillId="0" borderId="17" xfId="55" applyFont="1" applyBorder="1">
      <alignment/>
      <protection/>
    </xf>
    <xf numFmtId="0" fontId="6" fillId="0" borderId="18" xfId="55" applyFont="1" applyBorder="1">
      <alignment/>
      <protection/>
    </xf>
    <xf numFmtId="0" fontId="6" fillId="0" borderId="19" xfId="55" applyFont="1" applyBorder="1">
      <alignment/>
      <protection/>
    </xf>
    <xf numFmtId="0" fontId="1" fillId="0" borderId="0" xfId="55" applyBorder="1">
      <alignment/>
      <protection/>
    </xf>
    <xf numFmtId="0" fontId="1" fillId="0" borderId="0" xfId="55">
      <alignment/>
      <protection/>
    </xf>
    <xf numFmtId="0" fontId="8" fillId="0" borderId="0" xfId="53" applyFont="1">
      <alignment/>
      <protection/>
    </xf>
    <xf numFmtId="0" fontId="9" fillId="0" borderId="0" xfId="53" applyFont="1" applyAlignment="1" applyProtection="1">
      <alignment horizontal="centerContinuous"/>
      <protection locked="0"/>
    </xf>
    <xf numFmtId="0" fontId="9" fillId="0" borderId="0" xfId="53" applyFont="1" applyAlignment="1">
      <alignment horizontal="centerContinuous"/>
      <protection/>
    </xf>
    <xf numFmtId="0" fontId="6" fillId="0" borderId="0" xfId="53" applyFont="1">
      <alignment/>
      <protection/>
    </xf>
    <xf numFmtId="0" fontId="4" fillId="0" borderId="0" xfId="53" applyFont="1" applyBorder="1" applyAlignment="1" applyProtection="1">
      <alignment horizontal="centerContinuous"/>
      <protection/>
    </xf>
    <xf numFmtId="0" fontId="11" fillId="0" borderId="0" xfId="53" applyFont="1">
      <alignment/>
      <protection/>
    </xf>
    <xf numFmtId="0" fontId="6" fillId="0" borderId="0" xfId="53" applyFont="1" applyBorder="1">
      <alignment/>
      <protection/>
    </xf>
    <xf numFmtId="0" fontId="6" fillId="0" borderId="10" xfId="53" applyFont="1" applyBorder="1">
      <alignment/>
      <protection/>
    </xf>
    <xf numFmtId="0" fontId="6" fillId="0" borderId="11" xfId="53" applyFont="1" applyBorder="1">
      <alignment/>
      <protection/>
    </xf>
    <xf numFmtId="0" fontId="6" fillId="0" borderId="12" xfId="53" applyFont="1" applyBorder="1">
      <alignment/>
      <protection/>
    </xf>
    <xf numFmtId="0" fontId="23" fillId="0" borderId="0" xfId="53" applyFont="1" applyBorder="1">
      <alignment/>
      <protection/>
    </xf>
    <xf numFmtId="0" fontId="23" fillId="0" borderId="13" xfId="53" applyFont="1" applyBorder="1">
      <alignment/>
      <protection/>
    </xf>
    <xf numFmtId="0" fontId="24" fillId="0" borderId="0" xfId="53" applyFont="1" applyBorder="1">
      <alignment/>
      <protection/>
    </xf>
    <xf numFmtId="0" fontId="23" fillId="0" borderId="0" xfId="53" applyFont="1">
      <alignment/>
      <protection/>
    </xf>
    <xf numFmtId="0" fontId="23" fillId="0" borderId="14" xfId="53" applyFont="1" applyBorder="1">
      <alignment/>
      <protection/>
    </xf>
    <xf numFmtId="0" fontId="1" fillId="0" borderId="0" xfId="53" applyBorder="1">
      <alignment/>
      <protection/>
    </xf>
    <xf numFmtId="0" fontId="39" fillId="0" borderId="13" xfId="53" applyFont="1" applyBorder="1">
      <alignment/>
      <protection/>
    </xf>
    <xf numFmtId="0" fontId="39" fillId="0" borderId="0" xfId="53" applyFont="1" applyBorder="1">
      <alignment/>
      <protection/>
    </xf>
    <xf numFmtId="0" fontId="64" fillId="0" borderId="0" xfId="53" applyFont="1" applyBorder="1">
      <alignment/>
      <protection/>
    </xf>
    <xf numFmtId="0" fontId="39" fillId="0" borderId="0" xfId="53" applyFont="1">
      <alignment/>
      <protection/>
    </xf>
    <xf numFmtId="0" fontId="1" fillId="0" borderId="14" xfId="53" applyBorder="1">
      <alignment/>
      <protection/>
    </xf>
    <xf numFmtId="0" fontId="1" fillId="0" borderId="0" xfId="53">
      <alignment/>
      <protection/>
    </xf>
    <xf numFmtId="0" fontId="23" fillId="0" borderId="13" xfId="53" applyFont="1" applyBorder="1" applyAlignment="1">
      <alignment horizontal="centerContinuous"/>
      <protection/>
    </xf>
    <xf numFmtId="0" fontId="24" fillId="0" borderId="0" xfId="53" applyFont="1" applyFill="1" applyBorder="1" applyAlignment="1" applyProtection="1">
      <alignment horizontal="left"/>
      <protection locked="0"/>
    </xf>
    <xf numFmtId="0" fontId="65" fillId="0" borderId="0" xfId="53" applyFont="1" applyFill="1" applyBorder="1" applyAlignment="1">
      <alignment horizontal="centerContinuous"/>
      <protection/>
    </xf>
    <xf numFmtId="0" fontId="65" fillId="0" borderId="0" xfId="53" applyFont="1" applyFill="1" applyAlignment="1">
      <alignment horizontal="centerContinuous"/>
      <protection/>
    </xf>
    <xf numFmtId="0" fontId="65" fillId="0" borderId="0" xfId="53" applyFont="1" applyFill="1" applyBorder="1">
      <alignment/>
      <protection/>
    </xf>
    <xf numFmtId="0" fontId="23" fillId="0" borderId="0" xfId="53" applyFont="1" applyFill="1" applyBorder="1">
      <alignment/>
      <protection/>
    </xf>
    <xf numFmtId="0" fontId="6" fillId="0" borderId="13" xfId="53" applyFont="1" applyBorder="1">
      <alignment/>
      <protection/>
    </xf>
    <xf numFmtId="0" fontId="3" fillId="0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>
      <alignment/>
      <protection/>
    </xf>
    <xf numFmtId="0" fontId="66" fillId="0" borderId="0" xfId="53" applyFont="1" applyFill="1" applyBorder="1">
      <alignment/>
      <protection/>
    </xf>
    <xf numFmtId="0" fontId="6" fillId="0" borderId="14" xfId="53" applyFont="1" applyBorder="1">
      <alignment/>
      <protection/>
    </xf>
    <xf numFmtId="0" fontId="13" fillId="0" borderId="0" xfId="53" applyFont="1" applyBorder="1">
      <alignment/>
      <protection/>
    </xf>
    <xf numFmtId="0" fontId="13" fillId="0" borderId="0" xfId="53" applyFont="1">
      <alignment/>
      <protection/>
    </xf>
    <xf numFmtId="0" fontId="39" fillId="0" borderId="0" xfId="53" applyFont="1" applyFill="1" applyBorder="1">
      <alignment/>
      <protection/>
    </xf>
    <xf numFmtId="0" fontId="67" fillId="0" borderId="0" xfId="53" applyFont="1" applyFill="1" applyBorder="1">
      <alignment/>
      <protection/>
    </xf>
    <xf numFmtId="0" fontId="0" fillId="0" borderId="0" xfId="53" applyFont="1" applyFill="1" applyBorder="1">
      <alignment/>
      <protection/>
    </xf>
    <xf numFmtId="0" fontId="68" fillId="0" borderId="0" xfId="53" applyFont="1" applyFill="1" applyBorder="1">
      <alignment/>
      <protection/>
    </xf>
    <xf numFmtId="171" fontId="39" fillId="0" borderId="0" xfId="53" applyNumberFormat="1" applyFont="1" applyBorder="1" applyAlignment="1" applyProtection="1">
      <alignment horizontal="left"/>
      <protection/>
    </xf>
    <xf numFmtId="0" fontId="64" fillId="0" borderId="0" xfId="53" applyFont="1" applyFill="1" applyBorder="1">
      <alignment/>
      <protection/>
    </xf>
    <xf numFmtId="5" fontId="39" fillId="0" borderId="0" xfId="53" applyNumberFormat="1" applyFont="1" applyFill="1" applyBorder="1">
      <alignment/>
      <protection/>
    </xf>
    <xf numFmtId="0" fontId="18" fillId="0" borderId="0" xfId="53" applyFont="1" applyFill="1" applyBorder="1">
      <alignment/>
      <protection/>
    </xf>
    <xf numFmtId="175" fontId="39" fillId="0" borderId="0" xfId="53" applyNumberFormat="1" applyFont="1" applyBorder="1" applyAlignment="1">
      <alignment horizontal="center"/>
      <protection/>
    </xf>
    <xf numFmtId="170" fontId="39" fillId="0" borderId="0" xfId="53" applyNumberFormat="1" applyFont="1" applyBorder="1" applyAlignment="1">
      <alignment horizontal="center"/>
      <protection/>
    </xf>
    <xf numFmtId="0" fontId="39" fillId="0" borderId="0" xfId="53" applyFont="1" applyBorder="1" applyAlignment="1">
      <alignment horizontal="right"/>
      <protection/>
    </xf>
    <xf numFmtId="0" fontId="39" fillId="0" borderId="0" xfId="53" applyFont="1" applyBorder="1" applyAlignment="1">
      <alignment horizontal="left"/>
      <protection/>
    </xf>
    <xf numFmtId="0" fontId="39" fillId="0" borderId="49" xfId="53" applyFont="1" applyBorder="1" applyAlignment="1">
      <alignment horizontal="center"/>
      <protection/>
    </xf>
    <xf numFmtId="0" fontId="69" fillId="0" borderId="0" xfId="53" applyFont="1" applyFill="1" applyBorder="1" applyProtection="1">
      <alignment/>
      <protection locked="0"/>
    </xf>
    <xf numFmtId="0" fontId="39" fillId="0" borderId="50" xfId="53" applyFont="1" applyBorder="1" applyAlignment="1" applyProtection="1">
      <alignment horizontal="left"/>
      <protection/>
    </xf>
    <xf numFmtId="0" fontId="1" fillId="0" borderId="49" xfId="53" applyFont="1" applyBorder="1" applyAlignment="1">
      <alignment horizontal="center"/>
      <protection/>
    </xf>
    <xf numFmtId="10" fontId="69" fillId="0" borderId="0" xfId="53" applyNumberFormat="1" applyFont="1" applyFill="1" applyBorder="1">
      <alignment/>
      <protection/>
    </xf>
    <xf numFmtId="0" fontId="39" fillId="0" borderId="51" xfId="53" applyFont="1" applyBorder="1" applyAlignment="1" applyProtection="1">
      <alignment horizontal="left"/>
      <protection/>
    </xf>
    <xf numFmtId="0" fontId="39" fillId="0" borderId="52" xfId="53" applyFont="1" applyBorder="1" applyAlignment="1" applyProtection="1">
      <alignment horizontal="right"/>
      <protection/>
    </xf>
    <xf numFmtId="0" fontId="1" fillId="0" borderId="53" xfId="53" applyFont="1" applyBorder="1" applyAlignment="1">
      <alignment horizontal="center"/>
      <protection/>
    </xf>
    <xf numFmtId="0" fontId="39" fillId="0" borderId="0" xfId="55" applyFont="1" applyBorder="1">
      <alignment/>
      <protection/>
    </xf>
    <xf numFmtId="0" fontId="39" fillId="0" borderId="0" xfId="55" applyFont="1" applyBorder="1" applyAlignment="1">
      <alignment horizontal="right"/>
      <protection/>
    </xf>
    <xf numFmtId="0" fontId="39" fillId="0" borderId="54" xfId="53" applyFont="1" applyBorder="1" applyAlignment="1" applyProtection="1">
      <alignment horizontal="left"/>
      <protection/>
    </xf>
    <xf numFmtId="0" fontId="39" fillId="0" borderId="55" xfId="53" applyFont="1" applyBorder="1" applyAlignment="1" applyProtection="1">
      <alignment horizontal="right"/>
      <protection/>
    </xf>
    <xf numFmtId="174" fontId="39" fillId="0" borderId="56" xfId="53" applyNumberFormat="1" applyFont="1" applyBorder="1" applyAlignment="1" applyProtection="1">
      <alignment horizontal="center"/>
      <protection locked="0"/>
    </xf>
    <xf numFmtId="0" fontId="1" fillId="0" borderId="57" xfId="53" applyFont="1" applyBorder="1" applyAlignment="1">
      <alignment horizontal="center"/>
      <protection/>
    </xf>
    <xf numFmtId="0" fontId="1" fillId="0" borderId="0" xfId="53" applyFont="1" applyBorder="1" applyAlignment="1">
      <alignment horizontal="right"/>
      <protection/>
    </xf>
    <xf numFmtId="0" fontId="70" fillId="0" borderId="0" xfId="53" applyFont="1" applyFill="1" applyBorder="1">
      <alignment/>
      <protection/>
    </xf>
    <xf numFmtId="0" fontId="39" fillId="0" borderId="0" xfId="53" applyFont="1" applyBorder="1" applyAlignment="1" applyProtection="1">
      <alignment horizontal="center"/>
      <protection/>
    </xf>
    <xf numFmtId="170" fontId="39" fillId="0" borderId="0" xfId="53" applyNumberFormat="1" applyFont="1" applyBorder="1">
      <alignment/>
      <protection/>
    </xf>
    <xf numFmtId="0" fontId="25" fillId="0" borderId="20" xfId="53" applyFont="1" applyBorder="1" applyAlignment="1">
      <alignment horizontal="center" vertical="center"/>
      <protection/>
    </xf>
    <xf numFmtId="0" fontId="25" fillId="0" borderId="20" xfId="53" applyFont="1" applyBorder="1" applyAlignment="1" applyProtection="1">
      <alignment horizontal="center" vertical="center"/>
      <protection/>
    </xf>
    <xf numFmtId="0" fontId="25" fillId="0" borderId="20" xfId="53" applyFont="1" applyBorder="1" applyAlignment="1" applyProtection="1">
      <alignment horizontal="center" vertical="center" wrapText="1"/>
      <protection/>
    </xf>
    <xf numFmtId="0" fontId="26" fillId="16" borderId="20" xfId="53" applyFont="1" applyFill="1" applyBorder="1" applyAlignment="1" applyProtection="1">
      <alignment horizontal="center" vertical="center"/>
      <protection/>
    </xf>
    <xf numFmtId="0" fontId="32" fillId="20" borderId="20" xfId="53" applyFont="1" applyFill="1" applyBorder="1" applyAlignment="1">
      <alignment horizontal="center" vertical="center" wrapText="1"/>
      <protection/>
    </xf>
    <xf numFmtId="0" fontId="60" fillId="23" borderId="20" xfId="53" applyFont="1" applyFill="1" applyBorder="1" applyAlignment="1">
      <alignment horizontal="center" vertical="center" wrapText="1"/>
      <protection/>
    </xf>
    <xf numFmtId="0" fontId="30" fillId="16" borderId="15" xfId="53" applyFont="1" applyFill="1" applyBorder="1" applyAlignment="1" applyProtection="1">
      <alignment horizontal="centerContinuous" vertical="center" wrapText="1"/>
      <protection/>
    </xf>
    <xf numFmtId="0" fontId="7" fillId="16" borderId="21" xfId="53" applyFont="1" applyFill="1" applyBorder="1" applyAlignment="1">
      <alignment horizontal="centerContinuous"/>
      <protection/>
    </xf>
    <xf numFmtId="0" fontId="30" fillId="16" borderId="16" xfId="53" applyFont="1" applyFill="1" applyBorder="1" applyAlignment="1">
      <alignment horizontal="centerContinuous" vertical="center"/>
      <protection/>
    </xf>
    <xf numFmtId="0" fontId="45" fillId="14" borderId="15" xfId="53" applyFont="1" applyFill="1" applyBorder="1" applyAlignment="1" applyProtection="1">
      <alignment horizontal="centerContinuous" vertical="center" wrapText="1"/>
      <protection/>
    </xf>
    <xf numFmtId="0" fontId="45" fillId="14" borderId="21" xfId="53" applyFont="1" applyFill="1" applyBorder="1" applyAlignment="1">
      <alignment horizontal="centerContinuous" vertical="center"/>
      <protection/>
    </xf>
    <xf numFmtId="0" fontId="45" fillId="14" borderId="16" xfId="53" applyFont="1" applyFill="1" applyBorder="1" applyAlignment="1">
      <alignment horizontal="centerContinuous" vertical="center"/>
      <protection/>
    </xf>
    <xf numFmtId="0" fontId="61" fillId="29" borderId="20" xfId="53" applyFont="1" applyFill="1" applyBorder="1" applyAlignment="1">
      <alignment horizontal="center" vertical="center" wrapText="1"/>
      <protection/>
    </xf>
    <xf numFmtId="0" fontId="45" fillId="19" borderId="20" xfId="53" applyFont="1" applyFill="1" applyBorder="1" applyAlignment="1">
      <alignment horizontal="center" vertical="center" wrapText="1"/>
      <protection/>
    </xf>
    <xf numFmtId="0" fontId="25" fillId="0" borderId="20" xfId="53" applyFont="1" applyBorder="1" applyAlignment="1">
      <alignment horizontal="center" vertical="center" wrapText="1"/>
      <protection/>
    </xf>
    <xf numFmtId="16" fontId="25" fillId="0" borderId="20" xfId="53" applyNumberFormat="1" applyFont="1" applyBorder="1" applyAlignment="1" quotePrefix="1">
      <alignment horizontal="center" vertical="center" wrapText="1"/>
      <protection/>
    </xf>
    <xf numFmtId="0" fontId="6" fillId="0" borderId="23" xfId="53" applyFont="1" applyBorder="1">
      <alignment/>
      <protection/>
    </xf>
    <xf numFmtId="0" fontId="6" fillId="0" borderId="22" xfId="53" applyFont="1" applyBorder="1" applyAlignment="1">
      <alignment horizontal="center"/>
      <protection/>
    </xf>
    <xf numFmtId="0" fontId="6" fillId="0" borderId="22" xfId="53" applyFont="1" applyBorder="1">
      <alignment/>
      <protection/>
    </xf>
    <xf numFmtId="0" fontId="47" fillId="16" borderId="22" xfId="53" applyFont="1" applyFill="1" applyBorder="1">
      <alignment/>
      <protection/>
    </xf>
    <xf numFmtId="0" fontId="6" fillId="0" borderId="22" xfId="53" applyFont="1" applyBorder="1" applyProtection="1">
      <alignment/>
      <protection locked="0"/>
    </xf>
    <xf numFmtId="0" fontId="38" fillId="20" borderId="20" xfId="53" applyFont="1" applyFill="1" applyBorder="1">
      <alignment/>
      <protection/>
    </xf>
    <xf numFmtId="0" fontId="62" fillId="23" borderId="22" xfId="53" applyFont="1" applyFill="1" applyBorder="1">
      <alignment/>
      <protection/>
    </xf>
    <xf numFmtId="0" fontId="36" fillId="16" borderId="30" xfId="53" applyFont="1" applyFill="1" applyBorder="1" applyAlignment="1">
      <alignment horizontal="center"/>
      <protection/>
    </xf>
    <xf numFmtId="0" fontId="36" fillId="16" borderId="41" xfId="53" applyFont="1" applyFill="1" applyBorder="1">
      <alignment/>
      <protection/>
    </xf>
    <xf numFmtId="0" fontId="36" fillId="16" borderId="31" xfId="53" applyFont="1" applyFill="1" applyBorder="1">
      <alignment/>
      <protection/>
    </xf>
    <xf numFmtId="0" fontId="48" fillId="14" borderId="30" xfId="53" applyFont="1" applyFill="1" applyBorder="1">
      <alignment/>
      <protection/>
    </xf>
    <xf numFmtId="0" fontId="48" fillId="14" borderId="42" xfId="53" applyFont="1" applyFill="1" applyBorder="1">
      <alignment/>
      <protection/>
    </xf>
    <xf numFmtId="0" fontId="48" fillId="14" borderId="40" xfId="53" applyFont="1" applyFill="1" applyBorder="1">
      <alignment/>
      <protection/>
    </xf>
    <xf numFmtId="0" fontId="63" fillId="29" borderId="22" xfId="53" applyFont="1" applyFill="1" applyBorder="1">
      <alignment/>
      <protection/>
    </xf>
    <xf numFmtId="0" fontId="48" fillId="19" borderId="22" xfId="53" applyFont="1" applyFill="1" applyBorder="1">
      <alignment/>
      <protection/>
    </xf>
    <xf numFmtId="0" fontId="6" fillId="0" borderId="31" xfId="53" applyFont="1" applyBorder="1">
      <alignment/>
      <protection/>
    </xf>
    <xf numFmtId="7" fontId="39" fillId="0" borderId="22" xfId="53" applyNumberFormat="1" applyFont="1" applyBorder="1" applyAlignment="1">
      <alignment/>
      <protection/>
    </xf>
    <xf numFmtId="0" fontId="6" fillId="0" borderId="23" xfId="53" applyFont="1" applyBorder="1" applyAlignment="1" applyProtection="1">
      <alignment horizontal="center"/>
      <protection locked="0"/>
    </xf>
    <xf numFmtId="0" fontId="6" fillId="0" borderId="24" xfId="53" applyFont="1" applyBorder="1" applyAlignment="1" applyProtection="1">
      <alignment horizontal="center"/>
      <protection locked="0"/>
    </xf>
    <xf numFmtId="2" fontId="6" fillId="0" borderId="24" xfId="53" applyNumberFormat="1" applyFont="1" applyBorder="1" applyAlignment="1" applyProtection="1">
      <alignment horizontal="center"/>
      <protection locked="0"/>
    </xf>
    <xf numFmtId="171" fontId="47" fillId="16" borderId="23" xfId="53" applyNumberFormat="1" applyFont="1" applyFill="1" applyBorder="1" applyAlignment="1" applyProtection="1">
      <alignment horizontal="center"/>
      <protection/>
    </xf>
    <xf numFmtId="22" fontId="6" fillId="0" borderId="23" xfId="53" applyNumberFormat="1" applyFont="1" applyBorder="1" applyAlignment="1" applyProtection="1">
      <alignment horizontal="center"/>
      <protection locked="0"/>
    </xf>
    <xf numFmtId="2" fontId="6" fillId="0" borderId="23" xfId="53" applyNumberFormat="1" applyFont="1" applyBorder="1" applyAlignment="1" applyProtection="1">
      <alignment horizontal="center"/>
      <protection/>
    </xf>
    <xf numFmtId="1" fontId="6" fillId="0" borderId="23" xfId="53" applyNumberFormat="1" applyFont="1" applyBorder="1" applyAlignment="1" applyProtection="1">
      <alignment horizontal="center"/>
      <protection/>
    </xf>
    <xf numFmtId="171" fontId="6" fillId="0" borderId="23" xfId="53" applyNumberFormat="1" applyFont="1" applyBorder="1" applyAlignment="1" applyProtection="1">
      <alignment horizontal="center"/>
      <protection locked="0"/>
    </xf>
    <xf numFmtId="171" fontId="6" fillId="0" borderId="23" xfId="53" applyNumberFormat="1" applyFont="1" applyBorder="1" applyAlignment="1" applyProtection="1" quotePrefix="1">
      <alignment horizontal="center"/>
      <protection locked="0"/>
    </xf>
    <xf numFmtId="2" fontId="38" fillId="20" borderId="20" xfId="53" applyNumberFormat="1" applyFont="1" applyFill="1" applyBorder="1" applyAlignment="1">
      <alignment horizontal="center"/>
      <protection/>
    </xf>
    <xf numFmtId="2" fontId="62" fillId="23" borderId="24" xfId="53" applyNumberFormat="1" applyFont="1" applyFill="1" applyBorder="1" applyAlignment="1">
      <alignment horizontal="center"/>
      <protection/>
    </xf>
    <xf numFmtId="171" fontId="36" fillId="16" borderId="33" xfId="53" applyNumberFormat="1" applyFont="1" applyFill="1" applyBorder="1" applyAlignment="1" applyProtection="1" quotePrefix="1">
      <alignment horizontal="center"/>
      <protection/>
    </xf>
    <xf numFmtId="171" fontId="36" fillId="16" borderId="43" xfId="53" applyNumberFormat="1" applyFont="1" applyFill="1" applyBorder="1" applyAlignment="1" applyProtection="1" quotePrefix="1">
      <alignment horizontal="center"/>
      <protection/>
    </xf>
    <xf numFmtId="4" fontId="36" fillId="16" borderId="34" xfId="53" applyNumberFormat="1" applyFont="1" applyFill="1" applyBorder="1" applyAlignment="1">
      <alignment horizontal="center"/>
      <protection/>
    </xf>
    <xf numFmtId="171" fontId="48" fillId="14" borderId="33" xfId="53" applyNumberFormat="1" applyFont="1" applyFill="1" applyBorder="1" applyAlignment="1" applyProtection="1" quotePrefix="1">
      <alignment horizontal="center"/>
      <protection/>
    </xf>
    <xf numFmtId="171" fontId="48" fillId="14" borderId="43" xfId="53" applyNumberFormat="1" applyFont="1" applyFill="1" applyBorder="1" applyAlignment="1" applyProtection="1" quotePrefix="1">
      <alignment horizontal="center"/>
      <protection/>
    </xf>
    <xf numFmtId="4" fontId="48" fillId="14" borderId="34" xfId="53" applyNumberFormat="1" applyFont="1" applyFill="1" applyBorder="1" applyAlignment="1">
      <alignment horizontal="center"/>
      <protection/>
    </xf>
    <xf numFmtId="4" fontId="63" fillId="29" borderId="23" xfId="53" applyNumberFormat="1" applyFont="1" applyFill="1" applyBorder="1" applyAlignment="1">
      <alignment horizontal="center"/>
      <protection/>
    </xf>
    <xf numFmtId="4" fontId="48" fillId="19" borderId="23" xfId="53" applyNumberFormat="1" applyFont="1" applyFill="1" applyBorder="1" applyAlignment="1">
      <alignment horizontal="center"/>
      <protection/>
    </xf>
    <xf numFmtId="4" fontId="6" fillId="0" borderId="34" xfId="53" applyNumberFormat="1" applyFont="1" applyBorder="1" applyAlignment="1" applyProtection="1">
      <alignment horizontal="center"/>
      <protection locked="0"/>
    </xf>
    <xf numFmtId="4" fontId="39" fillId="0" borderId="23" xfId="53" applyNumberFormat="1" applyFont="1" applyBorder="1" applyAlignment="1">
      <alignment horizontal="right"/>
      <protection/>
    </xf>
    <xf numFmtId="0" fontId="6" fillId="0" borderId="25" xfId="53" applyFont="1" applyBorder="1" applyAlignment="1" applyProtection="1">
      <alignment horizontal="center"/>
      <protection locked="0"/>
    </xf>
    <xf numFmtId="0" fontId="6" fillId="0" borderId="26" xfId="53" applyFont="1" applyBorder="1" applyAlignment="1" applyProtection="1">
      <alignment horizontal="center"/>
      <protection locked="0"/>
    </xf>
    <xf numFmtId="2" fontId="6" fillId="0" borderId="26" xfId="53" applyNumberFormat="1" applyFont="1" applyBorder="1" applyAlignment="1" applyProtection="1">
      <alignment horizontal="center"/>
      <protection locked="0"/>
    </xf>
    <xf numFmtId="171" fontId="47" fillId="16" borderId="25" xfId="53" applyNumberFormat="1" applyFont="1" applyFill="1" applyBorder="1" applyAlignment="1" applyProtection="1">
      <alignment horizontal="center"/>
      <protection/>
    </xf>
    <xf numFmtId="22" fontId="6" fillId="0" borderId="25" xfId="53" applyNumberFormat="1" applyFont="1" applyBorder="1" applyAlignment="1" applyProtection="1">
      <alignment horizontal="center"/>
      <protection locked="0"/>
    </xf>
    <xf numFmtId="2" fontId="6" fillId="0" borderId="25" xfId="53" applyNumberFormat="1" applyFont="1" applyBorder="1" applyAlignment="1" applyProtection="1">
      <alignment horizontal="center"/>
      <protection/>
    </xf>
    <xf numFmtId="1" fontId="6" fillId="0" borderId="25" xfId="53" applyNumberFormat="1" applyFont="1" applyBorder="1" applyAlignment="1" applyProtection="1">
      <alignment horizontal="center"/>
      <protection/>
    </xf>
    <xf numFmtId="171" fontId="6" fillId="0" borderId="25" xfId="53" applyNumberFormat="1" applyFont="1" applyBorder="1" applyAlignment="1" applyProtection="1">
      <alignment horizontal="center"/>
      <protection locked="0"/>
    </xf>
    <xf numFmtId="171" fontId="6" fillId="0" borderId="25" xfId="53" applyNumberFormat="1" applyFont="1" applyBorder="1" applyAlignment="1" applyProtection="1" quotePrefix="1">
      <alignment horizontal="center"/>
      <protection locked="0"/>
    </xf>
    <xf numFmtId="0" fontId="62" fillId="23" borderId="20" xfId="53" applyFont="1" applyFill="1" applyBorder="1">
      <alignment/>
      <protection/>
    </xf>
    <xf numFmtId="0" fontId="36" fillId="16" borderId="58" xfId="53" applyFont="1" applyFill="1" applyBorder="1" applyAlignment="1">
      <alignment horizontal="center"/>
      <protection/>
    </xf>
    <xf numFmtId="0" fontId="36" fillId="16" borderId="59" xfId="53" applyFont="1" applyFill="1" applyBorder="1">
      <alignment/>
      <protection/>
    </xf>
    <xf numFmtId="0" fontId="36" fillId="16" borderId="16" xfId="53" applyFont="1" applyFill="1" applyBorder="1">
      <alignment/>
      <protection/>
    </xf>
    <xf numFmtId="0" fontId="48" fillId="14" borderId="58" xfId="53" applyFont="1" applyFill="1" applyBorder="1">
      <alignment/>
      <protection/>
    </xf>
    <xf numFmtId="0" fontId="48" fillId="14" borderId="60" xfId="53" applyFont="1" applyFill="1" applyBorder="1">
      <alignment/>
      <protection/>
    </xf>
    <xf numFmtId="0" fontId="48" fillId="14" borderId="38" xfId="53" applyFont="1" applyFill="1" applyBorder="1">
      <alignment/>
      <protection/>
    </xf>
    <xf numFmtId="0" fontId="63" fillId="29" borderId="20" xfId="53" applyFont="1" applyFill="1" applyBorder="1">
      <alignment/>
      <protection/>
    </xf>
    <xf numFmtId="0" fontId="48" fillId="19" borderId="20" xfId="53" applyFont="1" applyFill="1" applyBorder="1">
      <alignment/>
      <protection/>
    </xf>
    <xf numFmtId="4" fontId="6" fillId="0" borderId="46" xfId="53" applyNumberFormat="1" applyFont="1" applyBorder="1" applyAlignment="1" applyProtection="1">
      <alignment horizontal="center"/>
      <protection locked="0"/>
    </xf>
    <xf numFmtId="4" fontId="39" fillId="0" borderId="25" xfId="53" applyNumberFormat="1" applyFont="1" applyBorder="1" applyAlignment="1">
      <alignment horizontal="right"/>
      <protection/>
    </xf>
    <xf numFmtId="0" fontId="6" fillId="0" borderId="0" xfId="53" applyFont="1" applyBorder="1" applyAlignment="1" applyProtection="1">
      <alignment horizontal="center"/>
      <protection locked="0"/>
    </xf>
    <xf numFmtId="2" fontId="6" fillId="0" borderId="0" xfId="53" applyNumberFormat="1" applyFont="1" applyBorder="1" applyAlignment="1" applyProtection="1">
      <alignment horizontal="center"/>
      <protection locked="0"/>
    </xf>
    <xf numFmtId="171" fontId="39" fillId="0" borderId="0" xfId="53" applyNumberFormat="1" applyFont="1" applyBorder="1" applyAlignment="1" applyProtection="1">
      <alignment horizontal="center"/>
      <protection/>
    </xf>
    <xf numFmtId="171" fontId="39" fillId="0" borderId="0" xfId="53" applyNumberFormat="1" applyFont="1" applyBorder="1" applyAlignment="1" applyProtection="1" quotePrefix="1">
      <alignment horizontal="center"/>
      <protection/>
    </xf>
    <xf numFmtId="176" fontId="64" fillId="0" borderId="25" xfId="53" applyNumberFormat="1" applyFont="1" applyBorder="1" applyAlignment="1" applyProtection="1">
      <alignment horizontal="right"/>
      <protection/>
    </xf>
    <xf numFmtId="5" fontId="21" fillId="0" borderId="15" xfId="53" applyNumberFormat="1" applyFont="1" applyBorder="1" applyAlignment="1" applyProtection="1">
      <alignment horizontal="center"/>
      <protection/>
    </xf>
    <xf numFmtId="7" fontId="21" fillId="0" borderId="16" xfId="53" applyNumberFormat="1" applyFont="1" applyBorder="1" applyAlignment="1" applyProtection="1">
      <alignment horizontal="center"/>
      <protection/>
    </xf>
    <xf numFmtId="176" fontId="64" fillId="0" borderId="0" xfId="53" applyNumberFormat="1" applyFont="1" applyBorder="1" applyAlignment="1" applyProtection="1">
      <alignment horizontal="right"/>
      <protection/>
    </xf>
    <xf numFmtId="2" fontId="71" fillId="0" borderId="0" xfId="53" applyNumberFormat="1" applyFont="1" applyBorder="1" applyAlignment="1">
      <alignment horizontal="center"/>
      <protection/>
    </xf>
    <xf numFmtId="171" fontId="72" fillId="0" borderId="0" xfId="53" applyNumberFormat="1" applyFont="1" applyBorder="1" applyAlignment="1" applyProtection="1" quotePrefix="1">
      <alignment horizontal="center"/>
      <protection/>
    </xf>
    <xf numFmtId="4" fontId="72" fillId="0" borderId="0" xfId="53" applyNumberFormat="1" applyFont="1" applyBorder="1" applyAlignment="1">
      <alignment horizontal="center"/>
      <protection/>
    </xf>
    <xf numFmtId="4" fontId="39" fillId="0" borderId="0" xfId="53" applyNumberFormat="1" applyFont="1" applyBorder="1" applyAlignment="1">
      <alignment horizontal="center"/>
      <protection/>
    </xf>
    <xf numFmtId="7" fontId="64" fillId="0" borderId="0" xfId="53" applyNumberFormat="1" applyFont="1" applyBorder="1" applyAlignment="1">
      <alignment horizontal="center"/>
      <protection/>
    </xf>
    <xf numFmtId="2" fontId="39" fillId="0" borderId="0" xfId="53" applyNumberFormat="1" applyFont="1" applyBorder="1" applyAlignment="1">
      <alignment horizontal="center"/>
      <protection/>
    </xf>
    <xf numFmtId="2" fontId="39" fillId="0" borderId="0" xfId="53" applyNumberFormat="1" applyFont="1" applyBorder="1" applyAlignment="1" applyProtection="1">
      <alignment horizontal="center"/>
      <protection/>
    </xf>
    <xf numFmtId="0" fontId="39" fillId="0" borderId="0" xfId="53" applyFont="1" applyBorder="1" applyAlignment="1">
      <alignment horizontal="center"/>
      <protection/>
    </xf>
    <xf numFmtId="171" fontId="64" fillId="0" borderId="0" xfId="55" applyNumberFormat="1" applyFont="1" applyBorder="1" applyAlignment="1" applyProtection="1">
      <alignment horizontal="center"/>
      <protection/>
    </xf>
    <xf numFmtId="0" fontId="64" fillId="0" borderId="0" xfId="55" applyFont="1" applyBorder="1" applyAlignment="1" applyProtection="1">
      <alignment horizontal="center"/>
      <protection/>
    </xf>
    <xf numFmtId="2" fontId="39" fillId="0" borderId="0" xfId="53" applyNumberFormat="1" applyFont="1" applyBorder="1" applyAlignment="1" applyProtection="1">
      <alignment horizontal="right"/>
      <protection/>
    </xf>
    <xf numFmtId="5" fontId="39" fillId="0" borderId="0" xfId="53" applyNumberFormat="1" applyFont="1" applyBorder="1" applyAlignment="1" applyProtection="1">
      <alignment horizontal="center"/>
      <protection/>
    </xf>
    <xf numFmtId="0" fontId="39" fillId="0" borderId="0" xfId="53" applyFont="1" applyBorder="1" applyAlignment="1" applyProtection="1">
      <alignment horizontal="right"/>
      <protection/>
    </xf>
    <xf numFmtId="7" fontId="39" fillId="0" borderId="0" xfId="53" applyNumberFormat="1" applyFont="1" applyBorder="1" applyAlignment="1">
      <alignment horizontal="right"/>
      <protection/>
    </xf>
    <xf numFmtId="5" fontId="73" fillId="0" borderId="0" xfId="53" applyNumberFormat="1" applyFont="1" applyAlignment="1">
      <alignment horizontal="right"/>
      <protection/>
    </xf>
    <xf numFmtId="5" fontId="73" fillId="0" borderId="0" xfId="53" applyNumberFormat="1" applyFont="1" applyBorder="1" applyAlignment="1">
      <alignment horizontal="right"/>
      <protection/>
    </xf>
    <xf numFmtId="171" fontId="39" fillId="0" borderId="0" xfId="55" applyNumberFormat="1" applyFont="1" applyBorder="1" applyAlignment="1" applyProtection="1">
      <alignment horizontal="right"/>
      <protection/>
    </xf>
    <xf numFmtId="7" fontId="73" fillId="0" borderId="0" xfId="53" applyNumberFormat="1" applyFont="1" applyAlignment="1">
      <alignment horizontal="right"/>
      <protection/>
    </xf>
    <xf numFmtId="7" fontId="64" fillId="0" borderId="0" xfId="53" applyNumberFormat="1" applyFont="1" applyBorder="1" applyAlignment="1">
      <alignment horizontal="right"/>
      <protection/>
    </xf>
    <xf numFmtId="0" fontId="18" fillId="0" borderId="0" xfId="53" applyFont="1" applyBorder="1" applyAlignment="1">
      <alignment horizontal="left"/>
      <protection/>
    </xf>
    <xf numFmtId="171" fontId="39" fillId="0" borderId="0" xfId="53" applyNumberFormat="1" applyFont="1" applyBorder="1" applyAlignment="1" applyProtection="1">
      <alignment horizontal="right"/>
      <protection/>
    </xf>
    <xf numFmtId="1" fontId="39" fillId="0" borderId="0" xfId="53" applyNumberFormat="1" applyFont="1" applyBorder="1" applyAlignment="1" applyProtection="1">
      <alignment horizontal="right"/>
      <protection/>
    </xf>
    <xf numFmtId="0" fontId="21" fillId="0" borderId="15" xfId="53" applyFont="1" applyBorder="1" applyAlignment="1">
      <alignment horizontal="center"/>
      <protection/>
    </xf>
    <xf numFmtId="7" fontId="74" fillId="0" borderId="16" xfId="53" applyNumberFormat="1" applyFont="1" applyFill="1" applyBorder="1" applyAlignment="1">
      <alignment horizontal="center"/>
      <protection/>
    </xf>
    <xf numFmtId="0" fontId="75" fillId="0" borderId="0" xfId="53" applyFont="1" applyBorder="1">
      <alignment/>
      <protection/>
    </xf>
    <xf numFmtId="0" fontId="39" fillId="0" borderId="0" xfId="53" applyFont="1" applyFill="1" applyBorder="1" applyAlignment="1">
      <alignment horizontal="center"/>
      <protection/>
    </xf>
    <xf numFmtId="7" fontId="39" fillId="0" borderId="0" xfId="53" applyNumberFormat="1" applyFont="1" applyBorder="1" applyAlignment="1" applyProtection="1">
      <alignment horizontal="center"/>
      <protection/>
    </xf>
    <xf numFmtId="2" fontId="39" fillId="0" borderId="0" xfId="53" applyNumberFormat="1" applyFont="1" applyFill="1" applyBorder="1">
      <alignment/>
      <protection/>
    </xf>
    <xf numFmtId="0" fontId="21" fillId="0" borderId="15" xfId="53" applyFont="1" applyFill="1" applyBorder="1" applyAlignment="1">
      <alignment horizontal="center"/>
      <protection/>
    </xf>
    <xf numFmtId="8" fontId="21" fillId="0" borderId="16" xfId="53" applyNumberFormat="1" applyFont="1" applyBorder="1" applyAlignment="1" applyProtection="1">
      <alignment horizontal="center"/>
      <protection/>
    </xf>
    <xf numFmtId="0" fontId="39" fillId="0" borderId="17" xfId="53" applyFont="1" applyBorder="1">
      <alignment/>
      <protection/>
    </xf>
    <xf numFmtId="0" fontId="39" fillId="0" borderId="18" xfId="53" applyFont="1" applyBorder="1">
      <alignment/>
      <protection/>
    </xf>
    <xf numFmtId="0" fontId="1" fillId="0" borderId="18" xfId="53" applyBorder="1">
      <alignment/>
      <protection/>
    </xf>
    <xf numFmtId="0" fontId="1" fillId="0" borderId="19" xfId="53" applyBorder="1">
      <alignment/>
      <protection/>
    </xf>
    <xf numFmtId="174" fontId="39" fillId="0" borderId="16" xfId="53" applyNumberFormat="1" applyFont="1" applyBorder="1" applyAlignment="1" applyProtection="1">
      <alignment horizontal="centerContinuous"/>
      <protection locked="0"/>
    </xf>
    <xf numFmtId="0" fontId="76" fillId="0" borderId="0" xfId="53" applyFont="1">
      <alignment/>
      <protection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 horizontal="right"/>
    </xf>
    <xf numFmtId="0" fontId="77" fillId="0" borderId="0" xfId="55" applyFont="1" applyBorder="1" applyAlignment="1">
      <alignment horizontal="left"/>
      <protection/>
    </xf>
    <xf numFmtId="0" fontId="77" fillId="0" borderId="28" xfId="55" applyFont="1" applyBorder="1" applyAlignment="1">
      <alignment horizontal="center"/>
      <protection/>
    </xf>
    <xf numFmtId="0" fontId="39" fillId="0" borderId="61" xfId="53" applyFont="1" applyBorder="1" applyAlignment="1" applyProtection="1">
      <alignment horizontal="right"/>
      <protection/>
    </xf>
    <xf numFmtId="174" fontId="39" fillId="0" borderId="62" xfId="53" applyNumberFormat="1" applyFont="1" applyBorder="1" applyAlignment="1" applyProtection="1">
      <alignment horizontal="center"/>
      <protection locked="0"/>
    </xf>
    <xf numFmtId="174" fontId="1" fillId="0" borderId="63" xfId="54" applyNumberFormat="1" applyFont="1" applyBorder="1" applyAlignment="1">
      <alignment horizontal="centerContinuous"/>
      <protection/>
    </xf>
    <xf numFmtId="0" fontId="1" fillId="0" borderId="0" xfId="56">
      <alignment/>
      <protection/>
    </xf>
    <xf numFmtId="0" fontId="56" fillId="0" borderId="0" xfId="56" applyFont="1" applyAlignment="1">
      <alignment horizontal="right" vertical="top"/>
      <protection/>
    </xf>
    <xf numFmtId="0" fontId="96" fillId="0" borderId="0" xfId="56" applyFont="1">
      <alignment/>
      <protection/>
    </xf>
    <xf numFmtId="0" fontId="97" fillId="0" borderId="0" xfId="56" applyFont="1" applyAlignment="1">
      <alignment horizontal="centerContinuous"/>
      <protection/>
    </xf>
    <xf numFmtId="0" fontId="4" fillId="0" borderId="0" xfId="56" applyFont="1" applyBorder="1" applyAlignment="1" applyProtection="1">
      <alignment horizontal="centerContinuous" vertical="center"/>
      <protection/>
    </xf>
    <xf numFmtId="0" fontId="98" fillId="0" borderId="0" xfId="56" applyFont="1" applyAlignment="1">
      <alignment horizontal="centerContinuous" vertical="center"/>
      <protection/>
    </xf>
    <xf numFmtId="0" fontId="98" fillId="0" borderId="0" xfId="56" applyFont="1">
      <alignment/>
      <protection/>
    </xf>
    <xf numFmtId="0" fontId="99" fillId="0" borderId="0" xfId="56" applyFont="1" applyBorder="1" applyAlignment="1">
      <alignment horizontal="centerContinuous"/>
      <protection/>
    </xf>
    <xf numFmtId="0" fontId="100" fillId="0" borderId="0" xfId="56" applyFont="1" applyBorder="1" applyAlignment="1" applyProtection="1">
      <alignment horizontal="left"/>
      <protection/>
    </xf>
    <xf numFmtId="0" fontId="101" fillId="0" borderId="0" xfId="56" applyFont="1" applyBorder="1" applyAlignment="1">
      <alignment horizontal="centerContinuous"/>
      <protection/>
    </xf>
    <xf numFmtId="0" fontId="102" fillId="0" borderId="0" xfId="56" applyFont="1" applyBorder="1" applyAlignment="1" applyProtection="1">
      <alignment horizontal="centerContinuous"/>
      <protection/>
    </xf>
    <xf numFmtId="0" fontId="1" fillId="0" borderId="0" xfId="56" applyAlignment="1">
      <alignment horizontal="centerContinuous"/>
      <protection/>
    </xf>
    <xf numFmtId="0" fontId="102" fillId="0" borderId="0" xfId="56" applyFont="1" applyAlignment="1">
      <alignment horizontal="centerContinuous"/>
      <protection/>
    </xf>
    <xf numFmtId="0" fontId="1" fillId="0" borderId="10" xfId="56" applyBorder="1">
      <alignment/>
      <protection/>
    </xf>
    <xf numFmtId="0" fontId="1" fillId="0" borderId="11" xfId="56" applyBorder="1">
      <alignment/>
      <protection/>
    </xf>
    <xf numFmtId="0" fontId="103" fillId="0" borderId="11" xfId="56" applyFont="1" applyBorder="1">
      <alignment/>
      <protection/>
    </xf>
    <xf numFmtId="0" fontId="1" fillId="0" borderId="12" xfId="56" applyBorder="1">
      <alignment/>
      <protection/>
    </xf>
    <xf numFmtId="0" fontId="20" fillId="0" borderId="13" xfId="56" applyFont="1" applyBorder="1" applyAlignment="1">
      <alignment horizontal="centerContinuous"/>
      <protection/>
    </xf>
    <xf numFmtId="0" fontId="103" fillId="0" borderId="0" xfId="56" applyFont="1" applyBorder="1" applyAlignment="1">
      <alignment horizontal="centerContinuous"/>
      <protection/>
    </xf>
    <xf numFmtId="0" fontId="1" fillId="0" borderId="0" xfId="56" applyBorder="1" applyAlignment="1">
      <alignment horizontal="centerContinuous"/>
      <protection/>
    </xf>
    <xf numFmtId="0" fontId="1" fillId="0" borderId="14" xfId="56" applyBorder="1" applyAlignment="1">
      <alignment horizontal="centerContinuous"/>
      <protection/>
    </xf>
    <xf numFmtId="0" fontId="1" fillId="0" borderId="13" xfId="56" applyBorder="1">
      <alignment/>
      <protection/>
    </xf>
    <xf numFmtId="0" fontId="1" fillId="0" borderId="64" xfId="56" applyBorder="1">
      <alignment/>
      <protection/>
    </xf>
    <xf numFmtId="0" fontId="103" fillId="0" borderId="0" xfId="56" applyFont="1" applyBorder="1" applyAlignment="1" applyProtection="1">
      <alignment horizontal="center"/>
      <protection/>
    </xf>
    <xf numFmtId="0" fontId="103" fillId="0" borderId="0" xfId="56" applyFont="1" applyBorder="1">
      <alignment/>
      <protection/>
    </xf>
    <xf numFmtId="0" fontId="1" fillId="0" borderId="0" xfId="56" applyBorder="1">
      <alignment/>
      <protection/>
    </xf>
    <xf numFmtId="0" fontId="1" fillId="0" borderId="14" xfId="56" applyBorder="1">
      <alignment/>
      <protection/>
    </xf>
    <xf numFmtId="0" fontId="104" fillId="0" borderId="0" xfId="56" applyFont="1" applyAlignment="1">
      <alignment horizontal="centerContinuous" vertical="center"/>
      <protection/>
    </xf>
    <xf numFmtId="0" fontId="104" fillId="0" borderId="13" xfId="56" applyFont="1" applyBorder="1" applyAlignment="1">
      <alignment horizontal="centerContinuous" vertical="center"/>
      <protection/>
    </xf>
    <xf numFmtId="0" fontId="104" fillId="30" borderId="58" xfId="56" applyFont="1" applyFill="1" applyBorder="1" applyAlignment="1" applyProtection="1">
      <alignment horizontal="centerContinuous" vertical="center"/>
      <protection/>
    </xf>
    <xf numFmtId="0" fontId="104" fillId="30" borderId="58" xfId="56" applyFont="1" applyFill="1" applyBorder="1" applyAlignment="1" applyProtection="1">
      <alignment horizontal="centerContinuous" vertical="center" wrapText="1"/>
      <protection/>
    </xf>
    <xf numFmtId="171" fontId="104" fillId="30" borderId="20" xfId="56" applyNumberFormat="1" applyFont="1" applyFill="1" applyBorder="1" applyAlignment="1" applyProtection="1">
      <alignment horizontal="centerContinuous" vertical="center" wrapText="1"/>
      <protection/>
    </xf>
    <xf numFmtId="17" fontId="104" fillId="30" borderId="16" xfId="56" applyNumberFormat="1" applyFont="1" applyFill="1" applyBorder="1" applyAlignment="1">
      <alignment horizontal="center" vertical="center"/>
      <protection/>
    </xf>
    <xf numFmtId="0" fontId="104" fillId="0" borderId="14" xfId="56" applyFont="1" applyBorder="1" applyAlignment="1">
      <alignment vertical="center"/>
      <protection/>
    </xf>
    <xf numFmtId="0" fontId="104" fillId="0" borderId="0" xfId="56" applyFont="1" applyAlignment="1">
      <alignment vertical="center"/>
      <protection/>
    </xf>
    <xf numFmtId="0" fontId="104" fillId="0" borderId="13" xfId="56" applyFont="1" applyBorder="1" applyAlignment="1">
      <alignment vertical="center"/>
      <protection/>
    </xf>
    <xf numFmtId="0" fontId="104" fillId="0" borderId="32" xfId="56" applyFont="1" applyBorder="1" applyAlignment="1">
      <alignment vertical="center"/>
      <protection/>
    </xf>
    <xf numFmtId="0" fontId="104" fillId="0" borderId="65" xfId="56" applyFont="1" applyBorder="1" applyAlignment="1">
      <alignment vertical="center"/>
      <protection/>
    </xf>
    <xf numFmtId="0" fontId="104" fillId="0" borderId="27" xfId="56" applyFont="1" applyBorder="1" applyAlignment="1">
      <alignment vertical="center"/>
      <protection/>
    </xf>
    <xf numFmtId="0" fontId="104" fillId="0" borderId="66" xfId="56" applyFont="1" applyBorder="1" applyAlignment="1">
      <alignment vertical="center"/>
      <protection/>
    </xf>
    <xf numFmtId="0" fontId="104" fillId="31" borderId="32" xfId="56" applyFont="1" applyFill="1" applyBorder="1" applyAlignment="1">
      <alignment horizontal="center" vertical="center"/>
      <protection/>
    </xf>
    <xf numFmtId="0" fontId="104" fillId="31" borderId="67" xfId="56" applyFont="1" applyFill="1" applyBorder="1" applyAlignment="1" applyProtection="1">
      <alignment horizontal="center" vertical="center"/>
      <protection/>
    </xf>
    <xf numFmtId="2" fontId="104" fillId="31" borderId="24" xfId="56" applyNumberFormat="1" applyFont="1" applyFill="1" applyBorder="1" applyAlignment="1" applyProtection="1">
      <alignment horizontal="center" vertical="center"/>
      <protection/>
    </xf>
    <xf numFmtId="0" fontId="104" fillId="32" borderId="32" xfId="56" applyFont="1" applyFill="1" applyBorder="1" applyAlignment="1">
      <alignment horizontal="center" vertical="center"/>
      <protection/>
    </xf>
    <xf numFmtId="0" fontId="104" fillId="32" borderId="67" xfId="56" applyFont="1" applyFill="1" applyBorder="1" applyAlignment="1" applyProtection="1">
      <alignment horizontal="center" vertical="center"/>
      <protection/>
    </xf>
    <xf numFmtId="2" fontId="104" fillId="32" borderId="24" xfId="56" applyNumberFormat="1" applyFont="1" applyFill="1" applyBorder="1" applyAlignment="1" applyProtection="1">
      <alignment horizontal="center" vertical="center"/>
      <protection/>
    </xf>
    <xf numFmtId="0" fontId="104" fillId="32" borderId="24" xfId="56" applyFont="1" applyFill="1" applyBorder="1" applyAlignment="1">
      <alignment horizontal="center" vertical="center"/>
      <protection/>
    </xf>
    <xf numFmtId="0" fontId="104" fillId="32" borderId="68" xfId="56" applyFont="1" applyFill="1" applyBorder="1" applyAlignment="1" applyProtection="1">
      <alignment horizontal="center" vertical="center"/>
      <protection/>
    </xf>
    <xf numFmtId="2" fontId="104" fillId="32" borderId="69" xfId="56" applyNumberFormat="1" applyFont="1" applyFill="1" applyBorder="1" applyAlignment="1" applyProtection="1">
      <alignment horizontal="center" vertical="center"/>
      <protection/>
    </xf>
    <xf numFmtId="0" fontId="104" fillId="0" borderId="70" xfId="56" applyFont="1" applyBorder="1" applyAlignment="1">
      <alignment horizontal="center" vertical="center"/>
      <protection/>
    </xf>
    <xf numFmtId="0" fontId="104" fillId="0" borderId="71" xfId="56" applyFont="1" applyBorder="1" applyAlignment="1" applyProtection="1">
      <alignment horizontal="left" vertical="center"/>
      <protection/>
    </xf>
    <xf numFmtId="0" fontId="104" fillId="0" borderId="71" xfId="56" applyFont="1" applyBorder="1" applyAlignment="1" applyProtection="1">
      <alignment horizontal="center" vertical="center"/>
      <protection/>
    </xf>
    <xf numFmtId="2" fontId="104" fillId="0" borderId="26" xfId="56" applyNumberFormat="1" applyFont="1" applyBorder="1" applyAlignment="1" applyProtection="1">
      <alignment horizontal="center" vertical="center"/>
      <protection/>
    </xf>
    <xf numFmtId="0" fontId="104" fillId="0" borderId="0" xfId="56" applyFont="1" applyBorder="1" applyAlignment="1">
      <alignment horizontal="center" vertical="center"/>
      <protection/>
    </xf>
    <xf numFmtId="0" fontId="104" fillId="0" borderId="0" xfId="56" applyFont="1" applyBorder="1" applyAlignment="1" applyProtection="1">
      <alignment horizontal="left" vertical="center"/>
      <protection/>
    </xf>
    <xf numFmtId="0" fontId="105" fillId="0" borderId="28" xfId="56" applyFont="1" applyBorder="1" applyAlignment="1" applyProtection="1">
      <alignment horizontal="right" vertical="center"/>
      <protection/>
    </xf>
    <xf numFmtId="171" fontId="105" fillId="0" borderId="26" xfId="56" applyNumberFormat="1" applyFont="1" applyBorder="1" applyAlignment="1" applyProtection="1">
      <alignment horizontal="center" vertical="center"/>
      <protection/>
    </xf>
    <xf numFmtId="1" fontId="104" fillId="0" borderId="20" xfId="56" applyNumberFormat="1" applyFont="1" applyFill="1" applyBorder="1" applyAlignment="1">
      <alignment horizontal="center" vertical="center"/>
      <protection/>
    </xf>
    <xf numFmtId="1" fontId="104" fillId="0" borderId="20" xfId="56" applyNumberFormat="1" applyFont="1" applyBorder="1" applyAlignment="1">
      <alignment horizontal="center" vertical="center"/>
      <protection/>
    </xf>
    <xf numFmtId="0" fontId="104" fillId="0" borderId="0" xfId="56" applyFont="1" applyBorder="1" applyAlignment="1">
      <alignment vertical="center"/>
      <protection/>
    </xf>
    <xf numFmtId="0" fontId="104" fillId="0" borderId="0" xfId="56" applyFont="1" applyBorder="1" applyAlignment="1" applyProtection="1">
      <alignment horizontal="center" vertical="center"/>
      <protection/>
    </xf>
    <xf numFmtId="0" fontId="105" fillId="0" borderId="0" xfId="56" applyFont="1" applyAlignment="1">
      <alignment horizontal="right" vertical="center"/>
      <protection/>
    </xf>
    <xf numFmtId="1" fontId="104" fillId="0" borderId="20" xfId="56" applyNumberFormat="1" applyFont="1" applyBorder="1" applyAlignment="1" applyProtection="1">
      <alignment horizontal="center" vertical="center"/>
      <protection/>
    </xf>
    <xf numFmtId="17" fontId="105" fillId="0" borderId="0" xfId="56" applyNumberFormat="1" applyFont="1" applyBorder="1" applyAlignment="1">
      <alignment horizontal="right" vertical="center"/>
      <protection/>
    </xf>
    <xf numFmtId="2" fontId="105" fillId="33" borderId="26" xfId="57" applyNumberFormat="1" applyFont="1" applyFill="1" applyBorder="1" applyAlignment="1">
      <alignment horizontal="center" vertical="center"/>
      <protection/>
    </xf>
    <xf numFmtId="2" fontId="105" fillId="34" borderId="72" xfId="57" applyNumberFormat="1" applyFont="1" applyFill="1" applyBorder="1" applyAlignment="1">
      <alignment horizontal="center" vertical="center"/>
      <protection/>
    </xf>
    <xf numFmtId="0" fontId="6" fillId="0" borderId="0" xfId="56" applyFont="1" applyBorder="1">
      <alignment/>
      <protection/>
    </xf>
    <xf numFmtId="0" fontId="3" fillId="0" borderId="0" xfId="56" applyFont="1" applyBorder="1" applyAlignment="1" applyProtection="1">
      <alignment horizontal="center"/>
      <protection/>
    </xf>
    <xf numFmtId="171" fontId="3" fillId="0" borderId="0" xfId="56" applyNumberFormat="1" applyFont="1" applyBorder="1" applyAlignment="1" applyProtection="1">
      <alignment horizontal="right"/>
      <protection/>
    </xf>
    <xf numFmtId="2" fontId="1" fillId="0" borderId="0" xfId="56" applyNumberFormat="1" applyBorder="1" applyAlignment="1">
      <alignment horizontal="center"/>
      <protection/>
    </xf>
    <xf numFmtId="2" fontId="1" fillId="0" borderId="14" xfId="56" applyNumberFormat="1" applyBorder="1" applyAlignment="1">
      <alignment horizontal="center"/>
      <protection/>
    </xf>
    <xf numFmtId="0" fontId="106" fillId="0" borderId="13" xfId="56" applyFont="1" applyBorder="1">
      <alignment/>
      <protection/>
    </xf>
    <xf numFmtId="0" fontId="1" fillId="0" borderId="15" xfId="56" applyFont="1" applyBorder="1">
      <alignment/>
      <protection/>
    </xf>
    <xf numFmtId="0" fontId="107" fillId="0" borderId="21" xfId="56" applyFont="1" applyBorder="1" applyAlignment="1">
      <alignment horizontal="center"/>
      <protection/>
    </xf>
    <xf numFmtId="2" fontId="108" fillId="0" borderId="21" xfId="56" applyNumberFormat="1" applyFont="1" applyBorder="1" applyAlignment="1">
      <alignment horizontal="center"/>
      <protection/>
    </xf>
    <xf numFmtId="0" fontId="109" fillId="0" borderId="21" xfId="56" applyFont="1" applyBorder="1">
      <alignment/>
      <protection/>
    </xf>
    <xf numFmtId="0" fontId="1" fillId="0" borderId="21" xfId="56" applyBorder="1">
      <alignment/>
      <protection/>
    </xf>
    <xf numFmtId="0" fontId="1" fillId="0" borderId="16" xfId="56" applyBorder="1">
      <alignment/>
      <protection/>
    </xf>
    <xf numFmtId="1" fontId="1" fillId="0" borderId="0" xfId="56" applyNumberFormat="1" applyBorder="1" applyAlignment="1">
      <alignment horizontal="center"/>
      <protection/>
    </xf>
    <xf numFmtId="0" fontId="106" fillId="0" borderId="17" xfId="56" applyFont="1" applyBorder="1">
      <alignment/>
      <protection/>
    </xf>
    <xf numFmtId="0" fontId="3" fillId="0" borderId="18" xfId="56" applyFont="1" applyBorder="1" applyAlignment="1" applyProtection="1">
      <alignment horizontal="left"/>
      <protection/>
    </xf>
    <xf numFmtId="0" fontId="6" fillId="0" borderId="18" xfId="56" applyFont="1" applyBorder="1">
      <alignment/>
      <protection/>
    </xf>
    <xf numFmtId="0" fontId="3" fillId="0" borderId="18" xfId="56" applyFont="1" applyBorder="1" applyAlignment="1">
      <alignment horizontal="center"/>
      <protection/>
    </xf>
    <xf numFmtId="0" fontId="1" fillId="0" borderId="18" xfId="56" applyBorder="1">
      <alignment/>
      <protection/>
    </xf>
    <xf numFmtId="0" fontId="1" fillId="0" borderId="19" xfId="56" applyBorder="1">
      <alignment/>
      <protection/>
    </xf>
    <xf numFmtId="0" fontId="4" fillId="0" borderId="0" xfId="54" applyFont="1" applyFill="1" applyBorder="1" applyAlignment="1" applyProtection="1">
      <alignment horizontal="left"/>
      <protection/>
    </xf>
    <xf numFmtId="0" fontId="20" fillId="0" borderId="13" xfId="53" applyFont="1" applyBorder="1" applyAlignment="1" applyProtection="1">
      <alignment horizontal="center"/>
      <protection locked="0"/>
    </xf>
    <xf numFmtId="0" fontId="20" fillId="0" borderId="0" xfId="53" applyFont="1" applyBorder="1" applyAlignment="1" applyProtection="1">
      <alignment horizontal="center"/>
      <protection locked="0"/>
    </xf>
    <xf numFmtId="0" fontId="20" fillId="0" borderId="14" xfId="53" applyFont="1" applyBorder="1" applyAlignment="1" applyProtection="1">
      <alignment horizontal="center"/>
      <protection locked="0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0101 ANEXO I NEA" xfId="53"/>
    <cellStyle name="Normal_Cuyo" xfId="54"/>
    <cellStyle name="Normal_F0413NEA" xfId="55"/>
    <cellStyle name="Normal_T0002CUY" xfId="56"/>
    <cellStyle name="Normal_T9904CUY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0</xdr:row>
      <xdr:rowOff>0</xdr:rowOff>
    </xdr:from>
    <xdr:to>
      <xdr:col>0</xdr:col>
      <xdr:colOff>1171575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0</xdr:rowOff>
    </xdr:from>
    <xdr:to>
      <xdr:col>0</xdr:col>
      <xdr:colOff>1009650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3</xdr:col>
      <xdr:colOff>257175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28575</xdr:rowOff>
    </xdr:from>
    <xdr:to>
      <xdr:col>0</xdr:col>
      <xdr:colOff>952500</xdr:colOff>
      <xdr:row>2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9525</xdr:rowOff>
    </xdr:from>
    <xdr:to>
      <xdr:col>0</xdr:col>
      <xdr:colOff>1047750</xdr:colOff>
      <xdr:row>2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5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914400</xdr:colOff>
      <xdr:row>0</xdr:row>
      <xdr:rowOff>0</xdr:rowOff>
    </xdr:from>
    <xdr:to>
      <xdr:col>1</xdr:col>
      <xdr:colOff>104775</xdr:colOff>
      <xdr:row>3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57150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38100</xdr:colOff>
      <xdr:row>15</xdr:row>
      <xdr:rowOff>47625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2838450"/>
          <a:ext cx="23145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1066800</xdr:colOff>
      <xdr:row>0</xdr:row>
      <xdr:rowOff>28575</xdr:rowOff>
    </xdr:from>
    <xdr:to>
      <xdr:col>1</xdr:col>
      <xdr:colOff>28575</xdr:colOff>
      <xdr:row>1</xdr:row>
      <xdr:rowOff>428625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8575"/>
          <a:ext cx="4762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SNEA\2013\F0413NE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DSCUYO\TBASECU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x_server\files\transporte\Transporte\ARCHIVOS.XLS\P-DSCUYO\TBASECU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-0413"/>
      <sheetName val="LI-04 (1)"/>
      <sheetName val="T-04 (1)"/>
      <sheetName val="SA-04 (1)"/>
      <sheetName val="LI-ELECT-04 (1)"/>
      <sheetName val="SA-ELECT-04 (1)"/>
      <sheetName val="CAUSAS-VST-04 (1)"/>
      <sheetName val="CAUSAS-VST-04 (2)"/>
      <sheetName val="CAUSAS-VST-04 (3)"/>
      <sheetName val="CAUSAS-VST-04 (4)"/>
      <sheetName val="SUP-ELECTROING"/>
      <sheetName val="DATO"/>
    </sheetNames>
    <definedNames>
      <definedName name="Actualizar_Referencia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</sheetNames>
    <sheetDataSet>
      <sheetData sheetId="0">
        <row r="15">
          <cell r="GZ15">
            <v>41000</v>
          </cell>
          <cell r="HA15">
            <v>41030</v>
          </cell>
          <cell r="HB15">
            <v>41061</v>
          </cell>
          <cell r="HC15">
            <v>41091</v>
          </cell>
          <cell r="HD15">
            <v>41122</v>
          </cell>
          <cell r="HE15">
            <v>41153</v>
          </cell>
          <cell r="HF15">
            <v>41183</v>
          </cell>
          <cell r="HG15">
            <v>41214</v>
          </cell>
          <cell r="HH15">
            <v>41244</v>
          </cell>
          <cell r="HI15">
            <v>41275</v>
          </cell>
          <cell r="HJ15">
            <v>41306</v>
          </cell>
          <cell r="HK15">
            <v>41334</v>
          </cell>
          <cell r="HL15">
            <v>41365</v>
          </cell>
        </row>
        <row r="17">
          <cell r="C17">
            <v>1</v>
          </cell>
          <cell r="D17" t="str">
            <v>AGUA DEL TORO - CRUZ DE PIEDRA</v>
          </cell>
          <cell r="E17">
            <v>220</v>
          </cell>
          <cell r="F17">
            <v>177.9</v>
          </cell>
        </row>
        <row r="18">
          <cell r="C18">
            <v>2</v>
          </cell>
          <cell r="D18" t="str">
            <v>AGUA DEL TORO - LOS REYUNOS</v>
          </cell>
          <cell r="E18">
            <v>220</v>
          </cell>
          <cell r="F18">
            <v>43</v>
          </cell>
        </row>
        <row r="19">
          <cell r="C19">
            <v>3</v>
          </cell>
          <cell r="D19" t="str">
            <v>AGUA DEL TORO - NIHUIL II</v>
          </cell>
          <cell r="E19">
            <v>220</v>
          </cell>
          <cell r="F19">
            <v>53.5</v>
          </cell>
        </row>
        <row r="20">
          <cell r="C20">
            <v>4</v>
          </cell>
          <cell r="D20" t="str">
            <v>CRUZ DE PIEDRA - SAN JUAN</v>
          </cell>
          <cell r="E20">
            <v>220</v>
          </cell>
          <cell r="F20">
            <v>171.6</v>
          </cell>
        </row>
        <row r="21">
          <cell r="C21">
            <v>5</v>
          </cell>
          <cell r="D21" t="str">
            <v>LOS REYUNOS - GRAN MENDOZA</v>
          </cell>
          <cell r="E21">
            <v>220</v>
          </cell>
          <cell r="F21">
            <v>188.3</v>
          </cell>
          <cell r="HC21">
            <v>1</v>
          </cell>
        </row>
        <row r="22">
          <cell r="C22">
            <v>6</v>
          </cell>
          <cell r="D22" t="str">
            <v>CRUZ DE PIEDRA - CAÑADA HONDA</v>
          </cell>
          <cell r="E22">
            <v>132</v>
          </cell>
          <cell r="F22">
            <v>125.8</v>
          </cell>
          <cell r="HE22">
            <v>1</v>
          </cell>
        </row>
        <row r="23">
          <cell r="C23">
            <v>7</v>
          </cell>
          <cell r="D23" t="str">
            <v>ANCHORIS - CAPIZ</v>
          </cell>
          <cell r="E23">
            <v>132</v>
          </cell>
          <cell r="F23">
            <v>42</v>
          </cell>
          <cell r="HA23">
            <v>1</v>
          </cell>
          <cell r="HD23">
            <v>1</v>
          </cell>
        </row>
        <row r="24">
          <cell r="C24">
            <v>8</v>
          </cell>
          <cell r="D24" t="str">
            <v>ANCHORIS - CRUZ DE PIEDRA</v>
          </cell>
          <cell r="E24">
            <v>132</v>
          </cell>
          <cell r="F24">
            <v>33.5</v>
          </cell>
        </row>
        <row r="25">
          <cell r="C25">
            <v>9</v>
          </cell>
          <cell r="D25" t="str">
            <v>ANCHORIZ -Deriv."T" a LC 35-B.R.Tunuyan</v>
          </cell>
          <cell r="E25">
            <v>132</v>
          </cell>
          <cell r="F25">
            <v>52.9</v>
          </cell>
          <cell r="HB25">
            <v>1</v>
          </cell>
        </row>
        <row r="26">
          <cell r="C26">
            <v>10</v>
          </cell>
          <cell r="D26" t="str">
            <v>CAPIZ - PEDRO VARGAS</v>
          </cell>
          <cell r="E26">
            <v>132</v>
          </cell>
          <cell r="F26">
            <v>122.1</v>
          </cell>
          <cell r="HA26">
            <v>1</v>
          </cell>
        </row>
        <row r="27">
          <cell r="C27">
            <v>11</v>
          </cell>
          <cell r="D27" t="str">
            <v>SAN RAFAEL - PEDRO VARGAS</v>
          </cell>
          <cell r="E27">
            <v>132</v>
          </cell>
          <cell r="F27">
            <v>15.6</v>
          </cell>
        </row>
        <row r="28">
          <cell r="C28">
            <v>12</v>
          </cell>
          <cell r="D28" t="str">
            <v>GRAN MENDOZA - MONTE CASEROS 1</v>
          </cell>
          <cell r="E28">
            <v>132</v>
          </cell>
          <cell r="F28">
            <v>19.1</v>
          </cell>
        </row>
        <row r="29">
          <cell r="C29">
            <v>13</v>
          </cell>
          <cell r="D29" t="str">
            <v>GRAN MENDOZA - MONTE CASEROS 2</v>
          </cell>
          <cell r="E29">
            <v>132</v>
          </cell>
          <cell r="F29">
            <v>19.1</v>
          </cell>
        </row>
        <row r="30">
          <cell r="C30">
            <v>14</v>
          </cell>
          <cell r="D30" t="str">
            <v>CRUZ DE PIEDRA - GRAN MENDOZA 1</v>
          </cell>
          <cell r="E30">
            <v>132</v>
          </cell>
          <cell r="F30">
            <v>22</v>
          </cell>
          <cell r="HI30">
            <v>1</v>
          </cell>
        </row>
        <row r="31">
          <cell r="C31">
            <v>15</v>
          </cell>
          <cell r="D31" t="str">
            <v>CRUZ DE PIEDRA - GRAN MENDOZA 2</v>
          </cell>
          <cell r="E31">
            <v>132</v>
          </cell>
          <cell r="F31">
            <v>22</v>
          </cell>
          <cell r="HI31">
            <v>1</v>
          </cell>
        </row>
        <row r="32">
          <cell r="C32">
            <v>16</v>
          </cell>
          <cell r="D32" t="str">
            <v>CRUZ DE PIEDRA - SAN JUAN</v>
          </cell>
          <cell r="E32">
            <v>132</v>
          </cell>
          <cell r="F32">
            <v>180.18</v>
          </cell>
          <cell r="GZ32" t="str">
            <v>XXXX</v>
          </cell>
          <cell r="HA32" t="str">
            <v>XXXX</v>
          </cell>
          <cell r="HB32" t="str">
            <v>XXXX</v>
          </cell>
          <cell r="HC32" t="str">
            <v>XXXX</v>
          </cell>
          <cell r="HD32" t="str">
            <v>XXXX</v>
          </cell>
          <cell r="HE32" t="str">
            <v>XXXX</v>
          </cell>
          <cell r="HF32" t="str">
            <v>XXXX</v>
          </cell>
          <cell r="HG32" t="str">
            <v>XXXX</v>
          </cell>
          <cell r="HH32" t="str">
            <v>XXXX</v>
          </cell>
          <cell r="HI32" t="str">
            <v>XXXX</v>
          </cell>
          <cell r="HJ32" t="str">
            <v>XXXX</v>
          </cell>
          <cell r="HK32" t="str">
            <v>XXXX</v>
          </cell>
        </row>
        <row r="33">
          <cell r="C33">
            <v>17</v>
          </cell>
          <cell r="D33" t="str">
            <v>CRUZ DE PIEDRA - LUJAN DE CUYO 1</v>
          </cell>
          <cell r="E33">
            <v>132</v>
          </cell>
          <cell r="F33">
            <v>18.1</v>
          </cell>
        </row>
        <row r="34">
          <cell r="C34">
            <v>18</v>
          </cell>
          <cell r="D34" t="str">
            <v>CRUZ DE PIEDRA - LUJAN DE CUYO 2</v>
          </cell>
          <cell r="E34">
            <v>132</v>
          </cell>
          <cell r="F34">
            <v>18.1</v>
          </cell>
          <cell r="HF34">
            <v>1</v>
          </cell>
        </row>
        <row r="35">
          <cell r="C35">
            <v>19</v>
          </cell>
          <cell r="D35" t="str">
            <v>C.H. NIHUIL I - PEDRO VARGAS</v>
          </cell>
          <cell r="E35">
            <v>132</v>
          </cell>
          <cell r="F35">
            <v>46.5</v>
          </cell>
        </row>
        <row r="36">
          <cell r="C36">
            <v>20</v>
          </cell>
          <cell r="D36" t="str">
            <v>N AN JUAN - SAN JUAN</v>
          </cell>
          <cell r="E36">
            <v>220</v>
          </cell>
          <cell r="F36">
            <v>4.5</v>
          </cell>
        </row>
        <row r="37">
          <cell r="C37">
            <v>21</v>
          </cell>
          <cell r="D37" t="str">
            <v>SAN JUAN - CAÑADA HONDA</v>
          </cell>
          <cell r="E37">
            <v>132</v>
          </cell>
          <cell r="F37">
            <v>54.4</v>
          </cell>
          <cell r="HF37">
            <v>1</v>
          </cell>
          <cell r="HG37">
            <v>1</v>
          </cell>
        </row>
        <row r="42">
          <cell r="GZ42">
            <v>1.2</v>
          </cell>
          <cell r="HA42">
            <v>1.04</v>
          </cell>
          <cell r="HB42">
            <v>1.2</v>
          </cell>
          <cell r="HC42">
            <v>1.12</v>
          </cell>
          <cell r="HD42">
            <v>1.12</v>
          </cell>
          <cell r="HE42">
            <v>1.2</v>
          </cell>
          <cell r="HF42">
            <v>1.04</v>
          </cell>
          <cell r="HG42">
            <v>1.12</v>
          </cell>
          <cell r="HH42">
            <v>1.04</v>
          </cell>
          <cell r="HI42">
            <v>0.88</v>
          </cell>
          <cell r="HJ42">
            <v>0.96</v>
          </cell>
          <cell r="HK42">
            <v>0.96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</sheetNames>
    <sheetDataSet>
      <sheetData sheetId="0"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1" width="18.8515625" style="10" customWidth="1"/>
    <col min="2" max="2" width="7.7109375" style="10" customWidth="1"/>
    <col min="3" max="3" width="9.8515625" style="10" customWidth="1"/>
    <col min="4" max="4" width="8.421875" style="10" customWidth="1"/>
    <col min="5" max="5" width="9.421875" style="10" customWidth="1"/>
    <col min="6" max="7" width="17.7109375" style="10" customWidth="1"/>
    <col min="8" max="8" width="8.00390625" style="10" customWidth="1"/>
    <col min="9" max="9" width="15.7109375" style="10" customWidth="1"/>
    <col min="10" max="10" width="13.28125" style="10" customWidth="1"/>
    <col min="11" max="11" width="15.7109375" style="10" customWidth="1"/>
    <col min="12" max="13" width="11.421875" style="10" customWidth="1"/>
    <col min="14" max="14" width="14.140625" style="10" customWidth="1"/>
    <col min="15" max="15" width="11.421875" style="10" customWidth="1"/>
    <col min="16" max="16" width="14.7109375" style="10" customWidth="1"/>
    <col min="17" max="17" width="11.421875" style="10" customWidth="1"/>
    <col min="18" max="18" width="12.00390625" style="10" customWidth="1"/>
    <col min="19" max="16384" width="11.421875" style="10" customWidth="1"/>
  </cols>
  <sheetData>
    <row r="1" spans="2:11" s="6" customFormat="1" ht="26.25">
      <c r="B1" s="7"/>
      <c r="K1" s="393"/>
    </row>
    <row r="2" spans="2:10" s="6" customFormat="1" ht="26.25">
      <c r="B2" s="7" t="s">
        <v>160</v>
      </c>
      <c r="C2" s="8"/>
      <c r="D2" s="9"/>
      <c r="E2" s="9"/>
      <c r="F2" s="9"/>
      <c r="G2" s="9"/>
      <c r="H2" s="9"/>
      <c r="I2" s="9"/>
      <c r="J2" s="9"/>
    </row>
    <row r="3" spans="3:19" ht="12.75">
      <c r="C3" s="1"/>
      <c r="D3" s="11"/>
      <c r="E3" s="11"/>
      <c r="F3" s="11"/>
      <c r="G3" s="11"/>
      <c r="H3" s="11"/>
      <c r="I3" s="11"/>
      <c r="J3" s="11"/>
      <c r="P3" s="12"/>
      <c r="Q3" s="12"/>
      <c r="R3" s="12"/>
      <c r="S3" s="12"/>
    </row>
    <row r="4" spans="1:19" s="13" customFormat="1" ht="11.25">
      <c r="A4" s="847" t="s">
        <v>3</v>
      </c>
      <c r="B4" s="847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s="13" customFormat="1" ht="11.25">
      <c r="A5" s="847" t="s">
        <v>147</v>
      </c>
      <c r="B5" s="847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2:19" s="6" customFormat="1" ht="8.25" customHeight="1">
      <c r="B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2:19" s="17" customFormat="1" ht="19.5">
      <c r="B7" s="18" t="s">
        <v>0</v>
      </c>
      <c r="C7" s="19"/>
      <c r="D7" s="20"/>
      <c r="E7" s="20"/>
      <c r="F7" s="21"/>
      <c r="G7" s="21"/>
      <c r="H7" s="21"/>
      <c r="I7" s="21"/>
      <c r="J7" s="21"/>
      <c r="K7" s="22"/>
      <c r="L7" s="22"/>
      <c r="M7" s="22"/>
      <c r="N7" s="22"/>
      <c r="O7" s="22"/>
      <c r="P7" s="22"/>
      <c r="Q7" s="22"/>
      <c r="R7" s="22"/>
      <c r="S7" s="22"/>
    </row>
    <row r="8" spans="9:19" ht="12.75"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19" s="17" customFormat="1" ht="19.5">
      <c r="B9" s="18" t="s">
        <v>1</v>
      </c>
      <c r="C9" s="19"/>
      <c r="D9" s="20"/>
      <c r="E9" s="20"/>
      <c r="F9" s="21"/>
      <c r="G9" s="21"/>
      <c r="H9" s="21"/>
      <c r="I9" s="21"/>
      <c r="J9" s="21"/>
      <c r="K9" s="22"/>
      <c r="L9" s="22"/>
      <c r="M9" s="22"/>
      <c r="N9" s="22"/>
      <c r="O9" s="22"/>
      <c r="P9" s="22"/>
      <c r="Q9" s="22"/>
      <c r="R9" s="22"/>
      <c r="S9" s="22"/>
    </row>
    <row r="10" spans="4:19" ht="12.75">
      <c r="D10" s="23"/>
      <c r="E10" s="23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2:19" s="17" customFormat="1" ht="19.5">
      <c r="B11" s="18" t="s">
        <v>148</v>
      </c>
      <c r="C11" s="19"/>
      <c r="D11" s="20"/>
      <c r="E11" s="20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</row>
    <row r="12" spans="4:19" s="24" customFormat="1" ht="16.5" thickBot="1">
      <c r="D12" s="25"/>
      <c r="E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2:19" s="24" customFormat="1" ht="16.5" thickTop="1">
      <c r="B13" s="27">
        <v>1</v>
      </c>
      <c r="C13" s="28" t="b">
        <v>0</v>
      </c>
      <c r="D13" s="29"/>
      <c r="E13" s="29"/>
      <c r="F13" s="29"/>
      <c r="G13" s="29"/>
      <c r="H13" s="29"/>
      <c r="I13" s="29"/>
      <c r="J13" s="30"/>
      <c r="K13" s="26"/>
      <c r="L13" s="26"/>
      <c r="M13" s="26"/>
      <c r="N13" s="26"/>
      <c r="O13" s="26"/>
      <c r="P13" s="26"/>
      <c r="Q13" s="26"/>
      <c r="R13" s="26"/>
      <c r="S13" s="26"/>
    </row>
    <row r="14" spans="2:19" s="17" customFormat="1" ht="19.5">
      <c r="B14" s="31" t="s">
        <v>62</v>
      </c>
      <c r="C14" s="32"/>
      <c r="D14" s="33"/>
      <c r="E14" s="34"/>
      <c r="F14" s="34"/>
      <c r="G14" s="34"/>
      <c r="H14" s="34"/>
      <c r="I14" s="21"/>
      <c r="J14" s="35"/>
      <c r="K14" s="22"/>
      <c r="L14" s="22"/>
      <c r="M14" s="22"/>
      <c r="N14" s="22"/>
      <c r="O14" s="22"/>
      <c r="P14" s="22"/>
      <c r="Q14" s="22"/>
      <c r="R14" s="22"/>
      <c r="S14" s="22"/>
    </row>
    <row r="15" spans="2:19" s="17" customFormat="1" ht="19.5" hidden="1">
      <c r="B15" s="36"/>
      <c r="C15" s="37"/>
      <c r="D15" s="37"/>
      <c r="E15" s="22"/>
      <c r="F15" s="38"/>
      <c r="G15" s="38"/>
      <c r="H15" s="38"/>
      <c r="I15" s="22"/>
      <c r="J15" s="39"/>
      <c r="K15" s="22"/>
      <c r="L15" s="22"/>
      <c r="M15" s="22"/>
      <c r="N15" s="22"/>
      <c r="O15" s="22"/>
      <c r="P15" s="22"/>
      <c r="Q15" s="22"/>
      <c r="R15" s="22"/>
      <c r="S15" s="22"/>
    </row>
    <row r="16" spans="2:19" s="17" customFormat="1" ht="19.5" hidden="1">
      <c r="B16" s="31" t="s">
        <v>5</v>
      </c>
      <c r="C16" s="40"/>
      <c r="D16" s="40"/>
      <c r="E16" s="21"/>
      <c r="F16" s="34"/>
      <c r="G16" s="34"/>
      <c r="H16" s="34"/>
      <c r="I16" s="21"/>
      <c r="J16" s="35"/>
      <c r="K16" s="1"/>
      <c r="L16" s="22"/>
      <c r="M16" s="22"/>
      <c r="N16" s="22"/>
      <c r="O16" s="22"/>
      <c r="P16" s="22"/>
      <c r="Q16" s="22"/>
      <c r="R16" s="22"/>
      <c r="S16" s="22"/>
    </row>
    <row r="17" spans="2:19" s="17" customFormat="1" ht="19.5">
      <c r="B17" s="36"/>
      <c r="C17" s="37"/>
      <c r="D17" s="37"/>
      <c r="E17" s="22"/>
      <c r="F17" s="38"/>
      <c r="G17" s="38"/>
      <c r="H17" s="38"/>
      <c r="I17" s="22"/>
      <c r="J17" s="39"/>
      <c r="K17" s="1"/>
      <c r="L17" s="22"/>
      <c r="M17" s="22"/>
      <c r="N17" s="22"/>
      <c r="O17" s="22"/>
      <c r="P17" s="22"/>
      <c r="Q17" s="22"/>
      <c r="R17" s="22"/>
      <c r="S17" s="22"/>
    </row>
    <row r="18" spans="2:19" s="17" customFormat="1" ht="19.5">
      <c r="B18" s="36"/>
      <c r="C18" s="41" t="s">
        <v>6</v>
      </c>
      <c r="D18" s="42" t="s">
        <v>2</v>
      </c>
      <c r="E18" s="22"/>
      <c r="F18" s="38"/>
      <c r="G18" s="38"/>
      <c r="H18" s="38"/>
      <c r="J18" s="39"/>
      <c r="K18" s="22"/>
      <c r="L18" s="22"/>
      <c r="M18" s="22"/>
      <c r="N18" s="22"/>
      <c r="O18" s="22"/>
      <c r="P18" s="22"/>
      <c r="Q18" s="22"/>
      <c r="R18" s="22"/>
      <c r="S18" s="22"/>
    </row>
    <row r="19" spans="2:19" s="17" customFormat="1" ht="19.5">
      <c r="B19" s="36"/>
      <c r="C19" s="41"/>
      <c r="D19" s="41" t="s">
        <v>136</v>
      </c>
      <c r="E19" s="51" t="s">
        <v>141</v>
      </c>
      <c r="F19" s="38"/>
      <c r="G19" s="38"/>
      <c r="H19" s="38"/>
      <c r="I19" s="43">
        <f>'LI-04 (1)'!AA41</f>
        <v>2157.16</v>
      </c>
      <c r="J19" s="39"/>
      <c r="K19" s="22"/>
      <c r="L19" s="22"/>
      <c r="M19" s="22"/>
      <c r="N19" s="22"/>
      <c r="O19" s="22"/>
      <c r="P19" s="22"/>
      <c r="Q19" s="22"/>
      <c r="R19" s="22"/>
      <c r="S19" s="22"/>
    </row>
    <row r="20" spans="2:19" s="17" customFormat="1" ht="19.5">
      <c r="B20" s="36"/>
      <c r="C20" s="41"/>
      <c r="D20" s="41" t="s">
        <v>135</v>
      </c>
      <c r="E20" s="51" t="s">
        <v>143</v>
      </c>
      <c r="F20" s="38"/>
      <c r="G20" s="38"/>
      <c r="H20" s="38"/>
      <c r="I20" s="43">
        <f>'LI-LICCSA D-04 (1)'!AA44</f>
        <v>119.96</v>
      </c>
      <c r="J20" s="39"/>
      <c r="K20" s="22"/>
      <c r="L20" s="22"/>
      <c r="M20" s="22"/>
      <c r="N20" s="22"/>
      <c r="O20" s="22"/>
      <c r="P20" s="22"/>
      <c r="Q20" s="22"/>
      <c r="R20" s="22"/>
      <c r="S20" s="22"/>
    </row>
    <row r="21" spans="2:19" s="17" customFormat="1" ht="19.5">
      <c r="B21" s="36"/>
      <c r="C21" s="41"/>
      <c r="D21" s="42"/>
      <c r="E21" s="22"/>
      <c r="F21" s="38"/>
      <c r="G21" s="38"/>
      <c r="H21" s="38"/>
      <c r="I21" s="43"/>
      <c r="J21" s="39"/>
      <c r="K21" s="22"/>
      <c r="L21" s="22"/>
      <c r="M21" s="22"/>
      <c r="N21" s="22"/>
      <c r="O21" s="22"/>
      <c r="P21" s="22"/>
      <c r="Q21" s="22"/>
      <c r="R21" s="22"/>
      <c r="S21" s="22"/>
    </row>
    <row r="22" spans="2:19" ht="13.5">
      <c r="B22" s="44"/>
      <c r="C22" s="45"/>
      <c r="D22" s="46"/>
      <c r="E22" s="12"/>
      <c r="F22" s="47"/>
      <c r="G22" s="47"/>
      <c r="H22" s="47"/>
      <c r="I22" s="48"/>
      <c r="J22" s="49"/>
      <c r="K22" s="12"/>
      <c r="L22" s="12"/>
      <c r="M22" s="12"/>
      <c r="N22" s="12"/>
      <c r="O22" s="12"/>
      <c r="P22" s="12"/>
      <c r="Q22" s="12"/>
      <c r="R22" s="12"/>
      <c r="S22" s="12"/>
    </row>
    <row r="23" spans="2:19" s="17" customFormat="1" ht="19.5">
      <c r="B23" s="36"/>
      <c r="C23" s="41" t="s">
        <v>7</v>
      </c>
      <c r="D23" s="42" t="s">
        <v>8</v>
      </c>
      <c r="E23" s="22"/>
      <c r="F23" s="38"/>
      <c r="G23" s="38"/>
      <c r="H23" s="38"/>
      <c r="I23" s="43"/>
      <c r="J23" s="39"/>
      <c r="K23" s="22"/>
      <c r="L23" s="22"/>
      <c r="M23" s="22"/>
      <c r="N23" s="22"/>
      <c r="O23" s="22"/>
      <c r="P23" s="22"/>
      <c r="Q23" s="22"/>
      <c r="R23" s="22"/>
      <c r="S23" s="22"/>
    </row>
    <row r="24" spans="2:19" ht="13.5">
      <c r="B24" s="44"/>
      <c r="C24" s="45"/>
      <c r="D24" s="45"/>
      <c r="E24" s="12"/>
      <c r="F24" s="47"/>
      <c r="G24" s="47"/>
      <c r="H24" s="47"/>
      <c r="I24" s="50"/>
      <c r="J24" s="49"/>
      <c r="K24" s="12"/>
      <c r="L24" s="12"/>
      <c r="M24" s="12"/>
      <c r="N24" s="12"/>
      <c r="O24" s="12"/>
      <c r="P24" s="12"/>
      <c r="Q24" s="12"/>
      <c r="R24" s="12"/>
      <c r="S24" s="12"/>
    </row>
    <row r="25" spans="2:19" s="17" customFormat="1" ht="19.5">
      <c r="B25" s="36"/>
      <c r="C25" s="41"/>
      <c r="D25" s="41" t="s">
        <v>9</v>
      </c>
      <c r="E25" s="51" t="s">
        <v>10</v>
      </c>
      <c r="F25" s="38"/>
      <c r="G25" s="38"/>
      <c r="H25" s="38"/>
      <c r="I25" s="43">
        <f>'T-04 (1)'!AC42</f>
        <v>311.6</v>
      </c>
      <c r="J25" s="39"/>
      <c r="K25" s="22"/>
      <c r="L25" s="22"/>
      <c r="M25" s="22"/>
      <c r="N25" s="22"/>
      <c r="O25" s="22"/>
      <c r="P25" s="22"/>
      <c r="Q25" s="22"/>
      <c r="R25" s="22"/>
      <c r="S25" s="22"/>
    </row>
    <row r="26" spans="2:19" ht="13.5">
      <c r="B26" s="44"/>
      <c r="C26" s="45"/>
      <c r="D26" s="45"/>
      <c r="E26" s="12"/>
      <c r="F26" s="47"/>
      <c r="G26" s="47"/>
      <c r="H26" s="47"/>
      <c r="I26" s="50"/>
      <c r="J26" s="49"/>
      <c r="K26" s="12"/>
      <c r="L26" s="12"/>
      <c r="M26" s="12"/>
      <c r="N26" s="12"/>
      <c r="O26" s="12"/>
      <c r="P26" s="12"/>
      <c r="Q26" s="12"/>
      <c r="R26" s="12"/>
      <c r="S26" s="12"/>
    </row>
    <row r="27" spans="2:19" s="17" customFormat="1" ht="19.5">
      <c r="B27" s="36"/>
      <c r="C27" s="41"/>
      <c r="D27" s="41" t="s">
        <v>11</v>
      </c>
      <c r="E27" s="51" t="s">
        <v>12</v>
      </c>
      <c r="F27" s="38"/>
      <c r="G27" s="38"/>
      <c r="H27" s="38"/>
      <c r="I27" s="43">
        <f>'SA-04 (1)'!V43</f>
        <v>7704.51</v>
      </c>
      <c r="J27" s="39"/>
      <c r="K27" s="22"/>
      <c r="L27" s="22"/>
      <c r="M27" s="22"/>
      <c r="N27" s="22"/>
      <c r="O27" s="22"/>
      <c r="P27" s="22"/>
      <c r="Q27" s="22"/>
      <c r="R27" s="22"/>
      <c r="S27" s="22"/>
    </row>
    <row r="28" spans="2:19" s="17" customFormat="1" ht="19.5">
      <c r="B28" s="36"/>
      <c r="C28" s="41"/>
      <c r="D28" s="41"/>
      <c r="E28" s="51"/>
      <c r="F28" s="38"/>
      <c r="G28" s="38"/>
      <c r="H28" s="38"/>
      <c r="I28" s="43"/>
      <c r="J28" s="39"/>
      <c r="K28" s="22"/>
      <c r="L28" s="22"/>
      <c r="M28" s="22"/>
      <c r="N28" s="22"/>
      <c r="O28" s="22"/>
      <c r="P28" s="22"/>
      <c r="Q28" s="22"/>
      <c r="R28" s="22"/>
      <c r="S28" s="22"/>
    </row>
    <row r="29" spans="2:19" s="17" customFormat="1" ht="19.5">
      <c r="B29" s="36"/>
      <c r="C29" s="751" t="s">
        <v>132</v>
      </c>
      <c r="D29" s="752" t="s">
        <v>133</v>
      </c>
      <c r="E29" s="753"/>
      <c r="F29" s="754"/>
      <c r="G29" s="754"/>
      <c r="H29" s="754"/>
      <c r="I29" s="755"/>
      <c r="J29" s="39"/>
      <c r="K29" s="22"/>
      <c r="L29" s="22"/>
      <c r="M29" s="22"/>
      <c r="N29" s="22"/>
      <c r="O29" s="22"/>
      <c r="P29" s="22"/>
      <c r="Q29" s="22"/>
      <c r="R29" s="22"/>
      <c r="S29" s="22"/>
    </row>
    <row r="30" spans="2:19" s="17" customFormat="1" ht="19.5">
      <c r="B30" s="36"/>
      <c r="C30" s="756"/>
      <c r="D30" s="756" t="s">
        <v>134</v>
      </c>
      <c r="E30" s="753" t="s">
        <v>144</v>
      </c>
      <c r="F30" s="754"/>
      <c r="G30" s="754"/>
      <c r="H30" s="754"/>
      <c r="I30" s="755">
        <f>'SUP-LICCSA D'!I55</f>
        <v>49.139622873892776</v>
      </c>
      <c r="J30" s="39"/>
      <c r="K30" s="22"/>
      <c r="L30" s="22"/>
      <c r="M30" s="22"/>
      <c r="N30" s="22"/>
      <c r="O30" s="22"/>
      <c r="P30" s="22"/>
      <c r="Q30" s="22"/>
      <c r="R30" s="22"/>
      <c r="S30" s="22"/>
    </row>
    <row r="31" spans="2:19" s="17" customFormat="1" ht="19.5">
      <c r="B31" s="36"/>
      <c r="C31" s="756"/>
      <c r="D31" s="756"/>
      <c r="E31" s="753"/>
      <c r="F31" s="754"/>
      <c r="G31" s="754"/>
      <c r="H31" s="754"/>
      <c r="I31" s="755"/>
      <c r="J31" s="39"/>
      <c r="K31" s="22"/>
      <c r="L31" s="22"/>
      <c r="M31" s="22"/>
      <c r="N31" s="22"/>
      <c r="O31" s="22"/>
      <c r="P31" s="22"/>
      <c r="Q31" s="22"/>
      <c r="R31" s="22"/>
      <c r="S31" s="22"/>
    </row>
    <row r="32" spans="2:19" s="17" customFormat="1" ht="20.25" thickBot="1">
      <c r="B32" s="36"/>
      <c r="C32" s="37"/>
      <c r="D32" s="37"/>
      <c r="E32" s="22"/>
      <c r="F32" s="38"/>
      <c r="G32" s="38"/>
      <c r="H32" s="38"/>
      <c r="I32" s="22"/>
      <c r="J32" s="39"/>
      <c r="K32" s="22"/>
      <c r="L32" s="22"/>
      <c r="M32" s="22"/>
      <c r="N32" s="22"/>
      <c r="O32" s="22"/>
      <c r="P32" s="22"/>
      <c r="Q32" s="22"/>
      <c r="R32" s="22"/>
      <c r="S32" s="22"/>
    </row>
    <row r="33" spans="2:19" s="17" customFormat="1" ht="20.25" thickBot="1" thickTop="1">
      <c r="B33" s="36"/>
      <c r="C33" s="41"/>
      <c r="D33" s="41"/>
      <c r="F33" s="52" t="s">
        <v>13</v>
      </c>
      <c r="G33" s="53">
        <f>SUM(I19:I30)</f>
        <v>10342.369622873892</v>
      </c>
      <c r="H33" s="54"/>
      <c r="J33" s="39"/>
      <c r="K33" s="22"/>
      <c r="L33" s="22"/>
      <c r="M33" s="22"/>
      <c r="N33" s="22"/>
      <c r="O33" s="22"/>
      <c r="P33" s="22"/>
      <c r="Q33" s="22"/>
      <c r="R33" s="22"/>
      <c r="S33" s="22"/>
    </row>
    <row r="34" spans="2:19" s="17" customFormat="1" ht="19.5" thickTop="1">
      <c r="B34" s="36"/>
      <c r="C34" s="41"/>
      <c r="D34" s="41"/>
      <c r="F34" s="395"/>
      <c r="G34" s="54"/>
      <c r="H34" s="54"/>
      <c r="J34" s="39"/>
      <c r="K34" s="22"/>
      <c r="L34" s="22"/>
      <c r="M34" s="22"/>
      <c r="N34" s="22"/>
      <c r="O34" s="22"/>
      <c r="P34" s="22"/>
      <c r="Q34" s="22"/>
      <c r="R34" s="22"/>
      <c r="S34" s="22"/>
    </row>
    <row r="35" spans="2:19" s="17" customFormat="1" ht="18.75">
      <c r="B35" s="36"/>
      <c r="C35" s="396" t="s">
        <v>146</v>
      </c>
      <c r="D35" s="41"/>
      <c r="F35" s="395"/>
      <c r="G35" s="54"/>
      <c r="H35" s="54"/>
      <c r="J35" s="39"/>
      <c r="K35" s="22"/>
      <c r="L35" s="22"/>
      <c r="M35" s="22"/>
      <c r="N35" s="22"/>
      <c r="O35" s="22"/>
      <c r="P35" s="22"/>
      <c r="Q35" s="22"/>
      <c r="R35" s="22"/>
      <c r="S35" s="22"/>
    </row>
    <row r="36" spans="2:19" s="24" customFormat="1" ht="16.5" thickBot="1">
      <c r="B36" s="55"/>
      <c r="C36" s="56"/>
      <c r="D36" s="56"/>
      <c r="E36" s="57"/>
      <c r="F36" s="57"/>
      <c r="G36" s="57"/>
      <c r="H36" s="57"/>
      <c r="I36" s="57"/>
      <c r="J36" s="58"/>
      <c r="K36" s="26"/>
      <c r="L36" s="26"/>
      <c r="M36" s="59"/>
      <c r="N36" s="60"/>
      <c r="O36" s="60"/>
      <c r="P36" s="61"/>
      <c r="Q36" s="62"/>
      <c r="R36" s="26"/>
      <c r="S36" s="26"/>
    </row>
    <row r="37" spans="4:19" ht="13.5" thickTop="1">
      <c r="D37" s="12"/>
      <c r="F37" s="12"/>
      <c r="G37" s="12"/>
      <c r="H37" s="12"/>
      <c r="I37" s="12"/>
      <c r="J37" s="12"/>
      <c r="K37" s="12"/>
      <c r="L37" s="12"/>
      <c r="M37" s="63"/>
      <c r="N37" s="64"/>
      <c r="O37" s="64"/>
      <c r="P37" s="12"/>
      <c r="Q37" s="4"/>
      <c r="R37" s="12"/>
      <c r="S37" s="12"/>
    </row>
    <row r="38" spans="4:19" ht="12.75">
      <c r="D38" s="12"/>
      <c r="F38" s="12"/>
      <c r="G38" s="12"/>
      <c r="H38" s="12"/>
      <c r="I38" s="12"/>
      <c r="J38" s="12"/>
      <c r="K38" s="12"/>
      <c r="L38" s="12"/>
      <c r="M38" s="12"/>
      <c r="N38" s="65"/>
      <c r="O38" s="65"/>
      <c r="P38" s="66"/>
      <c r="Q38" s="4"/>
      <c r="R38" s="12"/>
      <c r="S38" s="12"/>
    </row>
    <row r="39" spans="4:19" ht="12.75"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65"/>
      <c r="O39" s="65"/>
      <c r="P39" s="66"/>
      <c r="Q39" s="4"/>
      <c r="R39" s="12"/>
      <c r="S39" s="12"/>
    </row>
    <row r="40" spans="4:19" ht="12.75">
      <c r="D40" s="12"/>
      <c r="E40" s="12"/>
      <c r="L40" s="12"/>
      <c r="M40" s="12"/>
      <c r="N40" s="12"/>
      <c r="O40" s="12"/>
      <c r="P40" s="12"/>
      <c r="Q40" s="12"/>
      <c r="R40" s="12"/>
      <c r="S40" s="12"/>
    </row>
    <row r="41" spans="4:19" ht="12.75">
      <c r="D41" s="12"/>
      <c r="E41" s="12"/>
      <c r="P41" s="12"/>
      <c r="Q41" s="12"/>
      <c r="R41" s="12"/>
      <c r="S41" s="12"/>
    </row>
    <row r="42" spans="4:19" ht="12.75">
      <c r="D42" s="12"/>
      <c r="E42" s="12"/>
      <c r="P42" s="12"/>
      <c r="Q42" s="12"/>
      <c r="R42" s="12"/>
      <c r="S42" s="12"/>
    </row>
    <row r="43" spans="4:19" ht="12.75">
      <c r="D43" s="12"/>
      <c r="E43" s="12"/>
      <c r="P43" s="12"/>
      <c r="Q43" s="12"/>
      <c r="R43" s="12"/>
      <c r="S43" s="12"/>
    </row>
    <row r="44" spans="4:19" ht="12.75">
      <c r="D44" s="12"/>
      <c r="E44" s="12"/>
      <c r="P44" s="12"/>
      <c r="Q44" s="12"/>
      <c r="R44" s="12"/>
      <c r="S44" s="12"/>
    </row>
    <row r="45" spans="4:19" ht="12.75">
      <c r="D45" s="12"/>
      <c r="E45" s="12"/>
      <c r="P45" s="12"/>
      <c r="Q45" s="12"/>
      <c r="R45" s="12"/>
      <c r="S45" s="12"/>
    </row>
    <row r="46" spans="16:19" ht="12.75">
      <c r="P46" s="12"/>
      <c r="Q46" s="12"/>
      <c r="R46" s="12"/>
      <c r="S46" s="12"/>
    </row>
    <row r="47" spans="16:19" ht="12.75">
      <c r="P47" s="12"/>
      <c r="Q47" s="12"/>
      <c r="R47" s="12"/>
      <c r="S47" s="12"/>
    </row>
  </sheetData>
  <sheetProtection/>
  <mergeCells count="2">
    <mergeCell ref="A4:B4"/>
    <mergeCell ref="A5:B5"/>
  </mergeCells>
  <printOptions/>
  <pageMargins left="1.25" right="0.1968503937007874" top="0.7874015748031497" bottom="0.7874015748031497" header="0.5118110236220472" footer="0.5118110236220472"/>
  <pageSetup fitToHeight="1" fitToWidth="1" orientation="landscape" paperSize="9" scale="82" r:id="rId2"/>
  <headerFooter alignWithMargins="0">
    <oddFooter>&amp;L&amp;"Times New Roman,Normal"&amp;8&amp;Z&amp;F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9"/>
  <sheetViews>
    <sheetView zoomScale="70" zoomScaleNormal="70" zoomScalePageLayoutView="0" workbookViewId="0" topLeftCell="B2">
      <selection activeCell="J28" sqref="J28"/>
    </sheetView>
  </sheetViews>
  <sheetFormatPr defaultColWidth="11.421875" defaultRowHeight="12.75"/>
  <cols>
    <col min="1" max="1" width="18.8515625" style="1" customWidth="1"/>
    <col min="2" max="2" width="4.140625" style="1" customWidth="1"/>
    <col min="3" max="3" width="5.57421875" style="1" customWidth="1"/>
    <col min="4" max="5" width="13.57421875" style="1" customWidth="1"/>
    <col min="6" max="6" width="45.7109375" style="1" customWidth="1"/>
    <col min="7" max="7" width="8.7109375" style="1" customWidth="1"/>
    <col min="8" max="8" width="9.7109375" style="1" customWidth="1"/>
    <col min="9" max="9" width="14.28125" style="1" hidden="1" customWidth="1"/>
    <col min="10" max="11" width="15.7109375" style="1" customWidth="1"/>
    <col min="12" max="14" width="9.7109375" style="1" customWidth="1"/>
    <col min="15" max="15" width="8.7109375" style="1" customWidth="1"/>
    <col min="16" max="17" width="14.7109375" style="1" hidden="1" customWidth="1"/>
    <col min="18" max="18" width="15.421875" style="1" hidden="1" customWidth="1"/>
    <col min="19" max="19" width="13.8515625" style="1" hidden="1" customWidth="1"/>
    <col min="20" max="25" width="14.00390625" style="1" hidden="1" customWidth="1"/>
    <col min="26" max="26" width="9.7109375" style="1" customWidth="1"/>
    <col min="27" max="27" width="15.7109375" style="1" customWidth="1"/>
    <col min="28" max="28" width="4.140625" style="1" customWidth="1"/>
    <col min="29" max="16384" width="11.421875" style="1" customWidth="1"/>
  </cols>
  <sheetData>
    <row r="1" s="6" customFormat="1" ht="29.25" customHeight="1">
      <c r="AB1" s="393"/>
    </row>
    <row r="2" spans="2:28" s="6" customFormat="1" ht="26.25">
      <c r="B2" s="67" t="str">
        <f>+'TOT-0413'!B2</f>
        <v>ANEXO V al Memorándum  D.T.E.E.  N° 376 / 2014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2:28" s="10" customFormat="1" ht="12.75">
      <c r="B3" s="68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" s="13" customFormat="1" ht="11.25">
      <c r="A4" s="69" t="s">
        <v>3</v>
      </c>
      <c r="B4" s="69"/>
    </row>
    <row r="5" spans="1:2" s="13" customFormat="1" ht="11.25">
      <c r="A5" s="69" t="s">
        <v>4</v>
      </c>
      <c r="B5" s="69"/>
    </row>
    <row r="6" s="10" customFormat="1" ht="16.5" customHeight="1" thickBot="1"/>
    <row r="7" spans="2:28" s="10" customFormat="1" ht="16.5" customHeight="1" thickTop="1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2"/>
    </row>
    <row r="8" spans="2:28" s="73" customFormat="1" ht="20.25">
      <c r="B8" s="74"/>
      <c r="F8" s="75" t="s">
        <v>14</v>
      </c>
      <c r="G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7"/>
    </row>
    <row r="9" spans="2:28" s="10" customFormat="1" ht="16.5" customHeight="1">
      <c r="B9" s="44"/>
      <c r="F9" s="78"/>
      <c r="G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49"/>
    </row>
    <row r="10" spans="2:28" s="73" customFormat="1" ht="20.25">
      <c r="B10" s="74"/>
      <c r="F10" s="75" t="s">
        <v>140</v>
      </c>
      <c r="G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</row>
    <row r="11" spans="2:28" s="10" customFormat="1" ht="16.5" customHeight="1">
      <c r="B11" s="44"/>
      <c r="C11" s="78"/>
      <c r="D11" s="78"/>
      <c r="E11" s="78"/>
      <c r="G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49"/>
    </row>
    <row r="12" spans="2:28" s="17" customFormat="1" ht="19.5">
      <c r="B12" s="31" t="str">
        <f>+'TOT-0413'!B14</f>
        <v>Desde el 01 al 30 de abril de 2013</v>
      </c>
      <c r="C12" s="79"/>
      <c r="D12" s="79"/>
      <c r="E12" s="79"/>
      <c r="F12" s="34"/>
      <c r="G12" s="34"/>
      <c r="H12" s="80"/>
      <c r="I12" s="81"/>
      <c r="J12" s="80"/>
      <c r="K12" s="81"/>
      <c r="L12" s="81"/>
      <c r="M12" s="81"/>
      <c r="N12" s="81"/>
      <c r="O12" s="81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82"/>
    </row>
    <row r="13" spans="2:28" s="10" customFormat="1" ht="16.5" customHeight="1" thickBot="1">
      <c r="B13" s="44"/>
      <c r="C13" s="12"/>
      <c r="D13" s="12"/>
      <c r="E13" s="12"/>
      <c r="F13" s="12"/>
      <c r="G13" s="83"/>
      <c r="H13" s="84"/>
      <c r="I13" s="85"/>
      <c r="J13" s="85"/>
      <c r="K13" s="85"/>
      <c r="L13" s="85"/>
      <c r="M13" s="85"/>
      <c r="N13" s="85"/>
      <c r="O13" s="85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49"/>
    </row>
    <row r="14" spans="2:28" s="10" customFormat="1" ht="16.5" customHeight="1" thickBot="1" thickTop="1">
      <c r="B14" s="44"/>
      <c r="C14" s="12"/>
      <c r="D14" s="12"/>
      <c r="E14" s="12"/>
      <c r="F14" s="86" t="s">
        <v>15</v>
      </c>
      <c r="G14" s="87">
        <v>356.878</v>
      </c>
      <c r="H14" s="88"/>
      <c r="I14" s="85"/>
      <c r="J14" s="85"/>
      <c r="K14" s="85"/>
      <c r="L14" s="85"/>
      <c r="M14" s="85"/>
      <c r="N14" s="85"/>
      <c r="O14" s="85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49"/>
    </row>
    <row r="15" spans="2:28" s="10" customFormat="1" ht="16.5" customHeight="1" thickBot="1" thickTop="1">
      <c r="B15" s="44"/>
      <c r="C15" s="12"/>
      <c r="D15" s="12"/>
      <c r="E15" s="12"/>
      <c r="F15" s="86" t="s">
        <v>16</v>
      </c>
      <c r="G15" s="87">
        <v>341.02</v>
      </c>
      <c r="H15" s="89"/>
      <c r="I15" s="12"/>
      <c r="J15" s="90"/>
      <c r="K15" s="91" t="s">
        <v>17</v>
      </c>
      <c r="L15" s="92">
        <f>30*'TOT-0413'!B13</f>
        <v>30</v>
      </c>
      <c r="M15" s="93" t="str">
        <f>IF(L15=30," ",IF(L15=60,"Coeficiente duplicado por tasa de falla &gt;4 Sal. x año/100 km.","REVISAR COEFICIENTE"))</f>
        <v> 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49"/>
    </row>
    <row r="16" spans="2:28" s="10" customFormat="1" ht="16.5" customHeight="1" thickBot="1" thickTop="1">
      <c r="B16" s="44"/>
      <c r="C16" s="12"/>
      <c r="D16" s="12"/>
      <c r="E16" s="12"/>
      <c r="F16" s="86" t="s">
        <v>18</v>
      </c>
      <c r="G16" s="87" t="s">
        <v>67</v>
      </c>
      <c r="H16" s="89"/>
      <c r="I16" s="12"/>
      <c r="J16" s="12"/>
      <c r="K16" s="12"/>
      <c r="L16" s="50"/>
      <c r="M16" s="94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49"/>
    </row>
    <row r="17" spans="2:28" s="10" customFormat="1" ht="16.5" customHeight="1" thickBot="1" thickTop="1">
      <c r="B17" s="44"/>
      <c r="C17" s="12"/>
      <c r="D17" s="400">
        <v>4</v>
      </c>
      <c r="E17" s="400">
        <v>5</v>
      </c>
      <c r="F17" s="400">
        <v>6</v>
      </c>
      <c r="G17" s="400">
        <v>7</v>
      </c>
      <c r="H17" s="400">
        <v>8</v>
      </c>
      <c r="I17" s="400">
        <v>9</v>
      </c>
      <c r="J17" s="400">
        <v>10</v>
      </c>
      <c r="K17" s="400">
        <v>11</v>
      </c>
      <c r="L17" s="400">
        <v>12</v>
      </c>
      <c r="M17" s="400">
        <v>13</v>
      </c>
      <c r="N17" s="400">
        <v>14</v>
      </c>
      <c r="O17" s="400">
        <v>15</v>
      </c>
      <c r="P17" s="400">
        <v>16</v>
      </c>
      <c r="Q17" s="400">
        <v>17</v>
      </c>
      <c r="R17" s="400">
        <v>18</v>
      </c>
      <c r="S17" s="400">
        <v>19</v>
      </c>
      <c r="T17" s="400">
        <v>20</v>
      </c>
      <c r="U17" s="400">
        <v>21</v>
      </c>
      <c r="V17" s="400">
        <v>22</v>
      </c>
      <c r="W17" s="400">
        <v>23</v>
      </c>
      <c r="X17" s="400">
        <v>24</v>
      </c>
      <c r="Y17" s="400">
        <v>25</v>
      </c>
      <c r="Z17" s="400">
        <v>26</v>
      </c>
      <c r="AA17" s="400">
        <v>27</v>
      </c>
      <c r="AB17" s="49"/>
    </row>
    <row r="18" spans="2:28" s="95" customFormat="1" ht="34.5" customHeight="1" thickBot="1" thickTop="1">
      <c r="B18" s="96"/>
      <c r="C18" s="398" t="s">
        <v>19</v>
      </c>
      <c r="D18" s="398" t="s">
        <v>60</v>
      </c>
      <c r="E18" s="398" t="s">
        <v>61</v>
      </c>
      <c r="F18" s="97" t="s">
        <v>2</v>
      </c>
      <c r="G18" s="98" t="s">
        <v>20</v>
      </c>
      <c r="H18" s="98" t="s">
        <v>21</v>
      </c>
      <c r="I18" s="99" t="s">
        <v>22</v>
      </c>
      <c r="J18" s="97" t="s">
        <v>23</v>
      </c>
      <c r="K18" s="97" t="s">
        <v>24</v>
      </c>
      <c r="L18" s="98" t="s">
        <v>25</v>
      </c>
      <c r="M18" s="98" t="s">
        <v>26</v>
      </c>
      <c r="N18" s="98" t="s">
        <v>59</v>
      </c>
      <c r="O18" s="98" t="s">
        <v>27</v>
      </c>
      <c r="P18" s="100" t="s">
        <v>28</v>
      </c>
      <c r="Q18" s="101" t="s">
        <v>29</v>
      </c>
      <c r="R18" s="102" t="s">
        <v>30</v>
      </c>
      <c r="S18" s="103"/>
      <c r="T18" s="104"/>
      <c r="U18" s="105" t="s">
        <v>31</v>
      </c>
      <c r="V18" s="106"/>
      <c r="W18" s="107"/>
      <c r="X18" s="108" t="s">
        <v>32</v>
      </c>
      <c r="Y18" s="109" t="s">
        <v>33</v>
      </c>
      <c r="Z18" s="110" t="s">
        <v>34</v>
      </c>
      <c r="AA18" s="110" t="s">
        <v>35</v>
      </c>
      <c r="AB18" s="111"/>
    </row>
    <row r="19" spans="2:28" s="10" customFormat="1" ht="16.5" customHeight="1" thickTop="1">
      <c r="B19" s="44"/>
      <c r="C19" s="112"/>
      <c r="D19" s="112"/>
      <c r="E19" s="112"/>
      <c r="F19" s="113"/>
      <c r="G19" s="112"/>
      <c r="H19" s="112"/>
      <c r="I19" s="114"/>
      <c r="J19" s="112"/>
      <c r="K19" s="113"/>
      <c r="L19" s="115"/>
      <c r="M19" s="115"/>
      <c r="N19" s="112"/>
      <c r="O19" s="112"/>
      <c r="P19" s="116"/>
      <c r="Q19" s="117"/>
      <c r="R19" s="118"/>
      <c r="S19" s="119"/>
      <c r="T19" s="119"/>
      <c r="U19" s="120"/>
      <c r="V19" s="120"/>
      <c r="W19" s="120"/>
      <c r="X19" s="121"/>
      <c r="Y19" s="122"/>
      <c r="Z19" s="112"/>
      <c r="AA19" s="123"/>
      <c r="AB19" s="49"/>
    </row>
    <row r="20" spans="2:28" s="10" customFormat="1" ht="16.5" customHeight="1">
      <c r="B20" s="44"/>
      <c r="C20" s="124"/>
      <c r="D20" s="124"/>
      <c r="E20" s="124"/>
      <c r="F20" s="125"/>
      <c r="G20" s="125"/>
      <c r="H20" s="124"/>
      <c r="I20" s="126"/>
      <c r="J20" s="124"/>
      <c r="K20" s="127"/>
      <c r="L20" s="128"/>
      <c r="M20" s="128"/>
      <c r="N20" s="124"/>
      <c r="O20" s="124"/>
      <c r="P20" s="129"/>
      <c r="Q20" s="130"/>
      <c r="R20" s="131"/>
      <c r="S20" s="132"/>
      <c r="T20" s="132"/>
      <c r="U20" s="133"/>
      <c r="V20" s="133"/>
      <c r="W20" s="133"/>
      <c r="X20" s="134"/>
      <c r="Y20" s="135"/>
      <c r="Z20" s="124"/>
      <c r="AA20" s="136"/>
      <c r="AB20" s="49"/>
    </row>
    <row r="21" spans="2:28" s="10" customFormat="1" ht="16.5" customHeight="1">
      <c r="B21" s="44"/>
      <c r="C21" s="127">
        <v>1</v>
      </c>
      <c r="D21" s="127">
        <v>259393</v>
      </c>
      <c r="E21" s="127">
        <v>707</v>
      </c>
      <c r="F21" s="125" t="s">
        <v>66</v>
      </c>
      <c r="G21" s="125">
        <v>132</v>
      </c>
      <c r="H21" s="137">
        <v>22</v>
      </c>
      <c r="I21" s="138">
        <f aca="true" t="shared" si="0" ref="I21:I39">IF(G21=220,$G$14*IF(H21&gt;25,H21,25),IF(G21=132,$G$15*IF(H21&gt;25,+H21,25),$G$16*IF(H21&gt;25,H21,25)))/100</f>
        <v>85.255</v>
      </c>
      <c r="J21" s="139">
        <v>41368.38055555556</v>
      </c>
      <c r="K21" s="139">
        <v>41368.68958333333</v>
      </c>
      <c r="L21" s="140">
        <f aca="true" t="shared" si="1" ref="L21:L39">IF(F21="","",(K21-J21)*24)</f>
        <v>7.416666666569654</v>
      </c>
      <c r="M21" s="141">
        <f aca="true" t="shared" si="2" ref="M21:M39">IF(F21="","",ROUND((K21-J21)*24*60,0))</f>
        <v>445</v>
      </c>
      <c r="N21" s="142" t="s">
        <v>63</v>
      </c>
      <c r="O21" s="143" t="str">
        <f aca="true" t="shared" si="3" ref="O21:O39">IF(F21="","","--")</f>
        <v>--</v>
      </c>
      <c r="P21" s="144">
        <f aca="true" t="shared" si="4" ref="P21:P39">IF(N21="P",ROUND(M21/60,2)*I21*$L$15*0.01,"--")</f>
        <v>189.77763</v>
      </c>
      <c r="Q21" s="145" t="str">
        <f aca="true" t="shared" si="5" ref="Q21:Q39">IF(N21="RP",ROUND(M21/60,2)*I21*$L$15*0.01*O21/100,"--")</f>
        <v>--</v>
      </c>
      <c r="R21" s="146" t="str">
        <f aca="true" t="shared" si="6" ref="R21:R39">IF(N21="F",I21*$L$15,"--")</f>
        <v>--</v>
      </c>
      <c r="S21" s="146" t="str">
        <f aca="true" t="shared" si="7" ref="S21:S39">IF(AND(M21&gt;10,N21="F"),$L$15*I21*IF(M21&gt;180,3,ROUND((M21)/60,2)),"--")</f>
        <v>--</v>
      </c>
      <c r="T21" s="147" t="str">
        <f aca="true" t="shared" si="8" ref="T21:T39">IF(AND(N21="F",M21&gt;180),(ROUND(M21/60,2)-3)*I21*$L$15*0.1,"--")</f>
        <v>--</v>
      </c>
      <c r="U21" s="148" t="str">
        <f aca="true" t="shared" si="9" ref="U21:U39">IF(N21="R",I21*$L$15*O21/100,"--")</f>
        <v>--</v>
      </c>
      <c r="V21" s="148" t="str">
        <f aca="true" t="shared" si="10" ref="V21:V39">IF(AND(M21&gt;10,N21="R"),$L$15*I21*O21/100*IF(M21&gt;180,3,ROUND((M21)/60,2)),"--")</f>
        <v>--</v>
      </c>
      <c r="W21" s="149" t="str">
        <f aca="true" t="shared" si="11" ref="W21:W39">IF(AND(N21="R",M21&gt;180),(ROUND(M21/60,2)-3)*I21*$L$15*0.1*O21/100,"--")</f>
        <v>--</v>
      </c>
      <c r="X21" s="150" t="str">
        <f aca="true" t="shared" si="12" ref="X21:X39">IF(N21="RF",ROUND(M21/60,2)*I21*$L$15*0.1,"--")</f>
        <v>--</v>
      </c>
      <c r="Y21" s="151" t="str">
        <f aca="true" t="shared" si="13" ref="Y21:Y39">IF(N21="RR",ROUND(M21/60,2)*I21*$L$15*0.1*O21/100,"--")</f>
        <v>--</v>
      </c>
      <c r="Z21" s="152" t="str">
        <f aca="true" t="shared" si="14" ref="Z21:Z39">IF(F21="","","SI")</f>
        <v>SI</v>
      </c>
      <c r="AA21" s="153">
        <f aca="true" t="shared" si="15" ref="AA21:AA39">IF(F21="","",SUM(P21:Y21)*IF(Z21="SI",1,2))</f>
        <v>189.77763</v>
      </c>
      <c r="AB21" s="154"/>
    </row>
    <row r="22" spans="2:28" s="10" customFormat="1" ht="16.5" customHeight="1">
      <c r="B22" s="44"/>
      <c r="C22" s="127">
        <v>2</v>
      </c>
      <c r="D22" s="127">
        <v>259394</v>
      </c>
      <c r="E22" s="127">
        <v>707</v>
      </c>
      <c r="F22" s="125" t="s">
        <v>66</v>
      </c>
      <c r="G22" s="125">
        <v>132</v>
      </c>
      <c r="H22" s="137">
        <v>22</v>
      </c>
      <c r="I22" s="138">
        <f t="shared" si="0"/>
        <v>85.255</v>
      </c>
      <c r="J22" s="139">
        <v>41369.39722222222</v>
      </c>
      <c r="K22" s="139">
        <v>41369.5625</v>
      </c>
      <c r="L22" s="140">
        <f t="shared" si="1"/>
        <v>3.9666666666744277</v>
      </c>
      <c r="M22" s="141">
        <f t="shared" si="2"/>
        <v>238</v>
      </c>
      <c r="N22" s="142" t="s">
        <v>63</v>
      </c>
      <c r="O22" s="143" t="str">
        <f t="shared" si="3"/>
        <v>--</v>
      </c>
      <c r="P22" s="144">
        <f t="shared" si="4"/>
        <v>101.53870500000001</v>
      </c>
      <c r="Q22" s="145" t="str">
        <f t="shared" si="5"/>
        <v>--</v>
      </c>
      <c r="R22" s="146" t="str">
        <f t="shared" si="6"/>
        <v>--</v>
      </c>
      <c r="S22" s="146" t="str">
        <f t="shared" si="7"/>
        <v>--</v>
      </c>
      <c r="T22" s="147" t="str">
        <f t="shared" si="8"/>
        <v>--</v>
      </c>
      <c r="U22" s="148" t="str">
        <f t="shared" si="9"/>
        <v>--</v>
      </c>
      <c r="V22" s="148" t="str">
        <f t="shared" si="10"/>
        <v>--</v>
      </c>
      <c r="W22" s="149" t="str">
        <f t="shared" si="11"/>
        <v>--</v>
      </c>
      <c r="X22" s="150" t="str">
        <f t="shared" si="12"/>
        <v>--</v>
      </c>
      <c r="Y22" s="151" t="str">
        <f t="shared" si="13"/>
        <v>--</v>
      </c>
      <c r="Z22" s="152" t="str">
        <f t="shared" si="14"/>
        <v>SI</v>
      </c>
      <c r="AA22" s="153">
        <f t="shared" si="15"/>
        <v>101.53870500000001</v>
      </c>
      <c r="AB22" s="154"/>
    </row>
    <row r="23" spans="2:28" s="10" customFormat="1" ht="16.5" customHeight="1">
      <c r="B23" s="44"/>
      <c r="C23" s="127">
        <v>3</v>
      </c>
      <c r="D23" s="127">
        <v>259554</v>
      </c>
      <c r="E23" s="127">
        <v>716</v>
      </c>
      <c r="F23" s="125" t="s">
        <v>64</v>
      </c>
      <c r="G23" s="125">
        <v>132</v>
      </c>
      <c r="H23" s="137">
        <v>46.5</v>
      </c>
      <c r="I23" s="138">
        <f t="shared" si="0"/>
        <v>158.5743</v>
      </c>
      <c r="J23" s="139">
        <v>41378.36319444444</v>
      </c>
      <c r="K23" s="139">
        <v>41378.59097222222</v>
      </c>
      <c r="L23" s="140">
        <f t="shared" si="1"/>
        <v>5.466666666674428</v>
      </c>
      <c r="M23" s="141">
        <f t="shared" si="2"/>
        <v>328</v>
      </c>
      <c r="N23" s="142" t="s">
        <v>63</v>
      </c>
      <c r="O23" s="143" t="str">
        <f t="shared" si="3"/>
        <v>--</v>
      </c>
      <c r="P23" s="144">
        <f t="shared" si="4"/>
        <v>260.2204263</v>
      </c>
      <c r="Q23" s="145" t="str">
        <f t="shared" si="5"/>
        <v>--</v>
      </c>
      <c r="R23" s="146" t="str">
        <f t="shared" si="6"/>
        <v>--</v>
      </c>
      <c r="S23" s="146" t="str">
        <f t="shared" si="7"/>
        <v>--</v>
      </c>
      <c r="T23" s="147" t="str">
        <f t="shared" si="8"/>
        <v>--</v>
      </c>
      <c r="U23" s="148" t="str">
        <f t="shared" si="9"/>
        <v>--</v>
      </c>
      <c r="V23" s="148" t="str">
        <f t="shared" si="10"/>
        <v>--</v>
      </c>
      <c r="W23" s="149" t="str">
        <f t="shared" si="11"/>
        <v>--</v>
      </c>
      <c r="X23" s="150" t="str">
        <f t="shared" si="12"/>
        <v>--</v>
      </c>
      <c r="Y23" s="151" t="str">
        <f t="shared" si="13"/>
        <v>--</v>
      </c>
      <c r="Z23" s="152" t="str">
        <f t="shared" si="14"/>
        <v>SI</v>
      </c>
      <c r="AA23" s="153">
        <f t="shared" si="15"/>
        <v>260.2204263</v>
      </c>
      <c r="AB23" s="154"/>
    </row>
    <row r="24" spans="2:28" s="10" customFormat="1" ht="16.5" customHeight="1">
      <c r="B24" s="44"/>
      <c r="C24" s="127">
        <v>4</v>
      </c>
      <c r="D24" s="127">
        <v>259947</v>
      </c>
      <c r="E24" s="127">
        <v>697</v>
      </c>
      <c r="F24" s="125" t="s">
        <v>65</v>
      </c>
      <c r="G24" s="125">
        <v>220</v>
      </c>
      <c r="H24" s="137">
        <v>177.9</v>
      </c>
      <c r="I24" s="138">
        <f t="shared" si="0"/>
        <v>634.885962</v>
      </c>
      <c r="J24" s="139">
        <v>41388.384722222225</v>
      </c>
      <c r="K24" s="139">
        <v>41388.73611111111</v>
      </c>
      <c r="L24" s="140">
        <f t="shared" si="1"/>
        <v>8.43333333323244</v>
      </c>
      <c r="M24" s="141">
        <f t="shared" si="2"/>
        <v>506</v>
      </c>
      <c r="N24" s="142" t="s">
        <v>63</v>
      </c>
      <c r="O24" s="143" t="str">
        <f t="shared" si="3"/>
        <v>--</v>
      </c>
      <c r="P24" s="144">
        <f t="shared" si="4"/>
        <v>1605.6265978979998</v>
      </c>
      <c r="Q24" s="145" t="str">
        <f t="shared" si="5"/>
        <v>--</v>
      </c>
      <c r="R24" s="146" t="str">
        <f t="shared" si="6"/>
        <v>--</v>
      </c>
      <c r="S24" s="146" t="str">
        <f t="shared" si="7"/>
        <v>--</v>
      </c>
      <c r="T24" s="147" t="str">
        <f t="shared" si="8"/>
        <v>--</v>
      </c>
      <c r="U24" s="148" t="str">
        <f t="shared" si="9"/>
        <v>--</v>
      </c>
      <c r="V24" s="148" t="str">
        <f t="shared" si="10"/>
        <v>--</v>
      </c>
      <c r="W24" s="149" t="str">
        <f t="shared" si="11"/>
        <v>--</v>
      </c>
      <c r="X24" s="150" t="str">
        <f t="shared" si="12"/>
        <v>--</v>
      </c>
      <c r="Y24" s="151" t="str">
        <f t="shared" si="13"/>
        <v>--</v>
      </c>
      <c r="Z24" s="152" t="str">
        <f t="shared" si="14"/>
        <v>SI</v>
      </c>
      <c r="AA24" s="153">
        <f t="shared" si="15"/>
        <v>1605.6265978979998</v>
      </c>
      <c r="AB24" s="154"/>
    </row>
    <row r="25" spans="2:28" s="10" customFormat="1" ht="16.5" customHeight="1">
      <c r="B25" s="44"/>
      <c r="C25" s="127"/>
      <c r="D25" s="127"/>
      <c r="E25" s="127"/>
      <c r="F25" s="125"/>
      <c r="G25" s="125"/>
      <c r="H25" s="137"/>
      <c r="I25" s="138" t="e">
        <f t="shared" si="0"/>
        <v>#VALUE!</v>
      </c>
      <c r="J25" s="139"/>
      <c r="K25" s="139"/>
      <c r="L25" s="140">
        <f t="shared" si="1"/>
      </c>
      <c r="M25" s="141">
        <f t="shared" si="2"/>
      </c>
      <c r="N25" s="142"/>
      <c r="O25" s="143">
        <f t="shared" si="3"/>
      </c>
      <c r="P25" s="144" t="str">
        <f t="shared" si="4"/>
        <v>--</v>
      </c>
      <c r="Q25" s="145" t="str">
        <f t="shared" si="5"/>
        <v>--</v>
      </c>
      <c r="R25" s="146" t="str">
        <f t="shared" si="6"/>
        <v>--</v>
      </c>
      <c r="S25" s="146" t="str">
        <f t="shared" si="7"/>
        <v>--</v>
      </c>
      <c r="T25" s="147" t="str">
        <f t="shared" si="8"/>
        <v>--</v>
      </c>
      <c r="U25" s="148" t="str">
        <f t="shared" si="9"/>
        <v>--</v>
      </c>
      <c r="V25" s="148" t="str">
        <f t="shared" si="10"/>
        <v>--</v>
      </c>
      <c r="W25" s="149" t="str">
        <f t="shared" si="11"/>
        <v>--</v>
      </c>
      <c r="X25" s="150" t="str">
        <f t="shared" si="12"/>
        <v>--</v>
      </c>
      <c r="Y25" s="151" t="str">
        <f t="shared" si="13"/>
        <v>--</v>
      </c>
      <c r="Z25" s="152">
        <f t="shared" si="14"/>
      </c>
      <c r="AA25" s="153">
        <f t="shared" si="15"/>
      </c>
      <c r="AB25" s="154"/>
    </row>
    <row r="26" spans="2:28" s="10" customFormat="1" ht="16.5" customHeight="1">
      <c r="B26" s="44"/>
      <c r="C26" s="127"/>
      <c r="D26" s="127"/>
      <c r="E26" s="127"/>
      <c r="F26" s="125"/>
      <c r="G26" s="125"/>
      <c r="H26" s="137"/>
      <c r="I26" s="138" t="e">
        <f t="shared" si="0"/>
        <v>#VALUE!</v>
      </c>
      <c r="J26" s="139"/>
      <c r="K26" s="139"/>
      <c r="L26" s="140">
        <f t="shared" si="1"/>
      </c>
      <c r="M26" s="141">
        <f t="shared" si="2"/>
      </c>
      <c r="N26" s="139"/>
      <c r="O26" s="143">
        <f t="shared" si="3"/>
      </c>
      <c r="P26" s="144" t="str">
        <f t="shared" si="4"/>
        <v>--</v>
      </c>
      <c r="Q26" s="145" t="str">
        <f t="shared" si="5"/>
        <v>--</v>
      </c>
      <c r="R26" s="146" t="str">
        <f t="shared" si="6"/>
        <v>--</v>
      </c>
      <c r="S26" s="146" t="str">
        <f t="shared" si="7"/>
        <v>--</v>
      </c>
      <c r="T26" s="147" t="str">
        <f t="shared" si="8"/>
        <v>--</v>
      </c>
      <c r="U26" s="148" t="str">
        <f t="shared" si="9"/>
        <v>--</v>
      </c>
      <c r="V26" s="148" t="str">
        <f t="shared" si="10"/>
        <v>--</v>
      </c>
      <c r="W26" s="149" t="str">
        <f t="shared" si="11"/>
        <v>--</v>
      </c>
      <c r="X26" s="150" t="str">
        <f t="shared" si="12"/>
        <v>--</v>
      </c>
      <c r="Y26" s="151" t="str">
        <f t="shared" si="13"/>
        <v>--</v>
      </c>
      <c r="Z26" s="152">
        <f t="shared" si="14"/>
      </c>
      <c r="AA26" s="153">
        <f t="shared" si="15"/>
      </c>
      <c r="AB26" s="154"/>
    </row>
    <row r="27" spans="2:28" s="10" customFormat="1" ht="16.5" customHeight="1">
      <c r="B27" s="44"/>
      <c r="C27" s="127"/>
      <c r="D27" s="127"/>
      <c r="E27" s="127"/>
      <c r="F27" s="125"/>
      <c r="G27" s="125"/>
      <c r="H27" s="137"/>
      <c r="I27" s="138" t="e">
        <f t="shared" si="0"/>
        <v>#VALUE!</v>
      </c>
      <c r="J27" s="139"/>
      <c r="K27" s="139"/>
      <c r="L27" s="140">
        <f t="shared" si="1"/>
      </c>
      <c r="M27" s="141">
        <f t="shared" si="2"/>
      </c>
      <c r="N27" s="139"/>
      <c r="O27" s="143">
        <f t="shared" si="3"/>
      </c>
      <c r="P27" s="144" t="str">
        <f t="shared" si="4"/>
        <v>--</v>
      </c>
      <c r="Q27" s="145" t="str">
        <f t="shared" si="5"/>
        <v>--</v>
      </c>
      <c r="R27" s="146" t="str">
        <f t="shared" si="6"/>
        <v>--</v>
      </c>
      <c r="S27" s="146" t="str">
        <f t="shared" si="7"/>
        <v>--</v>
      </c>
      <c r="T27" s="147" t="str">
        <f t="shared" si="8"/>
        <v>--</v>
      </c>
      <c r="U27" s="148" t="str">
        <f t="shared" si="9"/>
        <v>--</v>
      </c>
      <c r="V27" s="148" t="str">
        <f t="shared" si="10"/>
        <v>--</v>
      </c>
      <c r="W27" s="149" t="str">
        <f t="shared" si="11"/>
        <v>--</v>
      </c>
      <c r="X27" s="150" t="str">
        <f t="shared" si="12"/>
        <v>--</v>
      </c>
      <c r="Y27" s="151" t="str">
        <f t="shared" si="13"/>
        <v>--</v>
      </c>
      <c r="Z27" s="152">
        <f t="shared" si="14"/>
      </c>
      <c r="AA27" s="153">
        <f t="shared" si="15"/>
      </c>
      <c r="AB27" s="154"/>
    </row>
    <row r="28" spans="2:28" s="10" customFormat="1" ht="16.5" customHeight="1">
      <c r="B28" s="44"/>
      <c r="C28" s="127"/>
      <c r="D28" s="127"/>
      <c r="E28" s="127"/>
      <c r="F28" s="125"/>
      <c r="G28" s="125"/>
      <c r="H28" s="137"/>
      <c r="I28" s="138" t="e">
        <f t="shared" si="0"/>
        <v>#VALUE!</v>
      </c>
      <c r="J28" s="139"/>
      <c r="K28" s="139"/>
      <c r="L28" s="140">
        <f t="shared" si="1"/>
      </c>
      <c r="M28" s="141">
        <f t="shared" si="2"/>
      </c>
      <c r="N28" s="139"/>
      <c r="O28" s="143">
        <f t="shared" si="3"/>
      </c>
      <c r="P28" s="144" t="str">
        <f t="shared" si="4"/>
        <v>--</v>
      </c>
      <c r="Q28" s="145" t="str">
        <f t="shared" si="5"/>
        <v>--</v>
      </c>
      <c r="R28" s="146" t="str">
        <f t="shared" si="6"/>
        <v>--</v>
      </c>
      <c r="S28" s="146" t="str">
        <f t="shared" si="7"/>
        <v>--</v>
      </c>
      <c r="T28" s="147" t="str">
        <f t="shared" si="8"/>
        <v>--</v>
      </c>
      <c r="U28" s="148" t="str">
        <f t="shared" si="9"/>
        <v>--</v>
      </c>
      <c r="V28" s="148" t="str">
        <f t="shared" si="10"/>
        <v>--</v>
      </c>
      <c r="W28" s="149" t="str">
        <f t="shared" si="11"/>
        <v>--</v>
      </c>
      <c r="X28" s="150" t="str">
        <f t="shared" si="12"/>
        <v>--</v>
      </c>
      <c r="Y28" s="151" t="str">
        <f t="shared" si="13"/>
        <v>--</v>
      </c>
      <c r="Z28" s="152">
        <f t="shared" si="14"/>
      </c>
      <c r="AA28" s="153">
        <f t="shared" si="15"/>
      </c>
      <c r="AB28" s="154"/>
    </row>
    <row r="29" spans="2:28" s="10" customFormat="1" ht="16.5" customHeight="1">
      <c r="B29" s="44"/>
      <c r="C29" s="127"/>
      <c r="D29" s="127"/>
      <c r="E29" s="127"/>
      <c r="F29" s="125"/>
      <c r="G29" s="125"/>
      <c r="H29" s="137"/>
      <c r="I29" s="138" t="e">
        <f t="shared" si="0"/>
        <v>#VALUE!</v>
      </c>
      <c r="J29" s="139"/>
      <c r="K29" s="139"/>
      <c r="L29" s="140">
        <f t="shared" si="1"/>
      </c>
      <c r="M29" s="141">
        <f t="shared" si="2"/>
      </c>
      <c r="N29" s="139"/>
      <c r="O29" s="143">
        <f t="shared" si="3"/>
      </c>
      <c r="P29" s="144" t="str">
        <f t="shared" si="4"/>
        <v>--</v>
      </c>
      <c r="Q29" s="145" t="str">
        <f t="shared" si="5"/>
        <v>--</v>
      </c>
      <c r="R29" s="146" t="str">
        <f t="shared" si="6"/>
        <v>--</v>
      </c>
      <c r="S29" s="146" t="str">
        <f t="shared" si="7"/>
        <v>--</v>
      </c>
      <c r="T29" s="147" t="str">
        <f t="shared" si="8"/>
        <v>--</v>
      </c>
      <c r="U29" s="148" t="str">
        <f t="shared" si="9"/>
        <v>--</v>
      </c>
      <c r="V29" s="148" t="str">
        <f t="shared" si="10"/>
        <v>--</v>
      </c>
      <c r="W29" s="149" t="str">
        <f t="shared" si="11"/>
        <v>--</v>
      </c>
      <c r="X29" s="150" t="str">
        <f t="shared" si="12"/>
        <v>--</v>
      </c>
      <c r="Y29" s="151" t="str">
        <f t="shared" si="13"/>
        <v>--</v>
      </c>
      <c r="Z29" s="152">
        <f t="shared" si="14"/>
      </c>
      <c r="AA29" s="153">
        <f t="shared" si="15"/>
      </c>
      <c r="AB29" s="154"/>
    </row>
    <row r="30" spans="2:28" s="10" customFormat="1" ht="16.5" customHeight="1">
      <c r="B30" s="44"/>
      <c r="C30" s="127"/>
      <c r="D30" s="127"/>
      <c r="E30" s="127"/>
      <c r="F30" s="125"/>
      <c r="G30" s="125"/>
      <c r="H30" s="137"/>
      <c r="I30" s="138" t="e">
        <f t="shared" si="0"/>
        <v>#VALUE!</v>
      </c>
      <c r="J30" s="139"/>
      <c r="K30" s="139"/>
      <c r="L30" s="140">
        <f t="shared" si="1"/>
      </c>
      <c r="M30" s="141">
        <f t="shared" si="2"/>
      </c>
      <c r="N30" s="139"/>
      <c r="O30" s="143">
        <f t="shared" si="3"/>
      </c>
      <c r="P30" s="144" t="str">
        <f t="shared" si="4"/>
        <v>--</v>
      </c>
      <c r="Q30" s="145" t="str">
        <f t="shared" si="5"/>
        <v>--</v>
      </c>
      <c r="R30" s="146" t="str">
        <f t="shared" si="6"/>
        <v>--</v>
      </c>
      <c r="S30" s="146" t="str">
        <f t="shared" si="7"/>
        <v>--</v>
      </c>
      <c r="T30" s="147" t="str">
        <f t="shared" si="8"/>
        <v>--</v>
      </c>
      <c r="U30" s="148" t="str">
        <f t="shared" si="9"/>
        <v>--</v>
      </c>
      <c r="V30" s="148" t="str">
        <f t="shared" si="10"/>
        <v>--</v>
      </c>
      <c r="W30" s="149" t="str">
        <f t="shared" si="11"/>
        <v>--</v>
      </c>
      <c r="X30" s="150" t="str">
        <f t="shared" si="12"/>
        <v>--</v>
      </c>
      <c r="Y30" s="151" t="str">
        <f t="shared" si="13"/>
        <v>--</v>
      </c>
      <c r="Z30" s="152">
        <f t="shared" si="14"/>
      </c>
      <c r="AA30" s="153">
        <f t="shared" si="15"/>
      </c>
      <c r="AB30" s="154"/>
    </row>
    <row r="31" spans="2:28" s="10" customFormat="1" ht="16.5" customHeight="1">
      <c r="B31" s="44"/>
      <c r="C31" s="127"/>
      <c r="D31" s="127"/>
      <c r="E31" s="127"/>
      <c r="F31" s="125"/>
      <c r="G31" s="125"/>
      <c r="H31" s="137"/>
      <c r="I31" s="138" t="e">
        <f t="shared" si="0"/>
        <v>#VALUE!</v>
      </c>
      <c r="J31" s="139"/>
      <c r="K31" s="139"/>
      <c r="L31" s="140">
        <f t="shared" si="1"/>
      </c>
      <c r="M31" s="141">
        <f t="shared" si="2"/>
      </c>
      <c r="N31" s="139"/>
      <c r="O31" s="143">
        <f t="shared" si="3"/>
      </c>
      <c r="P31" s="144" t="str">
        <f t="shared" si="4"/>
        <v>--</v>
      </c>
      <c r="Q31" s="145" t="str">
        <f t="shared" si="5"/>
        <v>--</v>
      </c>
      <c r="R31" s="146" t="str">
        <f t="shared" si="6"/>
        <v>--</v>
      </c>
      <c r="S31" s="146" t="str">
        <f t="shared" si="7"/>
        <v>--</v>
      </c>
      <c r="T31" s="147" t="str">
        <f t="shared" si="8"/>
        <v>--</v>
      </c>
      <c r="U31" s="148" t="str">
        <f t="shared" si="9"/>
        <v>--</v>
      </c>
      <c r="V31" s="148" t="str">
        <f t="shared" si="10"/>
        <v>--</v>
      </c>
      <c r="W31" s="149" t="str">
        <f t="shared" si="11"/>
        <v>--</v>
      </c>
      <c r="X31" s="150" t="str">
        <f t="shared" si="12"/>
        <v>--</v>
      </c>
      <c r="Y31" s="151" t="str">
        <f t="shared" si="13"/>
        <v>--</v>
      </c>
      <c r="Z31" s="152">
        <f t="shared" si="14"/>
      </c>
      <c r="AA31" s="153">
        <f t="shared" si="15"/>
      </c>
      <c r="AB31" s="154"/>
    </row>
    <row r="32" spans="2:28" s="10" customFormat="1" ht="16.5" customHeight="1">
      <c r="B32" s="44"/>
      <c r="C32" s="127"/>
      <c r="D32" s="127"/>
      <c r="E32" s="127"/>
      <c r="F32" s="125"/>
      <c r="G32" s="125"/>
      <c r="H32" s="137"/>
      <c r="I32" s="138" t="e">
        <f t="shared" si="0"/>
        <v>#VALUE!</v>
      </c>
      <c r="J32" s="139"/>
      <c r="K32" s="139"/>
      <c r="L32" s="140">
        <f t="shared" si="1"/>
      </c>
      <c r="M32" s="141">
        <f t="shared" si="2"/>
      </c>
      <c r="N32" s="139"/>
      <c r="O32" s="143">
        <f t="shared" si="3"/>
      </c>
      <c r="P32" s="144" t="str">
        <f t="shared" si="4"/>
        <v>--</v>
      </c>
      <c r="Q32" s="145" t="str">
        <f t="shared" si="5"/>
        <v>--</v>
      </c>
      <c r="R32" s="146" t="str">
        <f t="shared" si="6"/>
        <v>--</v>
      </c>
      <c r="S32" s="146" t="str">
        <f t="shared" si="7"/>
        <v>--</v>
      </c>
      <c r="T32" s="147" t="str">
        <f t="shared" si="8"/>
        <v>--</v>
      </c>
      <c r="U32" s="148" t="str">
        <f t="shared" si="9"/>
        <v>--</v>
      </c>
      <c r="V32" s="148" t="str">
        <f t="shared" si="10"/>
        <v>--</v>
      </c>
      <c r="W32" s="149" t="str">
        <f t="shared" si="11"/>
        <v>--</v>
      </c>
      <c r="X32" s="150" t="str">
        <f t="shared" si="12"/>
        <v>--</v>
      </c>
      <c r="Y32" s="151" t="str">
        <f t="shared" si="13"/>
        <v>--</v>
      </c>
      <c r="Z32" s="152">
        <f t="shared" si="14"/>
      </c>
      <c r="AA32" s="153">
        <f t="shared" si="15"/>
      </c>
      <c r="AB32" s="154"/>
    </row>
    <row r="33" spans="2:28" s="10" customFormat="1" ht="16.5" customHeight="1">
      <c r="B33" s="155"/>
      <c r="C33" s="127"/>
      <c r="D33" s="127"/>
      <c r="E33" s="127"/>
      <c r="F33" s="125"/>
      <c r="G33" s="125"/>
      <c r="H33" s="137"/>
      <c r="I33" s="138" t="e">
        <f t="shared" si="0"/>
        <v>#VALUE!</v>
      </c>
      <c r="J33" s="139"/>
      <c r="K33" s="139"/>
      <c r="L33" s="140">
        <f t="shared" si="1"/>
      </c>
      <c r="M33" s="141">
        <f t="shared" si="2"/>
      </c>
      <c r="N33" s="139"/>
      <c r="O33" s="143">
        <f t="shared" si="3"/>
      </c>
      <c r="P33" s="144" t="str">
        <f t="shared" si="4"/>
        <v>--</v>
      </c>
      <c r="Q33" s="145" t="str">
        <f t="shared" si="5"/>
        <v>--</v>
      </c>
      <c r="R33" s="146" t="str">
        <f t="shared" si="6"/>
        <v>--</v>
      </c>
      <c r="S33" s="146" t="str">
        <f t="shared" si="7"/>
        <v>--</v>
      </c>
      <c r="T33" s="147" t="str">
        <f t="shared" si="8"/>
        <v>--</v>
      </c>
      <c r="U33" s="148" t="str">
        <f t="shared" si="9"/>
        <v>--</v>
      </c>
      <c r="V33" s="148" t="str">
        <f t="shared" si="10"/>
        <v>--</v>
      </c>
      <c r="W33" s="149" t="str">
        <f t="shared" si="11"/>
        <v>--</v>
      </c>
      <c r="X33" s="150" t="str">
        <f t="shared" si="12"/>
        <v>--</v>
      </c>
      <c r="Y33" s="151" t="str">
        <f t="shared" si="13"/>
        <v>--</v>
      </c>
      <c r="Z33" s="152">
        <f t="shared" si="14"/>
      </c>
      <c r="AA33" s="153">
        <f t="shared" si="15"/>
      </c>
      <c r="AB33" s="154"/>
    </row>
    <row r="34" spans="2:28" s="10" customFormat="1" ht="16.5" customHeight="1">
      <c r="B34" s="155"/>
      <c r="C34" s="127"/>
      <c r="D34" s="127"/>
      <c r="E34" s="127"/>
      <c r="F34" s="125"/>
      <c r="G34" s="125"/>
      <c r="H34" s="137"/>
      <c r="I34" s="138" t="e">
        <f t="shared" si="0"/>
        <v>#VALUE!</v>
      </c>
      <c r="J34" s="139"/>
      <c r="K34" s="139"/>
      <c r="L34" s="140">
        <f t="shared" si="1"/>
      </c>
      <c r="M34" s="141">
        <f t="shared" si="2"/>
      </c>
      <c r="N34" s="139"/>
      <c r="O34" s="143">
        <f t="shared" si="3"/>
      </c>
      <c r="P34" s="144" t="str">
        <f t="shared" si="4"/>
        <v>--</v>
      </c>
      <c r="Q34" s="145" t="str">
        <f t="shared" si="5"/>
        <v>--</v>
      </c>
      <c r="R34" s="146" t="str">
        <f t="shared" si="6"/>
        <v>--</v>
      </c>
      <c r="S34" s="146" t="str">
        <f t="shared" si="7"/>
        <v>--</v>
      </c>
      <c r="T34" s="147" t="str">
        <f t="shared" si="8"/>
        <v>--</v>
      </c>
      <c r="U34" s="148" t="str">
        <f t="shared" si="9"/>
        <v>--</v>
      </c>
      <c r="V34" s="148" t="str">
        <f t="shared" si="10"/>
        <v>--</v>
      </c>
      <c r="W34" s="149" t="str">
        <f t="shared" si="11"/>
        <v>--</v>
      </c>
      <c r="X34" s="150" t="str">
        <f t="shared" si="12"/>
        <v>--</v>
      </c>
      <c r="Y34" s="151" t="str">
        <f t="shared" si="13"/>
        <v>--</v>
      </c>
      <c r="Z34" s="152">
        <f t="shared" si="14"/>
      </c>
      <c r="AA34" s="153">
        <f t="shared" si="15"/>
      </c>
      <c r="AB34" s="154"/>
    </row>
    <row r="35" spans="2:28" s="10" customFormat="1" ht="16.5" customHeight="1">
      <c r="B35" s="155"/>
      <c r="C35" s="127"/>
      <c r="D35" s="127"/>
      <c r="E35" s="127"/>
      <c r="F35" s="125"/>
      <c r="G35" s="125"/>
      <c r="H35" s="137"/>
      <c r="I35" s="138" t="e">
        <f t="shared" si="0"/>
        <v>#VALUE!</v>
      </c>
      <c r="J35" s="139"/>
      <c r="K35" s="139"/>
      <c r="L35" s="140">
        <f t="shared" si="1"/>
      </c>
      <c r="M35" s="141">
        <f t="shared" si="2"/>
      </c>
      <c r="N35" s="139"/>
      <c r="O35" s="143">
        <f t="shared" si="3"/>
      </c>
      <c r="P35" s="144" t="str">
        <f t="shared" si="4"/>
        <v>--</v>
      </c>
      <c r="Q35" s="145" t="str">
        <f t="shared" si="5"/>
        <v>--</v>
      </c>
      <c r="R35" s="146" t="str">
        <f t="shared" si="6"/>
        <v>--</v>
      </c>
      <c r="S35" s="146" t="str">
        <f t="shared" si="7"/>
        <v>--</v>
      </c>
      <c r="T35" s="147" t="str">
        <f t="shared" si="8"/>
        <v>--</v>
      </c>
      <c r="U35" s="148" t="str">
        <f t="shared" si="9"/>
        <v>--</v>
      </c>
      <c r="V35" s="148" t="str">
        <f t="shared" si="10"/>
        <v>--</v>
      </c>
      <c r="W35" s="149" t="str">
        <f t="shared" si="11"/>
        <v>--</v>
      </c>
      <c r="X35" s="150" t="str">
        <f t="shared" si="12"/>
        <v>--</v>
      </c>
      <c r="Y35" s="151" t="str">
        <f t="shared" si="13"/>
        <v>--</v>
      </c>
      <c r="Z35" s="152">
        <f t="shared" si="14"/>
      </c>
      <c r="AA35" s="153">
        <f t="shared" si="15"/>
      </c>
      <c r="AB35" s="154"/>
    </row>
    <row r="36" spans="2:28" s="10" customFormat="1" ht="16.5" customHeight="1">
      <c r="B36" s="155"/>
      <c r="C36" s="127"/>
      <c r="D36" s="127"/>
      <c r="E36" s="127"/>
      <c r="F36" s="125"/>
      <c r="G36" s="125"/>
      <c r="H36" s="137"/>
      <c r="I36" s="138" t="e">
        <f t="shared" si="0"/>
        <v>#VALUE!</v>
      </c>
      <c r="J36" s="139"/>
      <c r="K36" s="139"/>
      <c r="L36" s="140">
        <f t="shared" si="1"/>
      </c>
      <c r="M36" s="141">
        <f t="shared" si="2"/>
      </c>
      <c r="N36" s="139"/>
      <c r="O36" s="143">
        <f t="shared" si="3"/>
      </c>
      <c r="P36" s="144" t="str">
        <f t="shared" si="4"/>
        <v>--</v>
      </c>
      <c r="Q36" s="145" t="str">
        <f t="shared" si="5"/>
        <v>--</v>
      </c>
      <c r="R36" s="146" t="str">
        <f t="shared" si="6"/>
        <v>--</v>
      </c>
      <c r="S36" s="146" t="str">
        <f t="shared" si="7"/>
        <v>--</v>
      </c>
      <c r="T36" s="147" t="str">
        <f t="shared" si="8"/>
        <v>--</v>
      </c>
      <c r="U36" s="148" t="str">
        <f t="shared" si="9"/>
        <v>--</v>
      </c>
      <c r="V36" s="148" t="str">
        <f t="shared" si="10"/>
        <v>--</v>
      </c>
      <c r="W36" s="149" t="str">
        <f t="shared" si="11"/>
        <v>--</v>
      </c>
      <c r="X36" s="150" t="str">
        <f t="shared" si="12"/>
        <v>--</v>
      </c>
      <c r="Y36" s="151" t="str">
        <f t="shared" si="13"/>
        <v>--</v>
      </c>
      <c r="Z36" s="152">
        <f t="shared" si="14"/>
      </c>
      <c r="AA36" s="153">
        <f t="shared" si="15"/>
      </c>
      <c r="AB36" s="154"/>
    </row>
    <row r="37" spans="2:28" s="10" customFormat="1" ht="16.5" customHeight="1">
      <c r="B37" s="155"/>
      <c r="C37" s="127"/>
      <c r="D37" s="127"/>
      <c r="E37" s="127"/>
      <c r="F37" s="125"/>
      <c r="G37" s="125"/>
      <c r="H37" s="137"/>
      <c r="I37" s="138" t="e">
        <f t="shared" si="0"/>
        <v>#VALUE!</v>
      </c>
      <c r="J37" s="139"/>
      <c r="K37" s="139"/>
      <c r="L37" s="140">
        <f t="shared" si="1"/>
      </c>
      <c r="M37" s="141">
        <f t="shared" si="2"/>
      </c>
      <c r="N37" s="139"/>
      <c r="O37" s="143">
        <f t="shared" si="3"/>
      </c>
      <c r="P37" s="144" t="str">
        <f t="shared" si="4"/>
        <v>--</v>
      </c>
      <c r="Q37" s="145" t="str">
        <f t="shared" si="5"/>
        <v>--</v>
      </c>
      <c r="R37" s="146" t="str">
        <f t="shared" si="6"/>
        <v>--</v>
      </c>
      <c r="S37" s="146" t="str">
        <f t="shared" si="7"/>
        <v>--</v>
      </c>
      <c r="T37" s="147" t="str">
        <f t="shared" si="8"/>
        <v>--</v>
      </c>
      <c r="U37" s="148" t="str">
        <f t="shared" si="9"/>
        <v>--</v>
      </c>
      <c r="V37" s="148" t="str">
        <f t="shared" si="10"/>
        <v>--</v>
      </c>
      <c r="W37" s="149" t="str">
        <f t="shared" si="11"/>
        <v>--</v>
      </c>
      <c r="X37" s="150" t="str">
        <f t="shared" si="12"/>
        <v>--</v>
      </c>
      <c r="Y37" s="151" t="str">
        <f t="shared" si="13"/>
        <v>--</v>
      </c>
      <c r="Z37" s="152">
        <f t="shared" si="14"/>
      </c>
      <c r="AA37" s="153">
        <f t="shared" si="15"/>
      </c>
      <c r="AB37" s="154"/>
    </row>
    <row r="38" spans="2:28" s="10" customFormat="1" ht="16.5" customHeight="1">
      <c r="B38" s="155"/>
      <c r="C38" s="127"/>
      <c r="D38" s="127"/>
      <c r="E38" s="127"/>
      <c r="F38" s="125"/>
      <c r="G38" s="125"/>
      <c r="H38" s="137"/>
      <c r="I38" s="138" t="e">
        <f t="shared" si="0"/>
        <v>#VALUE!</v>
      </c>
      <c r="J38" s="139"/>
      <c r="K38" s="139"/>
      <c r="L38" s="140">
        <f t="shared" si="1"/>
      </c>
      <c r="M38" s="141">
        <f t="shared" si="2"/>
      </c>
      <c r="N38" s="139"/>
      <c r="O38" s="143">
        <f t="shared" si="3"/>
      </c>
      <c r="P38" s="144" t="str">
        <f t="shared" si="4"/>
        <v>--</v>
      </c>
      <c r="Q38" s="145" t="str">
        <f t="shared" si="5"/>
        <v>--</v>
      </c>
      <c r="R38" s="146" t="str">
        <f t="shared" si="6"/>
        <v>--</v>
      </c>
      <c r="S38" s="146" t="str">
        <f t="shared" si="7"/>
        <v>--</v>
      </c>
      <c r="T38" s="147" t="str">
        <f t="shared" si="8"/>
        <v>--</v>
      </c>
      <c r="U38" s="148" t="str">
        <f t="shared" si="9"/>
        <v>--</v>
      </c>
      <c r="V38" s="148" t="str">
        <f t="shared" si="10"/>
        <v>--</v>
      </c>
      <c r="W38" s="149" t="str">
        <f t="shared" si="11"/>
        <v>--</v>
      </c>
      <c r="X38" s="150" t="str">
        <f t="shared" si="12"/>
        <v>--</v>
      </c>
      <c r="Y38" s="151" t="str">
        <f t="shared" si="13"/>
        <v>--</v>
      </c>
      <c r="Z38" s="152">
        <f t="shared" si="14"/>
      </c>
      <c r="AA38" s="153">
        <f t="shared" si="15"/>
      </c>
      <c r="AB38" s="154"/>
    </row>
    <row r="39" spans="2:28" s="10" customFormat="1" ht="16.5" customHeight="1">
      <c r="B39" s="155"/>
      <c r="C39" s="127"/>
      <c r="D39" s="127"/>
      <c r="E39" s="127"/>
      <c r="F39" s="125"/>
      <c r="G39" s="125"/>
      <c r="H39" s="137"/>
      <c r="I39" s="138" t="e">
        <f t="shared" si="0"/>
        <v>#VALUE!</v>
      </c>
      <c r="J39" s="139"/>
      <c r="K39" s="139"/>
      <c r="L39" s="140">
        <f t="shared" si="1"/>
      </c>
      <c r="M39" s="141">
        <f t="shared" si="2"/>
      </c>
      <c r="N39" s="139"/>
      <c r="O39" s="143">
        <f t="shared" si="3"/>
      </c>
      <c r="P39" s="144" t="str">
        <f t="shared" si="4"/>
        <v>--</v>
      </c>
      <c r="Q39" s="145" t="str">
        <f t="shared" si="5"/>
        <v>--</v>
      </c>
      <c r="R39" s="146" t="str">
        <f t="shared" si="6"/>
        <v>--</v>
      </c>
      <c r="S39" s="146" t="str">
        <f t="shared" si="7"/>
        <v>--</v>
      </c>
      <c r="T39" s="147" t="str">
        <f t="shared" si="8"/>
        <v>--</v>
      </c>
      <c r="U39" s="148" t="str">
        <f t="shared" si="9"/>
        <v>--</v>
      </c>
      <c r="V39" s="148" t="str">
        <f t="shared" si="10"/>
        <v>--</v>
      </c>
      <c r="W39" s="149" t="str">
        <f t="shared" si="11"/>
        <v>--</v>
      </c>
      <c r="X39" s="150" t="str">
        <f t="shared" si="12"/>
        <v>--</v>
      </c>
      <c r="Y39" s="151" t="str">
        <f t="shared" si="13"/>
        <v>--</v>
      </c>
      <c r="Z39" s="152">
        <f t="shared" si="14"/>
      </c>
      <c r="AA39" s="153">
        <f t="shared" si="15"/>
      </c>
      <c r="AB39" s="154"/>
    </row>
    <row r="40" spans="2:28" s="10" customFormat="1" ht="16.5" customHeight="1" thickBot="1">
      <c r="B40" s="44"/>
      <c r="C40" s="156"/>
      <c r="D40" s="156"/>
      <c r="E40" s="156"/>
      <c r="F40" s="157"/>
      <c r="G40" s="158"/>
      <c r="H40" s="159"/>
      <c r="I40" s="160"/>
      <c r="J40" s="159"/>
      <c r="K40" s="159"/>
      <c r="L40" s="159"/>
      <c r="M40" s="159"/>
      <c r="N40" s="159"/>
      <c r="O40" s="161"/>
      <c r="P40" s="162"/>
      <c r="Q40" s="163"/>
      <c r="R40" s="164"/>
      <c r="S40" s="165"/>
      <c r="T40" s="165"/>
      <c r="U40" s="166"/>
      <c r="V40" s="166"/>
      <c r="W40" s="166"/>
      <c r="X40" s="167"/>
      <c r="Y40" s="168"/>
      <c r="Z40" s="169"/>
      <c r="AA40" s="170"/>
      <c r="AB40" s="154"/>
    </row>
    <row r="41" spans="2:28" s="10" customFormat="1" ht="16.5" customHeight="1" thickBot="1" thickTop="1">
      <c r="B41" s="44"/>
      <c r="C41" s="758" t="s">
        <v>138</v>
      </c>
      <c r="D41" s="757" t="s">
        <v>129</v>
      </c>
      <c r="E41" s="185"/>
      <c r="F41" s="171"/>
      <c r="G41" s="3"/>
      <c r="H41" s="5"/>
      <c r="I41" s="172"/>
      <c r="J41" s="172"/>
      <c r="K41" s="172"/>
      <c r="L41" s="172"/>
      <c r="M41" s="172"/>
      <c r="N41" s="172"/>
      <c r="O41" s="173"/>
      <c r="P41" s="174">
        <f aca="true" t="shared" si="16" ref="P41:Y41">SUM(P19:P40)</f>
        <v>2157.163359198</v>
      </c>
      <c r="Q41" s="175">
        <f t="shared" si="16"/>
        <v>0</v>
      </c>
      <c r="R41" s="176">
        <f t="shared" si="16"/>
        <v>0</v>
      </c>
      <c r="S41" s="176">
        <f t="shared" si="16"/>
        <v>0</v>
      </c>
      <c r="T41" s="176">
        <f t="shared" si="16"/>
        <v>0</v>
      </c>
      <c r="U41" s="177">
        <f t="shared" si="16"/>
        <v>0</v>
      </c>
      <c r="V41" s="177">
        <f t="shared" si="16"/>
        <v>0</v>
      </c>
      <c r="W41" s="177">
        <f t="shared" si="16"/>
        <v>0</v>
      </c>
      <c r="X41" s="178">
        <f t="shared" si="16"/>
        <v>0</v>
      </c>
      <c r="Y41" s="179">
        <f t="shared" si="16"/>
        <v>0</v>
      </c>
      <c r="Z41" s="180"/>
      <c r="AA41" s="181">
        <f>ROUND(SUM(AA19:AA40),2)</f>
        <v>2157.16</v>
      </c>
      <c r="AB41" s="182"/>
    </row>
    <row r="42" spans="2:28" s="183" customFormat="1" ht="9.75" thickTop="1">
      <c r="B42" s="184"/>
      <c r="C42" s="185"/>
      <c r="D42" s="185"/>
      <c r="E42" s="185"/>
      <c r="F42" s="186"/>
      <c r="G42" s="187"/>
      <c r="H42" s="188"/>
      <c r="I42" s="189"/>
      <c r="J42" s="189"/>
      <c r="K42" s="189"/>
      <c r="L42" s="189"/>
      <c r="M42" s="189"/>
      <c r="N42" s="189"/>
      <c r="O42" s="190"/>
      <c r="P42" s="191"/>
      <c r="Q42" s="191"/>
      <c r="R42" s="192"/>
      <c r="S42" s="192"/>
      <c r="T42" s="193"/>
      <c r="U42" s="193"/>
      <c r="V42" s="193"/>
      <c r="W42" s="193"/>
      <c r="X42" s="193"/>
      <c r="Y42" s="193"/>
      <c r="Z42" s="193"/>
      <c r="AA42" s="194"/>
      <c r="AB42" s="195"/>
    </row>
    <row r="43" spans="2:28" s="10" customFormat="1" ht="16.5" customHeight="1" thickBot="1">
      <c r="B43" s="196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8"/>
    </row>
    <row r="44" spans="2:28" ht="13.5" thickTop="1">
      <c r="B44" s="199"/>
      <c r="AB44" s="199"/>
    </row>
    <row r="89" ht="12.75">
      <c r="B89" s="199"/>
    </row>
  </sheetData>
  <sheetProtection/>
  <printOptions/>
  <pageMargins left="0.2" right="0.1968503937007874" top="0.6" bottom="0.57" header="0.5118110236220472" footer="0.31"/>
  <pageSetup fitToHeight="1" fitToWidth="1" orientation="landscape" paperSize="9" scale="67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2"/>
  <sheetViews>
    <sheetView zoomScale="75" zoomScaleNormal="75" zoomScalePageLayoutView="0" workbookViewId="0" topLeftCell="A1">
      <selection activeCell="H20" sqref="H20"/>
    </sheetView>
  </sheetViews>
  <sheetFormatPr defaultColWidth="11.421875" defaultRowHeight="12.75"/>
  <cols>
    <col min="1" max="3" width="4.140625" style="566" customWidth="1"/>
    <col min="4" max="5" width="13.7109375" style="566" customWidth="1"/>
    <col min="6" max="6" width="40.7109375" style="566" customWidth="1"/>
    <col min="7" max="7" width="8.7109375" style="566" customWidth="1"/>
    <col min="8" max="8" width="9.7109375" style="566" customWidth="1"/>
    <col min="9" max="9" width="7.8515625" style="566" hidden="1" customWidth="1"/>
    <col min="10" max="11" width="15.7109375" style="566" customWidth="1"/>
    <col min="12" max="14" width="9.7109375" style="566" customWidth="1"/>
    <col min="15" max="15" width="7.7109375" style="566" customWidth="1"/>
    <col min="16" max="17" width="15.140625" style="566" hidden="1" customWidth="1"/>
    <col min="18" max="18" width="12.57421875" style="566" hidden="1" customWidth="1"/>
    <col min="19" max="19" width="15.28125" style="566" hidden="1" customWidth="1"/>
    <col min="20" max="23" width="12.57421875" style="566" hidden="1" customWidth="1"/>
    <col min="24" max="24" width="14.421875" style="566" hidden="1" customWidth="1"/>
    <col min="25" max="25" width="14.7109375" style="566" hidden="1" customWidth="1"/>
    <col min="26" max="26" width="9.7109375" style="566" customWidth="1"/>
    <col min="27" max="27" width="15.7109375" style="566" customWidth="1"/>
    <col min="28" max="28" width="4.140625" style="566" customWidth="1"/>
    <col min="29" max="16384" width="11.421875" style="566" customWidth="1"/>
  </cols>
  <sheetData>
    <row r="1" s="403" customFormat="1" ht="29.25" customHeight="1">
      <c r="AB1" s="404"/>
    </row>
    <row r="2" spans="2:28" s="403" customFormat="1" ht="26.25">
      <c r="B2" s="405" t="str">
        <f>'TOT-0413'!B2</f>
        <v>ANEXO V al Memorándum  D.T.E.E.  N° 376 / 2014</v>
      </c>
      <c r="C2" s="406"/>
      <c r="D2" s="406"/>
      <c r="E2" s="406"/>
      <c r="F2" s="406"/>
      <c r="G2" s="407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</row>
    <row r="3" s="408" customFormat="1" ht="12.75"/>
    <row r="4" spans="1:3" s="411" customFormat="1" ht="11.25">
      <c r="A4" s="409" t="s">
        <v>98</v>
      </c>
      <c r="B4" s="410"/>
      <c r="C4" s="409"/>
    </row>
    <row r="5" spans="1:3" s="411" customFormat="1" ht="11.25">
      <c r="A5" s="409" t="s">
        <v>99</v>
      </c>
      <c r="B5" s="410"/>
      <c r="C5" s="410"/>
    </row>
    <row r="6" s="408" customFormat="1" ht="13.5" thickBot="1"/>
    <row r="7" spans="1:28" s="408" customFormat="1" ht="13.5" thickTop="1">
      <c r="A7" s="412"/>
      <c r="B7" s="413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5"/>
    </row>
    <row r="8" spans="1:28" s="418" customFormat="1" ht="20.25">
      <c r="A8" s="416"/>
      <c r="B8" s="417"/>
      <c r="F8" s="419" t="s">
        <v>14</v>
      </c>
      <c r="G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  <c r="Y8" s="416"/>
      <c r="Z8" s="416"/>
      <c r="AA8" s="416"/>
      <c r="AB8" s="420"/>
    </row>
    <row r="9" spans="1:28" s="408" customFormat="1" ht="12.75">
      <c r="A9" s="412"/>
      <c r="B9" s="421"/>
      <c r="C9" s="422"/>
      <c r="D9" s="422"/>
      <c r="E9" s="422"/>
      <c r="G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23"/>
    </row>
    <row r="10" spans="1:28" s="418" customFormat="1" ht="20.25">
      <c r="A10" s="416"/>
      <c r="B10" s="417"/>
      <c r="F10" s="419" t="s">
        <v>145</v>
      </c>
      <c r="G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416"/>
      <c r="Y10" s="416"/>
      <c r="Z10" s="416"/>
      <c r="AA10" s="416"/>
      <c r="AB10" s="420"/>
    </row>
    <row r="11" spans="1:28" s="408" customFormat="1" ht="12.75">
      <c r="A11" s="412"/>
      <c r="B11" s="421"/>
      <c r="C11" s="422"/>
      <c r="D11" s="422"/>
      <c r="E11" s="422"/>
      <c r="G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2"/>
      <c r="Z11" s="412"/>
      <c r="AA11" s="412"/>
      <c r="AB11" s="423"/>
    </row>
    <row r="12" spans="1:28" s="432" customFormat="1" ht="19.5">
      <c r="A12" s="424"/>
      <c r="B12" s="425" t="str">
        <f>'TOT-0413'!B14</f>
        <v>Desde el 01 al 30 de abril de 2013</v>
      </c>
      <c r="C12" s="426"/>
      <c r="D12" s="426"/>
      <c r="E12" s="426"/>
      <c r="F12" s="426"/>
      <c r="G12" s="427"/>
      <c r="H12" s="428"/>
      <c r="I12" s="429"/>
      <c r="J12" s="430"/>
      <c r="K12" s="429"/>
      <c r="L12" s="429"/>
      <c r="M12" s="429"/>
      <c r="N12" s="429"/>
      <c r="O12" s="429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31"/>
    </row>
    <row r="13" spans="1:28" s="432" customFormat="1" ht="7.5" customHeight="1">
      <c r="A13" s="424"/>
      <c r="B13" s="425"/>
      <c r="C13" s="426"/>
      <c r="D13" s="426"/>
      <c r="E13" s="426"/>
      <c r="F13" s="426"/>
      <c r="G13" s="427"/>
      <c r="H13" s="428"/>
      <c r="I13" s="429"/>
      <c r="J13" s="430"/>
      <c r="K13" s="429"/>
      <c r="L13" s="429"/>
      <c r="M13" s="429"/>
      <c r="N13" s="429"/>
      <c r="O13" s="429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31"/>
    </row>
    <row r="14" spans="1:28" s="408" customFormat="1" ht="7.5" customHeight="1" thickBot="1">
      <c r="A14" s="412"/>
      <c r="B14" s="421"/>
      <c r="C14" s="412"/>
      <c r="D14" s="412"/>
      <c r="E14" s="412"/>
      <c r="F14" s="412"/>
      <c r="G14" s="433"/>
      <c r="H14" s="434"/>
      <c r="I14" s="435"/>
      <c r="J14" s="435"/>
      <c r="K14" s="435"/>
      <c r="L14" s="435"/>
      <c r="M14" s="435"/>
      <c r="N14" s="435"/>
      <c r="O14" s="435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412"/>
      <c r="AB14" s="423"/>
    </row>
    <row r="15" spans="1:28" s="408" customFormat="1" ht="16.5" thickBot="1" thickTop="1">
      <c r="A15" s="412"/>
      <c r="B15" s="421"/>
      <c r="C15" s="412"/>
      <c r="D15" s="412"/>
      <c r="E15" s="412"/>
      <c r="F15" s="436" t="s">
        <v>15</v>
      </c>
      <c r="G15" s="87">
        <v>214.127</v>
      </c>
      <c r="H15" s="749"/>
      <c r="I15" s="435"/>
      <c r="J15" s="435"/>
      <c r="K15" s="435"/>
      <c r="L15" s="435"/>
      <c r="M15" s="435"/>
      <c r="N15" s="435"/>
      <c r="O15" s="435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23"/>
    </row>
    <row r="16" spans="1:28" s="408" customFormat="1" ht="14.25" thickBot="1" thickTop="1">
      <c r="A16" s="412"/>
      <c r="B16" s="421"/>
      <c r="C16" s="412"/>
      <c r="D16" s="412"/>
      <c r="E16" s="412"/>
      <c r="F16" s="436" t="s">
        <v>16</v>
      </c>
      <c r="G16" s="87" t="s">
        <v>67</v>
      </c>
      <c r="H16" s="437"/>
      <c r="I16" s="412"/>
      <c r="J16" s="438"/>
      <c r="K16" s="439" t="s">
        <v>100</v>
      </c>
      <c r="L16" s="440">
        <f>30*'TOT-0413'!B13</f>
        <v>30</v>
      </c>
      <c r="M16" s="441" t="str">
        <f>IF(L16=30," ",IF(L16=60,"Coeficiente duplicado por tasa de falla &gt;4 Sal. x año/100 km.","REVISAR COEFICIENTE"))</f>
        <v> </v>
      </c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23"/>
    </row>
    <row r="17" spans="1:28" s="408" customFormat="1" ht="14.25" thickBot="1" thickTop="1">
      <c r="A17" s="412"/>
      <c r="B17" s="421"/>
      <c r="C17" s="412"/>
      <c r="D17" s="412"/>
      <c r="E17" s="412"/>
      <c r="F17" s="436" t="s">
        <v>18</v>
      </c>
      <c r="G17" s="87" t="s">
        <v>67</v>
      </c>
      <c r="H17" s="437"/>
      <c r="I17" s="412"/>
      <c r="J17" s="412"/>
      <c r="K17" s="412"/>
      <c r="L17" s="442"/>
      <c r="M17" s="443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23"/>
    </row>
    <row r="18" spans="1:28" s="408" customFormat="1" ht="3.75" customHeight="1" thickTop="1">
      <c r="A18" s="412"/>
      <c r="B18" s="421"/>
      <c r="C18" s="412"/>
      <c r="D18" s="412"/>
      <c r="E18" s="412"/>
      <c r="F18" s="444"/>
      <c r="G18" s="445"/>
      <c r="H18" s="446"/>
      <c r="I18" s="412"/>
      <c r="J18" s="412"/>
      <c r="K18" s="412"/>
      <c r="L18" s="442"/>
      <c r="M18" s="443"/>
      <c r="N18" s="412"/>
      <c r="O18" s="412"/>
      <c r="P18" s="412"/>
      <c r="Q18" s="412"/>
      <c r="R18" s="412"/>
      <c r="S18" s="412"/>
      <c r="T18" s="412"/>
      <c r="U18" s="412"/>
      <c r="V18" s="412"/>
      <c r="W18" s="412"/>
      <c r="X18" s="412"/>
      <c r="Y18" s="412"/>
      <c r="Z18" s="412"/>
      <c r="AA18" s="412"/>
      <c r="AB18" s="423"/>
    </row>
    <row r="19" spans="1:28" s="408" customFormat="1" ht="12" customHeight="1" thickBot="1">
      <c r="A19" s="412"/>
      <c r="B19" s="421"/>
      <c r="C19" s="447">
        <v>3</v>
      </c>
      <c r="D19" s="447">
        <v>4</v>
      </c>
      <c r="E19" s="447">
        <v>5</v>
      </c>
      <c r="F19" s="447">
        <v>6</v>
      </c>
      <c r="G19" s="447">
        <v>7</v>
      </c>
      <c r="H19" s="447">
        <v>8</v>
      </c>
      <c r="I19" s="447">
        <v>9</v>
      </c>
      <c r="J19" s="447">
        <v>10</v>
      </c>
      <c r="K19" s="447">
        <v>11</v>
      </c>
      <c r="L19" s="447">
        <v>12</v>
      </c>
      <c r="M19" s="447">
        <v>13</v>
      </c>
      <c r="N19" s="447">
        <v>14</v>
      </c>
      <c r="O19" s="447">
        <v>15</v>
      </c>
      <c r="P19" s="447">
        <v>16</v>
      </c>
      <c r="Q19" s="447">
        <v>17</v>
      </c>
      <c r="R19" s="447">
        <v>18</v>
      </c>
      <c r="S19" s="447">
        <v>19</v>
      </c>
      <c r="T19" s="447">
        <v>20</v>
      </c>
      <c r="U19" s="447">
        <v>21</v>
      </c>
      <c r="V19" s="447">
        <v>22</v>
      </c>
      <c r="W19" s="447">
        <v>23</v>
      </c>
      <c r="X19" s="447">
        <v>24</v>
      </c>
      <c r="Y19" s="447">
        <v>25</v>
      </c>
      <c r="Z19" s="447">
        <v>26</v>
      </c>
      <c r="AA19" s="447">
        <v>27</v>
      </c>
      <c r="AB19" s="423"/>
    </row>
    <row r="20" spans="1:28" s="408" customFormat="1" ht="33.75" customHeight="1" thickBot="1" thickTop="1">
      <c r="A20" s="412"/>
      <c r="B20" s="421"/>
      <c r="C20" s="448" t="s">
        <v>19</v>
      </c>
      <c r="D20" s="448" t="s">
        <v>60</v>
      </c>
      <c r="E20" s="448" t="s">
        <v>61</v>
      </c>
      <c r="F20" s="449" t="s">
        <v>2</v>
      </c>
      <c r="G20" s="450" t="s">
        <v>20</v>
      </c>
      <c r="H20" s="450" t="s">
        <v>21</v>
      </c>
      <c r="I20" s="451" t="s">
        <v>22</v>
      </c>
      <c r="J20" s="449" t="s">
        <v>23</v>
      </c>
      <c r="K20" s="449" t="s">
        <v>24</v>
      </c>
      <c r="L20" s="450" t="s">
        <v>101</v>
      </c>
      <c r="M20" s="450" t="s">
        <v>26</v>
      </c>
      <c r="N20" s="450" t="s">
        <v>59</v>
      </c>
      <c r="O20" s="450" t="s">
        <v>27</v>
      </c>
      <c r="P20" s="452" t="s">
        <v>58</v>
      </c>
      <c r="Q20" s="453" t="s">
        <v>29</v>
      </c>
      <c r="R20" s="454" t="s">
        <v>102</v>
      </c>
      <c r="S20" s="455"/>
      <c r="T20" s="456"/>
      <c r="U20" s="457" t="s">
        <v>103</v>
      </c>
      <c r="V20" s="458"/>
      <c r="W20" s="459"/>
      <c r="X20" s="460" t="s">
        <v>32</v>
      </c>
      <c r="Y20" s="461" t="s">
        <v>33</v>
      </c>
      <c r="Z20" s="462" t="s">
        <v>104</v>
      </c>
      <c r="AA20" s="463" t="s">
        <v>35</v>
      </c>
      <c r="AB20" s="423"/>
    </row>
    <row r="21" spans="1:28" s="408" customFormat="1" ht="16.5" thickBot="1" thickTop="1">
      <c r="A21" s="412"/>
      <c r="B21" s="421"/>
      <c r="C21" s="464"/>
      <c r="D21" s="464"/>
      <c r="E21" s="464"/>
      <c r="F21" s="465"/>
      <c r="G21" s="466"/>
      <c r="H21" s="466"/>
      <c r="I21" s="467"/>
      <c r="J21" s="466"/>
      <c r="K21" s="465"/>
      <c r="L21" s="465"/>
      <c r="M21" s="465"/>
      <c r="N21" s="466"/>
      <c r="O21" s="466"/>
      <c r="P21" s="468"/>
      <c r="Q21" s="469"/>
      <c r="R21" s="470"/>
      <c r="S21" s="471"/>
      <c r="T21" s="472"/>
      <c r="U21" s="473"/>
      <c r="V21" s="474"/>
      <c r="W21" s="475"/>
      <c r="X21" s="476"/>
      <c r="Y21" s="477"/>
      <c r="Z21" s="478"/>
      <c r="AA21" s="479"/>
      <c r="AB21" s="423"/>
    </row>
    <row r="22" spans="1:28" s="408" customFormat="1" ht="16.5" thickBot="1" thickTop="1">
      <c r="A22" s="412"/>
      <c r="B22" s="421"/>
      <c r="C22" s="464"/>
      <c r="D22" s="464"/>
      <c r="E22" s="464"/>
      <c r="F22" s="464"/>
      <c r="G22" s="464"/>
      <c r="H22" s="464"/>
      <c r="I22" s="480"/>
      <c r="J22" s="464"/>
      <c r="K22" s="481"/>
      <c r="L22" s="481"/>
      <c r="M22" s="481"/>
      <c r="N22" s="464"/>
      <c r="O22" s="464"/>
      <c r="P22" s="468"/>
      <c r="Q22" s="482"/>
      <c r="R22" s="483"/>
      <c r="S22" s="484"/>
      <c r="T22" s="485"/>
      <c r="U22" s="486"/>
      <c r="V22" s="487"/>
      <c r="W22" s="488"/>
      <c r="X22" s="489"/>
      <c r="Y22" s="490"/>
      <c r="Z22" s="491"/>
      <c r="AA22" s="492"/>
      <c r="AB22" s="423"/>
    </row>
    <row r="23" spans="1:28" s="408" customFormat="1" ht="16.5" thickBot="1" thickTop="1">
      <c r="A23" s="412"/>
      <c r="B23" s="421"/>
      <c r="C23" s="493">
        <v>30</v>
      </c>
      <c r="D23" s="493">
        <v>259738</v>
      </c>
      <c r="E23" s="493">
        <v>5105</v>
      </c>
      <c r="F23" s="494" t="s">
        <v>128</v>
      </c>
      <c r="G23" s="494">
        <v>220</v>
      </c>
      <c r="H23" s="495">
        <v>7</v>
      </c>
      <c r="I23" s="496">
        <f aca="true" t="shared" si="0" ref="I23:I42">IF(H23&gt;25,H23,25)*IF(G23=220,$G$15,IF(G23=132,$G$16,$G$17))/100</f>
        <v>53.53175</v>
      </c>
      <c r="J23" s="497">
        <v>41382.40138888889</v>
      </c>
      <c r="K23" s="497">
        <v>41382.7125</v>
      </c>
      <c r="L23" s="498">
        <f aca="true" t="shared" si="1" ref="L23:L42">IF(F23="","",(K23-J23)*24)</f>
        <v>7.466666666732635</v>
      </c>
      <c r="M23" s="499">
        <f aca="true" t="shared" si="2" ref="M23:M42">IF(F23="","",ROUND((K23-J23)*24*60,0))</f>
        <v>448</v>
      </c>
      <c r="N23" s="500" t="s">
        <v>63</v>
      </c>
      <c r="O23" s="501" t="str">
        <f aca="true" t="shared" si="3" ref="O23:O42">IF(F23="","","--")</f>
        <v>--</v>
      </c>
      <c r="P23" s="502">
        <f aca="true" t="shared" si="4" ref="P23:P42">IF(N23="P",ROUND(M23/60,2)*I23*$L$16*0.01,"--")</f>
        <v>119.96465175000002</v>
      </c>
      <c r="Q23" s="503" t="str">
        <f aca="true" t="shared" si="5" ref="Q23:Q42">IF(N23="RP",ROUND(M23/60,2)*I23*$L$16*0.01*O23/100,"--")</f>
        <v>--</v>
      </c>
      <c r="R23" s="504" t="str">
        <f aca="true" t="shared" si="6" ref="R23:R42">IF(N23="F",I23*$L$16,"--")</f>
        <v>--</v>
      </c>
      <c r="S23" s="505" t="str">
        <f aca="true" t="shared" si="7" ref="S23:S42">IF(AND(M23&gt;10,N23="F"),I23*$L$16*IF(M23&gt;180,3,ROUND(M23/60,2)),"--")</f>
        <v>--</v>
      </c>
      <c r="T23" s="506" t="str">
        <f aca="true" t="shared" si="8" ref="T23:T42">IF(AND(N23="F",M23&gt;180),(ROUND(M23/60,2)-3)*I23*$L$16*0.1,"--")</f>
        <v>--</v>
      </c>
      <c r="U23" s="507" t="str">
        <f aca="true" t="shared" si="9" ref="U23:U42">IF(N23="R",I23*$L$16*O23/100,"--")</f>
        <v>--</v>
      </c>
      <c r="V23" s="508" t="str">
        <f aca="true" t="shared" si="10" ref="V23:V42">IF(AND(M23&gt;10,N23="R"),I23*$L$16*O23/100*IF(M23&gt;180,3,ROUND(M23/60,2)),"--")</f>
        <v>--</v>
      </c>
      <c r="W23" s="509" t="str">
        <f aca="true" t="shared" si="11" ref="W23:W42">IF(AND(N23="R",M23&gt;180),(ROUND(M23/60,2)-3)*I23*$L$16*0.1*O23/100,"--")</f>
        <v>--</v>
      </c>
      <c r="X23" s="510" t="str">
        <f aca="true" t="shared" si="12" ref="X23:X42">IF(N23="RF",ROUND(M23/60,2)*I23*$L$16*0.1,"--")</f>
        <v>--</v>
      </c>
      <c r="Y23" s="511" t="str">
        <f aca="true" t="shared" si="13" ref="Y23:Y42">IF(N23="RR",ROUND(M23/60,2)*I23*$L$16*0.1*O23/100,"--")</f>
        <v>--</v>
      </c>
      <c r="Z23" s="512" t="str">
        <f aca="true" t="shared" si="14" ref="Z23:Z42">IF(F23="","","SI")</f>
        <v>SI</v>
      </c>
      <c r="AA23" s="513">
        <f aca="true" t="shared" si="15" ref="AA23:AA42">IF(F23="","",SUM(P23:Y23)*IF(Z23="SI",1,2))</f>
        <v>119.96465175000002</v>
      </c>
      <c r="AB23" s="423"/>
    </row>
    <row r="24" spans="1:28" s="408" customFormat="1" ht="16.5" thickBot="1" thickTop="1">
      <c r="A24" s="412"/>
      <c r="B24" s="421"/>
      <c r="C24" s="493"/>
      <c r="D24" s="493"/>
      <c r="E24" s="493"/>
      <c r="F24" s="494"/>
      <c r="G24" s="494"/>
      <c r="H24" s="495"/>
      <c r="I24" s="496" t="e">
        <f t="shared" si="0"/>
        <v>#VALUE!</v>
      </c>
      <c r="J24" s="497"/>
      <c r="K24" s="497"/>
      <c r="L24" s="498">
        <f t="shared" si="1"/>
      </c>
      <c r="M24" s="499">
        <f t="shared" si="2"/>
      </c>
      <c r="N24" s="500"/>
      <c r="O24" s="501">
        <f t="shared" si="3"/>
      </c>
      <c r="P24" s="502" t="str">
        <f t="shared" si="4"/>
        <v>--</v>
      </c>
      <c r="Q24" s="503" t="str">
        <f t="shared" si="5"/>
        <v>--</v>
      </c>
      <c r="R24" s="504" t="str">
        <f t="shared" si="6"/>
        <v>--</v>
      </c>
      <c r="S24" s="505" t="str">
        <f t="shared" si="7"/>
        <v>--</v>
      </c>
      <c r="T24" s="506" t="str">
        <f t="shared" si="8"/>
        <v>--</v>
      </c>
      <c r="U24" s="507" t="str">
        <f t="shared" si="9"/>
        <v>--</v>
      </c>
      <c r="V24" s="508" t="str">
        <f t="shared" si="10"/>
        <v>--</v>
      </c>
      <c r="W24" s="509" t="str">
        <f t="shared" si="11"/>
        <v>--</v>
      </c>
      <c r="X24" s="510" t="str">
        <f t="shared" si="12"/>
        <v>--</v>
      </c>
      <c r="Y24" s="511" t="str">
        <f t="shared" si="13"/>
        <v>--</v>
      </c>
      <c r="Z24" s="512">
        <f t="shared" si="14"/>
      </c>
      <c r="AA24" s="513">
        <f t="shared" si="15"/>
      </c>
      <c r="AB24" s="423"/>
    </row>
    <row r="25" spans="1:28" s="408" customFormat="1" ht="16.5" thickBot="1" thickTop="1">
      <c r="A25" s="412"/>
      <c r="B25" s="421"/>
      <c r="C25" s="493"/>
      <c r="D25" s="493"/>
      <c r="E25" s="493"/>
      <c r="F25" s="494"/>
      <c r="G25" s="494"/>
      <c r="H25" s="495"/>
      <c r="I25" s="496" t="e">
        <f t="shared" si="0"/>
        <v>#VALUE!</v>
      </c>
      <c r="J25" s="497"/>
      <c r="K25" s="497"/>
      <c r="L25" s="498">
        <f t="shared" si="1"/>
      </c>
      <c r="M25" s="499">
        <f t="shared" si="2"/>
      </c>
      <c r="N25" s="500"/>
      <c r="O25" s="501">
        <f t="shared" si="3"/>
      </c>
      <c r="P25" s="502" t="str">
        <f t="shared" si="4"/>
        <v>--</v>
      </c>
      <c r="Q25" s="503" t="str">
        <f t="shared" si="5"/>
        <v>--</v>
      </c>
      <c r="R25" s="504" t="str">
        <f t="shared" si="6"/>
        <v>--</v>
      </c>
      <c r="S25" s="505" t="str">
        <f t="shared" si="7"/>
        <v>--</v>
      </c>
      <c r="T25" s="506" t="str">
        <f t="shared" si="8"/>
        <v>--</v>
      </c>
      <c r="U25" s="507" t="str">
        <f t="shared" si="9"/>
        <v>--</v>
      </c>
      <c r="V25" s="508" t="str">
        <f t="shared" si="10"/>
        <v>--</v>
      </c>
      <c r="W25" s="509" t="str">
        <f t="shared" si="11"/>
        <v>--</v>
      </c>
      <c r="X25" s="510" t="str">
        <f t="shared" si="12"/>
        <v>--</v>
      </c>
      <c r="Y25" s="511" t="str">
        <f t="shared" si="13"/>
        <v>--</v>
      </c>
      <c r="Z25" s="512">
        <f t="shared" si="14"/>
      </c>
      <c r="AA25" s="513">
        <f t="shared" si="15"/>
      </c>
      <c r="AB25" s="423"/>
    </row>
    <row r="26" spans="1:28" s="408" customFormat="1" ht="16.5" thickBot="1" thickTop="1">
      <c r="A26" s="412"/>
      <c r="B26" s="421"/>
      <c r="C26" s="493"/>
      <c r="D26" s="493"/>
      <c r="E26" s="493"/>
      <c r="F26" s="494"/>
      <c r="G26" s="494"/>
      <c r="H26" s="495"/>
      <c r="I26" s="496" t="e">
        <f t="shared" si="0"/>
        <v>#VALUE!</v>
      </c>
      <c r="J26" s="497"/>
      <c r="K26" s="497"/>
      <c r="L26" s="498">
        <f t="shared" si="1"/>
      </c>
      <c r="M26" s="499">
        <f t="shared" si="2"/>
      </c>
      <c r="N26" s="500"/>
      <c r="O26" s="501">
        <f t="shared" si="3"/>
      </c>
      <c r="P26" s="502" t="str">
        <f t="shared" si="4"/>
        <v>--</v>
      </c>
      <c r="Q26" s="503" t="str">
        <f t="shared" si="5"/>
        <v>--</v>
      </c>
      <c r="R26" s="504" t="str">
        <f t="shared" si="6"/>
        <v>--</v>
      </c>
      <c r="S26" s="505" t="str">
        <f t="shared" si="7"/>
        <v>--</v>
      </c>
      <c r="T26" s="506" t="str">
        <f t="shared" si="8"/>
        <v>--</v>
      </c>
      <c r="U26" s="507" t="str">
        <f t="shared" si="9"/>
        <v>--</v>
      </c>
      <c r="V26" s="508" t="str">
        <f t="shared" si="10"/>
        <v>--</v>
      </c>
      <c r="W26" s="509" t="str">
        <f t="shared" si="11"/>
        <v>--</v>
      </c>
      <c r="X26" s="510" t="str">
        <f t="shared" si="12"/>
        <v>--</v>
      </c>
      <c r="Y26" s="511" t="str">
        <f t="shared" si="13"/>
        <v>--</v>
      </c>
      <c r="Z26" s="512">
        <f t="shared" si="14"/>
      </c>
      <c r="AA26" s="513">
        <f t="shared" si="15"/>
      </c>
      <c r="AB26" s="423"/>
    </row>
    <row r="27" spans="1:28" s="408" customFormat="1" ht="16.5" thickBot="1" thickTop="1">
      <c r="A27" s="412"/>
      <c r="B27" s="421"/>
      <c r="C27" s="493"/>
      <c r="D27" s="493"/>
      <c r="E27" s="493"/>
      <c r="F27" s="494"/>
      <c r="G27" s="494"/>
      <c r="H27" s="495"/>
      <c r="I27" s="496" t="e">
        <f t="shared" si="0"/>
        <v>#VALUE!</v>
      </c>
      <c r="J27" s="497"/>
      <c r="K27" s="497"/>
      <c r="L27" s="498">
        <f t="shared" si="1"/>
      </c>
      <c r="M27" s="499">
        <f t="shared" si="2"/>
      </c>
      <c r="N27" s="500"/>
      <c r="O27" s="501">
        <f t="shared" si="3"/>
      </c>
      <c r="P27" s="502" t="str">
        <f t="shared" si="4"/>
        <v>--</v>
      </c>
      <c r="Q27" s="503" t="str">
        <f t="shared" si="5"/>
        <v>--</v>
      </c>
      <c r="R27" s="504" t="str">
        <f t="shared" si="6"/>
        <v>--</v>
      </c>
      <c r="S27" s="505" t="str">
        <f t="shared" si="7"/>
        <v>--</v>
      </c>
      <c r="T27" s="506" t="str">
        <f t="shared" si="8"/>
        <v>--</v>
      </c>
      <c r="U27" s="507" t="str">
        <f t="shared" si="9"/>
        <v>--</v>
      </c>
      <c r="V27" s="508" t="str">
        <f t="shared" si="10"/>
        <v>--</v>
      </c>
      <c r="W27" s="509" t="str">
        <f t="shared" si="11"/>
        <v>--</v>
      </c>
      <c r="X27" s="510" t="str">
        <f t="shared" si="12"/>
        <v>--</v>
      </c>
      <c r="Y27" s="511" t="str">
        <f t="shared" si="13"/>
        <v>--</v>
      </c>
      <c r="Z27" s="512">
        <f t="shared" si="14"/>
      </c>
      <c r="AA27" s="513">
        <f t="shared" si="15"/>
      </c>
      <c r="AB27" s="423"/>
    </row>
    <row r="28" spans="1:28" s="408" customFormat="1" ht="16.5" thickBot="1" thickTop="1">
      <c r="A28" s="412"/>
      <c r="B28" s="421"/>
      <c r="C28" s="493"/>
      <c r="D28" s="493"/>
      <c r="E28" s="493"/>
      <c r="F28" s="494"/>
      <c r="G28" s="494"/>
      <c r="H28" s="495"/>
      <c r="I28" s="496" t="e">
        <f t="shared" si="0"/>
        <v>#VALUE!</v>
      </c>
      <c r="J28" s="497"/>
      <c r="K28" s="497"/>
      <c r="L28" s="498">
        <f t="shared" si="1"/>
      </c>
      <c r="M28" s="499">
        <f t="shared" si="2"/>
      </c>
      <c r="N28" s="500"/>
      <c r="O28" s="501">
        <f t="shared" si="3"/>
      </c>
      <c r="P28" s="502" t="str">
        <f t="shared" si="4"/>
        <v>--</v>
      </c>
      <c r="Q28" s="503" t="str">
        <f t="shared" si="5"/>
        <v>--</v>
      </c>
      <c r="R28" s="504" t="str">
        <f t="shared" si="6"/>
        <v>--</v>
      </c>
      <c r="S28" s="505" t="str">
        <f t="shared" si="7"/>
        <v>--</v>
      </c>
      <c r="T28" s="506" t="str">
        <f t="shared" si="8"/>
        <v>--</v>
      </c>
      <c r="U28" s="507" t="str">
        <f t="shared" si="9"/>
        <v>--</v>
      </c>
      <c r="V28" s="508" t="str">
        <f t="shared" si="10"/>
        <v>--</v>
      </c>
      <c r="W28" s="509" t="str">
        <f t="shared" si="11"/>
        <v>--</v>
      </c>
      <c r="X28" s="510" t="str">
        <f t="shared" si="12"/>
        <v>--</v>
      </c>
      <c r="Y28" s="511" t="str">
        <f t="shared" si="13"/>
        <v>--</v>
      </c>
      <c r="Z28" s="512">
        <f t="shared" si="14"/>
      </c>
      <c r="AA28" s="513">
        <f t="shared" si="15"/>
      </c>
      <c r="AB28" s="423"/>
    </row>
    <row r="29" spans="1:28" s="408" customFormat="1" ht="16.5" thickBot="1" thickTop="1">
      <c r="A29" s="412"/>
      <c r="B29" s="421"/>
      <c r="C29" s="493"/>
      <c r="D29" s="493"/>
      <c r="E29" s="493"/>
      <c r="F29" s="494"/>
      <c r="G29" s="494"/>
      <c r="H29" s="495"/>
      <c r="I29" s="496" t="e">
        <f t="shared" si="0"/>
        <v>#VALUE!</v>
      </c>
      <c r="J29" s="497"/>
      <c r="K29" s="497"/>
      <c r="L29" s="498">
        <f t="shared" si="1"/>
      </c>
      <c r="M29" s="499">
        <f t="shared" si="2"/>
      </c>
      <c r="N29" s="500"/>
      <c r="O29" s="501">
        <f t="shared" si="3"/>
      </c>
      <c r="P29" s="502" t="str">
        <f t="shared" si="4"/>
        <v>--</v>
      </c>
      <c r="Q29" s="503" t="str">
        <f t="shared" si="5"/>
        <v>--</v>
      </c>
      <c r="R29" s="504" t="str">
        <f t="shared" si="6"/>
        <v>--</v>
      </c>
      <c r="S29" s="505" t="str">
        <f t="shared" si="7"/>
        <v>--</v>
      </c>
      <c r="T29" s="506" t="str">
        <f t="shared" si="8"/>
        <v>--</v>
      </c>
      <c r="U29" s="507" t="str">
        <f t="shared" si="9"/>
        <v>--</v>
      </c>
      <c r="V29" s="508" t="str">
        <f t="shared" si="10"/>
        <v>--</v>
      </c>
      <c r="W29" s="509" t="str">
        <f t="shared" si="11"/>
        <v>--</v>
      </c>
      <c r="X29" s="510" t="str">
        <f t="shared" si="12"/>
        <v>--</v>
      </c>
      <c r="Y29" s="511" t="str">
        <f t="shared" si="13"/>
        <v>--</v>
      </c>
      <c r="Z29" s="512">
        <f t="shared" si="14"/>
      </c>
      <c r="AA29" s="513">
        <f t="shared" si="15"/>
      </c>
      <c r="AB29" s="423"/>
    </row>
    <row r="30" spans="1:28" s="408" customFormat="1" ht="16.5" thickBot="1" thickTop="1">
      <c r="A30" s="412"/>
      <c r="B30" s="421"/>
      <c r="C30" s="493"/>
      <c r="D30" s="493"/>
      <c r="E30" s="493"/>
      <c r="F30" s="494"/>
      <c r="G30" s="494"/>
      <c r="H30" s="495"/>
      <c r="I30" s="496" t="e">
        <f t="shared" si="0"/>
        <v>#VALUE!</v>
      </c>
      <c r="J30" s="497"/>
      <c r="K30" s="497"/>
      <c r="L30" s="498">
        <f t="shared" si="1"/>
      </c>
      <c r="M30" s="499">
        <f t="shared" si="2"/>
      </c>
      <c r="N30" s="500"/>
      <c r="O30" s="501">
        <f t="shared" si="3"/>
      </c>
      <c r="P30" s="502" t="str">
        <f t="shared" si="4"/>
        <v>--</v>
      </c>
      <c r="Q30" s="503" t="str">
        <f t="shared" si="5"/>
        <v>--</v>
      </c>
      <c r="R30" s="504" t="str">
        <f t="shared" si="6"/>
        <v>--</v>
      </c>
      <c r="S30" s="505" t="str">
        <f t="shared" si="7"/>
        <v>--</v>
      </c>
      <c r="T30" s="506" t="str">
        <f t="shared" si="8"/>
        <v>--</v>
      </c>
      <c r="U30" s="507" t="str">
        <f t="shared" si="9"/>
        <v>--</v>
      </c>
      <c r="V30" s="508" t="str">
        <f t="shared" si="10"/>
        <v>--</v>
      </c>
      <c r="W30" s="509" t="str">
        <f t="shared" si="11"/>
        <v>--</v>
      </c>
      <c r="X30" s="510" t="str">
        <f t="shared" si="12"/>
        <v>--</v>
      </c>
      <c r="Y30" s="511" t="str">
        <f t="shared" si="13"/>
        <v>--</v>
      </c>
      <c r="Z30" s="512">
        <f t="shared" si="14"/>
      </c>
      <c r="AA30" s="513">
        <f t="shared" si="15"/>
      </c>
      <c r="AB30" s="423"/>
    </row>
    <row r="31" spans="1:28" s="408" customFormat="1" ht="16.5" thickBot="1" thickTop="1">
      <c r="A31" s="412"/>
      <c r="B31" s="421"/>
      <c r="C31" s="493"/>
      <c r="D31" s="493"/>
      <c r="E31" s="493"/>
      <c r="F31" s="494"/>
      <c r="G31" s="494"/>
      <c r="H31" s="495"/>
      <c r="I31" s="496" t="e">
        <f t="shared" si="0"/>
        <v>#VALUE!</v>
      </c>
      <c r="J31" s="497"/>
      <c r="K31" s="497"/>
      <c r="L31" s="498">
        <f t="shared" si="1"/>
      </c>
      <c r="M31" s="499">
        <f t="shared" si="2"/>
      </c>
      <c r="N31" s="500"/>
      <c r="O31" s="501">
        <f t="shared" si="3"/>
      </c>
      <c r="P31" s="502" t="str">
        <f t="shared" si="4"/>
        <v>--</v>
      </c>
      <c r="Q31" s="503" t="str">
        <f t="shared" si="5"/>
        <v>--</v>
      </c>
      <c r="R31" s="504" t="str">
        <f t="shared" si="6"/>
        <v>--</v>
      </c>
      <c r="S31" s="505" t="str">
        <f t="shared" si="7"/>
        <v>--</v>
      </c>
      <c r="T31" s="506" t="str">
        <f t="shared" si="8"/>
        <v>--</v>
      </c>
      <c r="U31" s="507" t="str">
        <f t="shared" si="9"/>
        <v>--</v>
      </c>
      <c r="V31" s="508" t="str">
        <f t="shared" si="10"/>
        <v>--</v>
      </c>
      <c r="W31" s="509" t="str">
        <f t="shared" si="11"/>
        <v>--</v>
      </c>
      <c r="X31" s="510" t="str">
        <f t="shared" si="12"/>
        <v>--</v>
      </c>
      <c r="Y31" s="511" t="str">
        <f t="shared" si="13"/>
        <v>--</v>
      </c>
      <c r="Z31" s="512">
        <f t="shared" si="14"/>
      </c>
      <c r="AA31" s="513">
        <f t="shared" si="15"/>
      </c>
      <c r="AB31" s="423"/>
    </row>
    <row r="32" spans="1:28" s="408" customFormat="1" ht="16.5" thickBot="1" thickTop="1">
      <c r="A32" s="412"/>
      <c r="B32" s="421"/>
      <c r="C32" s="493"/>
      <c r="D32" s="493"/>
      <c r="E32" s="493"/>
      <c r="F32" s="494"/>
      <c r="G32" s="494"/>
      <c r="H32" s="495"/>
      <c r="I32" s="496" t="e">
        <f t="shared" si="0"/>
        <v>#VALUE!</v>
      </c>
      <c r="J32" s="497"/>
      <c r="K32" s="497"/>
      <c r="L32" s="498">
        <f t="shared" si="1"/>
      </c>
      <c r="M32" s="499">
        <f t="shared" si="2"/>
      </c>
      <c r="N32" s="500"/>
      <c r="O32" s="501">
        <f t="shared" si="3"/>
      </c>
      <c r="P32" s="502" t="str">
        <f t="shared" si="4"/>
        <v>--</v>
      </c>
      <c r="Q32" s="503" t="str">
        <f t="shared" si="5"/>
        <v>--</v>
      </c>
      <c r="R32" s="504" t="str">
        <f t="shared" si="6"/>
        <v>--</v>
      </c>
      <c r="S32" s="505" t="str">
        <f t="shared" si="7"/>
        <v>--</v>
      </c>
      <c r="T32" s="506" t="str">
        <f t="shared" si="8"/>
        <v>--</v>
      </c>
      <c r="U32" s="507" t="str">
        <f t="shared" si="9"/>
        <v>--</v>
      </c>
      <c r="V32" s="508" t="str">
        <f t="shared" si="10"/>
        <v>--</v>
      </c>
      <c r="W32" s="509" t="str">
        <f t="shared" si="11"/>
        <v>--</v>
      </c>
      <c r="X32" s="510" t="str">
        <f t="shared" si="12"/>
        <v>--</v>
      </c>
      <c r="Y32" s="511" t="str">
        <f t="shared" si="13"/>
        <v>--</v>
      </c>
      <c r="Z32" s="512">
        <f t="shared" si="14"/>
      </c>
      <c r="AA32" s="513">
        <f t="shared" si="15"/>
      </c>
      <c r="AB32" s="423"/>
    </row>
    <row r="33" spans="1:28" s="408" customFormat="1" ht="16.5" thickBot="1" thickTop="1">
      <c r="A33" s="412"/>
      <c r="B33" s="421"/>
      <c r="C33" s="493"/>
      <c r="D33" s="493"/>
      <c r="E33" s="493"/>
      <c r="F33" s="494"/>
      <c r="G33" s="494"/>
      <c r="H33" s="495"/>
      <c r="I33" s="496" t="e">
        <f t="shared" si="0"/>
        <v>#VALUE!</v>
      </c>
      <c r="J33" s="497"/>
      <c r="K33" s="497"/>
      <c r="L33" s="498">
        <f t="shared" si="1"/>
      </c>
      <c r="M33" s="499">
        <f t="shared" si="2"/>
      </c>
      <c r="N33" s="500"/>
      <c r="O33" s="501">
        <f t="shared" si="3"/>
      </c>
      <c r="P33" s="502" t="str">
        <f t="shared" si="4"/>
        <v>--</v>
      </c>
      <c r="Q33" s="503" t="str">
        <f t="shared" si="5"/>
        <v>--</v>
      </c>
      <c r="R33" s="504" t="str">
        <f t="shared" si="6"/>
        <v>--</v>
      </c>
      <c r="S33" s="505" t="str">
        <f t="shared" si="7"/>
        <v>--</v>
      </c>
      <c r="T33" s="506" t="str">
        <f t="shared" si="8"/>
        <v>--</v>
      </c>
      <c r="U33" s="507" t="str">
        <f t="shared" si="9"/>
        <v>--</v>
      </c>
      <c r="V33" s="508" t="str">
        <f t="shared" si="10"/>
        <v>--</v>
      </c>
      <c r="W33" s="509" t="str">
        <f t="shared" si="11"/>
        <v>--</v>
      </c>
      <c r="X33" s="510" t="str">
        <f t="shared" si="12"/>
        <v>--</v>
      </c>
      <c r="Y33" s="511" t="str">
        <f t="shared" si="13"/>
        <v>--</v>
      </c>
      <c r="Z33" s="512">
        <f t="shared" si="14"/>
      </c>
      <c r="AA33" s="513">
        <f t="shared" si="15"/>
      </c>
      <c r="AB33" s="423"/>
    </row>
    <row r="34" spans="1:28" s="408" customFormat="1" ht="16.5" thickBot="1" thickTop="1">
      <c r="A34" s="412"/>
      <c r="B34" s="421"/>
      <c r="C34" s="493"/>
      <c r="D34" s="493"/>
      <c r="E34" s="493"/>
      <c r="F34" s="494"/>
      <c r="G34" s="494"/>
      <c r="H34" s="495"/>
      <c r="I34" s="496" t="e">
        <f t="shared" si="0"/>
        <v>#VALUE!</v>
      </c>
      <c r="J34" s="497"/>
      <c r="K34" s="497"/>
      <c r="L34" s="498">
        <f t="shared" si="1"/>
      </c>
      <c r="M34" s="499">
        <f t="shared" si="2"/>
      </c>
      <c r="N34" s="500"/>
      <c r="O34" s="501">
        <f t="shared" si="3"/>
      </c>
      <c r="P34" s="502" t="str">
        <f t="shared" si="4"/>
        <v>--</v>
      </c>
      <c r="Q34" s="503" t="str">
        <f t="shared" si="5"/>
        <v>--</v>
      </c>
      <c r="R34" s="504" t="str">
        <f t="shared" si="6"/>
        <v>--</v>
      </c>
      <c r="S34" s="505" t="str">
        <f t="shared" si="7"/>
        <v>--</v>
      </c>
      <c r="T34" s="506" t="str">
        <f t="shared" si="8"/>
        <v>--</v>
      </c>
      <c r="U34" s="507" t="str">
        <f t="shared" si="9"/>
        <v>--</v>
      </c>
      <c r="V34" s="508" t="str">
        <f t="shared" si="10"/>
        <v>--</v>
      </c>
      <c r="W34" s="509" t="str">
        <f t="shared" si="11"/>
        <v>--</v>
      </c>
      <c r="X34" s="510" t="str">
        <f t="shared" si="12"/>
        <v>--</v>
      </c>
      <c r="Y34" s="511" t="str">
        <f t="shared" si="13"/>
        <v>--</v>
      </c>
      <c r="Z34" s="512">
        <f t="shared" si="14"/>
      </c>
      <c r="AA34" s="513">
        <f t="shared" si="15"/>
      </c>
      <c r="AB34" s="423"/>
    </row>
    <row r="35" spans="1:28" s="408" customFormat="1" ht="16.5" thickBot="1" thickTop="1">
      <c r="A35" s="412"/>
      <c r="B35" s="421"/>
      <c r="C35" s="493"/>
      <c r="D35" s="493"/>
      <c r="E35" s="493"/>
      <c r="F35" s="494"/>
      <c r="G35" s="494"/>
      <c r="H35" s="495"/>
      <c r="I35" s="496" t="e">
        <f t="shared" si="0"/>
        <v>#VALUE!</v>
      </c>
      <c r="J35" s="497"/>
      <c r="K35" s="497"/>
      <c r="L35" s="498">
        <f t="shared" si="1"/>
      </c>
      <c r="M35" s="499">
        <f t="shared" si="2"/>
      </c>
      <c r="N35" s="500"/>
      <c r="O35" s="501">
        <f t="shared" si="3"/>
      </c>
      <c r="P35" s="502" t="str">
        <f t="shared" si="4"/>
        <v>--</v>
      </c>
      <c r="Q35" s="503" t="str">
        <f t="shared" si="5"/>
        <v>--</v>
      </c>
      <c r="R35" s="504" t="str">
        <f t="shared" si="6"/>
        <v>--</v>
      </c>
      <c r="S35" s="505" t="str">
        <f t="shared" si="7"/>
        <v>--</v>
      </c>
      <c r="T35" s="506" t="str">
        <f t="shared" si="8"/>
        <v>--</v>
      </c>
      <c r="U35" s="507" t="str">
        <f t="shared" si="9"/>
        <v>--</v>
      </c>
      <c r="V35" s="508" t="str">
        <f t="shared" si="10"/>
        <v>--</v>
      </c>
      <c r="W35" s="509" t="str">
        <f t="shared" si="11"/>
        <v>--</v>
      </c>
      <c r="X35" s="510" t="str">
        <f t="shared" si="12"/>
        <v>--</v>
      </c>
      <c r="Y35" s="511" t="str">
        <f t="shared" si="13"/>
        <v>--</v>
      </c>
      <c r="Z35" s="512">
        <f t="shared" si="14"/>
      </c>
      <c r="AA35" s="513">
        <f t="shared" si="15"/>
      </c>
      <c r="AB35" s="423"/>
    </row>
    <row r="36" spans="1:28" s="408" customFormat="1" ht="16.5" thickBot="1" thickTop="1">
      <c r="A36" s="412"/>
      <c r="B36" s="421"/>
      <c r="C36" s="493"/>
      <c r="D36" s="493"/>
      <c r="E36" s="493"/>
      <c r="F36" s="494"/>
      <c r="G36" s="494"/>
      <c r="H36" s="495"/>
      <c r="I36" s="496" t="e">
        <f t="shared" si="0"/>
        <v>#VALUE!</v>
      </c>
      <c r="J36" s="497"/>
      <c r="K36" s="497"/>
      <c r="L36" s="498">
        <f t="shared" si="1"/>
      </c>
      <c r="M36" s="499">
        <f t="shared" si="2"/>
      </c>
      <c r="N36" s="500"/>
      <c r="O36" s="501">
        <f t="shared" si="3"/>
      </c>
      <c r="P36" s="502" t="str">
        <f t="shared" si="4"/>
        <v>--</v>
      </c>
      <c r="Q36" s="503" t="str">
        <f t="shared" si="5"/>
        <v>--</v>
      </c>
      <c r="R36" s="504" t="str">
        <f t="shared" si="6"/>
        <v>--</v>
      </c>
      <c r="S36" s="505" t="str">
        <f t="shared" si="7"/>
        <v>--</v>
      </c>
      <c r="T36" s="506" t="str">
        <f t="shared" si="8"/>
        <v>--</v>
      </c>
      <c r="U36" s="507" t="str">
        <f t="shared" si="9"/>
        <v>--</v>
      </c>
      <c r="V36" s="508" t="str">
        <f t="shared" si="10"/>
        <v>--</v>
      </c>
      <c r="W36" s="509" t="str">
        <f t="shared" si="11"/>
        <v>--</v>
      </c>
      <c r="X36" s="510" t="str">
        <f t="shared" si="12"/>
        <v>--</v>
      </c>
      <c r="Y36" s="511" t="str">
        <f t="shared" si="13"/>
        <v>--</v>
      </c>
      <c r="Z36" s="512">
        <f t="shared" si="14"/>
      </c>
      <c r="AA36" s="513">
        <f t="shared" si="15"/>
      </c>
      <c r="AB36" s="423"/>
    </row>
    <row r="37" spans="1:28" s="408" customFormat="1" ht="16.5" thickBot="1" thickTop="1">
      <c r="A37" s="412"/>
      <c r="B37" s="514"/>
      <c r="C37" s="493"/>
      <c r="D37" s="493"/>
      <c r="E37" s="493"/>
      <c r="F37" s="494"/>
      <c r="G37" s="494"/>
      <c r="H37" s="495"/>
      <c r="I37" s="496" t="e">
        <f t="shared" si="0"/>
        <v>#VALUE!</v>
      </c>
      <c r="J37" s="497"/>
      <c r="K37" s="497"/>
      <c r="L37" s="498">
        <f t="shared" si="1"/>
      </c>
      <c r="M37" s="499">
        <f t="shared" si="2"/>
      </c>
      <c r="N37" s="500"/>
      <c r="O37" s="501">
        <f t="shared" si="3"/>
      </c>
      <c r="P37" s="502" t="str">
        <f t="shared" si="4"/>
        <v>--</v>
      </c>
      <c r="Q37" s="503" t="str">
        <f t="shared" si="5"/>
        <v>--</v>
      </c>
      <c r="R37" s="504" t="str">
        <f t="shared" si="6"/>
        <v>--</v>
      </c>
      <c r="S37" s="505" t="str">
        <f t="shared" si="7"/>
        <v>--</v>
      </c>
      <c r="T37" s="506" t="str">
        <f t="shared" si="8"/>
        <v>--</v>
      </c>
      <c r="U37" s="507" t="str">
        <f t="shared" si="9"/>
        <v>--</v>
      </c>
      <c r="V37" s="508" t="str">
        <f t="shared" si="10"/>
        <v>--</v>
      </c>
      <c r="W37" s="509" t="str">
        <f t="shared" si="11"/>
        <v>--</v>
      </c>
      <c r="X37" s="510" t="str">
        <f t="shared" si="12"/>
        <v>--</v>
      </c>
      <c r="Y37" s="511" t="str">
        <f t="shared" si="13"/>
        <v>--</v>
      </c>
      <c r="Z37" s="512">
        <f t="shared" si="14"/>
      </c>
      <c r="AA37" s="513">
        <f t="shared" si="15"/>
      </c>
      <c r="AB37" s="423"/>
    </row>
    <row r="38" spans="1:28" s="408" customFormat="1" ht="16.5" thickBot="1" thickTop="1">
      <c r="A38" s="412"/>
      <c r="B38" s="421"/>
      <c r="C38" s="493"/>
      <c r="D38" s="493"/>
      <c r="E38" s="493"/>
      <c r="F38" s="494"/>
      <c r="G38" s="494"/>
      <c r="H38" s="495"/>
      <c r="I38" s="496" t="e">
        <f t="shared" si="0"/>
        <v>#VALUE!</v>
      </c>
      <c r="J38" s="497"/>
      <c r="K38" s="497"/>
      <c r="L38" s="498">
        <f t="shared" si="1"/>
      </c>
      <c r="M38" s="499">
        <f t="shared" si="2"/>
      </c>
      <c r="N38" s="500"/>
      <c r="O38" s="501">
        <f t="shared" si="3"/>
      </c>
      <c r="P38" s="502" t="str">
        <f t="shared" si="4"/>
        <v>--</v>
      </c>
      <c r="Q38" s="503" t="str">
        <f t="shared" si="5"/>
        <v>--</v>
      </c>
      <c r="R38" s="504" t="str">
        <f t="shared" si="6"/>
        <v>--</v>
      </c>
      <c r="S38" s="505" t="str">
        <f t="shared" si="7"/>
        <v>--</v>
      </c>
      <c r="T38" s="506" t="str">
        <f t="shared" si="8"/>
        <v>--</v>
      </c>
      <c r="U38" s="507" t="str">
        <f t="shared" si="9"/>
        <v>--</v>
      </c>
      <c r="V38" s="508" t="str">
        <f t="shared" si="10"/>
        <v>--</v>
      </c>
      <c r="W38" s="509" t="str">
        <f t="shared" si="11"/>
        <v>--</v>
      </c>
      <c r="X38" s="510" t="str">
        <f t="shared" si="12"/>
        <v>--</v>
      </c>
      <c r="Y38" s="511" t="str">
        <f t="shared" si="13"/>
        <v>--</v>
      </c>
      <c r="Z38" s="512">
        <f t="shared" si="14"/>
      </c>
      <c r="AA38" s="513">
        <f t="shared" si="15"/>
      </c>
      <c r="AB38" s="423"/>
    </row>
    <row r="39" spans="1:28" s="408" customFormat="1" ht="16.5" thickBot="1" thickTop="1">
      <c r="A39" s="412"/>
      <c r="B39" s="421"/>
      <c r="C39" s="493"/>
      <c r="D39" s="493"/>
      <c r="E39" s="493"/>
      <c r="F39" s="494"/>
      <c r="G39" s="494"/>
      <c r="H39" s="495"/>
      <c r="I39" s="496" t="e">
        <f t="shared" si="0"/>
        <v>#VALUE!</v>
      </c>
      <c r="J39" s="497"/>
      <c r="K39" s="497"/>
      <c r="L39" s="498">
        <f t="shared" si="1"/>
      </c>
      <c r="M39" s="499">
        <f t="shared" si="2"/>
      </c>
      <c r="N39" s="500"/>
      <c r="O39" s="501">
        <f t="shared" si="3"/>
      </c>
      <c r="P39" s="502" t="str">
        <f t="shared" si="4"/>
        <v>--</v>
      </c>
      <c r="Q39" s="503" t="str">
        <f t="shared" si="5"/>
        <v>--</v>
      </c>
      <c r="R39" s="504" t="str">
        <f t="shared" si="6"/>
        <v>--</v>
      </c>
      <c r="S39" s="505" t="str">
        <f t="shared" si="7"/>
        <v>--</v>
      </c>
      <c r="T39" s="506" t="str">
        <f t="shared" si="8"/>
        <v>--</v>
      </c>
      <c r="U39" s="507" t="str">
        <f t="shared" si="9"/>
        <v>--</v>
      </c>
      <c r="V39" s="508" t="str">
        <f t="shared" si="10"/>
        <v>--</v>
      </c>
      <c r="W39" s="509" t="str">
        <f t="shared" si="11"/>
        <v>--</v>
      </c>
      <c r="X39" s="510" t="str">
        <f t="shared" si="12"/>
        <v>--</v>
      </c>
      <c r="Y39" s="511" t="str">
        <f t="shared" si="13"/>
        <v>--</v>
      </c>
      <c r="Z39" s="512">
        <f t="shared" si="14"/>
      </c>
      <c r="AA39" s="513">
        <f t="shared" si="15"/>
      </c>
      <c r="AB39" s="423"/>
    </row>
    <row r="40" spans="2:28" s="408" customFormat="1" ht="16.5" thickBot="1" thickTop="1">
      <c r="B40" s="515"/>
      <c r="C40" s="493"/>
      <c r="D40" s="493"/>
      <c r="E40" s="493"/>
      <c r="F40" s="494"/>
      <c r="G40" s="494"/>
      <c r="H40" s="495"/>
      <c r="I40" s="496" t="e">
        <f t="shared" si="0"/>
        <v>#VALUE!</v>
      </c>
      <c r="J40" s="497"/>
      <c r="K40" s="497"/>
      <c r="L40" s="498">
        <f t="shared" si="1"/>
      </c>
      <c r="M40" s="499">
        <f t="shared" si="2"/>
      </c>
      <c r="N40" s="500"/>
      <c r="O40" s="501">
        <f t="shared" si="3"/>
      </c>
      <c r="P40" s="502" t="str">
        <f t="shared" si="4"/>
        <v>--</v>
      </c>
      <c r="Q40" s="503" t="str">
        <f t="shared" si="5"/>
        <v>--</v>
      </c>
      <c r="R40" s="504" t="str">
        <f t="shared" si="6"/>
        <v>--</v>
      </c>
      <c r="S40" s="505" t="str">
        <f t="shared" si="7"/>
        <v>--</v>
      </c>
      <c r="T40" s="506" t="str">
        <f t="shared" si="8"/>
        <v>--</v>
      </c>
      <c r="U40" s="507" t="str">
        <f t="shared" si="9"/>
        <v>--</v>
      </c>
      <c r="V40" s="508" t="str">
        <f t="shared" si="10"/>
        <v>--</v>
      </c>
      <c r="W40" s="509" t="str">
        <f t="shared" si="11"/>
        <v>--</v>
      </c>
      <c r="X40" s="510" t="str">
        <f t="shared" si="12"/>
        <v>--</v>
      </c>
      <c r="Y40" s="511" t="str">
        <f t="shared" si="13"/>
        <v>--</v>
      </c>
      <c r="Z40" s="512">
        <f t="shared" si="14"/>
      </c>
      <c r="AA40" s="513">
        <f t="shared" si="15"/>
      </c>
      <c r="AB40" s="423"/>
    </row>
    <row r="41" spans="2:28" s="408" customFormat="1" ht="16.5" thickBot="1" thickTop="1">
      <c r="B41" s="515"/>
      <c r="C41" s="493"/>
      <c r="D41" s="493"/>
      <c r="E41" s="493"/>
      <c r="F41" s="494"/>
      <c r="G41" s="494"/>
      <c r="H41" s="495"/>
      <c r="I41" s="496" t="e">
        <f t="shared" si="0"/>
        <v>#VALUE!</v>
      </c>
      <c r="J41" s="497"/>
      <c r="K41" s="497"/>
      <c r="L41" s="498">
        <f t="shared" si="1"/>
      </c>
      <c r="M41" s="499">
        <f t="shared" si="2"/>
      </c>
      <c r="N41" s="500"/>
      <c r="O41" s="501">
        <f t="shared" si="3"/>
      </c>
      <c r="P41" s="502" t="str">
        <f t="shared" si="4"/>
        <v>--</v>
      </c>
      <c r="Q41" s="503" t="str">
        <f t="shared" si="5"/>
        <v>--</v>
      </c>
      <c r="R41" s="504" t="str">
        <f t="shared" si="6"/>
        <v>--</v>
      </c>
      <c r="S41" s="505" t="str">
        <f t="shared" si="7"/>
        <v>--</v>
      </c>
      <c r="T41" s="506" t="str">
        <f t="shared" si="8"/>
        <v>--</v>
      </c>
      <c r="U41" s="507" t="str">
        <f t="shared" si="9"/>
        <v>--</v>
      </c>
      <c r="V41" s="508" t="str">
        <f t="shared" si="10"/>
        <v>--</v>
      </c>
      <c r="W41" s="509" t="str">
        <f t="shared" si="11"/>
        <v>--</v>
      </c>
      <c r="X41" s="510" t="str">
        <f t="shared" si="12"/>
        <v>--</v>
      </c>
      <c r="Y41" s="511" t="str">
        <f t="shared" si="13"/>
        <v>--</v>
      </c>
      <c r="Z41" s="512">
        <f t="shared" si="14"/>
      </c>
      <c r="AA41" s="513">
        <f t="shared" si="15"/>
      </c>
      <c r="AB41" s="423"/>
    </row>
    <row r="42" spans="2:28" s="408" customFormat="1" ht="16.5" thickBot="1" thickTop="1">
      <c r="B42" s="515"/>
      <c r="C42" s="493"/>
      <c r="D42" s="493"/>
      <c r="E42" s="493"/>
      <c r="F42" s="494"/>
      <c r="G42" s="494"/>
      <c r="H42" s="495"/>
      <c r="I42" s="496" t="e">
        <f t="shared" si="0"/>
        <v>#VALUE!</v>
      </c>
      <c r="J42" s="497"/>
      <c r="K42" s="497"/>
      <c r="L42" s="498">
        <f t="shared" si="1"/>
      </c>
      <c r="M42" s="499">
        <f t="shared" si="2"/>
      </c>
      <c r="N42" s="500"/>
      <c r="O42" s="501">
        <f t="shared" si="3"/>
      </c>
      <c r="P42" s="502" t="str">
        <f t="shared" si="4"/>
        <v>--</v>
      </c>
      <c r="Q42" s="503" t="str">
        <f t="shared" si="5"/>
        <v>--</v>
      </c>
      <c r="R42" s="504" t="str">
        <f t="shared" si="6"/>
        <v>--</v>
      </c>
      <c r="S42" s="505" t="str">
        <f t="shared" si="7"/>
        <v>--</v>
      </c>
      <c r="T42" s="506" t="str">
        <f t="shared" si="8"/>
        <v>--</v>
      </c>
      <c r="U42" s="507" t="str">
        <f t="shared" si="9"/>
        <v>--</v>
      </c>
      <c r="V42" s="508" t="str">
        <f t="shared" si="10"/>
        <v>--</v>
      </c>
      <c r="W42" s="509" t="str">
        <f t="shared" si="11"/>
        <v>--</v>
      </c>
      <c r="X42" s="510" t="str">
        <f t="shared" si="12"/>
        <v>--</v>
      </c>
      <c r="Y42" s="511" t="str">
        <f t="shared" si="13"/>
        <v>--</v>
      </c>
      <c r="Z42" s="512">
        <f t="shared" si="14"/>
      </c>
      <c r="AA42" s="513">
        <f t="shared" si="15"/>
      </c>
      <c r="AB42" s="423"/>
    </row>
    <row r="43" spans="1:28" s="408" customFormat="1" ht="16.5" thickBot="1" thickTop="1">
      <c r="A43" s="412"/>
      <c r="B43" s="421"/>
      <c r="C43" s="516"/>
      <c r="D43" s="516"/>
      <c r="E43" s="516"/>
      <c r="F43" s="517"/>
      <c r="G43" s="518"/>
      <c r="H43" s="519"/>
      <c r="I43" s="520"/>
      <c r="J43" s="521"/>
      <c r="K43" s="521"/>
      <c r="L43" s="521"/>
      <c r="M43" s="521"/>
      <c r="N43" s="519"/>
      <c r="O43" s="522"/>
      <c r="P43" s="523"/>
      <c r="Q43" s="524"/>
      <c r="R43" s="525"/>
      <c r="S43" s="526"/>
      <c r="T43" s="527"/>
      <c r="U43" s="528"/>
      <c r="V43" s="529"/>
      <c r="W43" s="530"/>
      <c r="X43" s="531"/>
      <c r="Y43" s="532"/>
      <c r="Z43" s="533"/>
      <c r="AA43" s="534"/>
      <c r="AB43" s="423"/>
    </row>
    <row r="44" spans="1:28" s="408" customFormat="1" ht="17.25" thickBot="1" thickTop="1">
      <c r="A44" s="412"/>
      <c r="B44" s="421"/>
      <c r="C44" s="758" t="s">
        <v>138</v>
      </c>
      <c r="D44" s="757" t="s">
        <v>129</v>
      </c>
      <c r="E44" s="535"/>
      <c r="F44" s="536"/>
      <c r="G44" s="537"/>
      <c r="H44" s="538"/>
      <c r="I44" s="539"/>
      <c r="J44" s="539"/>
      <c r="K44" s="539"/>
      <c r="L44" s="539"/>
      <c r="M44" s="539"/>
      <c r="N44" s="539"/>
      <c r="O44" s="540"/>
      <c r="P44" s="523">
        <f aca="true" t="shared" si="16" ref="P44:Y44">SUM(P21:P43)</f>
        <v>119.96465175000002</v>
      </c>
      <c r="Q44" s="541">
        <f t="shared" si="16"/>
        <v>0</v>
      </c>
      <c r="R44" s="542">
        <f t="shared" si="16"/>
        <v>0</v>
      </c>
      <c r="S44" s="542">
        <f t="shared" si="16"/>
        <v>0</v>
      </c>
      <c r="T44" s="542">
        <f t="shared" si="16"/>
        <v>0</v>
      </c>
      <c r="U44" s="543">
        <f t="shared" si="16"/>
        <v>0</v>
      </c>
      <c r="V44" s="543">
        <f t="shared" si="16"/>
        <v>0</v>
      </c>
      <c r="W44" s="543">
        <f t="shared" si="16"/>
        <v>0</v>
      </c>
      <c r="X44" s="544">
        <f t="shared" si="16"/>
        <v>0</v>
      </c>
      <c r="Y44" s="545">
        <f t="shared" si="16"/>
        <v>0</v>
      </c>
      <c r="Z44" s="546"/>
      <c r="AA44" s="547">
        <f>ROUND(SUM(AA21:AA43),2)</f>
        <v>119.96</v>
      </c>
      <c r="AB44" s="548"/>
    </row>
    <row r="45" spans="1:28" s="561" customFormat="1" ht="9.75" thickTop="1">
      <c r="A45" s="549"/>
      <c r="B45" s="550"/>
      <c r="C45" s="535"/>
      <c r="D45" s="535"/>
      <c r="E45" s="535"/>
      <c r="F45" s="551"/>
      <c r="G45" s="552"/>
      <c r="H45" s="553"/>
      <c r="I45" s="554"/>
      <c r="J45" s="554"/>
      <c r="K45" s="554"/>
      <c r="L45" s="554"/>
      <c r="M45" s="554"/>
      <c r="N45" s="554"/>
      <c r="O45" s="555"/>
      <c r="P45" s="556"/>
      <c r="Q45" s="556"/>
      <c r="R45" s="557"/>
      <c r="S45" s="557"/>
      <c r="T45" s="558"/>
      <c r="U45" s="558"/>
      <c r="V45" s="558"/>
      <c r="W45" s="558"/>
      <c r="X45" s="558"/>
      <c r="Y45" s="558"/>
      <c r="Z45" s="558"/>
      <c r="AA45" s="559"/>
      <c r="AB45" s="560"/>
    </row>
    <row r="46" spans="1:28" s="408" customFormat="1" ht="13.5" thickBot="1">
      <c r="A46" s="412"/>
      <c r="B46" s="562"/>
      <c r="C46" s="563"/>
      <c r="D46" s="563"/>
      <c r="E46" s="563"/>
      <c r="F46" s="563"/>
      <c r="G46" s="563"/>
      <c r="H46" s="563"/>
      <c r="I46" s="563"/>
      <c r="J46" s="563"/>
      <c r="K46" s="563"/>
      <c r="L46" s="563"/>
      <c r="M46" s="563"/>
      <c r="N46" s="563"/>
      <c r="O46" s="563"/>
      <c r="P46" s="563"/>
      <c r="Q46" s="563"/>
      <c r="R46" s="563"/>
      <c r="S46" s="563"/>
      <c r="T46" s="563"/>
      <c r="U46" s="563"/>
      <c r="V46" s="563"/>
      <c r="W46" s="563"/>
      <c r="X46" s="563"/>
      <c r="Y46" s="563"/>
      <c r="Z46" s="563"/>
      <c r="AA46" s="563"/>
      <c r="AB46" s="564"/>
    </row>
    <row r="47" spans="1:28" ht="13.5" thickTop="1">
      <c r="A47" s="565"/>
      <c r="B47" s="565"/>
      <c r="AB47" s="565"/>
    </row>
    <row r="92" spans="1:2" ht="12.75">
      <c r="A92" s="565"/>
      <c r="B92" s="565"/>
    </row>
  </sheetData>
  <sheetProtection/>
  <printOptions/>
  <pageMargins left="0.3937007874015748" right="0.1968503937007874" top="0.61" bottom="0.59" header="0.5118110236220472" footer="0.37"/>
  <pageSetup fitToHeight="1" fitToWidth="1" orientation="landscape" paperSize="9" scale="71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zoomScale="70" zoomScaleNormal="70" zoomScalePageLayoutView="0" workbookViewId="0" topLeftCell="A1">
      <selection activeCell="N29" sqref="N29"/>
    </sheetView>
  </sheetViews>
  <sheetFormatPr defaultColWidth="11.421875" defaultRowHeight="12.75"/>
  <cols>
    <col min="1" max="1" width="18.140625" style="1" customWidth="1"/>
    <col min="2" max="2" width="4.140625" style="1" customWidth="1"/>
    <col min="3" max="3" width="5.57421875" style="1" customWidth="1"/>
    <col min="4" max="5" width="13.57421875" style="1" customWidth="1"/>
    <col min="6" max="6" width="30.7109375" style="1" customWidth="1"/>
    <col min="7" max="7" width="28.00390625" style="1" customWidth="1"/>
    <col min="8" max="8" width="7.28125" style="1" customWidth="1"/>
    <col min="9" max="9" width="10.28125" style="1" bestFit="1" customWidth="1"/>
    <col min="10" max="10" width="7.7109375" style="1" hidden="1" customWidth="1"/>
    <col min="11" max="12" width="15.7109375" style="1" customWidth="1"/>
    <col min="13" max="15" width="9.7109375" style="1" customWidth="1"/>
    <col min="16" max="18" width="7.7109375" style="1" customWidth="1"/>
    <col min="19" max="19" width="13.28125" style="1" hidden="1" customWidth="1"/>
    <col min="20" max="21" width="14.57421875" style="1" hidden="1" customWidth="1"/>
    <col min="22" max="22" width="16.28125" style="1" hidden="1" customWidth="1"/>
    <col min="23" max="23" width="16.8515625" style="1" hidden="1" customWidth="1"/>
    <col min="24" max="24" width="16.28125" style="1" hidden="1" customWidth="1"/>
    <col min="25" max="27" width="16.8515625" style="1" hidden="1" customWidth="1"/>
    <col min="28" max="28" width="9.7109375" style="1" customWidth="1"/>
    <col min="29" max="29" width="15.7109375" style="1" customWidth="1"/>
    <col min="30" max="30" width="4.140625" style="1" customWidth="1"/>
    <col min="31" max="16384" width="11.421875" style="1" customWidth="1"/>
  </cols>
  <sheetData>
    <row r="1" spans="2:30" s="6" customFormat="1" ht="32.25" customHeight="1"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394"/>
    </row>
    <row r="2" spans="2:30" s="6" customFormat="1" ht="26.25">
      <c r="B2" s="67" t="str">
        <f>+'TOT-0413'!B2</f>
        <v>ANEXO V al Memorándum  D.T.E.E.  N° 376 / 2014</v>
      </c>
      <c r="C2" s="201"/>
      <c r="D2" s="201"/>
      <c r="E2" s="201"/>
      <c r="F2" s="201"/>
      <c r="G2" s="9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</row>
    <row r="3" spans="2:30" s="10" customFormat="1" ht="12" customHeight="1">
      <c r="B3" s="68"/>
      <c r="C3" s="202"/>
      <c r="D3" s="202"/>
      <c r="E3" s="202"/>
      <c r="F3" s="202"/>
      <c r="G3" s="11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</row>
    <row r="4" spans="1:30" s="13" customFormat="1" ht="11.25">
      <c r="A4" s="203" t="s">
        <v>3</v>
      </c>
      <c r="B4" s="204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</row>
    <row r="5" spans="1:30" s="13" customFormat="1" ht="11.25">
      <c r="A5" s="203" t="s">
        <v>4</v>
      </c>
      <c r="B5" s="204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</row>
    <row r="6" spans="2:30" s="10" customFormat="1" ht="16.5" customHeight="1" thickBo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</row>
    <row r="7" spans="2:30" s="10" customFormat="1" ht="16.5" customHeight="1" thickTop="1">
      <c r="B7" s="207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9"/>
    </row>
    <row r="8" spans="2:30" s="73" customFormat="1" ht="20.25">
      <c r="B8" s="210"/>
      <c r="C8" s="211"/>
      <c r="D8" s="211"/>
      <c r="E8" s="211"/>
      <c r="F8" s="212" t="s">
        <v>14</v>
      </c>
      <c r="H8" s="211"/>
      <c r="I8" s="213"/>
      <c r="J8" s="213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4"/>
    </row>
    <row r="9" spans="2:30" s="10" customFormat="1" ht="16.5" customHeight="1">
      <c r="B9" s="215"/>
      <c r="C9" s="63"/>
      <c r="D9" s="63"/>
      <c r="E9" s="63"/>
      <c r="F9" s="63"/>
      <c r="G9" s="63"/>
      <c r="H9" s="63"/>
      <c r="I9" s="206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216"/>
    </row>
    <row r="10" spans="2:30" s="73" customFormat="1" ht="20.25">
      <c r="B10" s="210"/>
      <c r="C10" s="211"/>
      <c r="D10" s="211"/>
      <c r="E10" s="211"/>
      <c r="F10" s="212" t="s">
        <v>36</v>
      </c>
      <c r="G10" s="211"/>
      <c r="H10" s="211"/>
      <c r="I10" s="213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4"/>
    </row>
    <row r="11" spans="2:30" s="10" customFormat="1" ht="16.5" customHeight="1">
      <c r="B11" s="215"/>
      <c r="C11" s="63"/>
      <c r="D11" s="63"/>
      <c r="E11" s="63"/>
      <c r="F11" s="217"/>
      <c r="G11" s="63"/>
      <c r="H11" s="63"/>
      <c r="I11" s="206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216"/>
    </row>
    <row r="12" spans="2:30" s="73" customFormat="1" ht="20.25">
      <c r="B12" s="210"/>
      <c r="C12" s="211"/>
      <c r="D12" s="211"/>
      <c r="E12" s="211"/>
      <c r="F12" s="218" t="s">
        <v>37</v>
      </c>
      <c r="G12" s="212"/>
      <c r="H12" s="213"/>
      <c r="I12" s="213"/>
      <c r="J12" s="219"/>
      <c r="K12" s="211"/>
      <c r="L12" s="213"/>
      <c r="M12" s="213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4"/>
    </row>
    <row r="13" spans="2:30" s="10" customFormat="1" ht="16.5" customHeight="1">
      <c r="B13" s="215"/>
      <c r="C13" s="63"/>
      <c r="D13" s="63"/>
      <c r="E13" s="63"/>
      <c r="F13" s="220"/>
      <c r="G13" s="220"/>
      <c r="H13" s="220"/>
      <c r="I13" s="221"/>
      <c r="J13" s="222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216"/>
    </row>
    <row r="14" spans="2:30" s="17" customFormat="1" ht="19.5">
      <c r="B14" s="223" t="str">
        <f>+'TOT-0413'!B14</f>
        <v>Desde el 01 al 30 de abril de 2013</v>
      </c>
      <c r="C14" s="79"/>
      <c r="D14" s="79"/>
      <c r="E14" s="79"/>
      <c r="F14" s="224"/>
      <c r="G14" s="224"/>
      <c r="H14" s="224"/>
      <c r="I14" s="224"/>
      <c r="J14" s="224"/>
      <c r="K14" s="80"/>
      <c r="L14" s="80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5"/>
    </row>
    <row r="15" spans="2:30" s="10" customFormat="1" ht="16.5" customHeight="1" thickBot="1">
      <c r="B15" s="215"/>
      <c r="C15" s="63"/>
      <c r="D15" s="63"/>
      <c r="E15" s="63"/>
      <c r="F15" s="63"/>
      <c r="G15" s="63"/>
      <c r="H15" s="63"/>
      <c r="I15" s="226"/>
      <c r="J15" s="63"/>
      <c r="K15" s="227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216"/>
    </row>
    <row r="16" spans="2:30" s="10" customFormat="1" ht="16.5" customHeight="1" thickBot="1" thickTop="1">
      <c r="B16" s="215"/>
      <c r="C16" s="63"/>
      <c r="D16" s="63"/>
      <c r="E16" s="63"/>
      <c r="F16" s="228" t="s">
        <v>38</v>
      </c>
      <c r="G16" s="229"/>
      <c r="H16" s="230"/>
      <c r="I16" s="231">
        <v>1.191</v>
      </c>
      <c r="J16" s="206"/>
      <c r="K16" s="402">
        <v>0.155046</v>
      </c>
      <c r="L16" s="63" t="s">
        <v>76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216"/>
    </row>
    <row r="17" spans="2:30" s="10" customFormat="1" ht="16.5" customHeight="1" thickBot="1" thickTop="1">
      <c r="B17" s="215"/>
      <c r="C17" s="63"/>
      <c r="D17" s="63"/>
      <c r="E17" s="63"/>
      <c r="F17" s="232" t="s">
        <v>39</v>
      </c>
      <c r="G17" s="233"/>
      <c r="H17" s="233"/>
      <c r="I17" s="234">
        <f>30*'TOT-0413'!B13</f>
        <v>30</v>
      </c>
      <c r="J17" s="235" t="str">
        <f>IF(I17=30," ",IF(I17=60,"     Coeficiente duplicado por tasa de falla &gt;4 Sal. x año/100 km.","    REVISAR COEFICIENTE"))</f>
        <v> </v>
      </c>
      <c r="K17" s="235" t="str">
        <f>IF(I17=30," ",IF(I17=60,"    Coeficiente duplicado por tasa de falla &gt;4 Sal. x año/100 km.","    REVISAR COEFICIENTE"))</f>
        <v> </v>
      </c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236"/>
      <c r="X17" s="63"/>
      <c r="Y17" s="236"/>
      <c r="Z17" s="236"/>
      <c r="AA17" s="236"/>
      <c r="AB17" s="236"/>
      <c r="AC17" s="236"/>
      <c r="AD17" s="216"/>
    </row>
    <row r="18" spans="2:30" s="10" customFormat="1" ht="16.5" customHeight="1" thickBot="1" thickTop="1">
      <c r="B18" s="215"/>
      <c r="C18" s="63"/>
      <c r="D18" s="401">
        <v>4</v>
      </c>
      <c r="E18" s="401">
        <v>5</v>
      </c>
      <c r="F18" s="401">
        <v>6</v>
      </c>
      <c r="G18" s="401">
        <v>7</v>
      </c>
      <c r="H18" s="401">
        <v>8</v>
      </c>
      <c r="I18" s="401">
        <v>9</v>
      </c>
      <c r="J18" s="401">
        <v>10</v>
      </c>
      <c r="K18" s="401">
        <v>11</v>
      </c>
      <c r="L18" s="401">
        <v>12</v>
      </c>
      <c r="M18" s="401">
        <v>13</v>
      </c>
      <c r="N18" s="401">
        <v>14</v>
      </c>
      <c r="O18" s="401">
        <v>15</v>
      </c>
      <c r="P18" s="401">
        <v>16</v>
      </c>
      <c r="Q18" s="401">
        <v>17</v>
      </c>
      <c r="R18" s="401">
        <v>18</v>
      </c>
      <c r="S18" s="401">
        <v>19</v>
      </c>
      <c r="T18" s="401">
        <v>20</v>
      </c>
      <c r="U18" s="401">
        <v>21</v>
      </c>
      <c r="V18" s="401">
        <v>22</v>
      </c>
      <c r="W18" s="401">
        <v>23</v>
      </c>
      <c r="X18" s="401">
        <v>24</v>
      </c>
      <c r="Y18" s="401">
        <v>25</v>
      </c>
      <c r="Z18" s="401">
        <v>26</v>
      </c>
      <c r="AA18" s="401">
        <v>27</v>
      </c>
      <c r="AB18" s="401">
        <v>28</v>
      </c>
      <c r="AC18" s="401">
        <v>29</v>
      </c>
      <c r="AD18" s="216"/>
    </row>
    <row r="19" spans="2:30" s="237" customFormat="1" ht="34.5" customHeight="1" thickBot="1" thickTop="1">
      <c r="B19" s="238"/>
      <c r="C19" s="398" t="s">
        <v>19</v>
      </c>
      <c r="D19" s="398" t="s">
        <v>60</v>
      </c>
      <c r="E19" s="398" t="s">
        <v>61</v>
      </c>
      <c r="F19" s="239" t="s">
        <v>40</v>
      </c>
      <c r="G19" s="240" t="s">
        <v>41</v>
      </c>
      <c r="H19" s="241" t="s">
        <v>42</v>
      </c>
      <c r="I19" s="242" t="s">
        <v>20</v>
      </c>
      <c r="J19" s="243" t="s">
        <v>22</v>
      </c>
      <c r="K19" s="240" t="s">
        <v>23</v>
      </c>
      <c r="L19" s="240" t="s">
        <v>24</v>
      </c>
      <c r="M19" s="239" t="s">
        <v>43</v>
      </c>
      <c r="N19" s="239" t="s">
        <v>44</v>
      </c>
      <c r="O19" s="98" t="s">
        <v>59</v>
      </c>
      <c r="P19" s="240" t="s">
        <v>45</v>
      </c>
      <c r="Q19" s="239" t="s">
        <v>27</v>
      </c>
      <c r="R19" s="240" t="s">
        <v>46</v>
      </c>
      <c r="S19" s="244" t="s">
        <v>47</v>
      </c>
      <c r="T19" s="245" t="s">
        <v>28</v>
      </c>
      <c r="U19" s="246" t="s">
        <v>29</v>
      </c>
      <c r="V19" s="247" t="s">
        <v>48</v>
      </c>
      <c r="W19" s="248"/>
      <c r="X19" s="249" t="s">
        <v>49</v>
      </c>
      <c r="Y19" s="250"/>
      <c r="Z19" s="251" t="s">
        <v>32</v>
      </c>
      <c r="AA19" s="252" t="s">
        <v>33</v>
      </c>
      <c r="AB19" s="242" t="s">
        <v>50</v>
      </c>
      <c r="AC19" s="242" t="s">
        <v>35</v>
      </c>
      <c r="AD19" s="253"/>
    </row>
    <row r="20" spans="2:30" s="10" customFormat="1" ht="16.5" customHeight="1" thickTop="1">
      <c r="B20" s="215"/>
      <c r="C20" s="254"/>
      <c r="D20" s="254"/>
      <c r="E20" s="254"/>
      <c r="F20" s="255"/>
      <c r="G20" s="256"/>
      <c r="H20" s="256"/>
      <c r="I20" s="256"/>
      <c r="J20" s="257"/>
      <c r="K20" s="255"/>
      <c r="L20" s="256"/>
      <c r="M20" s="258"/>
      <c r="N20" s="258"/>
      <c r="O20" s="256"/>
      <c r="P20" s="256"/>
      <c r="Q20" s="256"/>
      <c r="R20" s="256"/>
      <c r="S20" s="122"/>
      <c r="T20" s="120"/>
      <c r="U20" s="259"/>
      <c r="V20" s="260"/>
      <c r="W20" s="261"/>
      <c r="X20" s="262"/>
      <c r="Y20" s="263"/>
      <c r="Z20" s="264"/>
      <c r="AA20" s="265"/>
      <c r="AB20" s="256"/>
      <c r="AC20" s="266"/>
      <c r="AD20" s="216"/>
    </row>
    <row r="21" spans="2:30" s="10" customFormat="1" ht="16.5" customHeight="1">
      <c r="B21" s="215"/>
      <c r="C21" s="267"/>
      <c r="D21" s="267"/>
      <c r="E21" s="267"/>
      <c r="F21" s="268"/>
      <c r="G21" s="268"/>
      <c r="H21" s="268"/>
      <c r="I21" s="268"/>
      <c r="J21" s="269"/>
      <c r="K21" s="270"/>
      <c r="L21" s="268"/>
      <c r="M21" s="271"/>
      <c r="N21" s="271"/>
      <c r="O21" s="268"/>
      <c r="P21" s="268"/>
      <c r="Q21" s="268"/>
      <c r="R21" s="268"/>
      <c r="S21" s="135"/>
      <c r="T21" s="133"/>
      <c r="U21" s="272"/>
      <c r="V21" s="273"/>
      <c r="W21" s="274"/>
      <c r="X21" s="275"/>
      <c r="Y21" s="276"/>
      <c r="Z21" s="277"/>
      <c r="AA21" s="278"/>
      <c r="AB21" s="268"/>
      <c r="AC21" s="279"/>
      <c r="AD21" s="216"/>
    </row>
    <row r="22" spans="2:30" s="10" customFormat="1" ht="16.5" customHeight="1">
      <c r="B22" s="215"/>
      <c r="C22" s="267">
        <v>6</v>
      </c>
      <c r="D22" s="267">
        <v>259555</v>
      </c>
      <c r="E22" s="267">
        <v>881</v>
      </c>
      <c r="F22" s="125" t="s">
        <v>70</v>
      </c>
      <c r="G22" s="127" t="s">
        <v>71</v>
      </c>
      <c r="H22" s="280">
        <v>20</v>
      </c>
      <c r="I22" s="137" t="s">
        <v>69</v>
      </c>
      <c r="J22" s="282">
        <f aca="true" t="shared" si="0" ref="J22:J40">H22*$I$16</f>
        <v>23.82</v>
      </c>
      <c r="K22" s="283">
        <v>41373.41458333333</v>
      </c>
      <c r="L22" s="283">
        <v>41373.60972222222</v>
      </c>
      <c r="M22" s="284">
        <f aca="true" t="shared" si="1" ref="M22:M40">IF(F22="","",(L22-K22)*24)</f>
        <v>4.683333333407063</v>
      </c>
      <c r="N22" s="285">
        <f aca="true" t="shared" si="2" ref="N22:N40">IF(F22="","",ROUND((L22-K22)*24*60,0))</f>
        <v>281</v>
      </c>
      <c r="O22" s="286" t="s">
        <v>63</v>
      </c>
      <c r="P22" s="287" t="str">
        <f aca="true" t="shared" si="3" ref="P22:P40">IF(F22="","",IF(OR(O22="P",O22="RP"),"--","NO"))</f>
        <v>--</v>
      </c>
      <c r="Q22" s="287" t="str">
        <f aca="true" t="shared" si="4" ref="Q22:Q40">IF(F22="","","--")</f>
        <v>--</v>
      </c>
      <c r="R22" s="286" t="str">
        <f aca="true" t="shared" si="5" ref="R22:R40">IF(F22="","","NO")</f>
        <v>NO</v>
      </c>
      <c r="S22" s="151">
        <f aca="true" t="shared" si="6" ref="S22:S40">$I$17*IF(OR(O22="P",O22="RP"),0.1,1)*IF(R22="SI",1,0.1)</f>
        <v>0.30000000000000004</v>
      </c>
      <c r="T22" s="288">
        <f aca="true" t="shared" si="7" ref="T22:T40">IF(O22="P",J22*S22*ROUND(N22/60,2),"--")</f>
        <v>33.44328</v>
      </c>
      <c r="U22" s="289" t="str">
        <f aca="true" t="shared" si="8" ref="U22:U40">IF(O22="RP",J22*S22*ROUND(N22/60,2)*Q22/100,"--")</f>
        <v>--</v>
      </c>
      <c r="V22" s="290" t="str">
        <f aca="true" t="shared" si="9" ref="V22:V40">IF(AND(O22="F",P22="NO"),J22*S22,"--")</f>
        <v>--</v>
      </c>
      <c r="W22" s="291" t="str">
        <f aca="true" t="shared" si="10" ref="W22:W40">IF(O22="F",J22*S22*ROUND(N22/60,2),"--")</f>
        <v>--</v>
      </c>
      <c r="X22" s="292" t="str">
        <f aca="true" t="shared" si="11" ref="X22:X40">IF(AND(O22="R",P22="NO"),J22*S22*Q22/100,"--")</f>
        <v>--</v>
      </c>
      <c r="Y22" s="293" t="str">
        <f aca="true" t="shared" si="12" ref="Y22:Y40">IF(O22="R",J22*S22*ROUND(N22/60,2)*Q22/100,"--")</f>
        <v>--</v>
      </c>
      <c r="Z22" s="294" t="str">
        <f aca="true" t="shared" si="13" ref="Z22:Z40">IF(O22="RF",J22*S22*ROUND(N22/60,2),"--")</f>
        <v>--</v>
      </c>
      <c r="AA22" s="295" t="str">
        <f aca="true" t="shared" si="14" ref="AA22:AA40">IF(O22="RR",J22*S22*ROUND(N22/60,2)*Q22/100,"--")</f>
        <v>--</v>
      </c>
      <c r="AB22" s="286" t="str">
        <f aca="true" t="shared" si="15" ref="AB22:AB40">IF(F22="","","SI")</f>
        <v>SI</v>
      </c>
      <c r="AC22" s="296">
        <f aca="true" t="shared" si="16" ref="AC22:AC40">IF(F22="","",SUM(T22:AA22)*IF(AB22="SI",1,2))</f>
        <v>33.44328</v>
      </c>
      <c r="AD22" s="297"/>
    </row>
    <row r="23" spans="2:30" s="10" customFormat="1" ht="16.5" customHeight="1">
      <c r="B23" s="215"/>
      <c r="C23" s="267">
        <v>7</v>
      </c>
      <c r="D23" s="267">
        <v>259740</v>
      </c>
      <c r="E23" s="267">
        <v>872</v>
      </c>
      <c r="F23" s="125" t="s">
        <v>68</v>
      </c>
      <c r="G23" s="127" t="s">
        <v>72</v>
      </c>
      <c r="H23" s="280">
        <v>30</v>
      </c>
      <c r="I23" s="137" t="s">
        <v>73</v>
      </c>
      <c r="J23" s="282">
        <f t="shared" si="0"/>
        <v>35.730000000000004</v>
      </c>
      <c r="K23" s="283">
        <v>41385.33541666667</v>
      </c>
      <c r="L23" s="283">
        <v>41385.71944444445</v>
      </c>
      <c r="M23" s="284">
        <f t="shared" si="1"/>
        <v>9.216666666674428</v>
      </c>
      <c r="N23" s="285">
        <f t="shared" si="2"/>
        <v>553</v>
      </c>
      <c r="O23" s="286" t="s">
        <v>63</v>
      </c>
      <c r="P23" s="287" t="str">
        <f t="shared" si="3"/>
        <v>--</v>
      </c>
      <c r="Q23" s="287" t="str">
        <f t="shared" si="4"/>
        <v>--</v>
      </c>
      <c r="R23" s="286" t="str">
        <f t="shared" si="5"/>
        <v>NO</v>
      </c>
      <c r="S23" s="151">
        <f t="shared" si="6"/>
        <v>0.30000000000000004</v>
      </c>
      <c r="T23" s="288">
        <f t="shared" si="7"/>
        <v>98.82918000000004</v>
      </c>
      <c r="U23" s="289" t="str">
        <f t="shared" si="8"/>
        <v>--</v>
      </c>
      <c r="V23" s="290" t="str">
        <f t="shared" si="9"/>
        <v>--</v>
      </c>
      <c r="W23" s="291" t="str">
        <f t="shared" si="10"/>
        <v>--</v>
      </c>
      <c r="X23" s="292" t="str">
        <f t="shared" si="11"/>
        <v>--</v>
      </c>
      <c r="Y23" s="293" t="str">
        <f t="shared" si="12"/>
        <v>--</v>
      </c>
      <c r="Z23" s="294" t="str">
        <f t="shared" si="13"/>
        <v>--</v>
      </c>
      <c r="AA23" s="295" t="str">
        <f t="shared" si="14"/>
        <v>--</v>
      </c>
      <c r="AB23" s="286" t="str">
        <f t="shared" si="15"/>
        <v>SI</v>
      </c>
      <c r="AC23" s="296">
        <f t="shared" si="16"/>
        <v>98.82918000000004</v>
      </c>
      <c r="AD23" s="216"/>
    </row>
    <row r="24" spans="2:30" s="10" customFormat="1" ht="16.5" customHeight="1">
      <c r="B24" s="215"/>
      <c r="C24" s="267">
        <v>8</v>
      </c>
      <c r="D24" s="267">
        <v>260121</v>
      </c>
      <c r="E24" s="267">
        <v>856</v>
      </c>
      <c r="F24" s="125" t="s">
        <v>74</v>
      </c>
      <c r="G24" s="127" t="s">
        <v>75</v>
      </c>
      <c r="H24" s="280">
        <v>30</v>
      </c>
      <c r="I24" s="137" t="s">
        <v>69</v>
      </c>
      <c r="J24" s="282">
        <f t="shared" si="0"/>
        <v>35.730000000000004</v>
      </c>
      <c r="K24" s="283">
        <v>41393.40902777778</v>
      </c>
      <c r="L24" s="283">
        <v>41393.691666666666</v>
      </c>
      <c r="M24" s="284">
        <f t="shared" si="1"/>
        <v>6.783333333267365</v>
      </c>
      <c r="N24" s="285">
        <f t="shared" si="2"/>
        <v>407</v>
      </c>
      <c r="O24" s="286" t="s">
        <v>63</v>
      </c>
      <c r="P24" s="287" t="str">
        <f t="shared" si="3"/>
        <v>--</v>
      </c>
      <c r="Q24" s="287" t="str">
        <f t="shared" si="4"/>
        <v>--</v>
      </c>
      <c r="R24" s="286" t="str">
        <f t="shared" si="5"/>
        <v>NO</v>
      </c>
      <c r="S24" s="151">
        <f t="shared" si="6"/>
        <v>0.30000000000000004</v>
      </c>
      <c r="T24" s="288">
        <f t="shared" si="7"/>
        <v>72.67482000000003</v>
      </c>
      <c r="U24" s="289" t="str">
        <f t="shared" si="8"/>
        <v>--</v>
      </c>
      <c r="V24" s="290" t="str">
        <f t="shared" si="9"/>
        <v>--</v>
      </c>
      <c r="W24" s="291" t="str">
        <f t="shared" si="10"/>
        <v>--</v>
      </c>
      <c r="X24" s="292" t="str">
        <f t="shared" si="11"/>
        <v>--</v>
      </c>
      <c r="Y24" s="293" t="str">
        <f t="shared" si="12"/>
        <v>--</v>
      </c>
      <c r="Z24" s="294" t="str">
        <f t="shared" si="13"/>
        <v>--</v>
      </c>
      <c r="AA24" s="295" t="str">
        <f t="shared" si="14"/>
        <v>--</v>
      </c>
      <c r="AB24" s="286" t="str">
        <f t="shared" si="15"/>
        <v>SI</v>
      </c>
      <c r="AC24" s="296">
        <f t="shared" si="16"/>
        <v>72.67482000000003</v>
      </c>
      <c r="AD24" s="216"/>
    </row>
    <row r="25" spans="2:30" s="10" customFormat="1" ht="16.5" customHeight="1">
      <c r="B25" s="215"/>
      <c r="C25" s="267">
        <v>9</v>
      </c>
      <c r="D25" s="267">
        <v>260124</v>
      </c>
      <c r="E25" s="267">
        <v>861</v>
      </c>
      <c r="F25" s="125" t="s">
        <v>70</v>
      </c>
      <c r="G25" s="127" t="s">
        <v>71</v>
      </c>
      <c r="H25" s="280">
        <v>20</v>
      </c>
      <c r="I25" s="137" t="s">
        <v>69</v>
      </c>
      <c r="J25" s="282">
        <f t="shared" si="0"/>
        <v>23.82</v>
      </c>
      <c r="K25" s="283">
        <v>41394.396527777775</v>
      </c>
      <c r="L25" s="283">
        <v>41394.57013888889</v>
      </c>
      <c r="M25" s="284">
        <f t="shared" si="1"/>
        <v>4.1666666668024845</v>
      </c>
      <c r="N25" s="285">
        <f t="shared" si="2"/>
        <v>250</v>
      </c>
      <c r="O25" s="286" t="s">
        <v>63</v>
      </c>
      <c r="P25" s="287" t="str">
        <f t="shared" si="3"/>
        <v>--</v>
      </c>
      <c r="Q25" s="287" t="str">
        <f t="shared" si="4"/>
        <v>--</v>
      </c>
      <c r="R25" s="286" t="str">
        <f t="shared" si="5"/>
        <v>NO</v>
      </c>
      <c r="S25" s="151">
        <f t="shared" si="6"/>
        <v>0.30000000000000004</v>
      </c>
      <c r="T25" s="288">
        <f t="shared" si="7"/>
        <v>29.798820000000003</v>
      </c>
      <c r="U25" s="289" t="str">
        <f t="shared" si="8"/>
        <v>--</v>
      </c>
      <c r="V25" s="290" t="str">
        <f t="shared" si="9"/>
        <v>--</v>
      </c>
      <c r="W25" s="291" t="str">
        <f t="shared" si="10"/>
        <v>--</v>
      </c>
      <c r="X25" s="292" t="str">
        <f t="shared" si="11"/>
        <v>--</v>
      </c>
      <c r="Y25" s="293" t="str">
        <f t="shared" si="12"/>
        <v>--</v>
      </c>
      <c r="Z25" s="294" t="str">
        <f t="shared" si="13"/>
        <v>--</v>
      </c>
      <c r="AA25" s="295" t="str">
        <f t="shared" si="14"/>
        <v>--</v>
      </c>
      <c r="AB25" s="286" t="str">
        <f t="shared" si="15"/>
        <v>SI</v>
      </c>
      <c r="AC25" s="296">
        <f t="shared" si="16"/>
        <v>29.798820000000003</v>
      </c>
      <c r="AD25" s="216"/>
    </row>
    <row r="26" spans="2:30" s="10" customFormat="1" ht="16.5" customHeight="1">
      <c r="B26" s="215"/>
      <c r="C26" s="267">
        <v>10</v>
      </c>
      <c r="D26" s="267">
        <v>260123</v>
      </c>
      <c r="E26" s="267">
        <v>856</v>
      </c>
      <c r="F26" s="125" t="s">
        <v>74</v>
      </c>
      <c r="G26" s="127" t="s">
        <v>75</v>
      </c>
      <c r="H26" s="280">
        <v>30</v>
      </c>
      <c r="I26" s="137" t="s">
        <v>69</v>
      </c>
      <c r="J26" s="282">
        <f t="shared" si="0"/>
        <v>35.730000000000004</v>
      </c>
      <c r="K26" s="283">
        <v>41394.40069444444</v>
      </c>
      <c r="L26" s="283">
        <v>41394.69930555556</v>
      </c>
      <c r="M26" s="284">
        <f t="shared" si="1"/>
        <v>7.1666666668024845</v>
      </c>
      <c r="N26" s="285">
        <f t="shared" si="2"/>
        <v>430</v>
      </c>
      <c r="O26" s="286" t="s">
        <v>63</v>
      </c>
      <c r="P26" s="287" t="str">
        <f t="shared" si="3"/>
        <v>--</v>
      </c>
      <c r="Q26" s="287" t="str">
        <f t="shared" si="4"/>
        <v>--</v>
      </c>
      <c r="R26" s="286" t="str">
        <f t="shared" si="5"/>
        <v>NO</v>
      </c>
      <c r="S26" s="151">
        <f t="shared" si="6"/>
        <v>0.30000000000000004</v>
      </c>
      <c r="T26" s="288">
        <f t="shared" si="7"/>
        <v>76.85523000000002</v>
      </c>
      <c r="U26" s="289" t="str">
        <f t="shared" si="8"/>
        <v>--</v>
      </c>
      <c r="V26" s="290" t="str">
        <f t="shared" si="9"/>
        <v>--</v>
      </c>
      <c r="W26" s="291" t="str">
        <f t="shared" si="10"/>
        <v>--</v>
      </c>
      <c r="X26" s="292" t="str">
        <f t="shared" si="11"/>
        <v>--</v>
      </c>
      <c r="Y26" s="293" t="str">
        <f t="shared" si="12"/>
        <v>--</v>
      </c>
      <c r="Z26" s="294" t="str">
        <f t="shared" si="13"/>
        <v>--</v>
      </c>
      <c r="AA26" s="295" t="str">
        <f t="shared" si="14"/>
        <v>--</v>
      </c>
      <c r="AB26" s="286" t="str">
        <f t="shared" si="15"/>
        <v>SI</v>
      </c>
      <c r="AC26" s="296">
        <f t="shared" si="16"/>
        <v>76.85523000000002</v>
      </c>
      <c r="AD26" s="216"/>
    </row>
    <row r="27" spans="2:30" s="10" customFormat="1" ht="16.5" customHeight="1">
      <c r="B27" s="215"/>
      <c r="C27" s="267"/>
      <c r="D27" s="267"/>
      <c r="E27" s="267"/>
      <c r="F27" s="125"/>
      <c r="G27" s="127"/>
      <c r="H27" s="280"/>
      <c r="I27" s="281"/>
      <c r="J27" s="282">
        <f t="shared" si="0"/>
        <v>0</v>
      </c>
      <c r="K27" s="283"/>
      <c r="L27" s="283"/>
      <c r="M27" s="284">
        <f t="shared" si="1"/>
      </c>
      <c r="N27" s="285">
        <f t="shared" si="2"/>
      </c>
      <c r="O27" s="286"/>
      <c r="P27" s="287">
        <f t="shared" si="3"/>
      </c>
      <c r="Q27" s="287">
        <f t="shared" si="4"/>
      </c>
      <c r="R27" s="286">
        <f t="shared" si="5"/>
      </c>
      <c r="S27" s="151">
        <f t="shared" si="6"/>
        <v>3</v>
      </c>
      <c r="T27" s="288" t="str">
        <f t="shared" si="7"/>
        <v>--</v>
      </c>
      <c r="U27" s="289" t="str">
        <f t="shared" si="8"/>
        <v>--</v>
      </c>
      <c r="V27" s="290" t="str">
        <f t="shared" si="9"/>
        <v>--</v>
      </c>
      <c r="W27" s="291" t="str">
        <f t="shared" si="10"/>
        <v>--</v>
      </c>
      <c r="X27" s="292" t="str">
        <f t="shared" si="11"/>
        <v>--</v>
      </c>
      <c r="Y27" s="293" t="str">
        <f t="shared" si="12"/>
        <v>--</v>
      </c>
      <c r="Z27" s="294" t="str">
        <f t="shared" si="13"/>
        <v>--</v>
      </c>
      <c r="AA27" s="295" t="str">
        <f t="shared" si="14"/>
        <v>--</v>
      </c>
      <c r="AB27" s="286">
        <f t="shared" si="15"/>
      </c>
      <c r="AC27" s="296">
        <f t="shared" si="16"/>
      </c>
      <c r="AD27" s="216"/>
    </row>
    <row r="28" spans="2:30" s="10" customFormat="1" ht="16.5" customHeight="1">
      <c r="B28" s="215"/>
      <c r="C28" s="267"/>
      <c r="D28" s="267"/>
      <c r="E28" s="267"/>
      <c r="F28" s="125"/>
      <c r="G28" s="127"/>
      <c r="H28" s="280"/>
      <c r="I28" s="281"/>
      <c r="J28" s="282">
        <f t="shared" si="0"/>
        <v>0</v>
      </c>
      <c r="K28" s="283"/>
      <c r="L28" s="283"/>
      <c r="M28" s="284">
        <f t="shared" si="1"/>
      </c>
      <c r="N28" s="285">
        <f t="shared" si="2"/>
      </c>
      <c r="O28" s="286"/>
      <c r="P28" s="287">
        <f t="shared" si="3"/>
      </c>
      <c r="Q28" s="287">
        <f t="shared" si="4"/>
      </c>
      <c r="R28" s="286">
        <f t="shared" si="5"/>
      </c>
      <c r="S28" s="151">
        <f t="shared" si="6"/>
        <v>3</v>
      </c>
      <c r="T28" s="288" t="str">
        <f t="shared" si="7"/>
        <v>--</v>
      </c>
      <c r="U28" s="289" t="str">
        <f t="shared" si="8"/>
        <v>--</v>
      </c>
      <c r="V28" s="290" t="str">
        <f t="shared" si="9"/>
        <v>--</v>
      </c>
      <c r="W28" s="291" t="str">
        <f t="shared" si="10"/>
        <v>--</v>
      </c>
      <c r="X28" s="292" t="str">
        <f t="shared" si="11"/>
        <v>--</v>
      </c>
      <c r="Y28" s="293" t="str">
        <f t="shared" si="12"/>
        <v>--</v>
      </c>
      <c r="Z28" s="294" t="str">
        <f t="shared" si="13"/>
        <v>--</v>
      </c>
      <c r="AA28" s="295" t="str">
        <f t="shared" si="14"/>
        <v>--</v>
      </c>
      <c r="AB28" s="286">
        <f t="shared" si="15"/>
      </c>
      <c r="AC28" s="296">
        <f t="shared" si="16"/>
      </c>
      <c r="AD28" s="216"/>
    </row>
    <row r="29" spans="2:30" s="10" customFormat="1" ht="16.5" customHeight="1">
      <c r="B29" s="215"/>
      <c r="C29" s="267"/>
      <c r="D29" s="267"/>
      <c r="E29" s="267"/>
      <c r="F29" s="125"/>
      <c r="G29" s="127"/>
      <c r="H29" s="280"/>
      <c r="I29" s="281"/>
      <c r="J29" s="282">
        <f t="shared" si="0"/>
        <v>0</v>
      </c>
      <c r="K29" s="283"/>
      <c r="L29" s="283"/>
      <c r="M29" s="284">
        <f t="shared" si="1"/>
      </c>
      <c r="N29" s="285">
        <f t="shared" si="2"/>
      </c>
      <c r="O29" s="286"/>
      <c r="P29" s="287">
        <f t="shared" si="3"/>
      </c>
      <c r="Q29" s="287">
        <f t="shared" si="4"/>
      </c>
      <c r="R29" s="286">
        <f t="shared" si="5"/>
      </c>
      <c r="S29" s="151">
        <f t="shared" si="6"/>
        <v>3</v>
      </c>
      <c r="T29" s="288" t="str">
        <f t="shared" si="7"/>
        <v>--</v>
      </c>
      <c r="U29" s="289" t="str">
        <f t="shared" si="8"/>
        <v>--</v>
      </c>
      <c r="V29" s="290" t="str">
        <f t="shared" si="9"/>
        <v>--</v>
      </c>
      <c r="W29" s="291" t="str">
        <f t="shared" si="10"/>
        <v>--</v>
      </c>
      <c r="X29" s="292" t="str">
        <f t="shared" si="11"/>
        <v>--</v>
      </c>
      <c r="Y29" s="293" t="str">
        <f t="shared" si="12"/>
        <v>--</v>
      </c>
      <c r="Z29" s="294" t="str">
        <f t="shared" si="13"/>
        <v>--</v>
      </c>
      <c r="AA29" s="295" t="str">
        <f t="shared" si="14"/>
        <v>--</v>
      </c>
      <c r="AB29" s="286">
        <f t="shared" si="15"/>
      </c>
      <c r="AC29" s="296">
        <f t="shared" si="16"/>
      </c>
      <c r="AD29" s="216"/>
    </row>
    <row r="30" spans="2:30" s="10" customFormat="1" ht="16.5" customHeight="1">
      <c r="B30" s="215"/>
      <c r="C30" s="267"/>
      <c r="D30" s="267"/>
      <c r="E30" s="267"/>
      <c r="F30" s="125"/>
      <c r="G30" s="127"/>
      <c r="H30" s="280"/>
      <c r="I30" s="281"/>
      <c r="J30" s="282">
        <f t="shared" si="0"/>
        <v>0</v>
      </c>
      <c r="K30" s="283"/>
      <c r="L30" s="283"/>
      <c r="M30" s="284">
        <f t="shared" si="1"/>
      </c>
      <c r="N30" s="285">
        <f t="shared" si="2"/>
      </c>
      <c r="O30" s="286"/>
      <c r="P30" s="287">
        <f t="shared" si="3"/>
      </c>
      <c r="Q30" s="287">
        <f t="shared" si="4"/>
      </c>
      <c r="R30" s="286">
        <f t="shared" si="5"/>
      </c>
      <c r="S30" s="151">
        <f t="shared" si="6"/>
        <v>3</v>
      </c>
      <c r="T30" s="288" t="str">
        <f t="shared" si="7"/>
        <v>--</v>
      </c>
      <c r="U30" s="289" t="str">
        <f t="shared" si="8"/>
        <v>--</v>
      </c>
      <c r="V30" s="290" t="str">
        <f t="shared" si="9"/>
        <v>--</v>
      </c>
      <c r="W30" s="291" t="str">
        <f t="shared" si="10"/>
        <v>--</v>
      </c>
      <c r="X30" s="292" t="str">
        <f t="shared" si="11"/>
        <v>--</v>
      </c>
      <c r="Y30" s="293" t="str">
        <f t="shared" si="12"/>
        <v>--</v>
      </c>
      <c r="Z30" s="294" t="str">
        <f t="shared" si="13"/>
        <v>--</v>
      </c>
      <c r="AA30" s="295" t="str">
        <f t="shared" si="14"/>
        <v>--</v>
      </c>
      <c r="AB30" s="286">
        <f t="shared" si="15"/>
      </c>
      <c r="AC30" s="296">
        <f t="shared" si="16"/>
      </c>
      <c r="AD30" s="216"/>
    </row>
    <row r="31" spans="2:30" s="10" customFormat="1" ht="16.5" customHeight="1">
      <c r="B31" s="215"/>
      <c r="C31" s="267"/>
      <c r="D31" s="267"/>
      <c r="E31" s="267"/>
      <c r="F31" s="125"/>
      <c r="G31" s="127"/>
      <c r="H31" s="280"/>
      <c r="I31" s="281"/>
      <c r="J31" s="282">
        <f t="shared" si="0"/>
        <v>0</v>
      </c>
      <c r="K31" s="283"/>
      <c r="L31" s="283"/>
      <c r="M31" s="284">
        <f t="shared" si="1"/>
      </c>
      <c r="N31" s="285">
        <f t="shared" si="2"/>
      </c>
      <c r="O31" s="286"/>
      <c r="P31" s="287">
        <f t="shared" si="3"/>
      </c>
      <c r="Q31" s="287">
        <f t="shared" si="4"/>
      </c>
      <c r="R31" s="286">
        <f t="shared" si="5"/>
      </c>
      <c r="S31" s="151">
        <f t="shared" si="6"/>
        <v>3</v>
      </c>
      <c r="T31" s="288" t="str">
        <f t="shared" si="7"/>
        <v>--</v>
      </c>
      <c r="U31" s="289" t="str">
        <f t="shared" si="8"/>
        <v>--</v>
      </c>
      <c r="V31" s="290" t="str">
        <f t="shared" si="9"/>
        <v>--</v>
      </c>
      <c r="W31" s="291" t="str">
        <f t="shared" si="10"/>
        <v>--</v>
      </c>
      <c r="X31" s="292" t="str">
        <f t="shared" si="11"/>
        <v>--</v>
      </c>
      <c r="Y31" s="293" t="str">
        <f t="shared" si="12"/>
        <v>--</v>
      </c>
      <c r="Z31" s="294" t="str">
        <f t="shared" si="13"/>
        <v>--</v>
      </c>
      <c r="AA31" s="295" t="str">
        <f t="shared" si="14"/>
        <v>--</v>
      </c>
      <c r="AB31" s="286">
        <f t="shared" si="15"/>
      </c>
      <c r="AC31" s="296">
        <f t="shared" si="16"/>
      </c>
      <c r="AD31" s="216"/>
    </row>
    <row r="32" spans="2:30" s="10" customFormat="1" ht="16.5" customHeight="1">
      <c r="B32" s="215"/>
      <c r="C32" s="267"/>
      <c r="D32" s="267"/>
      <c r="E32" s="267"/>
      <c r="F32" s="125"/>
      <c r="G32" s="127"/>
      <c r="H32" s="280"/>
      <c r="I32" s="281"/>
      <c r="J32" s="282">
        <f t="shared" si="0"/>
        <v>0</v>
      </c>
      <c r="K32" s="283"/>
      <c r="L32" s="283"/>
      <c r="M32" s="284">
        <f t="shared" si="1"/>
      </c>
      <c r="N32" s="285">
        <f t="shared" si="2"/>
      </c>
      <c r="O32" s="286"/>
      <c r="P32" s="287">
        <f t="shared" si="3"/>
      </c>
      <c r="Q32" s="287">
        <f t="shared" si="4"/>
      </c>
      <c r="R32" s="286">
        <f t="shared" si="5"/>
      </c>
      <c r="S32" s="151">
        <f t="shared" si="6"/>
        <v>3</v>
      </c>
      <c r="T32" s="288" t="str">
        <f t="shared" si="7"/>
        <v>--</v>
      </c>
      <c r="U32" s="289" t="str">
        <f t="shared" si="8"/>
        <v>--</v>
      </c>
      <c r="V32" s="290" t="str">
        <f t="shared" si="9"/>
        <v>--</v>
      </c>
      <c r="W32" s="291" t="str">
        <f t="shared" si="10"/>
        <v>--</v>
      </c>
      <c r="X32" s="292" t="str">
        <f t="shared" si="11"/>
        <v>--</v>
      </c>
      <c r="Y32" s="293" t="str">
        <f t="shared" si="12"/>
        <v>--</v>
      </c>
      <c r="Z32" s="294" t="str">
        <f t="shared" si="13"/>
        <v>--</v>
      </c>
      <c r="AA32" s="295" t="str">
        <f t="shared" si="14"/>
        <v>--</v>
      </c>
      <c r="AB32" s="286">
        <f t="shared" si="15"/>
      </c>
      <c r="AC32" s="296">
        <f t="shared" si="16"/>
      </c>
      <c r="AD32" s="216"/>
    </row>
    <row r="33" spans="2:30" s="10" customFormat="1" ht="16.5" customHeight="1">
      <c r="B33" s="215"/>
      <c r="C33" s="267"/>
      <c r="D33" s="267"/>
      <c r="E33" s="267"/>
      <c r="F33" s="125"/>
      <c r="G33" s="127"/>
      <c r="H33" s="280"/>
      <c r="I33" s="281"/>
      <c r="J33" s="282">
        <f t="shared" si="0"/>
        <v>0</v>
      </c>
      <c r="K33" s="283"/>
      <c r="L33" s="283"/>
      <c r="M33" s="284">
        <f t="shared" si="1"/>
      </c>
      <c r="N33" s="285">
        <f t="shared" si="2"/>
      </c>
      <c r="O33" s="286"/>
      <c r="P33" s="287">
        <f t="shared" si="3"/>
      </c>
      <c r="Q33" s="287">
        <f t="shared" si="4"/>
      </c>
      <c r="R33" s="286">
        <f t="shared" si="5"/>
      </c>
      <c r="S33" s="151">
        <f t="shared" si="6"/>
        <v>3</v>
      </c>
      <c r="T33" s="288" t="str">
        <f t="shared" si="7"/>
        <v>--</v>
      </c>
      <c r="U33" s="289" t="str">
        <f t="shared" si="8"/>
        <v>--</v>
      </c>
      <c r="V33" s="290" t="str">
        <f t="shared" si="9"/>
        <v>--</v>
      </c>
      <c r="W33" s="291" t="str">
        <f t="shared" si="10"/>
        <v>--</v>
      </c>
      <c r="X33" s="292" t="str">
        <f t="shared" si="11"/>
        <v>--</v>
      </c>
      <c r="Y33" s="293" t="str">
        <f t="shared" si="12"/>
        <v>--</v>
      </c>
      <c r="Z33" s="294" t="str">
        <f t="shared" si="13"/>
        <v>--</v>
      </c>
      <c r="AA33" s="295" t="str">
        <f t="shared" si="14"/>
        <v>--</v>
      </c>
      <c r="AB33" s="286">
        <f t="shared" si="15"/>
      </c>
      <c r="AC33" s="296">
        <f t="shared" si="16"/>
      </c>
      <c r="AD33" s="216"/>
    </row>
    <row r="34" spans="2:30" s="10" customFormat="1" ht="16.5" customHeight="1">
      <c r="B34" s="215"/>
      <c r="C34" s="267"/>
      <c r="D34" s="267"/>
      <c r="E34" s="267"/>
      <c r="F34" s="125"/>
      <c r="G34" s="127"/>
      <c r="H34" s="280"/>
      <c r="I34" s="281"/>
      <c r="J34" s="282">
        <f t="shared" si="0"/>
        <v>0</v>
      </c>
      <c r="K34" s="283"/>
      <c r="L34" s="283"/>
      <c r="M34" s="284">
        <f t="shared" si="1"/>
      </c>
      <c r="N34" s="285">
        <f t="shared" si="2"/>
      </c>
      <c r="O34" s="286"/>
      <c r="P34" s="287">
        <f t="shared" si="3"/>
      </c>
      <c r="Q34" s="287">
        <f t="shared" si="4"/>
      </c>
      <c r="R34" s="286">
        <f t="shared" si="5"/>
      </c>
      <c r="S34" s="151">
        <f t="shared" si="6"/>
        <v>3</v>
      </c>
      <c r="T34" s="288" t="str">
        <f t="shared" si="7"/>
        <v>--</v>
      </c>
      <c r="U34" s="289" t="str">
        <f t="shared" si="8"/>
        <v>--</v>
      </c>
      <c r="V34" s="290" t="str">
        <f t="shared" si="9"/>
        <v>--</v>
      </c>
      <c r="W34" s="291" t="str">
        <f t="shared" si="10"/>
        <v>--</v>
      </c>
      <c r="X34" s="292" t="str">
        <f t="shared" si="11"/>
        <v>--</v>
      </c>
      <c r="Y34" s="293" t="str">
        <f t="shared" si="12"/>
        <v>--</v>
      </c>
      <c r="Z34" s="294" t="str">
        <f t="shared" si="13"/>
        <v>--</v>
      </c>
      <c r="AA34" s="295" t="str">
        <f t="shared" si="14"/>
        <v>--</v>
      </c>
      <c r="AB34" s="286">
        <f t="shared" si="15"/>
      </c>
      <c r="AC34" s="296">
        <f t="shared" si="16"/>
      </c>
      <c r="AD34" s="216"/>
    </row>
    <row r="35" spans="2:30" s="10" customFormat="1" ht="16.5" customHeight="1">
      <c r="B35" s="215"/>
      <c r="C35" s="267"/>
      <c r="D35" s="267"/>
      <c r="E35" s="267"/>
      <c r="F35" s="125"/>
      <c r="G35" s="127"/>
      <c r="H35" s="280"/>
      <c r="I35" s="281"/>
      <c r="J35" s="282">
        <f t="shared" si="0"/>
        <v>0</v>
      </c>
      <c r="K35" s="283"/>
      <c r="L35" s="283"/>
      <c r="M35" s="284">
        <f t="shared" si="1"/>
      </c>
      <c r="N35" s="285">
        <f t="shared" si="2"/>
      </c>
      <c r="O35" s="286"/>
      <c r="P35" s="287">
        <f t="shared" si="3"/>
      </c>
      <c r="Q35" s="287">
        <f t="shared" si="4"/>
      </c>
      <c r="R35" s="286">
        <f t="shared" si="5"/>
      </c>
      <c r="S35" s="151">
        <f t="shared" si="6"/>
        <v>3</v>
      </c>
      <c r="T35" s="288" t="str">
        <f t="shared" si="7"/>
        <v>--</v>
      </c>
      <c r="U35" s="289" t="str">
        <f t="shared" si="8"/>
        <v>--</v>
      </c>
      <c r="V35" s="290" t="str">
        <f t="shared" si="9"/>
        <v>--</v>
      </c>
      <c r="W35" s="291" t="str">
        <f t="shared" si="10"/>
        <v>--</v>
      </c>
      <c r="X35" s="292" t="str">
        <f t="shared" si="11"/>
        <v>--</v>
      </c>
      <c r="Y35" s="293" t="str">
        <f t="shared" si="12"/>
        <v>--</v>
      </c>
      <c r="Z35" s="294" t="str">
        <f t="shared" si="13"/>
        <v>--</v>
      </c>
      <c r="AA35" s="295" t="str">
        <f t="shared" si="14"/>
        <v>--</v>
      </c>
      <c r="AB35" s="286">
        <f t="shared" si="15"/>
      </c>
      <c r="AC35" s="296">
        <f t="shared" si="16"/>
      </c>
      <c r="AD35" s="216"/>
    </row>
    <row r="36" spans="2:30" s="10" customFormat="1" ht="16.5" customHeight="1">
      <c r="B36" s="215"/>
      <c r="C36" s="267"/>
      <c r="D36" s="267"/>
      <c r="E36" s="267"/>
      <c r="F36" s="125"/>
      <c r="G36" s="127"/>
      <c r="H36" s="280"/>
      <c r="I36" s="281"/>
      <c r="J36" s="282">
        <f t="shared" si="0"/>
        <v>0</v>
      </c>
      <c r="K36" s="283"/>
      <c r="L36" s="283"/>
      <c r="M36" s="284">
        <f t="shared" si="1"/>
      </c>
      <c r="N36" s="285">
        <f t="shared" si="2"/>
      </c>
      <c r="O36" s="286"/>
      <c r="P36" s="287">
        <f t="shared" si="3"/>
      </c>
      <c r="Q36" s="287">
        <f t="shared" si="4"/>
      </c>
      <c r="R36" s="286">
        <f t="shared" si="5"/>
      </c>
      <c r="S36" s="151">
        <f t="shared" si="6"/>
        <v>3</v>
      </c>
      <c r="T36" s="288" t="str">
        <f t="shared" si="7"/>
        <v>--</v>
      </c>
      <c r="U36" s="289" t="str">
        <f t="shared" si="8"/>
        <v>--</v>
      </c>
      <c r="V36" s="290" t="str">
        <f t="shared" si="9"/>
        <v>--</v>
      </c>
      <c r="W36" s="291" t="str">
        <f t="shared" si="10"/>
        <v>--</v>
      </c>
      <c r="X36" s="292" t="str">
        <f t="shared" si="11"/>
        <v>--</v>
      </c>
      <c r="Y36" s="293" t="str">
        <f t="shared" si="12"/>
        <v>--</v>
      </c>
      <c r="Z36" s="294" t="str">
        <f t="shared" si="13"/>
        <v>--</v>
      </c>
      <c r="AA36" s="295" t="str">
        <f t="shared" si="14"/>
        <v>--</v>
      </c>
      <c r="AB36" s="286">
        <f t="shared" si="15"/>
      </c>
      <c r="AC36" s="296">
        <f t="shared" si="16"/>
      </c>
      <c r="AD36" s="216"/>
    </row>
    <row r="37" spans="2:30" s="10" customFormat="1" ht="16.5" customHeight="1">
      <c r="B37" s="215"/>
      <c r="C37" s="267"/>
      <c r="D37" s="267"/>
      <c r="E37" s="267"/>
      <c r="F37" s="125"/>
      <c r="G37" s="127"/>
      <c r="H37" s="280"/>
      <c r="I37" s="281"/>
      <c r="J37" s="282">
        <f t="shared" si="0"/>
        <v>0</v>
      </c>
      <c r="K37" s="283"/>
      <c r="L37" s="283"/>
      <c r="M37" s="284">
        <f t="shared" si="1"/>
      </c>
      <c r="N37" s="285">
        <f t="shared" si="2"/>
      </c>
      <c r="O37" s="286"/>
      <c r="P37" s="287">
        <f t="shared" si="3"/>
      </c>
      <c r="Q37" s="287">
        <f t="shared" si="4"/>
      </c>
      <c r="R37" s="286">
        <f t="shared" si="5"/>
      </c>
      <c r="S37" s="151">
        <f t="shared" si="6"/>
        <v>3</v>
      </c>
      <c r="T37" s="288" t="str">
        <f t="shared" si="7"/>
        <v>--</v>
      </c>
      <c r="U37" s="289" t="str">
        <f t="shared" si="8"/>
        <v>--</v>
      </c>
      <c r="V37" s="290" t="str">
        <f t="shared" si="9"/>
        <v>--</v>
      </c>
      <c r="W37" s="291" t="str">
        <f t="shared" si="10"/>
        <v>--</v>
      </c>
      <c r="X37" s="292" t="str">
        <f t="shared" si="11"/>
        <v>--</v>
      </c>
      <c r="Y37" s="293" t="str">
        <f t="shared" si="12"/>
        <v>--</v>
      </c>
      <c r="Z37" s="294" t="str">
        <f t="shared" si="13"/>
        <v>--</v>
      </c>
      <c r="AA37" s="295" t="str">
        <f t="shared" si="14"/>
        <v>--</v>
      </c>
      <c r="AB37" s="286">
        <f t="shared" si="15"/>
      </c>
      <c r="AC37" s="296">
        <f t="shared" si="16"/>
      </c>
      <c r="AD37" s="216"/>
    </row>
    <row r="38" spans="2:30" s="10" customFormat="1" ht="16.5" customHeight="1">
      <c r="B38" s="215"/>
      <c r="C38" s="267"/>
      <c r="D38" s="267"/>
      <c r="E38" s="267"/>
      <c r="F38" s="125"/>
      <c r="G38" s="127"/>
      <c r="H38" s="280"/>
      <c r="I38" s="281"/>
      <c r="J38" s="282">
        <f t="shared" si="0"/>
        <v>0</v>
      </c>
      <c r="K38" s="283"/>
      <c r="L38" s="283"/>
      <c r="M38" s="284">
        <f t="shared" si="1"/>
      </c>
      <c r="N38" s="285">
        <f t="shared" si="2"/>
      </c>
      <c r="O38" s="286"/>
      <c r="P38" s="287">
        <f t="shared" si="3"/>
      </c>
      <c r="Q38" s="287">
        <f t="shared" si="4"/>
      </c>
      <c r="R38" s="286">
        <f t="shared" si="5"/>
      </c>
      <c r="S38" s="151">
        <f t="shared" si="6"/>
        <v>3</v>
      </c>
      <c r="T38" s="288" t="str">
        <f t="shared" si="7"/>
        <v>--</v>
      </c>
      <c r="U38" s="289" t="str">
        <f t="shared" si="8"/>
        <v>--</v>
      </c>
      <c r="V38" s="290" t="str">
        <f t="shared" si="9"/>
        <v>--</v>
      </c>
      <c r="W38" s="291" t="str">
        <f t="shared" si="10"/>
        <v>--</v>
      </c>
      <c r="X38" s="292" t="str">
        <f t="shared" si="11"/>
        <v>--</v>
      </c>
      <c r="Y38" s="293" t="str">
        <f t="shared" si="12"/>
        <v>--</v>
      </c>
      <c r="Z38" s="294" t="str">
        <f t="shared" si="13"/>
        <v>--</v>
      </c>
      <c r="AA38" s="295" t="str">
        <f t="shared" si="14"/>
        <v>--</v>
      </c>
      <c r="AB38" s="286">
        <f t="shared" si="15"/>
      </c>
      <c r="AC38" s="296">
        <f t="shared" si="16"/>
      </c>
      <c r="AD38" s="216"/>
    </row>
    <row r="39" spans="2:30" s="10" customFormat="1" ht="16.5" customHeight="1">
      <c r="B39" s="215"/>
      <c r="C39" s="267"/>
      <c r="D39" s="267"/>
      <c r="E39" s="267"/>
      <c r="F39" s="125"/>
      <c r="G39" s="127"/>
      <c r="H39" s="280"/>
      <c r="I39" s="281"/>
      <c r="J39" s="282">
        <f t="shared" si="0"/>
        <v>0</v>
      </c>
      <c r="K39" s="283"/>
      <c r="L39" s="283"/>
      <c r="M39" s="284">
        <f t="shared" si="1"/>
      </c>
      <c r="N39" s="285">
        <f t="shared" si="2"/>
      </c>
      <c r="O39" s="286"/>
      <c r="P39" s="287">
        <f t="shared" si="3"/>
      </c>
      <c r="Q39" s="287">
        <f t="shared" si="4"/>
      </c>
      <c r="R39" s="286">
        <f t="shared" si="5"/>
      </c>
      <c r="S39" s="151">
        <f t="shared" si="6"/>
        <v>3</v>
      </c>
      <c r="T39" s="288" t="str">
        <f t="shared" si="7"/>
        <v>--</v>
      </c>
      <c r="U39" s="289" t="str">
        <f t="shared" si="8"/>
        <v>--</v>
      </c>
      <c r="V39" s="290" t="str">
        <f t="shared" si="9"/>
        <v>--</v>
      </c>
      <c r="W39" s="291" t="str">
        <f t="shared" si="10"/>
        <v>--</v>
      </c>
      <c r="X39" s="292" t="str">
        <f t="shared" si="11"/>
        <v>--</v>
      </c>
      <c r="Y39" s="293" t="str">
        <f t="shared" si="12"/>
        <v>--</v>
      </c>
      <c r="Z39" s="294" t="str">
        <f t="shared" si="13"/>
        <v>--</v>
      </c>
      <c r="AA39" s="295" t="str">
        <f t="shared" si="14"/>
        <v>--</v>
      </c>
      <c r="AB39" s="286">
        <f t="shared" si="15"/>
      </c>
      <c r="AC39" s="296">
        <f t="shared" si="16"/>
      </c>
      <c r="AD39" s="216"/>
    </row>
    <row r="40" spans="2:30" s="10" customFormat="1" ht="16.5" customHeight="1">
      <c r="B40" s="215"/>
      <c r="C40" s="267"/>
      <c r="D40" s="267"/>
      <c r="E40" s="267"/>
      <c r="F40" s="125"/>
      <c r="G40" s="127"/>
      <c r="H40" s="280"/>
      <c r="I40" s="281"/>
      <c r="J40" s="282">
        <f t="shared" si="0"/>
        <v>0</v>
      </c>
      <c r="K40" s="283"/>
      <c r="L40" s="283"/>
      <c r="M40" s="284">
        <f t="shared" si="1"/>
      </c>
      <c r="N40" s="285">
        <f t="shared" si="2"/>
      </c>
      <c r="O40" s="286"/>
      <c r="P40" s="287">
        <f t="shared" si="3"/>
      </c>
      <c r="Q40" s="287">
        <f t="shared" si="4"/>
      </c>
      <c r="R40" s="286">
        <f t="shared" si="5"/>
      </c>
      <c r="S40" s="151">
        <f t="shared" si="6"/>
        <v>3</v>
      </c>
      <c r="T40" s="288" t="str">
        <f t="shared" si="7"/>
        <v>--</v>
      </c>
      <c r="U40" s="289" t="str">
        <f t="shared" si="8"/>
        <v>--</v>
      </c>
      <c r="V40" s="290" t="str">
        <f t="shared" si="9"/>
        <v>--</v>
      </c>
      <c r="W40" s="291" t="str">
        <f t="shared" si="10"/>
        <v>--</v>
      </c>
      <c r="X40" s="292" t="str">
        <f t="shared" si="11"/>
        <v>--</v>
      </c>
      <c r="Y40" s="293" t="str">
        <f t="shared" si="12"/>
        <v>--</v>
      </c>
      <c r="Z40" s="294" t="str">
        <f t="shared" si="13"/>
        <v>--</v>
      </c>
      <c r="AA40" s="295" t="str">
        <f t="shared" si="14"/>
        <v>--</v>
      </c>
      <c r="AB40" s="286">
        <f t="shared" si="15"/>
      </c>
      <c r="AC40" s="296">
        <f t="shared" si="16"/>
      </c>
      <c r="AD40" s="216"/>
    </row>
    <row r="41" spans="2:30" s="10" customFormat="1" ht="16.5" customHeight="1" thickBot="1">
      <c r="B41" s="215"/>
      <c r="C41" s="298"/>
      <c r="D41" s="298"/>
      <c r="E41" s="298"/>
      <c r="F41" s="298"/>
      <c r="G41" s="298"/>
      <c r="H41" s="298"/>
      <c r="I41" s="298"/>
      <c r="J41" s="299"/>
      <c r="K41" s="298"/>
      <c r="L41" s="298"/>
      <c r="M41" s="298"/>
      <c r="N41" s="298"/>
      <c r="O41" s="298"/>
      <c r="P41" s="298"/>
      <c r="Q41" s="298"/>
      <c r="R41" s="298"/>
      <c r="S41" s="300"/>
      <c r="T41" s="301"/>
      <c r="U41" s="302"/>
      <c r="V41" s="303"/>
      <c r="W41" s="304"/>
      <c r="X41" s="305"/>
      <c r="Y41" s="306"/>
      <c r="Z41" s="307"/>
      <c r="AA41" s="308"/>
      <c r="AB41" s="298"/>
      <c r="AC41" s="309"/>
      <c r="AD41" s="216"/>
    </row>
    <row r="42" spans="2:30" s="10" customFormat="1" ht="16.5" customHeight="1" thickBot="1" thickTop="1">
      <c r="B42" s="215"/>
      <c r="C42" s="758" t="s">
        <v>138</v>
      </c>
      <c r="D42" s="757" t="s">
        <v>129</v>
      </c>
      <c r="E42" s="185"/>
      <c r="F42" s="171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310">
        <f>SUM(T20:T41)</f>
        <v>311.6013300000001</v>
      </c>
      <c r="U42" s="311">
        <f>SUM(U20:U41)</f>
        <v>0</v>
      </c>
      <c r="V42" s="312">
        <f>SUM(V20:V41)</f>
        <v>0</v>
      </c>
      <c r="W42" s="313">
        <f>SUM(W22:W41)</f>
        <v>0</v>
      </c>
      <c r="X42" s="314">
        <f>SUM(X20:X41)</f>
        <v>0</v>
      </c>
      <c r="Y42" s="314">
        <f>SUM(Y22:Y41)</f>
        <v>0</v>
      </c>
      <c r="Z42" s="315">
        <f>SUM(Z20:Z41)</f>
        <v>0</v>
      </c>
      <c r="AA42" s="316">
        <f>SUM(AA22:AA41)</f>
        <v>0</v>
      </c>
      <c r="AB42" s="317"/>
      <c r="AC42" s="318">
        <f>ROUND(SUM(AC20:AC41),2)</f>
        <v>311.6</v>
      </c>
      <c r="AD42" s="216"/>
    </row>
    <row r="43" spans="2:30" s="183" customFormat="1" ht="9.75" thickTop="1">
      <c r="B43" s="319"/>
      <c r="C43" s="185"/>
      <c r="D43" s="185"/>
      <c r="E43" s="185"/>
      <c r="F43" s="186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1"/>
      <c r="U43" s="321"/>
      <c r="V43" s="321"/>
      <c r="W43" s="321"/>
      <c r="X43" s="321"/>
      <c r="Y43" s="321"/>
      <c r="Z43" s="321"/>
      <c r="AA43" s="321"/>
      <c r="AB43" s="320"/>
      <c r="AC43" s="322"/>
      <c r="AD43" s="323"/>
    </row>
    <row r="44" spans="2:30" s="10" customFormat="1" ht="16.5" customHeight="1" thickBot="1">
      <c r="B44" s="324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6"/>
    </row>
    <row r="45" spans="2:30" ht="16.5" customHeight="1" thickTop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327"/>
    </row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sheetProtection/>
  <printOptions/>
  <pageMargins left="0.23" right="0.1968503937007874" top="0.7874015748031497" bottom="0.7874015748031497" header="0.5118110236220472" footer="0.5118110236220472"/>
  <pageSetup fitToHeight="1" fitToWidth="1" horizontalDpi="300" verticalDpi="300" orientation="landscape" paperSize="9" scale="59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="70" zoomScaleNormal="70" zoomScalePageLayoutView="0" workbookViewId="0" topLeftCell="A10">
      <selection activeCell="H19" sqref="H19"/>
    </sheetView>
  </sheetViews>
  <sheetFormatPr defaultColWidth="11.421875" defaultRowHeight="12.75"/>
  <cols>
    <col min="1" max="1" width="19.00390625" style="1" customWidth="1"/>
    <col min="2" max="2" width="4.00390625" style="1" customWidth="1"/>
    <col min="3" max="3" width="5.57421875" style="1" customWidth="1"/>
    <col min="4" max="5" width="13.57421875" style="1" customWidth="1"/>
    <col min="6" max="6" width="25.7109375" style="1" customWidth="1"/>
    <col min="7" max="7" width="35.7109375" style="1" customWidth="1"/>
    <col min="8" max="8" width="10.7109375" style="1" customWidth="1"/>
    <col min="9" max="9" width="12.421875" style="1" hidden="1" customWidth="1"/>
    <col min="10" max="11" width="15.7109375" style="1" customWidth="1"/>
    <col min="12" max="14" width="9.7109375" style="1" customWidth="1"/>
    <col min="15" max="15" width="7.7109375" style="1" customWidth="1"/>
    <col min="16" max="16" width="12.7109375" style="1" hidden="1" customWidth="1"/>
    <col min="17" max="17" width="15.00390625" style="1" hidden="1" customWidth="1"/>
    <col min="18" max="18" width="15.140625" style="1" hidden="1" customWidth="1"/>
    <col min="19" max="20" width="15.57421875" style="1" hidden="1" customWidth="1"/>
    <col min="21" max="21" width="9.7109375" style="1" customWidth="1"/>
    <col min="22" max="22" width="15.7109375" style="1" customWidth="1"/>
    <col min="23" max="23" width="4.00390625" style="1" customWidth="1"/>
    <col min="24" max="16384" width="11.421875" style="1" customWidth="1"/>
  </cols>
  <sheetData>
    <row r="1" spans="1:23" s="6" customFormat="1" ht="30.75" customHeight="1">
      <c r="A1" s="328"/>
      <c r="W1" s="393"/>
    </row>
    <row r="2" spans="1:23" s="6" customFormat="1" ht="26.25">
      <c r="A2" s="328"/>
      <c r="B2" s="67" t="str">
        <f>+'TOT-0413'!B2</f>
        <v>ANEXO V al Memorándum  D.T.E.E.  N° 376 / 2014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10" customFormat="1" ht="12.75">
      <c r="A3" s="329"/>
      <c r="B3" s="68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" s="13" customFormat="1" ht="11.25">
      <c r="A4" s="203" t="s">
        <v>3</v>
      </c>
      <c r="B4" s="330"/>
    </row>
    <row r="5" spans="1:2" s="13" customFormat="1" ht="11.25">
      <c r="A5" s="203" t="s">
        <v>4</v>
      </c>
      <c r="B5" s="330"/>
    </row>
    <row r="6" s="10" customFormat="1" ht="16.5" customHeight="1" thickBot="1"/>
    <row r="7" spans="2:23" s="10" customFormat="1" ht="16.5" customHeight="1" thickTop="1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2"/>
    </row>
    <row r="8" spans="2:23" s="73" customFormat="1" ht="20.25">
      <c r="B8" s="74"/>
      <c r="F8" s="75" t="s">
        <v>51</v>
      </c>
      <c r="P8" s="76"/>
      <c r="Q8" s="76"/>
      <c r="R8" s="76"/>
      <c r="S8" s="76"/>
      <c r="T8" s="76"/>
      <c r="U8" s="76"/>
      <c r="V8" s="76"/>
      <c r="W8" s="77"/>
    </row>
    <row r="9" spans="2:23" s="10" customFormat="1" ht="16.5" customHeight="1">
      <c r="B9" s="44"/>
      <c r="F9" s="12"/>
      <c r="G9" s="12"/>
      <c r="H9" s="12"/>
      <c r="I9" s="83"/>
      <c r="J9" s="83"/>
      <c r="K9" s="83"/>
      <c r="L9" s="83"/>
      <c r="M9" s="83"/>
      <c r="P9" s="12"/>
      <c r="Q9" s="12"/>
      <c r="R9" s="12"/>
      <c r="S9" s="12"/>
      <c r="T9" s="12"/>
      <c r="U9" s="12"/>
      <c r="V9" s="12"/>
      <c r="W9" s="49"/>
    </row>
    <row r="10" spans="2:23" s="73" customFormat="1" ht="20.25">
      <c r="B10" s="74"/>
      <c r="F10" s="75" t="s">
        <v>52</v>
      </c>
      <c r="G10" s="75"/>
      <c r="H10" s="76"/>
      <c r="I10" s="75"/>
      <c r="J10" s="75"/>
      <c r="K10" s="75"/>
      <c r="L10" s="75"/>
      <c r="M10" s="75"/>
      <c r="P10" s="76"/>
      <c r="Q10" s="76"/>
      <c r="R10" s="76"/>
      <c r="S10" s="76"/>
      <c r="T10" s="76"/>
      <c r="U10" s="76"/>
      <c r="V10" s="76"/>
      <c r="W10" s="77"/>
    </row>
    <row r="11" spans="2:23" s="10" customFormat="1" ht="16.5" customHeight="1">
      <c r="B11" s="44"/>
      <c r="C11" s="12"/>
      <c r="D11" s="12"/>
      <c r="E11" s="12"/>
      <c r="F11" s="331"/>
      <c r="G11" s="83"/>
      <c r="H11" s="12"/>
      <c r="I11" s="83"/>
      <c r="J11" s="83"/>
      <c r="K11" s="83"/>
      <c r="L11" s="83"/>
      <c r="M11" s="83"/>
      <c r="P11" s="12"/>
      <c r="Q11" s="12"/>
      <c r="R11" s="12"/>
      <c r="S11" s="12"/>
      <c r="T11" s="12"/>
      <c r="U11" s="12"/>
      <c r="V11" s="12"/>
      <c r="W11" s="49"/>
    </row>
    <row r="12" spans="2:23" s="17" customFormat="1" ht="19.5">
      <c r="B12" s="31" t="str">
        <f>+'TOT-0413'!B14</f>
        <v>Desde el 01 al 30 de abril de 2013</v>
      </c>
      <c r="C12" s="332"/>
      <c r="D12" s="332"/>
      <c r="E12" s="332"/>
      <c r="F12" s="34"/>
      <c r="G12" s="34"/>
      <c r="H12" s="34"/>
      <c r="I12" s="34"/>
      <c r="J12" s="80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82"/>
    </row>
    <row r="13" spans="2:23" s="10" customFormat="1" ht="16.5" customHeight="1" thickBot="1">
      <c r="B13" s="44"/>
      <c r="C13" s="12"/>
      <c r="D13" s="12"/>
      <c r="E13" s="12"/>
      <c r="I13" s="85"/>
      <c r="K13" s="12"/>
      <c r="L13" s="12"/>
      <c r="M13" s="12"/>
      <c r="N13" s="85"/>
      <c r="O13" s="85"/>
      <c r="P13" s="85"/>
      <c r="Q13" s="12"/>
      <c r="R13" s="12"/>
      <c r="S13" s="12"/>
      <c r="T13" s="12"/>
      <c r="U13" s="12"/>
      <c r="V13" s="12"/>
      <c r="W13" s="49"/>
    </row>
    <row r="14" spans="2:23" s="10" customFormat="1" ht="16.5" customHeight="1" thickBot="1" thickTop="1">
      <c r="B14" s="44"/>
      <c r="C14" s="12"/>
      <c r="D14" s="12"/>
      <c r="E14" s="12"/>
      <c r="F14" s="333" t="s">
        <v>53</v>
      </c>
      <c r="G14" s="334">
        <v>31.72</v>
      </c>
      <c r="H14" s="335">
        <f>60*'TOT-0413'!B13</f>
        <v>60</v>
      </c>
      <c r="I14" s="85"/>
      <c r="J14" s="235" t="str">
        <f>IF(H14=60," ",IF(H14=120,"    Coeficiente duplicado por tasa de falla &gt;4 Sal. x año/100 km.","    REVISAR COEFICIENTE"))</f>
        <v> </v>
      </c>
      <c r="K14" s="12"/>
      <c r="L14" s="12"/>
      <c r="M14" s="12"/>
      <c r="N14" s="85"/>
      <c r="O14" s="85"/>
      <c r="P14" s="85"/>
      <c r="Q14" s="12"/>
      <c r="R14" s="12"/>
      <c r="S14" s="12"/>
      <c r="T14" s="12"/>
      <c r="U14" s="12"/>
      <c r="V14" s="12"/>
      <c r="W14" s="49"/>
    </row>
    <row r="15" spans="2:23" s="10" customFormat="1" ht="16.5" customHeight="1" thickBot="1" thickTop="1">
      <c r="B15" s="44"/>
      <c r="C15" s="12"/>
      <c r="D15" s="12"/>
      <c r="E15" s="12"/>
      <c r="F15" s="333" t="s">
        <v>54</v>
      </c>
      <c r="G15" s="334">
        <v>15.862</v>
      </c>
      <c r="H15" s="335">
        <f>50*'TOT-0413'!B13</f>
        <v>50</v>
      </c>
      <c r="J15" s="235" t="str">
        <f>IF(H15=50," ",IF(H15=100,"    Coeficiente duplicado por tasa de falla &gt;4 Sal. x año/100 km.","    REVISAR COEFICIENTE"))</f>
        <v> </v>
      </c>
      <c r="S15" s="12"/>
      <c r="T15" s="12"/>
      <c r="U15" s="12"/>
      <c r="V15" s="336"/>
      <c r="W15" s="49"/>
    </row>
    <row r="16" spans="2:23" s="10" customFormat="1" ht="16.5" customHeight="1" thickBot="1" thickTop="1">
      <c r="B16" s="44"/>
      <c r="C16" s="12"/>
      <c r="D16" s="12"/>
      <c r="E16" s="12"/>
      <c r="F16" s="337" t="s">
        <v>55</v>
      </c>
      <c r="G16" s="338">
        <v>11.899</v>
      </c>
      <c r="H16" s="339">
        <f>25*'TOT-0413'!B13</f>
        <v>25</v>
      </c>
      <c r="J16" s="235" t="str">
        <f>IF(H16=25," ",IF(H16=50,"    Coeficiente duplicado por tasa de falla &gt;4 Sal. x año/100 km.","    REVISAR COEFICIENTE"))</f>
        <v> </v>
      </c>
      <c r="K16" s="94"/>
      <c r="L16" s="94"/>
      <c r="M16" s="12"/>
      <c r="P16" s="340"/>
      <c r="Q16" s="341"/>
      <c r="R16" s="4"/>
      <c r="S16" s="12"/>
      <c r="T16" s="12"/>
      <c r="U16" s="12"/>
      <c r="V16" s="336"/>
      <c r="W16" s="49"/>
    </row>
    <row r="17" spans="2:23" s="10" customFormat="1" ht="16.5" customHeight="1" thickBot="1" thickTop="1">
      <c r="B17" s="44"/>
      <c r="C17" s="12"/>
      <c r="D17" s="12"/>
      <c r="E17" s="12"/>
      <c r="F17" s="342" t="s">
        <v>56</v>
      </c>
      <c r="G17" s="399">
        <v>11.899</v>
      </c>
      <c r="H17" s="343">
        <f>20*'TOT-0413'!B13</f>
        <v>20</v>
      </c>
      <c r="J17" s="235" t="str">
        <f>IF(H17=20," ",IF(H17=40,"    Coeficiente duplicado por tasa de falla &gt;4 Sal. x año/100 km.","    REVISAR COEFICIENTE"))</f>
        <v> </v>
      </c>
      <c r="K17" s="94"/>
      <c r="L17" s="94"/>
      <c r="M17" s="12"/>
      <c r="P17" s="340"/>
      <c r="Q17" s="341"/>
      <c r="R17" s="4"/>
      <c r="S17" s="12"/>
      <c r="T17" s="12"/>
      <c r="U17" s="12"/>
      <c r="V17" s="336"/>
      <c r="W17" s="49"/>
    </row>
    <row r="18" spans="2:23" s="10" customFormat="1" ht="16.5" customHeight="1" thickBot="1" thickTop="1">
      <c r="B18" s="44"/>
      <c r="C18" s="12"/>
      <c r="D18" s="400">
        <v>4</v>
      </c>
      <c r="E18" s="400">
        <v>5</v>
      </c>
      <c r="F18" s="400">
        <v>6</v>
      </c>
      <c r="G18" s="400">
        <v>7</v>
      </c>
      <c r="H18" s="400">
        <v>8</v>
      </c>
      <c r="I18" s="400">
        <v>9</v>
      </c>
      <c r="J18" s="400">
        <v>10</v>
      </c>
      <c r="K18" s="400">
        <v>11</v>
      </c>
      <c r="L18" s="400">
        <v>12</v>
      </c>
      <c r="M18" s="400">
        <v>13</v>
      </c>
      <c r="N18" s="400">
        <v>14</v>
      </c>
      <c r="O18" s="400">
        <v>15</v>
      </c>
      <c r="P18" s="400">
        <v>16</v>
      </c>
      <c r="Q18" s="400">
        <v>17</v>
      </c>
      <c r="R18" s="400">
        <v>18</v>
      </c>
      <c r="S18" s="400">
        <v>19</v>
      </c>
      <c r="T18" s="400">
        <v>20</v>
      </c>
      <c r="U18" s="400">
        <v>21</v>
      </c>
      <c r="V18" s="400">
        <v>22</v>
      </c>
      <c r="W18" s="49"/>
    </row>
    <row r="19" spans="2:23" s="344" customFormat="1" ht="34.5" customHeight="1" thickBot="1" thickTop="1">
      <c r="B19" s="345"/>
      <c r="C19" s="398" t="s">
        <v>19</v>
      </c>
      <c r="D19" s="398" t="s">
        <v>60</v>
      </c>
      <c r="E19" s="398" t="s">
        <v>61</v>
      </c>
      <c r="F19" s="239" t="s">
        <v>40</v>
      </c>
      <c r="G19" s="346" t="s">
        <v>41</v>
      </c>
      <c r="H19" s="347" t="s">
        <v>20</v>
      </c>
      <c r="I19" s="99" t="s">
        <v>22</v>
      </c>
      <c r="J19" s="240" t="s">
        <v>23</v>
      </c>
      <c r="K19" s="346" t="s">
        <v>24</v>
      </c>
      <c r="L19" s="239" t="s">
        <v>43</v>
      </c>
      <c r="M19" s="239" t="s">
        <v>44</v>
      </c>
      <c r="N19" s="98" t="s">
        <v>59</v>
      </c>
      <c r="O19" s="240" t="s">
        <v>45</v>
      </c>
      <c r="P19" s="348" t="s">
        <v>57</v>
      </c>
      <c r="Q19" s="349" t="s">
        <v>58</v>
      </c>
      <c r="R19" s="350" t="s">
        <v>48</v>
      </c>
      <c r="S19" s="351"/>
      <c r="T19" s="352" t="s">
        <v>32</v>
      </c>
      <c r="U19" s="242" t="s">
        <v>34</v>
      </c>
      <c r="V19" s="242" t="s">
        <v>35</v>
      </c>
      <c r="W19" s="353"/>
    </row>
    <row r="20" spans="2:23" s="10" customFormat="1" ht="16.5" customHeight="1" thickTop="1">
      <c r="B20" s="44"/>
      <c r="C20" s="268"/>
      <c r="D20" s="397"/>
      <c r="E20" s="397"/>
      <c r="F20" s="267"/>
      <c r="G20" s="267"/>
      <c r="H20" s="354"/>
      <c r="I20" s="355"/>
      <c r="J20" s="270"/>
      <c r="K20" s="356"/>
      <c r="L20" s="271"/>
      <c r="M20" s="271"/>
      <c r="N20" s="270"/>
      <c r="O20" s="270"/>
      <c r="P20" s="357"/>
      <c r="Q20" s="358"/>
      <c r="R20" s="359"/>
      <c r="S20" s="360"/>
      <c r="T20" s="361"/>
      <c r="U20" s="362"/>
      <c r="V20" s="363"/>
      <c r="W20" s="216"/>
    </row>
    <row r="21" spans="2:23" s="10" customFormat="1" ht="16.5" customHeight="1">
      <c r="B21" s="44"/>
      <c r="C21" s="270"/>
      <c r="D21" s="267"/>
      <c r="E21" s="267"/>
      <c r="F21" s="364"/>
      <c r="G21" s="364"/>
      <c r="H21" s="365"/>
      <c r="I21" s="366"/>
      <c r="J21" s="367"/>
      <c r="K21" s="368"/>
      <c r="L21" s="284"/>
      <c r="M21" s="369"/>
      <c r="N21" s="286"/>
      <c r="O21" s="286"/>
      <c r="P21" s="370"/>
      <c r="Q21" s="371"/>
      <c r="R21" s="372"/>
      <c r="S21" s="373"/>
      <c r="T21" s="374"/>
      <c r="U21" s="375"/>
      <c r="V21" s="376"/>
      <c r="W21" s="216"/>
    </row>
    <row r="22" spans="2:23" s="10" customFormat="1" ht="16.5" customHeight="1">
      <c r="B22" s="44"/>
      <c r="C22" s="270">
        <v>11</v>
      </c>
      <c r="D22" s="267">
        <v>259395</v>
      </c>
      <c r="E22" s="267">
        <v>892</v>
      </c>
      <c r="F22" s="364" t="s">
        <v>77</v>
      </c>
      <c r="G22" s="364" t="s">
        <v>78</v>
      </c>
      <c r="H22" s="377">
        <v>66</v>
      </c>
      <c r="I22" s="366">
        <f aca="true" t="shared" si="0" ref="I22:I41">IF(H22=220,$G$14,IF(AND(H22&lt;=132,H22&gt;=66),$G$15,IF(AND(H22&lt;66,H22&gt;=33),$G$16,$G$17)))</f>
        <v>15.862</v>
      </c>
      <c r="J22" s="367">
        <v>41369.552083333336</v>
      </c>
      <c r="K22" s="368">
        <v>41369.55416666667</v>
      </c>
      <c r="L22" s="284">
        <f aca="true" t="shared" si="1" ref="L22:L41">IF(F22="","",(K22-J22)*24)</f>
        <v>0.04999999998835847</v>
      </c>
      <c r="M22" s="369">
        <f aca="true" t="shared" si="2" ref="M22:M41">IF(F22="","",ROUND((K22-J22)*24*60,0))</f>
        <v>3</v>
      </c>
      <c r="N22" s="286" t="s">
        <v>79</v>
      </c>
      <c r="O22" s="286" t="str">
        <f>IF(F22="","",IF(OR(N22="P",N22="RP"),"--","NO"))</f>
        <v>NO</v>
      </c>
      <c r="P22" s="370">
        <f aca="true" t="shared" si="3" ref="P22:P41">IF(H22=220,$H$14,IF(AND(H22&lt;=132,H22&gt;=66),$H$15,IF(AND(H22&lt;66,H22&gt;13.2),$H$16,$H$17)))</f>
        <v>50</v>
      </c>
      <c r="Q22" s="371" t="str">
        <f aca="true" t="shared" si="4" ref="Q22:Q41">IF(N22="P",I22*P22*ROUND(M22/60,2)*0.1,"--")</f>
        <v>--</v>
      </c>
      <c r="R22" s="372">
        <f aca="true" t="shared" si="5" ref="R22:R41">IF(AND(N22="F",O22="NO"),I22*P22,"--")</f>
        <v>793.1</v>
      </c>
      <c r="S22" s="373">
        <f aca="true" t="shared" si="6" ref="S22:S41">IF(N22="F",I22*P22*ROUND(M22/60,2),"--")</f>
        <v>39.655</v>
      </c>
      <c r="T22" s="374" t="str">
        <f aca="true" t="shared" si="7" ref="T22:T41">IF(N22="RF",I22*P22*ROUND(M22/60,2),"--")</f>
        <v>--</v>
      </c>
      <c r="U22" s="375" t="str">
        <f aca="true" t="shared" si="8" ref="U22:U41">IF(F22="","","SI")</f>
        <v>SI</v>
      </c>
      <c r="V22" s="378">
        <f aca="true" t="shared" si="9" ref="V22:V41">IF(F22="","",SUM(Q22:T22)*IF(U22="SI",1,2)*IF(H22="500/220",0,1))</f>
        <v>832.755</v>
      </c>
      <c r="W22" s="297"/>
    </row>
    <row r="23" spans="2:23" s="10" customFormat="1" ht="16.5" customHeight="1">
      <c r="B23" s="44"/>
      <c r="C23" s="270">
        <v>12</v>
      </c>
      <c r="D23" s="267">
        <v>259398</v>
      </c>
      <c r="E23" s="267">
        <v>894</v>
      </c>
      <c r="F23" s="364" t="s">
        <v>77</v>
      </c>
      <c r="G23" s="364" t="s">
        <v>80</v>
      </c>
      <c r="H23" s="365">
        <v>66</v>
      </c>
      <c r="I23" s="366">
        <f t="shared" si="0"/>
        <v>15.862</v>
      </c>
      <c r="J23" s="367">
        <v>41369.552083333336</v>
      </c>
      <c r="K23" s="368">
        <v>41369.55416666667</v>
      </c>
      <c r="L23" s="284">
        <f t="shared" si="1"/>
        <v>0.04999999998835847</v>
      </c>
      <c r="M23" s="369">
        <f t="shared" si="2"/>
        <v>3</v>
      </c>
      <c r="N23" s="286" t="s">
        <v>79</v>
      </c>
      <c r="O23" s="286" t="str">
        <f aca="true" t="shared" si="10" ref="O23:O41">IF(F23="","",IF(OR(N23="P",N23="RP"),"--","NO"))</f>
        <v>NO</v>
      </c>
      <c r="P23" s="370">
        <f t="shared" si="3"/>
        <v>50</v>
      </c>
      <c r="Q23" s="371" t="str">
        <f t="shared" si="4"/>
        <v>--</v>
      </c>
      <c r="R23" s="372">
        <f t="shared" si="5"/>
        <v>793.1</v>
      </c>
      <c r="S23" s="373">
        <f t="shared" si="6"/>
        <v>39.655</v>
      </c>
      <c r="T23" s="374" t="str">
        <f t="shared" si="7"/>
        <v>--</v>
      </c>
      <c r="U23" s="375" t="str">
        <f t="shared" si="8"/>
        <v>SI</v>
      </c>
      <c r="V23" s="378">
        <f t="shared" si="9"/>
        <v>832.755</v>
      </c>
      <c r="W23" s="297"/>
    </row>
    <row r="24" spans="2:23" s="10" customFormat="1" ht="16.5" customHeight="1">
      <c r="B24" s="44"/>
      <c r="C24" s="270">
        <v>13</v>
      </c>
      <c r="D24" s="267">
        <v>259399</v>
      </c>
      <c r="E24" s="267">
        <v>895</v>
      </c>
      <c r="F24" s="364" t="s">
        <v>77</v>
      </c>
      <c r="G24" s="364" t="s">
        <v>81</v>
      </c>
      <c r="H24" s="365">
        <v>66</v>
      </c>
      <c r="I24" s="366">
        <f t="shared" si="0"/>
        <v>15.862</v>
      </c>
      <c r="J24" s="367">
        <v>41369.552083333336</v>
      </c>
      <c r="K24" s="368">
        <v>41369.55416666667</v>
      </c>
      <c r="L24" s="284">
        <f t="shared" si="1"/>
        <v>0.04999999998835847</v>
      </c>
      <c r="M24" s="369">
        <f t="shared" si="2"/>
        <v>3</v>
      </c>
      <c r="N24" s="286" t="s">
        <v>79</v>
      </c>
      <c r="O24" s="286" t="str">
        <f t="shared" si="10"/>
        <v>NO</v>
      </c>
      <c r="P24" s="370">
        <f t="shared" si="3"/>
        <v>50</v>
      </c>
      <c r="Q24" s="371" t="str">
        <f t="shared" si="4"/>
        <v>--</v>
      </c>
      <c r="R24" s="372">
        <f t="shared" si="5"/>
        <v>793.1</v>
      </c>
      <c r="S24" s="373">
        <f t="shared" si="6"/>
        <v>39.655</v>
      </c>
      <c r="T24" s="374" t="str">
        <f t="shared" si="7"/>
        <v>--</v>
      </c>
      <c r="U24" s="375" t="str">
        <f t="shared" si="8"/>
        <v>SI</v>
      </c>
      <c r="V24" s="378">
        <f t="shared" si="9"/>
        <v>832.755</v>
      </c>
      <c r="W24" s="297"/>
    </row>
    <row r="25" spans="2:23" s="10" customFormat="1" ht="16.5" customHeight="1">
      <c r="B25" s="44"/>
      <c r="C25" s="270">
        <v>14</v>
      </c>
      <c r="D25" s="267">
        <v>259396</v>
      </c>
      <c r="E25" s="267">
        <v>893</v>
      </c>
      <c r="F25" s="364" t="s">
        <v>77</v>
      </c>
      <c r="G25" s="364" t="s">
        <v>82</v>
      </c>
      <c r="H25" s="365">
        <v>66</v>
      </c>
      <c r="I25" s="366">
        <f t="shared" si="0"/>
        <v>15.862</v>
      </c>
      <c r="J25" s="367">
        <v>41369.552083333336</v>
      </c>
      <c r="K25" s="368">
        <v>41369.55416666667</v>
      </c>
      <c r="L25" s="284">
        <f t="shared" si="1"/>
        <v>0.04999999998835847</v>
      </c>
      <c r="M25" s="369">
        <f t="shared" si="2"/>
        <v>3</v>
      </c>
      <c r="N25" s="286" t="s">
        <v>79</v>
      </c>
      <c r="O25" s="286" t="str">
        <f t="shared" si="10"/>
        <v>NO</v>
      </c>
      <c r="P25" s="370">
        <f t="shared" si="3"/>
        <v>50</v>
      </c>
      <c r="Q25" s="371" t="str">
        <f t="shared" si="4"/>
        <v>--</v>
      </c>
      <c r="R25" s="372">
        <f t="shared" si="5"/>
        <v>793.1</v>
      </c>
      <c r="S25" s="373">
        <f t="shared" si="6"/>
        <v>39.655</v>
      </c>
      <c r="T25" s="374" t="str">
        <f t="shared" si="7"/>
        <v>--</v>
      </c>
      <c r="U25" s="375" t="str">
        <f t="shared" si="8"/>
        <v>SI</v>
      </c>
      <c r="V25" s="378">
        <f t="shared" si="9"/>
        <v>832.755</v>
      </c>
      <c r="W25" s="297"/>
    </row>
    <row r="26" spans="2:23" s="10" customFormat="1" ht="16.5" customHeight="1">
      <c r="B26" s="44"/>
      <c r="C26" s="270">
        <v>15</v>
      </c>
      <c r="D26" s="267">
        <v>259397</v>
      </c>
      <c r="E26" s="267">
        <v>897</v>
      </c>
      <c r="F26" s="364" t="s">
        <v>77</v>
      </c>
      <c r="G26" s="364" t="s">
        <v>83</v>
      </c>
      <c r="H26" s="365">
        <v>33</v>
      </c>
      <c r="I26" s="366">
        <f t="shared" si="0"/>
        <v>11.899</v>
      </c>
      <c r="J26" s="367">
        <v>41369.552083333336</v>
      </c>
      <c r="K26" s="368">
        <v>41369.55416666667</v>
      </c>
      <c r="L26" s="284">
        <f t="shared" si="1"/>
        <v>0.04999999998835847</v>
      </c>
      <c r="M26" s="369">
        <f t="shared" si="2"/>
        <v>3</v>
      </c>
      <c r="N26" s="286" t="s">
        <v>79</v>
      </c>
      <c r="O26" s="286" t="str">
        <f t="shared" si="10"/>
        <v>NO</v>
      </c>
      <c r="P26" s="370">
        <f t="shared" si="3"/>
        <v>25</v>
      </c>
      <c r="Q26" s="371" t="str">
        <f t="shared" si="4"/>
        <v>--</v>
      </c>
      <c r="R26" s="372">
        <f t="shared" si="5"/>
        <v>297.47499999999997</v>
      </c>
      <c r="S26" s="373">
        <f t="shared" si="6"/>
        <v>14.87375</v>
      </c>
      <c r="T26" s="374" t="str">
        <f t="shared" si="7"/>
        <v>--</v>
      </c>
      <c r="U26" s="375" t="str">
        <f t="shared" si="8"/>
        <v>SI</v>
      </c>
      <c r="V26" s="378">
        <f t="shared" si="9"/>
        <v>312.34874999999994</v>
      </c>
      <c r="W26" s="297"/>
    </row>
    <row r="27" spans="2:23" s="10" customFormat="1" ht="16.5" customHeight="1">
      <c r="B27" s="44"/>
      <c r="C27" s="270">
        <v>16</v>
      </c>
      <c r="D27" s="267">
        <v>259556</v>
      </c>
      <c r="E27" s="267">
        <v>895</v>
      </c>
      <c r="F27" s="364" t="s">
        <v>77</v>
      </c>
      <c r="G27" s="364" t="s">
        <v>81</v>
      </c>
      <c r="H27" s="365">
        <v>66</v>
      </c>
      <c r="I27" s="366">
        <f t="shared" si="0"/>
        <v>15.862</v>
      </c>
      <c r="J27" s="367">
        <v>41373.381944444445</v>
      </c>
      <c r="K27" s="368">
        <v>41373.52361111111</v>
      </c>
      <c r="L27" s="284">
        <f t="shared" si="1"/>
        <v>3.3999999999068677</v>
      </c>
      <c r="M27" s="369">
        <f t="shared" si="2"/>
        <v>204</v>
      </c>
      <c r="N27" s="286" t="s">
        <v>63</v>
      </c>
      <c r="O27" s="286" t="str">
        <f t="shared" si="10"/>
        <v>--</v>
      </c>
      <c r="P27" s="370">
        <f t="shared" si="3"/>
        <v>50</v>
      </c>
      <c r="Q27" s="371">
        <f t="shared" si="4"/>
        <v>269.654</v>
      </c>
      <c r="R27" s="372" t="str">
        <f t="shared" si="5"/>
        <v>--</v>
      </c>
      <c r="S27" s="373" t="str">
        <f t="shared" si="6"/>
        <v>--</v>
      </c>
      <c r="T27" s="374" t="str">
        <f t="shared" si="7"/>
        <v>--</v>
      </c>
      <c r="U27" s="375" t="str">
        <f t="shared" si="8"/>
        <v>SI</v>
      </c>
      <c r="V27" s="378">
        <f t="shared" si="9"/>
        <v>269.654</v>
      </c>
      <c r="W27" s="297"/>
    </row>
    <row r="28" spans="2:23" s="10" customFormat="1" ht="16.5" customHeight="1">
      <c r="B28" s="44"/>
      <c r="C28" s="270">
        <v>17</v>
      </c>
      <c r="D28" s="267">
        <v>259557</v>
      </c>
      <c r="E28" s="267">
        <v>894</v>
      </c>
      <c r="F28" s="364" t="s">
        <v>77</v>
      </c>
      <c r="G28" s="364" t="s">
        <v>80</v>
      </c>
      <c r="H28" s="365">
        <v>66</v>
      </c>
      <c r="I28" s="366">
        <f t="shared" si="0"/>
        <v>15.862</v>
      </c>
      <c r="J28" s="367">
        <v>41375.32847222222</v>
      </c>
      <c r="K28" s="368">
        <v>41375.58125</v>
      </c>
      <c r="L28" s="284">
        <f t="shared" si="1"/>
        <v>6.066666666709352</v>
      </c>
      <c r="M28" s="369">
        <f t="shared" si="2"/>
        <v>364</v>
      </c>
      <c r="N28" s="286" t="s">
        <v>63</v>
      </c>
      <c r="O28" s="286" t="str">
        <f t="shared" si="10"/>
        <v>--</v>
      </c>
      <c r="P28" s="370">
        <f t="shared" si="3"/>
        <v>50</v>
      </c>
      <c r="Q28" s="371">
        <f t="shared" si="4"/>
        <v>481.41170000000005</v>
      </c>
      <c r="R28" s="372" t="str">
        <f t="shared" si="5"/>
        <v>--</v>
      </c>
      <c r="S28" s="373" t="str">
        <f t="shared" si="6"/>
        <v>--</v>
      </c>
      <c r="T28" s="374" t="str">
        <f t="shared" si="7"/>
        <v>--</v>
      </c>
      <c r="U28" s="375" t="str">
        <f t="shared" si="8"/>
        <v>SI</v>
      </c>
      <c r="V28" s="378">
        <f t="shared" si="9"/>
        <v>481.41170000000005</v>
      </c>
      <c r="W28" s="297"/>
    </row>
    <row r="29" spans="2:23" s="10" customFormat="1" ht="16.5" customHeight="1">
      <c r="B29" s="44"/>
      <c r="C29" s="270">
        <v>18</v>
      </c>
      <c r="D29" s="267">
        <v>259737</v>
      </c>
      <c r="E29" s="267">
        <v>943</v>
      </c>
      <c r="F29" s="364" t="s">
        <v>84</v>
      </c>
      <c r="G29" s="364" t="s">
        <v>85</v>
      </c>
      <c r="H29" s="365">
        <v>132</v>
      </c>
      <c r="I29" s="366">
        <f t="shared" si="0"/>
        <v>15.862</v>
      </c>
      <c r="J29" s="367">
        <v>41380.35555555556</v>
      </c>
      <c r="K29" s="368">
        <v>41380.618055555555</v>
      </c>
      <c r="L29" s="284">
        <f t="shared" si="1"/>
        <v>6.299999999930151</v>
      </c>
      <c r="M29" s="369">
        <f t="shared" si="2"/>
        <v>378</v>
      </c>
      <c r="N29" s="286" t="s">
        <v>63</v>
      </c>
      <c r="O29" s="286" t="str">
        <f t="shared" si="10"/>
        <v>--</v>
      </c>
      <c r="P29" s="370">
        <f t="shared" si="3"/>
        <v>50</v>
      </c>
      <c r="Q29" s="371">
        <f t="shared" si="4"/>
        <v>499.653</v>
      </c>
      <c r="R29" s="372" t="str">
        <f t="shared" si="5"/>
        <v>--</v>
      </c>
      <c r="S29" s="373" t="str">
        <f t="shared" si="6"/>
        <v>--</v>
      </c>
      <c r="T29" s="374" t="str">
        <f t="shared" si="7"/>
        <v>--</v>
      </c>
      <c r="U29" s="375" t="str">
        <f t="shared" si="8"/>
        <v>SI</v>
      </c>
      <c r="V29" s="378">
        <f t="shared" si="9"/>
        <v>499.653</v>
      </c>
      <c r="W29" s="297"/>
    </row>
    <row r="30" spans="2:23" s="10" customFormat="1" ht="16.5" customHeight="1">
      <c r="B30" s="44"/>
      <c r="C30" s="270">
        <v>19</v>
      </c>
      <c r="D30" s="267">
        <v>259739</v>
      </c>
      <c r="E30" s="267">
        <v>947</v>
      </c>
      <c r="F30" s="364" t="s">
        <v>86</v>
      </c>
      <c r="G30" s="364" t="s">
        <v>87</v>
      </c>
      <c r="H30" s="365">
        <v>132</v>
      </c>
      <c r="I30" s="366">
        <f t="shared" si="0"/>
        <v>15.862</v>
      </c>
      <c r="J30" s="367">
        <v>41383.361805555556</v>
      </c>
      <c r="K30" s="368">
        <v>41383.6375</v>
      </c>
      <c r="L30" s="284">
        <f t="shared" si="1"/>
        <v>6.616666666581295</v>
      </c>
      <c r="M30" s="369">
        <f t="shared" si="2"/>
        <v>397</v>
      </c>
      <c r="N30" s="286" t="s">
        <v>63</v>
      </c>
      <c r="O30" s="286" t="str">
        <f t="shared" si="10"/>
        <v>--</v>
      </c>
      <c r="P30" s="370">
        <f t="shared" si="3"/>
        <v>50</v>
      </c>
      <c r="Q30" s="371">
        <f t="shared" si="4"/>
        <v>525.0322</v>
      </c>
      <c r="R30" s="372" t="str">
        <f t="shared" si="5"/>
        <v>--</v>
      </c>
      <c r="S30" s="373" t="str">
        <f t="shared" si="6"/>
        <v>--</v>
      </c>
      <c r="T30" s="374" t="str">
        <f t="shared" si="7"/>
        <v>--</v>
      </c>
      <c r="U30" s="375" t="str">
        <f t="shared" si="8"/>
        <v>SI</v>
      </c>
      <c r="V30" s="378">
        <f t="shared" si="9"/>
        <v>525.0322</v>
      </c>
      <c r="W30" s="297"/>
    </row>
    <row r="31" spans="2:23" s="10" customFormat="1" ht="16.5" customHeight="1">
      <c r="B31" s="44"/>
      <c r="C31" s="270">
        <v>20</v>
      </c>
      <c r="D31" s="267">
        <v>259946</v>
      </c>
      <c r="E31" s="267">
        <v>914</v>
      </c>
      <c r="F31" s="364" t="s">
        <v>88</v>
      </c>
      <c r="G31" s="364" t="s">
        <v>89</v>
      </c>
      <c r="H31" s="365">
        <v>66</v>
      </c>
      <c r="I31" s="366">
        <f t="shared" si="0"/>
        <v>15.862</v>
      </c>
      <c r="J31" s="367">
        <v>41387.38333333333</v>
      </c>
      <c r="K31" s="368">
        <v>41387.75902777778</v>
      </c>
      <c r="L31" s="284">
        <f t="shared" si="1"/>
        <v>9.016666666720994</v>
      </c>
      <c r="M31" s="369">
        <f t="shared" si="2"/>
        <v>541</v>
      </c>
      <c r="N31" s="286" t="s">
        <v>63</v>
      </c>
      <c r="O31" s="286" t="str">
        <f t="shared" si="10"/>
        <v>--</v>
      </c>
      <c r="P31" s="370">
        <f t="shared" si="3"/>
        <v>50</v>
      </c>
      <c r="Q31" s="371">
        <f t="shared" si="4"/>
        <v>715.3762</v>
      </c>
      <c r="R31" s="372" t="str">
        <f t="shared" si="5"/>
        <v>--</v>
      </c>
      <c r="S31" s="373" t="str">
        <f t="shared" si="6"/>
        <v>--</v>
      </c>
      <c r="T31" s="374" t="str">
        <f t="shared" si="7"/>
        <v>--</v>
      </c>
      <c r="U31" s="375" t="str">
        <f t="shared" si="8"/>
        <v>SI</v>
      </c>
      <c r="V31" s="378">
        <f t="shared" si="9"/>
        <v>715.3762</v>
      </c>
      <c r="W31" s="297"/>
    </row>
    <row r="32" spans="2:23" s="10" customFormat="1" ht="16.5" customHeight="1">
      <c r="B32" s="44"/>
      <c r="C32" s="270">
        <v>21</v>
      </c>
      <c r="D32" s="267">
        <v>259948</v>
      </c>
      <c r="E32" s="267">
        <v>877</v>
      </c>
      <c r="F32" s="364" t="s">
        <v>74</v>
      </c>
      <c r="G32" s="364" t="s">
        <v>90</v>
      </c>
      <c r="H32" s="365">
        <v>66</v>
      </c>
      <c r="I32" s="366">
        <f t="shared" si="0"/>
        <v>15.862</v>
      </c>
      <c r="J32" s="367">
        <v>41389.42013888889</v>
      </c>
      <c r="K32" s="368">
        <v>41389.59166666667</v>
      </c>
      <c r="L32" s="284">
        <f t="shared" si="1"/>
        <v>4.116666666639503</v>
      </c>
      <c r="M32" s="369">
        <f t="shared" si="2"/>
        <v>247</v>
      </c>
      <c r="N32" s="286" t="s">
        <v>63</v>
      </c>
      <c r="O32" s="286" t="str">
        <f t="shared" si="10"/>
        <v>--</v>
      </c>
      <c r="P32" s="370">
        <f t="shared" si="3"/>
        <v>50</v>
      </c>
      <c r="Q32" s="371">
        <f t="shared" si="4"/>
        <v>326.7572</v>
      </c>
      <c r="R32" s="372" t="str">
        <f t="shared" si="5"/>
        <v>--</v>
      </c>
      <c r="S32" s="373" t="str">
        <f t="shared" si="6"/>
        <v>--</v>
      </c>
      <c r="T32" s="374" t="str">
        <f t="shared" si="7"/>
        <v>--</v>
      </c>
      <c r="U32" s="375" t="str">
        <f t="shared" si="8"/>
        <v>SI</v>
      </c>
      <c r="V32" s="378">
        <f t="shared" si="9"/>
        <v>326.7572</v>
      </c>
      <c r="W32" s="297"/>
    </row>
    <row r="33" spans="2:23" s="10" customFormat="1" ht="16.5" customHeight="1">
      <c r="B33" s="44"/>
      <c r="C33" s="270">
        <v>22</v>
      </c>
      <c r="D33" s="267">
        <v>259950</v>
      </c>
      <c r="E33" s="267">
        <v>879</v>
      </c>
      <c r="F33" s="364" t="s">
        <v>74</v>
      </c>
      <c r="G33" s="364" t="s">
        <v>91</v>
      </c>
      <c r="H33" s="365">
        <v>13.2</v>
      </c>
      <c r="I33" s="366">
        <f t="shared" si="0"/>
        <v>11.899</v>
      </c>
      <c r="J33" s="367">
        <v>41390.39236111111</v>
      </c>
      <c r="K33" s="368">
        <v>41390.66805555556</v>
      </c>
      <c r="L33" s="284">
        <f t="shared" si="1"/>
        <v>6.616666666755918</v>
      </c>
      <c r="M33" s="369">
        <f t="shared" si="2"/>
        <v>397</v>
      </c>
      <c r="N33" s="286" t="s">
        <v>63</v>
      </c>
      <c r="O33" s="286" t="str">
        <f t="shared" si="10"/>
        <v>--</v>
      </c>
      <c r="P33" s="370">
        <f t="shared" si="3"/>
        <v>20</v>
      </c>
      <c r="Q33" s="371">
        <f t="shared" si="4"/>
        <v>157.54276000000002</v>
      </c>
      <c r="R33" s="372" t="str">
        <f t="shared" si="5"/>
        <v>--</v>
      </c>
      <c r="S33" s="373" t="str">
        <f t="shared" si="6"/>
        <v>--</v>
      </c>
      <c r="T33" s="374" t="str">
        <f t="shared" si="7"/>
        <v>--</v>
      </c>
      <c r="U33" s="375" t="str">
        <f t="shared" si="8"/>
        <v>SI</v>
      </c>
      <c r="V33" s="378">
        <f t="shared" si="9"/>
        <v>157.54276000000002</v>
      </c>
      <c r="W33" s="297"/>
    </row>
    <row r="34" spans="2:23" s="10" customFormat="1" ht="16.5" customHeight="1">
      <c r="B34" s="44"/>
      <c r="C34" s="270">
        <v>23</v>
      </c>
      <c r="D34" s="267">
        <v>259949</v>
      </c>
      <c r="E34" s="267">
        <v>875</v>
      </c>
      <c r="F34" s="364" t="s">
        <v>74</v>
      </c>
      <c r="G34" s="364" t="s">
        <v>92</v>
      </c>
      <c r="H34" s="365">
        <v>66</v>
      </c>
      <c r="I34" s="366">
        <f t="shared" si="0"/>
        <v>15.862</v>
      </c>
      <c r="J34" s="367">
        <v>41390.39236111111</v>
      </c>
      <c r="K34" s="368">
        <v>41390.669444444444</v>
      </c>
      <c r="L34" s="284">
        <f t="shared" si="1"/>
        <v>6.650000000023283</v>
      </c>
      <c r="M34" s="369">
        <f t="shared" si="2"/>
        <v>399</v>
      </c>
      <c r="N34" s="286" t="s">
        <v>63</v>
      </c>
      <c r="O34" s="286" t="str">
        <f t="shared" si="10"/>
        <v>--</v>
      </c>
      <c r="P34" s="370">
        <f t="shared" si="3"/>
        <v>50</v>
      </c>
      <c r="Q34" s="371">
        <f t="shared" si="4"/>
        <v>527.4115</v>
      </c>
      <c r="R34" s="372" t="str">
        <f t="shared" si="5"/>
        <v>--</v>
      </c>
      <c r="S34" s="373" t="str">
        <f t="shared" si="6"/>
        <v>--</v>
      </c>
      <c r="T34" s="374" t="str">
        <f t="shared" si="7"/>
        <v>--</v>
      </c>
      <c r="U34" s="375" t="str">
        <f t="shared" si="8"/>
        <v>SI</v>
      </c>
      <c r="V34" s="378">
        <f t="shared" si="9"/>
        <v>527.4115</v>
      </c>
      <c r="W34" s="297"/>
    </row>
    <row r="35" spans="2:23" s="10" customFormat="1" ht="16.5" customHeight="1">
      <c r="B35" s="44"/>
      <c r="C35" s="270">
        <v>24</v>
      </c>
      <c r="D35" s="267">
        <v>259951</v>
      </c>
      <c r="E35" s="267">
        <v>941</v>
      </c>
      <c r="F35" s="364" t="s">
        <v>68</v>
      </c>
      <c r="G35" s="364" t="s">
        <v>93</v>
      </c>
      <c r="H35" s="365">
        <v>13.2</v>
      </c>
      <c r="I35" s="366">
        <f t="shared" si="0"/>
        <v>11.899</v>
      </c>
      <c r="J35" s="367">
        <v>41392.31597222222</v>
      </c>
      <c r="K35" s="368">
        <v>41392.43263888889</v>
      </c>
      <c r="L35" s="284">
        <f t="shared" si="1"/>
        <v>2.800000000046566</v>
      </c>
      <c r="M35" s="369">
        <f t="shared" si="2"/>
        <v>168</v>
      </c>
      <c r="N35" s="286" t="s">
        <v>63</v>
      </c>
      <c r="O35" s="286" t="str">
        <f t="shared" si="10"/>
        <v>--</v>
      </c>
      <c r="P35" s="370">
        <f t="shared" si="3"/>
        <v>20</v>
      </c>
      <c r="Q35" s="371">
        <f t="shared" si="4"/>
        <v>66.6344</v>
      </c>
      <c r="R35" s="372" t="str">
        <f t="shared" si="5"/>
        <v>--</v>
      </c>
      <c r="S35" s="373" t="str">
        <f t="shared" si="6"/>
        <v>--</v>
      </c>
      <c r="T35" s="374" t="str">
        <f t="shared" si="7"/>
        <v>--</v>
      </c>
      <c r="U35" s="375" t="str">
        <f t="shared" si="8"/>
        <v>SI</v>
      </c>
      <c r="V35" s="378">
        <f t="shared" si="9"/>
        <v>66.6344</v>
      </c>
      <c r="W35" s="297"/>
    </row>
    <row r="36" spans="2:23" s="10" customFormat="1" ht="16.5" customHeight="1">
      <c r="B36" s="44"/>
      <c r="C36" s="270">
        <v>25</v>
      </c>
      <c r="D36" s="267">
        <v>259952</v>
      </c>
      <c r="E36" s="267">
        <v>938</v>
      </c>
      <c r="F36" s="364" t="s">
        <v>68</v>
      </c>
      <c r="G36" s="364" t="s">
        <v>94</v>
      </c>
      <c r="H36" s="365">
        <v>13.2</v>
      </c>
      <c r="I36" s="366">
        <f t="shared" si="0"/>
        <v>11.899</v>
      </c>
      <c r="J36" s="367">
        <v>41392.44236111111</v>
      </c>
      <c r="K36" s="368">
        <v>41392.509722222225</v>
      </c>
      <c r="L36" s="284">
        <f t="shared" si="1"/>
        <v>1.6166666666977108</v>
      </c>
      <c r="M36" s="369">
        <f t="shared" si="2"/>
        <v>97</v>
      </c>
      <c r="N36" s="286" t="s">
        <v>63</v>
      </c>
      <c r="O36" s="286" t="str">
        <f t="shared" si="10"/>
        <v>--</v>
      </c>
      <c r="P36" s="370">
        <f t="shared" si="3"/>
        <v>20</v>
      </c>
      <c r="Q36" s="371">
        <f t="shared" si="4"/>
        <v>38.552760000000006</v>
      </c>
      <c r="R36" s="372" t="str">
        <f t="shared" si="5"/>
        <v>--</v>
      </c>
      <c r="S36" s="373" t="str">
        <f t="shared" si="6"/>
        <v>--</v>
      </c>
      <c r="T36" s="374" t="str">
        <f t="shared" si="7"/>
        <v>--</v>
      </c>
      <c r="U36" s="375" t="str">
        <f t="shared" si="8"/>
        <v>SI</v>
      </c>
      <c r="V36" s="378">
        <f t="shared" si="9"/>
        <v>38.552760000000006</v>
      </c>
      <c r="W36" s="297"/>
    </row>
    <row r="37" spans="2:23" s="10" customFormat="1" ht="16.5" customHeight="1">
      <c r="B37" s="44"/>
      <c r="C37" s="270">
        <v>26</v>
      </c>
      <c r="D37" s="267">
        <v>259953</v>
      </c>
      <c r="E37" s="267">
        <v>937</v>
      </c>
      <c r="F37" s="364" t="s">
        <v>68</v>
      </c>
      <c r="G37" s="364" t="s">
        <v>95</v>
      </c>
      <c r="H37" s="365">
        <v>13.2</v>
      </c>
      <c r="I37" s="366">
        <f t="shared" si="0"/>
        <v>11.899</v>
      </c>
      <c r="J37" s="367">
        <v>41392.53888888889</v>
      </c>
      <c r="K37" s="368">
        <v>41392.61875</v>
      </c>
      <c r="L37" s="284">
        <f t="shared" si="1"/>
        <v>1.9166666666278616</v>
      </c>
      <c r="M37" s="369">
        <f t="shared" si="2"/>
        <v>115</v>
      </c>
      <c r="N37" s="286" t="s">
        <v>63</v>
      </c>
      <c r="O37" s="286" t="str">
        <f t="shared" si="10"/>
        <v>--</v>
      </c>
      <c r="P37" s="370">
        <f t="shared" si="3"/>
        <v>20</v>
      </c>
      <c r="Q37" s="371">
        <f t="shared" si="4"/>
        <v>45.69216</v>
      </c>
      <c r="R37" s="372" t="str">
        <f t="shared" si="5"/>
        <v>--</v>
      </c>
      <c r="S37" s="373" t="str">
        <f t="shared" si="6"/>
        <v>--</v>
      </c>
      <c r="T37" s="374" t="str">
        <f t="shared" si="7"/>
        <v>--</v>
      </c>
      <c r="U37" s="375" t="str">
        <f t="shared" si="8"/>
        <v>SI</v>
      </c>
      <c r="V37" s="378">
        <f t="shared" si="9"/>
        <v>45.69216</v>
      </c>
      <c r="W37" s="297"/>
    </row>
    <row r="38" spans="2:23" s="10" customFormat="1" ht="16.5" customHeight="1">
      <c r="B38" s="44"/>
      <c r="C38" s="270">
        <v>27</v>
      </c>
      <c r="D38" s="267">
        <v>259954</v>
      </c>
      <c r="E38" s="267">
        <v>942</v>
      </c>
      <c r="F38" s="364" t="s">
        <v>68</v>
      </c>
      <c r="G38" s="364" t="s">
        <v>96</v>
      </c>
      <c r="H38" s="365">
        <v>13.2</v>
      </c>
      <c r="I38" s="366">
        <f t="shared" si="0"/>
        <v>11.899</v>
      </c>
      <c r="J38" s="367">
        <v>41392.614583333336</v>
      </c>
      <c r="K38" s="368">
        <v>41392.74652777778</v>
      </c>
      <c r="L38" s="284">
        <f t="shared" si="1"/>
        <v>3.166666666686069</v>
      </c>
      <c r="M38" s="369">
        <f t="shared" si="2"/>
        <v>190</v>
      </c>
      <c r="N38" s="286" t="s">
        <v>63</v>
      </c>
      <c r="O38" s="286" t="str">
        <f t="shared" si="10"/>
        <v>--</v>
      </c>
      <c r="P38" s="370">
        <f t="shared" si="3"/>
        <v>20</v>
      </c>
      <c r="Q38" s="371">
        <f t="shared" si="4"/>
        <v>75.43965999999999</v>
      </c>
      <c r="R38" s="372" t="str">
        <f t="shared" si="5"/>
        <v>--</v>
      </c>
      <c r="S38" s="373" t="str">
        <f t="shared" si="6"/>
        <v>--</v>
      </c>
      <c r="T38" s="374" t="str">
        <f t="shared" si="7"/>
        <v>--</v>
      </c>
      <c r="U38" s="375" t="str">
        <f t="shared" si="8"/>
        <v>SI</v>
      </c>
      <c r="V38" s="378">
        <f t="shared" si="9"/>
        <v>75.43965999999999</v>
      </c>
      <c r="W38" s="297"/>
    </row>
    <row r="39" spans="2:23" s="10" customFormat="1" ht="16.5" customHeight="1">
      <c r="B39" s="44"/>
      <c r="C39" s="270">
        <v>28</v>
      </c>
      <c r="D39" s="267">
        <v>260122</v>
      </c>
      <c r="E39" s="267">
        <v>878</v>
      </c>
      <c r="F39" s="364" t="s">
        <v>74</v>
      </c>
      <c r="G39" s="364" t="s">
        <v>97</v>
      </c>
      <c r="H39" s="365">
        <v>13.2</v>
      </c>
      <c r="I39" s="366">
        <f t="shared" si="0"/>
        <v>11.899</v>
      </c>
      <c r="J39" s="367">
        <v>41393.40902777778</v>
      </c>
      <c r="K39" s="368">
        <v>41393.691666666666</v>
      </c>
      <c r="L39" s="284">
        <f t="shared" si="1"/>
        <v>6.783333333267365</v>
      </c>
      <c r="M39" s="369">
        <f t="shared" si="2"/>
        <v>407</v>
      </c>
      <c r="N39" s="286" t="s">
        <v>63</v>
      </c>
      <c r="O39" s="286" t="str">
        <f t="shared" si="10"/>
        <v>--</v>
      </c>
      <c r="P39" s="370">
        <f t="shared" si="3"/>
        <v>20</v>
      </c>
      <c r="Q39" s="371">
        <f t="shared" si="4"/>
        <v>161.35044000000002</v>
      </c>
      <c r="R39" s="372" t="str">
        <f t="shared" si="5"/>
        <v>--</v>
      </c>
      <c r="S39" s="373" t="str">
        <f t="shared" si="6"/>
        <v>--</v>
      </c>
      <c r="T39" s="374" t="str">
        <f t="shared" si="7"/>
        <v>--</v>
      </c>
      <c r="U39" s="375" t="str">
        <f t="shared" si="8"/>
        <v>SI</v>
      </c>
      <c r="V39" s="378">
        <f t="shared" si="9"/>
        <v>161.35044000000002</v>
      </c>
      <c r="W39" s="297"/>
    </row>
    <row r="40" spans="2:23" s="10" customFormat="1" ht="16.5" customHeight="1">
      <c r="B40" s="44"/>
      <c r="C40" s="270">
        <v>29</v>
      </c>
      <c r="D40" s="267">
        <v>260125</v>
      </c>
      <c r="E40" s="267">
        <v>878</v>
      </c>
      <c r="F40" s="364" t="s">
        <v>74</v>
      </c>
      <c r="G40" s="364" t="s">
        <v>97</v>
      </c>
      <c r="H40" s="365">
        <v>13.2</v>
      </c>
      <c r="I40" s="366">
        <f t="shared" si="0"/>
        <v>11.899</v>
      </c>
      <c r="J40" s="367">
        <v>41394.40069444444</v>
      </c>
      <c r="K40" s="368">
        <v>41394.69930555556</v>
      </c>
      <c r="L40" s="284">
        <f t="shared" si="1"/>
        <v>7.1666666668024845</v>
      </c>
      <c r="M40" s="369">
        <f t="shared" si="2"/>
        <v>430</v>
      </c>
      <c r="N40" s="286" t="s">
        <v>63</v>
      </c>
      <c r="O40" s="286" t="str">
        <f t="shared" si="10"/>
        <v>--</v>
      </c>
      <c r="P40" s="370">
        <f t="shared" si="3"/>
        <v>20</v>
      </c>
      <c r="Q40" s="371">
        <f t="shared" si="4"/>
        <v>170.63166</v>
      </c>
      <c r="R40" s="372" t="str">
        <f t="shared" si="5"/>
        <v>--</v>
      </c>
      <c r="S40" s="373" t="str">
        <f t="shared" si="6"/>
        <v>--</v>
      </c>
      <c r="T40" s="374" t="str">
        <f t="shared" si="7"/>
        <v>--</v>
      </c>
      <c r="U40" s="375" t="str">
        <f t="shared" si="8"/>
        <v>SI</v>
      </c>
      <c r="V40" s="378">
        <f t="shared" si="9"/>
        <v>170.63166</v>
      </c>
      <c r="W40" s="297"/>
    </row>
    <row r="41" spans="2:23" s="10" customFormat="1" ht="16.5" customHeight="1">
      <c r="B41" s="44"/>
      <c r="C41" s="270"/>
      <c r="D41" s="267"/>
      <c r="E41" s="267"/>
      <c r="F41" s="364"/>
      <c r="G41" s="364"/>
      <c r="H41" s="365"/>
      <c r="I41" s="366">
        <f t="shared" si="0"/>
        <v>11.899</v>
      </c>
      <c r="J41" s="367"/>
      <c r="K41" s="368"/>
      <c r="L41" s="284">
        <f t="shared" si="1"/>
      </c>
      <c r="M41" s="369">
        <f t="shared" si="2"/>
      </c>
      <c r="N41" s="286"/>
      <c r="O41" s="286">
        <f t="shared" si="10"/>
      </c>
      <c r="P41" s="370">
        <f t="shared" si="3"/>
        <v>20</v>
      </c>
      <c r="Q41" s="371" t="str">
        <f t="shared" si="4"/>
        <v>--</v>
      </c>
      <c r="R41" s="372" t="str">
        <f t="shared" si="5"/>
        <v>--</v>
      </c>
      <c r="S41" s="373" t="str">
        <f t="shared" si="6"/>
        <v>--</v>
      </c>
      <c r="T41" s="374" t="str">
        <f t="shared" si="7"/>
        <v>--</v>
      </c>
      <c r="U41" s="375">
        <f t="shared" si="8"/>
      </c>
      <c r="V41" s="378">
        <f t="shared" si="9"/>
      </c>
      <c r="W41" s="297"/>
    </row>
    <row r="42" spans="2:23" s="10" customFormat="1" ht="16.5" customHeight="1" thickBot="1">
      <c r="B42" s="44"/>
      <c r="C42" s="298"/>
      <c r="D42" s="298"/>
      <c r="E42" s="298"/>
      <c r="F42" s="298"/>
      <c r="G42" s="298"/>
      <c r="H42" s="298"/>
      <c r="I42" s="379"/>
      <c r="J42" s="298"/>
      <c r="K42" s="298"/>
      <c r="L42" s="298"/>
      <c r="M42" s="298"/>
      <c r="N42" s="298"/>
      <c r="O42" s="298"/>
      <c r="P42" s="380"/>
      <c r="Q42" s="381"/>
      <c r="R42" s="382"/>
      <c r="S42" s="383"/>
      <c r="T42" s="384"/>
      <c r="U42" s="298"/>
      <c r="V42" s="385"/>
      <c r="W42" s="297"/>
    </row>
    <row r="43" spans="2:23" s="10" customFormat="1" ht="16.5" customHeight="1" thickBot="1" thickTop="1">
      <c r="B43" s="44"/>
      <c r="C43" s="758" t="s">
        <v>138</v>
      </c>
      <c r="D43" s="757" t="s">
        <v>139</v>
      </c>
      <c r="E43" s="185"/>
      <c r="F43" s="171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386">
        <f>SUM(Q20:Q42)</f>
        <v>4061.1396400000003</v>
      </c>
      <c r="R43" s="387">
        <f>SUM(R20:R42)</f>
        <v>3469.875</v>
      </c>
      <c r="S43" s="387">
        <f>SUM(S20:S42)</f>
        <v>173.49375</v>
      </c>
      <c r="T43" s="388">
        <f>SUM(T20:T42)</f>
        <v>0</v>
      </c>
      <c r="U43" s="389"/>
      <c r="V43" s="390">
        <f>ROUND(SUM(V20:V42),2)</f>
        <v>7704.51</v>
      </c>
      <c r="W43" s="297"/>
    </row>
    <row r="44" spans="2:23" s="183" customFormat="1" ht="9.75" thickTop="1">
      <c r="B44" s="184"/>
      <c r="C44" s="185"/>
      <c r="D44" s="185"/>
      <c r="E44" s="185"/>
      <c r="F44" s="186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21"/>
      <c r="V44" s="391"/>
      <c r="W44" s="323"/>
    </row>
    <row r="45" spans="2:23" s="10" customFormat="1" ht="16.5" customHeight="1" thickBot="1">
      <c r="B45" s="196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6"/>
    </row>
    <row r="46" spans="2:23" ht="16.5" customHeight="1" thickTop="1">
      <c r="B46" s="392"/>
      <c r="C46" s="392"/>
      <c r="D46" s="392"/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2"/>
      <c r="W46" s="392"/>
    </row>
    <row r="47" spans="3:6" ht="16.5" customHeight="1">
      <c r="C47" s="392"/>
      <c r="D47" s="392"/>
      <c r="E47" s="392"/>
      <c r="F47" s="392"/>
    </row>
    <row r="48" ht="16.5" customHeight="1"/>
    <row r="49" ht="16.5" customHeight="1"/>
    <row r="50" ht="16.5" customHeight="1"/>
    <row r="51" ht="16.5" customHeight="1"/>
    <row r="52" ht="16.5" customHeight="1"/>
  </sheetData>
  <sheetProtection/>
  <printOptions/>
  <pageMargins left="0.22" right="0.1968503937007874" top="0.7874015748031497" bottom="0.63" header="0.5118110236220472" footer="0.31"/>
  <pageSetup fitToHeight="1" fitToWidth="1" horizontalDpi="300" verticalDpi="300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08"/>
  <sheetViews>
    <sheetView zoomScale="75" zoomScaleNormal="75" zoomScalePageLayoutView="0" workbookViewId="0" topLeftCell="A16">
      <selection activeCell="E17" sqref="E17"/>
    </sheetView>
  </sheetViews>
  <sheetFormatPr defaultColWidth="13.421875" defaultRowHeight="12.75" outlineLevelCol="1"/>
  <cols>
    <col min="1" max="1" width="20.7109375" style="588" customWidth="1"/>
    <col min="2" max="2" width="15.7109375" style="588" customWidth="1"/>
    <col min="3" max="3" width="4.7109375" style="588" customWidth="1"/>
    <col min="4" max="4" width="41.7109375" style="588" customWidth="1"/>
    <col min="5" max="5" width="11.00390625" style="588" customWidth="1"/>
    <col min="6" max="6" width="16.421875" style="588" customWidth="1"/>
    <col min="7" max="7" width="16.421875" style="588" hidden="1" customWidth="1"/>
    <col min="8" max="8" width="16.421875" style="588" customWidth="1"/>
    <col min="9" max="9" width="17.7109375" style="588" customWidth="1"/>
    <col min="10" max="10" width="8.7109375" style="588" customWidth="1"/>
    <col min="11" max="11" width="11.140625" style="588" customWidth="1"/>
    <col min="12" max="12" width="8.140625" style="588" customWidth="1"/>
    <col min="13" max="13" width="7.00390625" style="588" customWidth="1"/>
    <col min="14" max="15" width="13.421875" style="588" hidden="1" customWidth="1" outlineLevel="1"/>
    <col min="16" max="16" width="12.421875" style="588" hidden="1" customWidth="1" outlineLevel="1"/>
    <col min="17" max="17" width="13.00390625" style="588" hidden="1" customWidth="1" outlineLevel="1"/>
    <col min="18" max="18" width="14.28125" style="588" hidden="1" customWidth="1" outlineLevel="1"/>
    <col min="19" max="19" width="13.421875" style="588" hidden="1" customWidth="1" outlineLevel="1"/>
    <col min="20" max="20" width="13.8515625" style="588" hidden="1" customWidth="1" outlineLevel="1"/>
    <col min="21" max="21" width="15.7109375" style="588" hidden="1" customWidth="1" outlineLevel="1"/>
    <col min="22" max="23" width="13.421875" style="588" hidden="1" customWidth="1" outlineLevel="1"/>
    <col min="24" max="24" width="17.57421875" style="588" customWidth="1" collapsed="1"/>
    <col min="25" max="16384" width="13.421875" style="588" customWidth="1"/>
  </cols>
  <sheetData>
    <row r="1" s="567" customFormat="1" ht="32.25" customHeight="1"/>
    <row r="2" spans="2:21" s="567" customFormat="1" ht="26.25">
      <c r="B2" s="568" t="str">
        <f>'TOT-0413'!B2</f>
        <v>ANEXO V al Memorándum  D.T.E.E.  N° 376 / 2014</v>
      </c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</row>
    <row r="3" s="570" customFormat="1" ht="12.75"/>
    <row r="4" spans="1:2" s="572" customFormat="1" ht="11.25">
      <c r="A4" s="571" t="s">
        <v>3</v>
      </c>
      <c r="B4" s="571"/>
    </row>
    <row r="5" spans="1:2" s="572" customFormat="1" ht="11.25">
      <c r="A5" s="571" t="s">
        <v>4</v>
      </c>
      <c r="B5" s="571"/>
    </row>
    <row r="6" s="570" customFormat="1" ht="13.5" thickBot="1"/>
    <row r="7" spans="1:26" s="570" customFormat="1" ht="13.5" thickTop="1">
      <c r="A7" s="573"/>
      <c r="B7" s="574"/>
      <c r="C7" s="575"/>
      <c r="D7" s="575"/>
      <c r="E7" s="575"/>
      <c r="F7" s="575"/>
      <c r="G7" s="575"/>
      <c r="H7" s="575"/>
      <c r="I7" s="575"/>
      <c r="J7" s="575"/>
      <c r="K7" s="575"/>
      <c r="L7" s="575"/>
      <c r="M7" s="575"/>
      <c r="N7" s="575"/>
      <c r="O7" s="575"/>
      <c r="P7" s="575"/>
      <c r="Q7" s="575"/>
      <c r="R7" s="575"/>
      <c r="S7" s="575"/>
      <c r="T7" s="575"/>
      <c r="U7" s="575"/>
      <c r="V7" s="575"/>
      <c r="W7" s="575"/>
      <c r="X7" s="575"/>
      <c r="Y7" s="575"/>
      <c r="Z7" s="576"/>
    </row>
    <row r="8" spans="1:26" s="580" customFormat="1" ht="20.25">
      <c r="A8" s="577"/>
      <c r="B8" s="578"/>
      <c r="C8" s="577"/>
      <c r="D8" s="579" t="s">
        <v>14</v>
      </c>
      <c r="G8" s="577"/>
      <c r="H8" s="577"/>
      <c r="I8" s="577"/>
      <c r="J8" s="577"/>
      <c r="K8" s="577"/>
      <c r="L8" s="577"/>
      <c r="M8" s="577"/>
      <c r="N8" s="577"/>
      <c r="O8" s="577"/>
      <c r="P8" s="577"/>
      <c r="Q8" s="577"/>
      <c r="R8" s="577"/>
      <c r="S8" s="577"/>
      <c r="T8" s="577"/>
      <c r="U8" s="577"/>
      <c r="V8" s="577"/>
      <c r="W8" s="577"/>
      <c r="X8" s="577"/>
      <c r="Y8" s="577"/>
      <c r="Z8" s="581"/>
    </row>
    <row r="9" spans="1:26" ht="15">
      <c r="A9" s="582"/>
      <c r="B9" s="583"/>
      <c r="C9" s="584"/>
      <c r="D9" s="585"/>
      <c r="E9" s="584"/>
      <c r="F9" s="586"/>
      <c r="G9" s="584"/>
      <c r="H9" s="584"/>
      <c r="I9" s="584"/>
      <c r="J9" s="584"/>
      <c r="K9" s="584"/>
      <c r="L9" s="584"/>
      <c r="M9" s="584"/>
      <c r="N9" s="584"/>
      <c r="O9" s="584"/>
      <c r="P9" s="584"/>
      <c r="Q9" s="584"/>
      <c r="R9" s="584"/>
      <c r="S9" s="584"/>
      <c r="T9" s="584"/>
      <c r="U9" s="584"/>
      <c r="V9" s="582"/>
      <c r="W9" s="582"/>
      <c r="X9" s="582"/>
      <c r="Y9" s="582"/>
      <c r="Z9" s="587"/>
    </row>
    <row r="10" spans="1:26" s="580" customFormat="1" ht="20.25">
      <c r="A10" s="577"/>
      <c r="B10" s="589"/>
      <c r="C10" s="588"/>
      <c r="D10" s="590" t="s">
        <v>142</v>
      </c>
      <c r="E10" s="591"/>
      <c r="F10" s="591"/>
      <c r="G10" s="591"/>
      <c r="H10" s="592"/>
      <c r="I10" s="591"/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/>
      <c r="W10" s="594"/>
      <c r="X10" s="594"/>
      <c r="Y10" s="577"/>
      <c r="Z10" s="581"/>
    </row>
    <row r="11" spans="1:26" s="570" customFormat="1" ht="12.75">
      <c r="A11" s="573"/>
      <c r="B11" s="595"/>
      <c r="C11" s="573"/>
      <c r="D11" s="596"/>
      <c r="E11" s="597"/>
      <c r="F11" s="597"/>
      <c r="G11" s="597"/>
      <c r="H11" s="598"/>
      <c r="I11" s="597"/>
      <c r="J11" s="597"/>
      <c r="K11" s="597"/>
      <c r="L11" s="597"/>
      <c r="M11" s="597"/>
      <c r="N11" s="597"/>
      <c r="O11" s="597"/>
      <c r="P11" s="597"/>
      <c r="Q11" s="597"/>
      <c r="R11" s="597"/>
      <c r="S11" s="597"/>
      <c r="T11" s="597"/>
      <c r="U11" s="597"/>
      <c r="V11" s="597"/>
      <c r="W11" s="597"/>
      <c r="X11" s="599"/>
      <c r="Y11" s="573"/>
      <c r="Z11" s="600"/>
    </row>
    <row r="12" spans="1:26" s="602" customFormat="1" ht="19.5">
      <c r="A12" s="601"/>
      <c r="B12" s="848" t="str">
        <f>'TOT-0413'!B14</f>
        <v>Desde el 01 al 30 de abril de 2013</v>
      </c>
      <c r="C12" s="849"/>
      <c r="D12" s="849"/>
      <c r="E12" s="849"/>
      <c r="F12" s="849"/>
      <c r="G12" s="849"/>
      <c r="H12" s="849"/>
      <c r="I12" s="849"/>
      <c r="J12" s="849"/>
      <c r="K12" s="849"/>
      <c r="L12" s="849"/>
      <c r="M12" s="849"/>
      <c r="N12" s="849"/>
      <c r="O12" s="849"/>
      <c r="P12" s="849"/>
      <c r="Q12" s="849"/>
      <c r="R12" s="849"/>
      <c r="S12" s="849"/>
      <c r="T12" s="849"/>
      <c r="U12" s="849"/>
      <c r="V12" s="849"/>
      <c r="W12" s="849"/>
      <c r="X12" s="849"/>
      <c r="Y12" s="849"/>
      <c r="Z12" s="850"/>
    </row>
    <row r="13" spans="1:26" ht="15">
      <c r="A13" s="582"/>
      <c r="B13" s="583"/>
      <c r="C13" s="584"/>
      <c r="D13" s="603"/>
      <c r="E13" s="603"/>
      <c r="F13" s="603"/>
      <c r="G13" s="603"/>
      <c r="H13" s="604"/>
      <c r="I13" s="584"/>
      <c r="J13" s="603"/>
      <c r="K13" s="603"/>
      <c r="L13" s="603"/>
      <c r="M13" s="603"/>
      <c r="N13" s="603"/>
      <c r="O13" s="603"/>
      <c r="P13" s="603"/>
      <c r="Q13" s="603"/>
      <c r="R13" s="603"/>
      <c r="S13" s="603"/>
      <c r="T13" s="603"/>
      <c r="U13" s="603"/>
      <c r="V13" s="605"/>
      <c r="W13" s="605"/>
      <c r="X13" s="606"/>
      <c r="Y13" s="582"/>
      <c r="Z13" s="587"/>
    </row>
    <row r="14" spans="1:26" ht="15">
      <c r="A14" s="582"/>
      <c r="B14" s="583"/>
      <c r="C14" s="584"/>
      <c r="D14" s="603"/>
      <c r="E14" s="603"/>
      <c r="F14" s="603"/>
      <c r="G14" s="603"/>
      <c r="H14" s="607"/>
      <c r="I14" s="607"/>
      <c r="J14" s="603"/>
      <c r="S14" s="603"/>
      <c r="T14" s="603"/>
      <c r="U14" s="603"/>
      <c r="V14" s="605"/>
      <c r="W14" s="605"/>
      <c r="X14" s="606"/>
      <c r="Y14" s="582"/>
      <c r="Z14" s="587"/>
    </row>
    <row r="15" spans="1:26" ht="15">
      <c r="A15" s="582"/>
      <c r="B15" s="583"/>
      <c r="C15" s="584"/>
      <c r="D15" s="608"/>
      <c r="E15" s="609"/>
      <c r="F15" s="603"/>
      <c r="G15" s="603"/>
      <c r="H15" s="607"/>
      <c r="I15" s="607"/>
      <c r="J15" s="603"/>
      <c r="T15" s="603"/>
      <c r="U15" s="603"/>
      <c r="V15" s="605"/>
      <c r="W15" s="605"/>
      <c r="X15" s="606"/>
      <c r="Y15" s="582"/>
      <c r="Z15" s="587"/>
    </row>
    <row r="16" spans="1:26" ht="16.5" thickBot="1">
      <c r="A16" s="582"/>
      <c r="B16" s="583"/>
      <c r="C16" s="610" t="s">
        <v>105</v>
      </c>
      <c r="D16" s="586"/>
      <c r="E16" s="611"/>
      <c r="F16" s="612"/>
      <c r="G16" s="584"/>
      <c r="H16" s="584"/>
      <c r="I16" s="584"/>
      <c r="J16" s="613"/>
      <c r="K16" s="614"/>
      <c r="L16" s="584"/>
      <c r="M16" s="584"/>
      <c r="N16" s="584"/>
      <c r="O16" s="584"/>
      <c r="P16" s="584"/>
      <c r="Q16" s="584"/>
      <c r="R16" s="584"/>
      <c r="S16" s="584"/>
      <c r="T16" s="584"/>
      <c r="U16" s="584"/>
      <c r="V16" s="582"/>
      <c r="W16" s="582"/>
      <c r="X16" s="582"/>
      <c r="Y16" s="582"/>
      <c r="Z16" s="587"/>
    </row>
    <row r="17" spans="1:26" ht="16.5" thickBot="1">
      <c r="A17" s="582"/>
      <c r="B17" s="583"/>
      <c r="C17" s="610"/>
      <c r="D17" s="586"/>
      <c r="E17" s="611"/>
      <c r="F17" s="612"/>
      <c r="G17" s="584"/>
      <c r="H17" s="584"/>
      <c r="K17" s="615" t="s">
        <v>106</v>
      </c>
      <c r="L17" s="584"/>
      <c r="M17" s="584"/>
      <c r="N17" s="584"/>
      <c r="O17" s="584"/>
      <c r="P17" s="584"/>
      <c r="Q17" s="584"/>
      <c r="R17" s="584"/>
      <c r="S17" s="584"/>
      <c r="T17" s="584"/>
      <c r="U17" s="584"/>
      <c r="V17" s="582"/>
      <c r="W17" s="582"/>
      <c r="X17" s="582"/>
      <c r="Y17" s="582"/>
      <c r="Z17" s="587"/>
    </row>
    <row r="18" spans="1:26" ht="15.75">
      <c r="A18" s="582"/>
      <c r="B18" s="583"/>
      <c r="C18" s="610"/>
      <c r="D18" s="613" t="s">
        <v>107</v>
      </c>
      <c r="E18" s="616">
        <f>MID(B12,16,2)*24</f>
        <v>720</v>
      </c>
      <c r="F18" s="584" t="s">
        <v>108</v>
      </c>
      <c r="G18" s="603"/>
      <c r="H18" s="617" t="s">
        <v>15</v>
      </c>
      <c r="I18" s="759"/>
      <c r="J18" s="761">
        <v>356.878</v>
      </c>
      <c r="K18" s="618">
        <f>30*'TOT-0413'!B13</f>
        <v>30</v>
      </c>
      <c r="L18" s="584"/>
      <c r="S18" s="584"/>
      <c r="T18" s="584"/>
      <c r="U18" s="584"/>
      <c r="V18" s="582"/>
      <c r="W18" s="582"/>
      <c r="X18" s="582"/>
      <c r="Y18" s="582"/>
      <c r="Z18" s="587"/>
    </row>
    <row r="19" spans="1:28" ht="15.75">
      <c r="A19" s="582"/>
      <c r="B19" s="583"/>
      <c r="C19" s="610"/>
      <c r="D19" s="613" t="s">
        <v>109</v>
      </c>
      <c r="E19" s="619">
        <v>0.04</v>
      </c>
      <c r="F19" s="603"/>
      <c r="G19" s="603"/>
      <c r="H19" s="620" t="s">
        <v>16</v>
      </c>
      <c r="I19" s="621"/>
      <c r="J19" s="760" t="s">
        <v>67</v>
      </c>
      <c r="K19" s="622"/>
      <c r="L19" s="584"/>
      <c r="M19" s="623"/>
      <c r="N19" s="623"/>
      <c r="O19" s="623"/>
      <c r="P19" s="623"/>
      <c r="Q19" s="623"/>
      <c r="R19" s="623"/>
      <c r="S19" s="584"/>
      <c r="T19" s="584"/>
      <c r="U19" s="584"/>
      <c r="V19" s="582"/>
      <c r="W19" s="582"/>
      <c r="X19" s="582"/>
      <c r="Y19" s="624"/>
      <c r="Z19" s="587"/>
      <c r="AA19" s="623"/>
      <c r="AB19" s="623"/>
    </row>
    <row r="20" spans="1:28" ht="16.5" thickBot="1">
      <c r="A20" s="582"/>
      <c r="B20" s="583"/>
      <c r="C20" s="610"/>
      <c r="D20" s="613"/>
      <c r="E20" s="619"/>
      <c r="F20" s="603"/>
      <c r="G20" s="603"/>
      <c r="H20" s="625" t="s">
        <v>18</v>
      </c>
      <c r="I20" s="626"/>
      <c r="J20" s="627" t="s">
        <v>67</v>
      </c>
      <c r="K20" s="628"/>
      <c r="L20" s="584"/>
      <c r="M20" s="623"/>
      <c r="N20" s="623"/>
      <c r="O20" s="623"/>
      <c r="P20" s="623"/>
      <c r="Q20" s="623"/>
      <c r="R20" s="623"/>
      <c r="S20" s="584"/>
      <c r="T20" s="584"/>
      <c r="U20" s="584"/>
      <c r="V20" s="582"/>
      <c r="W20" s="582"/>
      <c r="X20" s="582"/>
      <c r="Y20" s="624"/>
      <c r="Z20" s="587"/>
      <c r="AA20" s="623"/>
      <c r="AB20" s="623"/>
    </row>
    <row r="21" spans="1:26" ht="15.75">
      <c r="A21" s="582"/>
      <c r="B21" s="583"/>
      <c r="C21" s="610"/>
      <c r="D21" s="613"/>
      <c r="E21" s="619"/>
      <c r="F21" s="603"/>
      <c r="G21" s="603"/>
      <c r="H21" s="603"/>
      <c r="I21" s="629"/>
      <c r="K21" s="614"/>
      <c r="L21" s="584"/>
      <c r="M21" s="584"/>
      <c r="N21" s="584"/>
      <c r="O21" s="584"/>
      <c r="P21" s="584"/>
      <c r="Q21" s="584"/>
      <c r="R21" s="584"/>
      <c r="S21" s="584"/>
      <c r="T21" s="584"/>
      <c r="U21" s="584"/>
      <c r="V21" s="582"/>
      <c r="W21" s="582"/>
      <c r="X21" s="582"/>
      <c r="Y21" s="582"/>
      <c r="Z21" s="587"/>
    </row>
    <row r="22" spans="1:26" ht="15">
      <c r="A22" s="582"/>
      <c r="B22" s="583"/>
      <c r="C22" s="630" t="s">
        <v>123</v>
      </c>
      <c r="D22" s="631"/>
      <c r="E22" s="611"/>
      <c r="F22" s="612"/>
      <c r="G22" s="584"/>
      <c r="H22" s="584"/>
      <c r="I22" s="584"/>
      <c r="J22" s="613"/>
      <c r="K22" s="614"/>
      <c r="L22" s="584"/>
      <c r="M22" s="584"/>
      <c r="N22" s="584"/>
      <c r="O22" s="584"/>
      <c r="P22" s="584"/>
      <c r="Q22" s="584"/>
      <c r="R22" s="584"/>
      <c r="S22" s="584"/>
      <c r="T22" s="584"/>
      <c r="U22" s="584"/>
      <c r="V22" s="582"/>
      <c r="W22" s="582"/>
      <c r="X22" s="582"/>
      <c r="Y22" s="582"/>
      <c r="Z22" s="587"/>
    </row>
    <row r="23" spans="1:26" ht="15.75" thickBot="1">
      <c r="A23" s="582"/>
      <c r="B23" s="583"/>
      <c r="C23" s="584"/>
      <c r="D23" s="584"/>
      <c r="E23" s="584"/>
      <c r="F23" s="584"/>
      <c r="G23" s="584"/>
      <c r="H23" s="632"/>
      <c r="I23" s="584"/>
      <c r="J23" s="584"/>
      <c r="K23" s="584"/>
      <c r="L23" s="584"/>
      <c r="M23" s="584"/>
      <c r="N23" s="584"/>
      <c r="O23" s="584"/>
      <c r="P23" s="584"/>
      <c r="Q23" s="584"/>
      <c r="R23" s="584"/>
      <c r="S23" s="584"/>
      <c r="T23" s="584"/>
      <c r="U23" s="584"/>
      <c r="V23" s="582"/>
      <c r="W23" s="582"/>
      <c r="X23" s="582"/>
      <c r="Y23" s="582"/>
      <c r="Z23" s="587"/>
    </row>
    <row r="24" spans="1:26" ht="27" thickBot="1" thickTop="1">
      <c r="A24" s="582"/>
      <c r="B24" s="583"/>
      <c r="C24" s="633" t="s">
        <v>19</v>
      </c>
      <c r="D24" s="634" t="s">
        <v>2</v>
      </c>
      <c r="E24" s="635" t="s">
        <v>20</v>
      </c>
      <c r="F24" s="635" t="s">
        <v>21</v>
      </c>
      <c r="G24" s="636" t="s">
        <v>22</v>
      </c>
      <c r="H24" s="634" t="s">
        <v>23</v>
      </c>
      <c r="I24" s="634" t="s">
        <v>24</v>
      </c>
      <c r="J24" s="635" t="s">
        <v>101</v>
      </c>
      <c r="K24" s="635" t="s">
        <v>26</v>
      </c>
      <c r="L24" s="635" t="s">
        <v>59</v>
      </c>
      <c r="M24" s="635" t="s">
        <v>27</v>
      </c>
      <c r="N24" s="637" t="s">
        <v>58</v>
      </c>
      <c r="O24" s="638" t="s">
        <v>29</v>
      </c>
      <c r="P24" s="639" t="s">
        <v>102</v>
      </c>
      <c r="Q24" s="640"/>
      <c r="R24" s="641"/>
      <c r="S24" s="642" t="s">
        <v>103</v>
      </c>
      <c r="T24" s="643"/>
      <c r="U24" s="644"/>
      <c r="V24" s="645" t="s">
        <v>32</v>
      </c>
      <c r="W24" s="646" t="s">
        <v>33</v>
      </c>
      <c r="X24" s="647" t="s">
        <v>104</v>
      </c>
      <c r="Y24" s="648" t="s">
        <v>35</v>
      </c>
      <c r="Z24" s="587"/>
    </row>
    <row r="25" spans="1:26" ht="16.5" thickBot="1" thickTop="1">
      <c r="A25" s="582"/>
      <c r="B25" s="583"/>
      <c r="C25" s="649"/>
      <c r="D25" s="650"/>
      <c r="E25" s="651"/>
      <c r="F25" s="651"/>
      <c r="G25" s="652"/>
      <c r="H25" s="651"/>
      <c r="I25" s="650"/>
      <c r="J25" s="650"/>
      <c r="K25" s="650"/>
      <c r="L25" s="653"/>
      <c r="M25" s="653"/>
      <c r="N25" s="654"/>
      <c r="O25" s="655"/>
      <c r="P25" s="656"/>
      <c r="Q25" s="657"/>
      <c r="R25" s="658"/>
      <c r="S25" s="659"/>
      <c r="T25" s="660"/>
      <c r="U25" s="661"/>
      <c r="V25" s="662"/>
      <c r="W25" s="663"/>
      <c r="X25" s="664"/>
      <c r="Y25" s="665"/>
      <c r="Z25" s="587"/>
    </row>
    <row r="26" spans="1:26" ht="16.5" thickBot="1" thickTop="1">
      <c r="A26" s="582"/>
      <c r="B26" s="583"/>
      <c r="C26" s="666" t="s">
        <v>110</v>
      </c>
      <c r="D26" s="667" t="s">
        <v>128</v>
      </c>
      <c r="E26" s="667">
        <v>220</v>
      </c>
      <c r="F26" s="668">
        <v>7</v>
      </c>
      <c r="G26" s="669">
        <f>IF(F26&gt;25,F26,25)*IF(E26=220,$J$18,IF(E26=132,$J$19,$J$20))/100</f>
        <v>89.21949999999998</v>
      </c>
      <c r="H26" s="670">
        <v>41382.40138888889</v>
      </c>
      <c r="I26" s="670">
        <v>41382.7125</v>
      </c>
      <c r="J26" s="671">
        <f>IF(D26="","",(I26-H26)*24)</f>
        <v>7.466666666732635</v>
      </c>
      <c r="K26" s="672">
        <f>IF(D26="","",ROUND((I26-H26)*24*60,0))</f>
        <v>448</v>
      </c>
      <c r="L26" s="673" t="s">
        <v>63</v>
      </c>
      <c r="M26" s="674" t="str">
        <f>IF(D26="","","--")</f>
        <v>--</v>
      </c>
      <c r="N26" s="675">
        <f>IF(L26="P",ROUND(K26/60,2)*G26*$K$18*0.01,"--")</f>
        <v>199.94089949999994</v>
      </c>
      <c r="O26" s="676" t="str">
        <f>IF(L26="RP",ROUND(K26/60,2)*G26*$K$18*0.01*M26/100,"--")</f>
        <v>--</v>
      </c>
      <c r="P26" s="677" t="str">
        <f>IF(L26="F",G26*$K$18,"--")</f>
        <v>--</v>
      </c>
      <c r="Q26" s="678" t="str">
        <f>IF(AND(K26&gt;10,L26="F"),G26*$K$18*IF(K26&gt;180,3,ROUND(K26/60,2)),"--")</f>
        <v>--</v>
      </c>
      <c r="R26" s="679" t="str">
        <f>IF(AND(L26="F",K26&gt;180),(ROUND(K26/60,2)-3)*G26*$K$18*0.1,"--")</f>
        <v>--</v>
      </c>
      <c r="S26" s="680" t="str">
        <f>IF(L26="R",G26*$K$18*M26/100,"--")</f>
        <v>--</v>
      </c>
      <c r="T26" s="681" t="str">
        <f>IF(AND(K26&gt;10,L26="R"),G26*$K$18*M26/100*IF(K26&gt;180,3,ROUND(K26/60,2)),"--")</f>
        <v>--</v>
      </c>
      <c r="U26" s="682" t="str">
        <f>IF(AND(L26="R",K26&gt;180),(ROUND(K26/60,2)-3)*G26*$K$18*0.1*M26/100,"--")</f>
        <v>--</v>
      </c>
      <c r="V26" s="683" t="str">
        <f>IF(L26="RF",ROUND(K26/60,2)*G26*$K$18*0.1,"--")</f>
        <v>--</v>
      </c>
      <c r="W26" s="684" t="str">
        <f>IF(L26="RR",ROUND(K26/60,2)*G26*$K$18*0.1*M26/100,"--")</f>
        <v>--</v>
      </c>
      <c r="X26" s="685" t="str">
        <f>IF(D26="","","SI")</f>
        <v>SI</v>
      </c>
      <c r="Y26" s="686">
        <f>IF(D26="","",SUM(N26:W26)*IF(X26="SI",1,2))</f>
        <v>199.94089949999994</v>
      </c>
      <c r="Z26" s="587"/>
    </row>
    <row r="27" spans="1:26" ht="16.5" thickBot="1" thickTop="1">
      <c r="A27" s="582"/>
      <c r="B27" s="583"/>
      <c r="C27" s="666" t="s">
        <v>111</v>
      </c>
      <c r="D27" s="667"/>
      <c r="E27" s="667"/>
      <c r="F27" s="668"/>
      <c r="G27" s="669" t="e">
        <f>IF(F27&gt;25,F27,25)*IF(E27=220,$J$18,IF(E27=132,$J$19,$J$20))/100</f>
        <v>#VALUE!</v>
      </c>
      <c r="H27" s="670"/>
      <c r="I27" s="670"/>
      <c r="J27" s="671">
        <f>IF(D27="","",(I27-H27)*24)</f>
      </c>
      <c r="K27" s="672">
        <f>IF(D27="","",ROUND((I27-H27)*24*60,0))</f>
      </c>
      <c r="L27" s="673"/>
      <c r="M27" s="674">
        <f>IF(D27="","","--")</f>
      </c>
      <c r="N27" s="675" t="str">
        <f>IF(L27="P",ROUND(K27/60,2)*G27*$K$18*0.01,"--")</f>
        <v>--</v>
      </c>
      <c r="O27" s="676" t="str">
        <f>IF(L27="RP",ROUND(K27/60,2)*G27*$K$18*0.01*M27/100,"--")</f>
        <v>--</v>
      </c>
      <c r="P27" s="677" t="str">
        <f>IF(L27="F",G27*$K$18,"--")</f>
        <v>--</v>
      </c>
      <c r="Q27" s="678" t="str">
        <f>IF(AND(K27&gt;10,L27="F"),G27*$K$18*IF(K27&gt;180,3,ROUND(K27/60,2)),"--")</f>
        <v>--</v>
      </c>
      <c r="R27" s="679" t="str">
        <f>IF(AND(L27="F",K27&gt;180),(ROUND(K27/60,2)-3)*G27*$K$18*0.1,"--")</f>
        <v>--</v>
      </c>
      <c r="S27" s="680" t="str">
        <f>IF(L27="R",G27*$K$18*M27/100,"--")</f>
        <v>--</v>
      </c>
      <c r="T27" s="681" t="str">
        <f>IF(AND(K27&gt;10,L27="R"),G27*$K$18*M27/100*IF(K27&gt;180,3,ROUND(K27/60,2)),"--")</f>
        <v>--</v>
      </c>
      <c r="U27" s="682" t="str">
        <f>IF(AND(L27="R",K27&gt;180),(ROUND(K27/60,2)-3)*G27*$K$18*0.1*M27/100,"--")</f>
        <v>--</v>
      </c>
      <c r="V27" s="683" t="str">
        <f>IF(L27="RF",ROUND(K27/60,2)*G27*$K$18*0.1,"--")</f>
        <v>--</v>
      </c>
      <c r="W27" s="684" t="str">
        <f>IF(L27="RR",ROUND(K27/60,2)*G27*$K$18*0.1*M27/100,"--")</f>
        <v>--</v>
      </c>
      <c r="X27" s="685">
        <f>IF(D27="","","SI")</f>
      </c>
      <c r="Y27" s="686">
        <f>IF(D27="","",SUM(N27:W27)*IF(X27="SI",1,2))</f>
      </c>
      <c r="Z27" s="587"/>
    </row>
    <row r="28" spans="1:26" ht="16.5" thickBot="1" thickTop="1">
      <c r="A28" s="582"/>
      <c r="B28" s="583"/>
      <c r="C28" s="666" t="s">
        <v>137</v>
      </c>
      <c r="D28" s="667"/>
      <c r="E28" s="667"/>
      <c r="F28" s="668"/>
      <c r="G28" s="669" t="e">
        <f>IF(F28&gt;25,F28,25)*IF(E28=220,$J$18,IF(E28=132,$J$19,$J$20))/100</f>
        <v>#VALUE!</v>
      </c>
      <c r="H28" s="670"/>
      <c r="I28" s="670"/>
      <c r="J28" s="671">
        <f>IF(D28="","",(I28-H28)*24)</f>
      </c>
      <c r="K28" s="672">
        <f>IF(D28="","",ROUND((I28-H28)*24*60,0))</f>
      </c>
      <c r="L28" s="673"/>
      <c r="M28" s="674">
        <f>IF(D28="","","--")</f>
      </c>
      <c r="N28" s="675" t="str">
        <f>IF(L28="P",ROUND(K28/60,2)*G28*$K$18*0.01,"--")</f>
        <v>--</v>
      </c>
      <c r="O28" s="676" t="str">
        <f>IF(L28="RP",ROUND(K28/60,2)*G28*$K$18*0.01*M28/100,"--")</f>
        <v>--</v>
      </c>
      <c r="P28" s="677" t="str">
        <f>IF(L28="F",G28*$K$18,"--")</f>
        <v>--</v>
      </c>
      <c r="Q28" s="678" t="str">
        <f>IF(AND(K28&gt;10,L28="F"),G28*$K$18*IF(K28&gt;180,3,ROUND(K28/60,2)),"--")</f>
        <v>--</v>
      </c>
      <c r="R28" s="679" t="str">
        <f>IF(AND(L28="F",K28&gt;180),(ROUND(K28/60,2)-3)*G28*$K$18*0.1,"--")</f>
        <v>--</v>
      </c>
      <c r="S28" s="680" t="str">
        <f>IF(L28="R",G28*$K$18*M28/100,"--")</f>
        <v>--</v>
      </c>
      <c r="T28" s="681" t="str">
        <f>IF(AND(K28&gt;10,L28="R"),G28*$K$18*M28/100*IF(K28&gt;180,3,ROUND(K28/60,2)),"--")</f>
        <v>--</v>
      </c>
      <c r="U28" s="682" t="str">
        <f>IF(AND(L28="R",K28&gt;180),(ROUND(K28/60,2)-3)*G28*$K$18*0.1*M28/100,"--")</f>
        <v>--</v>
      </c>
      <c r="V28" s="683" t="str">
        <f>IF(L28="RF",ROUND(K28/60,2)*G28*$K$18*0.1,"--")</f>
        <v>--</v>
      </c>
      <c r="W28" s="684" t="str">
        <f>IF(L28="RR",ROUND(K28/60,2)*G28*$K$18*0.1*M28/100,"--")</f>
        <v>--</v>
      </c>
      <c r="X28" s="685">
        <f>IF(D28="","","SI")</f>
      </c>
      <c r="Y28" s="686">
        <f>IF(D28="","",SUM(N28:W28)*IF(X28="SI",1,2))</f>
      </c>
      <c r="Z28" s="587"/>
    </row>
    <row r="29" spans="2:26" ht="16.5" thickBot="1" thickTop="1">
      <c r="B29" s="583"/>
      <c r="C29" s="687"/>
      <c r="D29" s="688"/>
      <c r="E29" s="688"/>
      <c r="F29" s="689"/>
      <c r="G29" s="690"/>
      <c r="H29" s="691"/>
      <c r="I29" s="691"/>
      <c r="J29" s="692">
        <f>IF(D29="","",(I29-H29)*24)</f>
      </c>
      <c r="K29" s="693">
        <f>IF(D29="","",ROUND((I29-H29)*24*60,0))</f>
      </c>
      <c r="L29" s="694"/>
      <c r="M29" s="695">
        <f>IF(D29="","","--")</f>
      </c>
      <c r="N29" s="654"/>
      <c r="O29" s="696"/>
      <c r="P29" s="697"/>
      <c r="Q29" s="698"/>
      <c r="R29" s="699"/>
      <c r="S29" s="700"/>
      <c r="T29" s="701"/>
      <c r="U29" s="702"/>
      <c r="V29" s="703"/>
      <c r="W29" s="704"/>
      <c r="X29" s="705">
        <f>IF(D29="","","SI")</f>
      </c>
      <c r="Y29" s="706">
        <f>IF(D29="","",SUM(N29:W29)*IF(X29="SI",1,2))</f>
      </c>
      <c r="Z29" s="587"/>
    </row>
    <row r="30" spans="2:26" ht="16.5" thickBot="1" thickTop="1">
      <c r="B30" s="583"/>
      <c r="C30" s="707"/>
      <c r="D30" s="707"/>
      <c r="E30" s="707"/>
      <c r="F30" s="708"/>
      <c r="G30" s="708"/>
      <c r="H30" s="709"/>
      <c r="I30" s="709"/>
      <c r="J30" s="709"/>
      <c r="K30" s="709"/>
      <c r="L30" s="709"/>
      <c r="M30" s="710"/>
      <c r="N30" s="710"/>
      <c r="O30" s="710"/>
      <c r="P30" s="710"/>
      <c r="Q30" s="710"/>
      <c r="R30" s="710"/>
      <c r="S30" s="710"/>
      <c r="T30" s="710"/>
      <c r="U30" s="710"/>
      <c r="V30" s="710"/>
      <c r="W30" s="710"/>
      <c r="X30" s="709">
        <f>IF(D30="","","SI")</f>
      </c>
      <c r="Y30" s="711">
        <f>SUM(Y26:Y29)</f>
        <v>199.94089949999994</v>
      </c>
      <c r="Z30" s="587"/>
    </row>
    <row r="31" spans="2:26" ht="20.25" thickBot="1" thickTop="1">
      <c r="B31" s="583"/>
      <c r="C31" s="707"/>
      <c r="D31" s="707"/>
      <c r="E31" s="707"/>
      <c r="F31" s="708"/>
      <c r="G31" s="708"/>
      <c r="H31" s="712" t="s">
        <v>112</v>
      </c>
      <c r="I31" s="713">
        <f>Y30</f>
        <v>199.94089949999994</v>
      </c>
      <c r="J31" s="709"/>
      <c r="K31" s="709"/>
      <c r="L31" s="709"/>
      <c r="M31" s="710"/>
      <c r="N31" s="710"/>
      <c r="O31" s="710"/>
      <c r="P31" s="710"/>
      <c r="Q31" s="710"/>
      <c r="R31" s="710"/>
      <c r="S31" s="710"/>
      <c r="T31" s="710"/>
      <c r="U31" s="710"/>
      <c r="V31" s="710"/>
      <c r="W31" s="710"/>
      <c r="X31" s="709"/>
      <c r="Y31" s="714"/>
      <c r="Z31" s="587"/>
    </row>
    <row r="32" spans="2:26" ht="15.75" thickTop="1">
      <c r="B32" s="583"/>
      <c r="C32" s="707"/>
      <c r="D32" s="707"/>
      <c r="E32" s="707"/>
      <c r="F32" s="708"/>
      <c r="G32" s="709"/>
      <c r="H32" s="709"/>
      <c r="I32" s="709"/>
      <c r="J32" s="709"/>
      <c r="K32" s="709"/>
      <c r="L32" s="709"/>
      <c r="M32" s="710"/>
      <c r="N32" s="715"/>
      <c r="O32" s="716"/>
      <c r="P32" s="716"/>
      <c r="Q32" s="717"/>
      <c r="R32" s="717"/>
      <c r="S32" s="718"/>
      <c r="T32" s="719"/>
      <c r="U32" s="720"/>
      <c r="V32" s="582"/>
      <c r="W32" s="582"/>
      <c r="X32" s="582"/>
      <c r="Y32" s="582"/>
      <c r="Z32" s="587"/>
    </row>
    <row r="33" spans="2:26" ht="15">
      <c r="B33" s="583"/>
      <c r="C33" s="608" t="s">
        <v>124</v>
      </c>
      <c r="D33" s="631"/>
      <c r="E33" s="631"/>
      <c r="F33" s="721"/>
      <c r="G33" s="709"/>
      <c r="H33" s="709"/>
      <c r="I33" s="709"/>
      <c r="J33" s="709"/>
      <c r="K33" s="709"/>
      <c r="L33" s="709"/>
      <c r="M33" s="710"/>
      <c r="N33" s="715"/>
      <c r="O33" s="716"/>
      <c r="P33" s="716"/>
      <c r="Q33" s="717"/>
      <c r="R33" s="717"/>
      <c r="S33" s="718"/>
      <c r="T33" s="719"/>
      <c r="U33" s="720"/>
      <c r="V33" s="582"/>
      <c r="W33" s="582"/>
      <c r="X33" s="582"/>
      <c r="Y33" s="582"/>
      <c r="Z33" s="587"/>
    </row>
    <row r="34" spans="2:26" ht="15">
      <c r="B34" s="583"/>
      <c r="C34" s="722"/>
      <c r="D34" s="631"/>
      <c r="E34" s="631"/>
      <c r="F34" s="721"/>
      <c r="G34" s="709"/>
      <c r="H34" s="709"/>
      <c r="I34" s="709"/>
      <c r="J34" s="709"/>
      <c r="K34" s="709"/>
      <c r="L34" s="709"/>
      <c r="M34" s="710"/>
      <c r="N34" s="715"/>
      <c r="O34" s="716"/>
      <c r="P34" s="716"/>
      <c r="Q34" s="717"/>
      <c r="R34" s="717"/>
      <c r="S34" s="718"/>
      <c r="T34" s="719"/>
      <c r="U34" s="720"/>
      <c r="V34" s="582"/>
      <c r="W34" s="582"/>
      <c r="X34" s="582"/>
      <c r="Y34" s="582"/>
      <c r="Z34" s="587"/>
    </row>
    <row r="35" spans="2:26" ht="15">
      <c r="B35" s="583"/>
      <c r="C35" s="722"/>
      <c r="D35" s="631" t="s">
        <v>113</v>
      </c>
      <c r="E35" s="631" t="s">
        <v>114</v>
      </c>
      <c r="F35" s="721" t="s">
        <v>115</v>
      </c>
      <c r="G35" s="709"/>
      <c r="I35" s="723" t="s">
        <v>125</v>
      </c>
      <c r="K35" s="724" t="s">
        <v>126</v>
      </c>
      <c r="L35" s="709"/>
      <c r="M35" s="710"/>
      <c r="N35" s="715"/>
      <c r="O35" s="716"/>
      <c r="P35" s="716"/>
      <c r="Q35" s="717"/>
      <c r="R35" s="717"/>
      <c r="S35" s="718"/>
      <c r="T35" s="719"/>
      <c r="U35" s="720"/>
      <c r="V35" s="582"/>
      <c r="W35" s="582"/>
      <c r="X35" s="719" t="s">
        <v>116</v>
      </c>
      <c r="Y35" s="582"/>
      <c r="Z35" s="587"/>
    </row>
    <row r="36" spans="2:26" ht="7.5" customHeight="1">
      <c r="B36" s="583"/>
      <c r="C36" s="722"/>
      <c r="D36" s="631"/>
      <c r="E36" s="631"/>
      <c r="F36" s="725"/>
      <c r="G36" s="709"/>
      <c r="I36" s="726"/>
      <c r="J36" s="727"/>
      <c r="K36" s="728"/>
      <c r="L36" s="709"/>
      <c r="M36" s="710"/>
      <c r="N36" s="715"/>
      <c r="O36" s="716"/>
      <c r="P36" s="716"/>
      <c r="Q36" s="717"/>
      <c r="R36" s="717"/>
      <c r="S36" s="718"/>
      <c r="T36" s="729"/>
      <c r="U36" s="720"/>
      <c r="V36" s="582"/>
      <c r="W36" s="582"/>
      <c r="X36" s="730"/>
      <c r="Y36" s="582"/>
      <c r="Z36" s="587"/>
    </row>
    <row r="37" spans="2:26" ht="15.75">
      <c r="B37" s="583"/>
      <c r="C37" s="722"/>
      <c r="D37" s="631" t="s">
        <v>128</v>
      </c>
      <c r="E37" s="631">
        <v>220</v>
      </c>
      <c r="F37" s="725">
        <v>7</v>
      </c>
      <c r="G37" s="709"/>
      <c r="I37" s="726">
        <f>F37*$J$18*$E$18/100</f>
        <v>17986.6512</v>
      </c>
      <c r="J37" s="727"/>
      <c r="K37" s="728">
        <v>673</v>
      </c>
      <c r="L37" s="709"/>
      <c r="M37" s="731" t="s">
        <v>159</v>
      </c>
      <c r="N37" s="715"/>
      <c r="O37" s="716"/>
      <c r="P37" s="716"/>
      <c r="Q37" s="717"/>
      <c r="R37" s="717"/>
      <c r="S37" s="718"/>
      <c r="T37" s="732"/>
      <c r="U37" s="720"/>
      <c r="V37" s="582"/>
      <c r="W37" s="582"/>
      <c r="X37" s="733">
        <f>I37+K37</f>
        <v>18659.6512</v>
      </c>
      <c r="Y37" s="582"/>
      <c r="Z37" s="587"/>
    </row>
    <row r="38" spans="2:26" ht="15.75">
      <c r="B38" s="583"/>
      <c r="C38" s="722"/>
      <c r="D38" s="631"/>
      <c r="E38" s="631"/>
      <c r="F38" s="725"/>
      <c r="G38" s="709"/>
      <c r="I38" s="726"/>
      <c r="J38" s="727"/>
      <c r="K38" s="728"/>
      <c r="L38" s="709"/>
      <c r="M38" s="710"/>
      <c r="N38" s="715"/>
      <c r="O38" s="716"/>
      <c r="P38" s="716"/>
      <c r="Q38" s="717"/>
      <c r="R38" s="717"/>
      <c r="S38" s="718"/>
      <c r="T38" s="729"/>
      <c r="U38" s="720"/>
      <c r="V38" s="582"/>
      <c r="W38" s="582"/>
      <c r="X38" s="582"/>
      <c r="Y38" s="582"/>
      <c r="Z38" s="587"/>
    </row>
    <row r="39" spans="2:26" ht="16.5" thickBot="1">
      <c r="B39" s="583"/>
      <c r="C39" s="722"/>
      <c r="D39" s="631"/>
      <c r="F39" s="721"/>
      <c r="G39" s="709"/>
      <c r="H39" s="726"/>
      <c r="I39" s="631"/>
      <c r="J39" s="631"/>
      <c r="K39" s="709"/>
      <c r="L39" s="709"/>
      <c r="M39" s="710"/>
      <c r="N39" s="715"/>
      <c r="O39" s="716"/>
      <c r="P39" s="716"/>
      <c r="Q39" s="717"/>
      <c r="R39" s="717"/>
      <c r="S39" s="718"/>
      <c r="T39" s="732"/>
      <c r="U39" s="720"/>
      <c r="V39" s="582"/>
      <c r="W39" s="582"/>
      <c r="X39" s="582"/>
      <c r="Y39" s="582"/>
      <c r="Z39" s="587"/>
    </row>
    <row r="40" spans="2:26" ht="20.25" thickBot="1" thickTop="1">
      <c r="B40" s="583"/>
      <c r="C40" s="722"/>
      <c r="D40" s="631"/>
      <c r="E40" s="631"/>
      <c r="F40" s="721"/>
      <c r="G40" s="709"/>
      <c r="H40" s="712" t="s">
        <v>117</v>
      </c>
      <c r="I40" s="713">
        <f>X37</f>
        <v>18659.6512</v>
      </c>
      <c r="J40" s="631"/>
      <c r="K40" s="709"/>
      <c r="L40" s="582"/>
      <c r="M40" s="582"/>
      <c r="N40" s="582"/>
      <c r="O40" s="582"/>
      <c r="P40" s="582"/>
      <c r="Q40" s="582"/>
      <c r="R40" s="582"/>
      <c r="S40" s="582"/>
      <c r="T40" s="582"/>
      <c r="U40" s="582"/>
      <c r="V40" s="582"/>
      <c r="W40" s="582"/>
      <c r="X40" s="582"/>
      <c r="Y40" s="582"/>
      <c r="Z40" s="587"/>
    </row>
    <row r="41" spans="2:26" ht="16.5" thickTop="1">
      <c r="B41" s="583"/>
      <c r="C41" s="722"/>
      <c r="D41" s="631"/>
      <c r="E41" s="631"/>
      <c r="F41" s="721"/>
      <c r="G41" s="709"/>
      <c r="H41" s="726"/>
      <c r="I41" s="631"/>
      <c r="J41" s="631"/>
      <c r="K41" s="709"/>
      <c r="L41" s="709"/>
      <c r="M41" s="710"/>
      <c r="N41" s="715"/>
      <c r="O41" s="716"/>
      <c r="P41" s="716"/>
      <c r="Q41" s="717"/>
      <c r="R41" s="717"/>
      <c r="S41" s="718"/>
      <c r="T41" s="732"/>
      <c r="U41" s="720"/>
      <c r="V41" s="582"/>
      <c r="W41" s="582"/>
      <c r="X41" s="582"/>
      <c r="Y41" s="582"/>
      <c r="Z41" s="587"/>
    </row>
    <row r="42" spans="2:26" ht="15.75">
      <c r="B42" s="583"/>
      <c r="C42" s="734" t="s">
        <v>127</v>
      </c>
      <c r="D42" s="631"/>
      <c r="E42" s="631"/>
      <c r="F42" s="721"/>
      <c r="G42" s="709"/>
      <c r="H42" s="726"/>
      <c r="I42" s="631"/>
      <c r="J42" s="631"/>
      <c r="K42" s="709"/>
      <c r="L42" s="709"/>
      <c r="M42" s="710"/>
      <c r="N42" s="715"/>
      <c r="O42" s="716"/>
      <c r="P42" s="716"/>
      <c r="Q42" s="717"/>
      <c r="R42" s="717"/>
      <c r="S42" s="718"/>
      <c r="T42" s="732"/>
      <c r="U42" s="720"/>
      <c r="V42" s="582"/>
      <c r="W42" s="582"/>
      <c r="X42" s="582"/>
      <c r="Y42" s="582"/>
      <c r="Z42" s="587"/>
    </row>
    <row r="43" spans="2:26" ht="15.75">
      <c r="B43" s="583"/>
      <c r="C43" s="734"/>
      <c r="D43" s="631"/>
      <c r="E43" s="631"/>
      <c r="F43" s="721"/>
      <c r="G43" s="709"/>
      <c r="H43" s="726"/>
      <c r="I43" s="631"/>
      <c r="J43" s="631"/>
      <c r="K43" s="709"/>
      <c r="L43" s="709"/>
      <c r="M43" s="710"/>
      <c r="N43" s="715"/>
      <c r="O43" s="716"/>
      <c r="P43" s="716"/>
      <c r="Q43" s="717"/>
      <c r="R43" s="717"/>
      <c r="S43" s="718"/>
      <c r="T43" s="732"/>
      <c r="U43" s="720"/>
      <c r="V43" s="582"/>
      <c r="W43" s="582"/>
      <c r="X43" s="582"/>
      <c r="Y43" s="582"/>
      <c r="Z43" s="587"/>
    </row>
    <row r="44" spans="2:26" ht="15.75">
      <c r="B44" s="583"/>
      <c r="C44" s="734"/>
      <c r="D44" s="631" t="s">
        <v>113</v>
      </c>
      <c r="E44" s="631" t="s">
        <v>114</v>
      </c>
      <c r="F44" s="721" t="s">
        <v>115</v>
      </c>
      <c r="G44" s="709"/>
      <c r="I44" s="723" t="s">
        <v>125</v>
      </c>
      <c r="K44" s="724" t="s">
        <v>126</v>
      </c>
      <c r="L44" s="709"/>
      <c r="M44" s="710"/>
      <c r="N44" s="715"/>
      <c r="O44" s="716"/>
      <c r="P44" s="716"/>
      <c r="Q44" s="717"/>
      <c r="R44" s="717"/>
      <c r="S44" s="718"/>
      <c r="T44" s="719"/>
      <c r="U44" s="720"/>
      <c r="V44" s="582"/>
      <c r="W44" s="582"/>
      <c r="X44" s="719" t="s">
        <v>116</v>
      </c>
      <c r="Y44" s="582"/>
      <c r="Z44" s="587"/>
    </row>
    <row r="45" spans="2:26" ht="6.75" customHeight="1">
      <c r="B45" s="583"/>
      <c r="C45" s="734"/>
      <c r="D45" s="631"/>
      <c r="E45" s="631"/>
      <c r="F45" s="725"/>
      <c r="G45" s="709"/>
      <c r="I45" s="726"/>
      <c r="J45" s="727"/>
      <c r="K45" s="728"/>
      <c r="L45" s="709"/>
      <c r="M45" s="710"/>
      <c r="N45" s="715"/>
      <c r="O45" s="716"/>
      <c r="P45" s="716"/>
      <c r="Q45" s="717"/>
      <c r="R45" s="717"/>
      <c r="S45" s="718"/>
      <c r="T45" s="729"/>
      <c r="U45" s="720"/>
      <c r="V45" s="582"/>
      <c r="W45" s="582"/>
      <c r="X45" s="730"/>
      <c r="Y45" s="582"/>
      <c r="Z45" s="587"/>
    </row>
    <row r="46" spans="2:26" ht="15.75">
      <c r="B46" s="583"/>
      <c r="C46" s="722"/>
      <c r="D46" s="631" t="s">
        <v>128</v>
      </c>
      <c r="E46" s="631">
        <v>220</v>
      </c>
      <c r="F46" s="725">
        <v>7</v>
      </c>
      <c r="G46" s="709"/>
      <c r="I46" s="726">
        <f>+I37*0.6</f>
        <v>10791.99072</v>
      </c>
      <c r="J46" s="727"/>
      <c r="K46" s="728">
        <v>673</v>
      </c>
      <c r="L46" s="709"/>
      <c r="M46" s="731" t="s">
        <v>159</v>
      </c>
      <c r="N46" s="715"/>
      <c r="O46" s="716"/>
      <c r="P46" s="716"/>
      <c r="Q46" s="717"/>
      <c r="R46" s="717"/>
      <c r="S46" s="718"/>
      <c r="T46" s="732"/>
      <c r="U46" s="720"/>
      <c r="V46" s="582"/>
      <c r="W46" s="582"/>
      <c r="X46" s="733">
        <f>I46+K46</f>
        <v>11464.99072</v>
      </c>
      <c r="Y46" s="582"/>
      <c r="Z46" s="587"/>
    </row>
    <row r="47" spans="2:26" ht="9" customHeight="1" thickBot="1">
      <c r="B47" s="583"/>
      <c r="C47" s="722"/>
      <c r="D47" s="631"/>
      <c r="E47" s="631"/>
      <c r="F47" s="725"/>
      <c r="G47" s="709"/>
      <c r="I47" s="726"/>
      <c r="J47" s="727"/>
      <c r="K47" s="728"/>
      <c r="L47" s="709"/>
      <c r="M47" s="731"/>
      <c r="N47" s="715"/>
      <c r="O47" s="716"/>
      <c r="P47" s="716"/>
      <c r="Q47" s="717"/>
      <c r="R47" s="717"/>
      <c r="S47" s="718"/>
      <c r="T47" s="732"/>
      <c r="U47" s="720"/>
      <c r="V47" s="582"/>
      <c r="W47" s="582"/>
      <c r="X47" s="733"/>
      <c r="Y47" s="582"/>
      <c r="Z47" s="587"/>
    </row>
    <row r="48" spans="2:26" ht="20.25" thickBot="1" thickTop="1">
      <c r="B48" s="583"/>
      <c r="C48" s="722"/>
      <c r="D48" s="735" t="s">
        <v>118</v>
      </c>
      <c r="F48" s="736"/>
      <c r="G48" s="584"/>
      <c r="H48" s="737" t="s">
        <v>119</v>
      </c>
      <c r="I48" s="738">
        <f>E19*X46</f>
        <v>458.5996288</v>
      </c>
      <c r="J48" s="603"/>
      <c r="N48" s="715"/>
      <c r="O48" s="715"/>
      <c r="P48" s="716"/>
      <c r="Q48" s="717"/>
      <c r="R48" s="717"/>
      <c r="S48" s="718"/>
      <c r="T48" s="732"/>
      <c r="U48" s="720"/>
      <c r="V48" s="582"/>
      <c r="W48" s="582"/>
      <c r="X48" s="582"/>
      <c r="Y48" s="582"/>
      <c r="Z48" s="587"/>
    </row>
    <row r="49" spans="2:26" ht="21.75" thickTop="1">
      <c r="B49" s="583"/>
      <c r="C49" s="722"/>
      <c r="F49" s="739"/>
      <c r="G49" s="577"/>
      <c r="I49" s="603"/>
      <c r="J49" s="603"/>
      <c r="N49" s="715"/>
      <c r="O49" s="715"/>
      <c r="P49" s="716"/>
      <c r="Q49" s="717"/>
      <c r="R49" s="717"/>
      <c r="S49" s="718"/>
      <c r="T49" s="719"/>
      <c r="U49" s="720"/>
      <c r="V49" s="582"/>
      <c r="W49" s="582"/>
      <c r="X49" s="582"/>
      <c r="Y49" s="582"/>
      <c r="Z49" s="587"/>
    </row>
    <row r="50" spans="2:26" ht="15">
      <c r="B50" s="583"/>
      <c r="C50" s="630" t="s">
        <v>120</v>
      </c>
      <c r="E50" s="603"/>
      <c r="F50" s="603"/>
      <c r="G50" s="603"/>
      <c r="H50" s="603"/>
      <c r="I50" s="709"/>
      <c r="J50" s="709"/>
      <c r="K50" s="709"/>
      <c r="L50" s="709"/>
      <c r="M50" s="710"/>
      <c r="N50" s="715"/>
      <c r="O50" s="716"/>
      <c r="P50" s="716"/>
      <c r="Q50" s="717"/>
      <c r="R50" s="717"/>
      <c r="S50" s="718"/>
      <c r="T50" s="719"/>
      <c r="U50" s="720"/>
      <c r="V50" s="582"/>
      <c r="W50" s="582"/>
      <c r="X50" s="582"/>
      <c r="Y50" s="582"/>
      <c r="Z50" s="587"/>
    </row>
    <row r="51" spans="2:26" ht="15">
      <c r="B51" s="583"/>
      <c r="C51" s="722"/>
      <c r="D51" s="740" t="s">
        <v>121</v>
      </c>
      <c r="E51" s="741">
        <f>10*Y30*I48/I40</f>
        <v>49.139622873892776</v>
      </c>
      <c r="F51" s="742"/>
      <c r="H51" s="603"/>
      <c r="I51" s="709"/>
      <c r="J51" s="709"/>
      <c r="K51" s="709"/>
      <c r="L51" s="709"/>
      <c r="M51" s="710"/>
      <c r="N51" s="715"/>
      <c r="O51" s="716"/>
      <c r="P51" s="716"/>
      <c r="Q51" s="717"/>
      <c r="R51" s="717"/>
      <c r="S51" s="718"/>
      <c r="T51" s="719"/>
      <c r="U51" s="720"/>
      <c r="V51" s="582"/>
      <c r="W51" s="582"/>
      <c r="X51" s="582"/>
      <c r="Y51" s="582"/>
      <c r="Z51" s="587"/>
    </row>
    <row r="52" spans="2:26" ht="15">
      <c r="B52" s="583"/>
      <c r="C52" s="722"/>
      <c r="D52" s="603"/>
      <c r="E52" s="603"/>
      <c r="J52" s="709"/>
      <c r="K52" s="709"/>
      <c r="L52" s="709"/>
      <c r="M52" s="710"/>
      <c r="N52" s="715"/>
      <c r="O52" s="716"/>
      <c r="P52" s="716"/>
      <c r="Q52" s="717"/>
      <c r="R52" s="717"/>
      <c r="S52" s="718"/>
      <c r="T52" s="719"/>
      <c r="U52" s="720"/>
      <c r="V52" s="582"/>
      <c r="W52" s="582"/>
      <c r="X52" s="582"/>
      <c r="Y52" s="582"/>
      <c r="Z52" s="587"/>
    </row>
    <row r="53" spans="2:26" ht="15">
      <c r="B53" s="583"/>
      <c r="C53" s="722"/>
      <c r="D53" s="603" t="s">
        <v>130</v>
      </c>
      <c r="E53" s="603"/>
      <c r="F53" s="603"/>
      <c r="G53" s="603"/>
      <c r="H53" s="603"/>
      <c r="L53" s="709"/>
      <c r="M53" s="750" t="s">
        <v>131</v>
      </c>
      <c r="N53" s="715"/>
      <c r="O53" s="716"/>
      <c r="P53" s="716"/>
      <c r="Q53" s="717"/>
      <c r="R53" s="717"/>
      <c r="S53" s="718"/>
      <c r="T53" s="719"/>
      <c r="U53" s="720"/>
      <c r="V53" s="582"/>
      <c r="W53" s="582"/>
      <c r="X53" s="582"/>
      <c r="Y53" s="582"/>
      <c r="Z53" s="587"/>
    </row>
    <row r="54" spans="2:26" ht="15.75" thickBot="1">
      <c r="B54" s="583"/>
      <c r="C54" s="722"/>
      <c r="D54" s="603"/>
      <c r="E54" s="603"/>
      <c r="F54" s="603"/>
      <c r="G54" s="603"/>
      <c r="H54" s="603"/>
      <c r="L54" s="709"/>
      <c r="M54" s="710"/>
      <c r="N54" s="715"/>
      <c r="O54" s="716"/>
      <c r="P54" s="716"/>
      <c r="Q54" s="717"/>
      <c r="R54" s="717"/>
      <c r="S54" s="718"/>
      <c r="T54" s="719"/>
      <c r="U54" s="720"/>
      <c r="V54" s="582"/>
      <c r="W54" s="582"/>
      <c r="X54" s="582"/>
      <c r="Y54" s="582"/>
      <c r="Z54" s="587"/>
    </row>
    <row r="55" spans="2:26" ht="20.25" thickBot="1" thickTop="1">
      <c r="B55" s="583"/>
      <c r="C55" s="722"/>
      <c r="D55" s="631"/>
      <c r="E55" s="631"/>
      <c r="F55" s="721"/>
      <c r="G55" s="709"/>
      <c r="H55" s="743" t="s">
        <v>122</v>
      </c>
      <c r="I55" s="744">
        <f>IF(E51&gt;3*I48,3*I48,$E$51)</f>
        <v>49.139622873892776</v>
      </c>
      <c r="J55" s="709"/>
      <c r="K55" s="709"/>
      <c r="L55" s="709"/>
      <c r="M55" s="710"/>
      <c r="N55" s="715"/>
      <c r="O55" s="716"/>
      <c r="P55" s="716"/>
      <c r="Q55" s="717"/>
      <c r="R55" s="717"/>
      <c r="S55" s="718"/>
      <c r="T55" s="719"/>
      <c r="U55" s="720"/>
      <c r="V55" s="582"/>
      <c r="W55" s="582"/>
      <c r="X55" s="582"/>
      <c r="Y55" s="582"/>
      <c r="Z55" s="587"/>
    </row>
    <row r="56" spans="2:26" ht="16.5" thickBot="1" thickTop="1">
      <c r="B56" s="745"/>
      <c r="C56" s="746"/>
      <c r="D56" s="746"/>
      <c r="E56" s="746"/>
      <c r="F56" s="746"/>
      <c r="G56" s="746"/>
      <c r="H56" s="746"/>
      <c r="I56" s="746"/>
      <c r="J56" s="746"/>
      <c r="K56" s="746"/>
      <c r="L56" s="746"/>
      <c r="M56" s="746"/>
      <c r="N56" s="746"/>
      <c r="O56" s="746"/>
      <c r="P56" s="746"/>
      <c r="Q56" s="746"/>
      <c r="R56" s="746"/>
      <c r="S56" s="746"/>
      <c r="T56" s="746"/>
      <c r="U56" s="746"/>
      <c r="V56" s="747"/>
      <c r="W56" s="747"/>
      <c r="X56" s="747"/>
      <c r="Y56" s="747"/>
      <c r="Z56" s="748"/>
    </row>
    <row r="57" spans="2:21" ht="13.5" thickTop="1">
      <c r="B57" s="582"/>
      <c r="U57" s="582"/>
    </row>
    <row r="59" ht="12.75">
      <c r="A59" s="582"/>
    </row>
    <row r="60" ht="12.75">
      <c r="A60" s="582"/>
    </row>
    <row r="61" ht="12.75">
      <c r="A61" s="582"/>
    </row>
    <row r="62" ht="12.75">
      <c r="A62" s="582"/>
    </row>
    <row r="63" ht="12.75">
      <c r="A63" s="582"/>
    </row>
    <row r="66" ht="12" customHeight="1"/>
    <row r="102" ht="12.75">
      <c r="B102" s="582"/>
    </row>
    <row r="108" ht="12.75">
      <c r="A108" s="582"/>
    </row>
  </sheetData>
  <sheetProtection/>
  <mergeCells count="1">
    <mergeCell ref="B12:Z12"/>
  </mergeCells>
  <printOptions/>
  <pageMargins left="0.31" right="0.1968503937007874" top="0.57" bottom="0.6" header="0.5118110236220472" footer="0.29"/>
  <pageSetup fitToHeight="1" fitToWidth="1" orientation="landscape" paperSize="9" scale="57" r:id="rId2"/>
  <headerFooter alignWithMargins="0">
    <oddFooter>&amp;L&amp;"Times New Roman,Normal"&amp;8&amp;Z&amp;F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60" zoomScaleNormal="60" zoomScalePageLayoutView="0" workbookViewId="0" topLeftCell="A1">
      <selection activeCell="N27" sqref="N27"/>
    </sheetView>
  </sheetViews>
  <sheetFormatPr defaultColWidth="11.421875" defaultRowHeight="12.75"/>
  <cols>
    <col min="1" max="1" width="22.7109375" style="762" customWidth="1"/>
    <col min="2" max="2" width="15.7109375" style="762" customWidth="1"/>
    <col min="3" max="3" width="5.7109375" style="762" customWidth="1"/>
    <col min="4" max="4" width="56.421875" style="762" customWidth="1"/>
    <col min="5" max="5" width="10.421875" style="762" customWidth="1"/>
    <col min="6" max="6" width="14.140625" style="762" customWidth="1"/>
    <col min="7" max="19" width="10.7109375" style="762" customWidth="1"/>
    <col min="20" max="20" width="15.7109375" style="762" customWidth="1"/>
    <col min="21" max="16384" width="11.421875" style="762" customWidth="1"/>
  </cols>
  <sheetData>
    <row r="1" ht="38.25" customHeight="1">
      <c r="T1" s="763"/>
    </row>
    <row r="2" spans="2:20" s="764" customFormat="1" ht="40.5" customHeight="1">
      <c r="B2" s="765" t="str">
        <f>'TOT-0413'!B2</f>
        <v>ANEXO V al Memorándum  D.T.E.E.  N° 376 / 2014</v>
      </c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765"/>
      <c r="R2" s="765"/>
      <c r="S2" s="765"/>
      <c r="T2" s="765"/>
    </row>
    <row r="3" spans="1:2" s="768" customFormat="1" ht="11.25" customHeight="1">
      <c r="A3" s="766" t="s">
        <v>3</v>
      </c>
      <c r="B3" s="767"/>
    </row>
    <row r="4" spans="1:4" s="768" customFormat="1" ht="11.25" customHeight="1">
      <c r="A4" s="766" t="s">
        <v>4</v>
      </c>
      <c r="B4" s="767"/>
      <c r="D4" s="769"/>
    </row>
    <row r="5" spans="1:4" ht="10.5" customHeight="1">
      <c r="A5" s="770"/>
      <c r="D5" s="771"/>
    </row>
    <row r="6" spans="1:20" ht="26.25">
      <c r="A6" s="770"/>
      <c r="B6" s="772" t="s">
        <v>149</v>
      </c>
      <c r="C6" s="773"/>
      <c r="D6" s="771"/>
      <c r="E6" s="773"/>
      <c r="F6" s="773"/>
      <c r="G6" s="773"/>
      <c r="H6" s="773"/>
      <c r="I6" s="773"/>
      <c r="J6" s="773"/>
      <c r="K6" s="773"/>
      <c r="L6" s="773"/>
      <c r="M6" s="773"/>
      <c r="N6" s="773"/>
      <c r="O6" s="773"/>
      <c r="P6" s="773"/>
      <c r="Q6" s="773"/>
      <c r="R6" s="773"/>
      <c r="S6" s="773"/>
      <c r="T6" s="773"/>
    </row>
    <row r="7" spans="1:4" ht="18.75" customHeight="1">
      <c r="A7" s="770"/>
      <c r="D7" s="771"/>
    </row>
    <row r="8" spans="1:20" ht="26.25">
      <c r="A8" s="770"/>
      <c r="B8" s="774" t="s">
        <v>1</v>
      </c>
      <c r="C8" s="773"/>
      <c r="D8" s="771"/>
      <c r="E8" s="773"/>
      <c r="F8" s="773"/>
      <c r="G8" s="773"/>
      <c r="H8" s="773"/>
      <c r="I8" s="773"/>
      <c r="J8" s="773"/>
      <c r="K8" s="773"/>
      <c r="L8" s="773"/>
      <c r="M8" s="773"/>
      <c r="N8" s="773"/>
      <c r="O8" s="773"/>
      <c r="P8" s="773"/>
      <c r="Q8" s="773"/>
      <c r="R8" s="773"/>
      <c r="S8" s="773"/>
      <c r="T8" s="773"/>
    </row>
    <row r="9" spans="1:4" ht="18.75" customHeight="1">
      <c r="A9" s="770"/>
      <c r="D9" s="771"/>
    </row>
    <row r="10" spans="1:20" ht="26.25">
      <c r="A10" s="770"/>
      <c r="B10" s="774" t="s">
        <v>150</v>
      </c>
      <c r="C10" s="773"/>
      <c r="D10" s="771"/>
      <c r="E10" s="773"/>
      <c r="F10" s="773"/>
      <c r="G10" s="773"/>
      <c r="H10" s="773"/>
      <c r="I10" s="773"/>
      <c r="J10" s="773"/>
      <c r="K10" s="773"/>
      <c r="L10" s="773"/>
      <c r="M10" s="773"/>
      <c r="N10" s="773"/>
      <c r="O10" s="773"/>
      <c r="P10" s="773"/>
      <c r="Q10" s="773"/>
      <c r="R10" s="773"/>
      <c r="S10" s="773"/>
      <c r="T10" s="773"/>
    </row>
    <row r="11" ht="18.75" customHeight="1" thickBot="1"/>
    <row r="12" spans="2:20" ht="18.75" customHeight="1" thickTop="1">
      <c r="B12" s="775"/>
      <c r="C12" s="776"/>
      <c r="D12" s="777"/>
      <c r="E12" s="777"/>
      <c r="F12" s="777"/>
      <c r="G12" s="776"/>
      <c r="H12" s="776"/>
      <c r="I12" s="776"/>
      <c r="J12" s="776"/>
      <c r="K12" s="776"/>
      <c r="L12" s="776"/>
      <c r="M12" s="776"/>
      <c r="N12" s="776"/>
      <c r="O12" s="776"/>
      <c r="P12" s="776"/>
      <c r="Q12" s="776"/>
      <c r="R12" s="776"/>
      <c r="S12" s="776"/>
      <c r="T12" s="778"/>
    </row>
    <row r="13" spans="2:20" ht="30" customHeight="1">
      <c r="B13" s="779" t="s">
        <v>158</v>
      </c>
      <c r="C13" s="773"/>
      <c r="D13" s="780"/>
      <c r="E13" s="780"/>
      <c r="F13" s="780"/>
      <c r="G13" s="781"/>
      <c r="H13" s="781"/>
      <c r="I13" s="781"/>
      <c r="J13" s="781"/>
      <c r="K13" s="781"/>
      <c r="L13" s="781"/>
      <c r="M13" s="781"/>
      <c r="N13" s="781"/>
      <c r="O13" s="781"/>
      <c r="P13" s="781"/>
      <c r="Q13" s="781"/>
      <c r="R13" s="781"/>
      <c r="S13" s="781"/>
      <c r="T13" s="782"/>
    </row>
    <row r="14" spans="2:20" ht="18.75" customHeight="1" thickBot="1">
      <c r="B14" s="783"/>
      <c r="C14" s="784"/>
      <c r="D14" s="785"/>
      <c r="E14" s="785"/>
      <c r="F14" s="786"/>
      <c r="G14" s="787"/>
      <c r="H14" s="787"/>
      <c r="I14" s="787"/>
      <c r="J14" s="787"/>
      <c r="K14" s="787"/>
      <c r="L14" s="787"/>
      <c r="M14" s="787"/>
      <c r="N14" s="787"/>
      <c r="O14" s="787"/>
      <c r="P14" s="787"/>
      <c r="Q14" s="787"/>
      <c r="R14" s="787"/>
      <c r="S14" s="787"/>
      <c r="T14" s="788"/>
    </row>
    <row r="15" spans="1:20" s="796" customFormat="1" ht="34.5" customHeight="1" thickBot="1" thickTop="1">
      <c r="A15" s="789"/>
      <c r="B15" s="790"/>
      <c r="C15" s="791"/>
      <c r="D15" s="791" t="s">
        <v>151</v>
      </c>
      <c r="E15" s="792" t="s">
        <v>20</v>
      </c>
      <c r="F15" s="793" t="s">
        <v>21</v>
      </c>
      <c r="G15" s="794">
        <f>'[2]Tasa de Falla'!GZ15</f>
        <v>41000</v>
      </c>
      <c r="H15" s="794">
        <f>'[2]Tasa de Falla'!HA15</f>
        <v>41030</v>
      </c>
      <c r="I15" s="794">
        <f>'[2]Tasa de Falla'!HB15</f>
        <v>41061</v>
      </c>
      <c r="J15" s="794">
        <f>'[2]Tasa de Falla'!HC15</f>
        <v>41091</v>
      </c>
      <c r="K15" s="794">
        <f>'[2]Tasa de Falla'!HD15</f>
        <v>41122</v>
      </c>
      <c r="L15" s="794">
        <f>'[2]Tasa de Falla'!HE15</f>
        <v>41153</v>
      </c>
      <c r="M15" s="794">
        <f>'[2]Tasa de Falla'!HF15</f>
        <v>41183</v>
      </c>
      <c r="N15" s="794">
        <f>'[2]Tasa de Falla'!HG15</f>
        <v>41214</v>
      </c>
      <c r="O15" s="794">
        <f>'[2]Tasa de Falla'!HH15</f>
        <v>41244</v>
      </c>
      <c r="P15" s="794">
        <f>'[2]Tasa de Falla'!HI15</f>
        <v>41275</v>
      </c>
      <c r="Q15" s="794">
        <f>'[2]Tasa de Falla'!HJ15</f>
        <v>41306</v>
      </c>
      <c r="R15" s="794">
        <f>'[2]Tasa de Falla'!HK15</f>
        <v>41334</v>
      </c>
      <c r="S15" s="794">
        <f>'[2]Tasa de Falla'!HL15</f>
        <v>41365</v>
      </c>
      <c r="T15" s="795"/>
    </row>
    <row r="16" spans="2:20" s="796" customFormat="1" ht="24.75" customHeight="1" thickTop="1">
      <c r="B16" s="797"/>
      <c r="C16" s="798"/>
      <c r="D16" s="799"/>
      <c r="E16" s="799"/>
      <c r="F16" s="800"/>
      <c r="G16" s="799"/>
      <c r="H16" s="799"/>
      <c r="I16" s="799"/>
      <c r="J16" s="799"/>
      <c r="K16" s="799"/>
      <c r="L16" s="799"/>
      <c r="M16" s="799"/>
      <c r="N16" s="799"/>
      <c r="O16" s="799"/>
      <c r="P16" s="799"/>
      <c r="Q16" s="799"/>
      <c r="R16" s="799"/>
      <c r="S16" s="801"/>
      <c r="T16" s="795"/>
    </row>
    <row r="17" spans="2:20" s="796" customFormat="1" ht="24.75" customHeight="1">
      <c r="B17" s="797"/>
      <c r="C17" s="802">
        <f>'[2]Tasa de Falla'!C17</f>
        <v>1</v>
      </c>
      <c r="D17" s="803" t="str">
        <f>'[2]Tasa de Falla'!D17</f>
        <v>AGUA DEL TORO - CRUZ DE PIEDRA</v>
      </c>
      <c r="E17" s="803">
        <f>'[2]Tasa de Falla'!E17</f>
        <v>220</v>
      </c>
      <c r="F17" s="804">
        <f>'[2]Tasa de Falla'!F17</f>
        <v>177.9</v>
      </c>
      <c r="G17" s="803">
        <f>IF('[2]Tasa de Falla'!GZ17="","",'[2]Tasa de Falla'!GZ17)</f>
      </c>
      <c r="H17" s="803">
        <f>IF('[2]Tasa de Falla'!HA17="","",'[2]Tasa de Falla'!HA17)</f>
      </c>
      <c r="I17" s="803">
        <f>IF('[2]Tasa de Falla'!HB17="","",'[2]Tasa de Falla'!HB17)</f>
      </c>
      <c r="J17" s="803">
        <f>IF('[2]Tasa de Falla'!HC17="","",'[2]Tasa de Falla'!HC17)</f>
      </c>
      <c r="K17" s="803">
        <f>IF('[2]Tasa de Falla'!HD17="","",'[2]Tasa de Falla'!HD17)</f>
      </c>
      <c r="L17" s="803">
        <f>IF('[2]Tasa de Falla'!HE17="","",'[2]Tasa de Falla'!HE17)</f>
      </c>
      <c r="M17" s="803">
        <f>IF('[2]Tasa de Falla'!HF17="","",'[2]Tasa de Falla'!HF17)</f>
      </c>
      <c r="N17" s="803">
        <f>IF('[2]Tasa de Falla'!HG17="","",'[2]Tasa de Falla'!HG17)</f>
      </c>
      <c r="O17" s="803">
        <f>IF('[2]Tasa de Falla'!HH17="","",'[2]Tasa de Falla'!HH17)</f>
      </c>
      <c r="P17" s="803">
        <f>IF('[2]Tasa de Falla'!HI17="","",'[2]Tasa de Falla'!HI17)</f>
      </c>
      <c r="Q17" s="803">
        <f>IF('[2]Tasa de Falla'!HJ17="","",'[2]Tasa de Falla'!HJ17)</f>
      </c>
      <c r="R17" s="803">
        <f>IF('[2]Tasa de Falla'!HK17="","",'[2]Tasa de Falla'!HK17)</f>
      </c>
      <c r="S17" s="800"/>
      <c r="T17" s="795"/>
    </row>
    <row r="18" spans="2:20" s="796" customFormat="1" ht="24.75" customHeight="1">
      <c r="B18" s="797"/>
      <c r="C18" s="805">
        <f>'[2]Tasa de Falla'!C18</f>
        <v>2</v>
      </c>
      <c r="D18" s="806" t="str">
        <f>'[2]Tasa de Falla'!D18</f>
        <v>AGUA DEL TORO - LOS REYUNOS</v>
      </c>
      <c r="E18" s="806">
        <f>'[2]Tasa de Falla'!E18</f>
        <v>220</v>
      </c>
      <c r="F18" s="807">
        <f>'[2]Tasa de Falla'!F18</f>
        <v>43</v>
      </c>
      <c r="G18" s="806">
        <f>IF('[2]Tasa de Falla'!GZ18="","",'[2]Tasa de Falla'!GZ18)</f>
      </c>
      <c r="H18" s="806">
        <f>IF('[2]Tasa de Falla'!HA18="","",'[2]Tasa de Falla'!HA18)</f>
      </c>
      <c r="I18" s="806">
        <f>IF('[2]Tasa de Falla'!HB18="","",'[2]Tasa de Falla'!HB18)</f>
      </c>
      <c r="J18" s="806">
        <f>IF('[2]Tasa de Falla'!HC18="","",'[2]Tasa de Falla'!HC18)</f>
      </c>
      <c r="K18" s="806">
        <f>IF('[2]Tasa de Falla'!HD18="","",'[2]Tasa de Falla'!HD18)</f>
      </c>
      <c r="L18" s="806">
        <f>IF('[2]Tasa de Falla'!HE18="","",'[2]Tasa de Falla'!HE18)</f>
      </c>
      <c r="M18" s="806">
        <f>IF('[2]Tasa de Falla'!HF18="","",'[2]Tasa de Falla'!HF18)</f>
      </c>
      <c r="N18" s="806">
        <f>IF('[2]Tasa de Falla'!HG18="","",'[2]Tasa de Falla'!HG18)</f>
      </c>
      <c r="O18" s="806">
        <f>IF('[2]Tasa de Falla'!HH18="","",'[2]Tasa de Falla'!HH18)</f>
      </c>
      <c r="P18" s="806">
        <f>IF('[2]Tasa de Falla'!HI18="","",'[2]Tasa de Falla'!HI18)</f>
      </c>
      <c r="Q18" s="806">
        <f>IF('[2]Tasa de Falla'!HJ18="","",'[2]Tasa de Falla'!HJ18)</f>
      </c>
      <c r="R18" s="806">
        <f>IF('[2]Tasa de Falla'!HK18="","",'[2]Tasa de Falla'!HK18)</f>
      </c>
      <c r="S18" s="800"/>
      <c r="T18" s="795"/>
    </row>
    <row r="19" spans="2:20" s="796" customFormat="1" ht="24.75" customHeight="1">
      <c r="B19" s="797"/>
      <c r="C19" s="802">
        <f>'[2]Tasa de Falla'!C19</f>
        <v>3</v>
      </c>
      <c r="D19" s="803" t="str">
        <f>'[2]Tasa de Falla'!D19</f>
        <v>AGUA DEL TORO - NIHUIL II</v>
      </c>
      <c r="E19" s="803">
        <f>'[2]Tasa de Falla'!E19</f>
        <v>220</v>
      </c>
      <c r="F19" s="804">
        <f>'[2]Tasa de Falla'!F19</f>
        <v>53.5</v>
      </c>
      <c r="G19" s="803">
        <f>IF('[2]Tasa de Falla'!GZ19="","",'[2]Tasa de Falla'!GZ19)</f>
      </c>
      <c r="H19" s="803">
        <f>IF('[2]Tasa de Falla'!HA19="","",'[2]Tasa de Falla'!HA19)</f>
      </c>
      <c r="I19" s="803">
        <f>IF('[2]Tasa de Falla'!HB19="","",'[2]Tasa de Falla'!HB19)</f>
      </c>
      <c r="J19" s="803">
        <f>IF('[2]Tasa de Falla'!HC19="","",'[2]Tasa de Falla'!HC19)</f>
      </c>
      <c r="K19" s="803">
        <f>IF('[2]Tasa de Falla'!HD19="","",'[2]Tasa de Falla'!HD19)</f>
      </c>
      <c r="L19" s="803">
        <f>IF('[2]Tasa de Falla'!HE19="","",'[2]Tasa de Falla'!HE19)</f>
      </c>
      <c r="M19" s="803">
        <f>IF('[2]Tasa de Falla'!HF19="","",'[2]Tasa de Falla'!HF19)</f>
      </c>
      <c r="N19" s="803">
        <f>IF('[2]Tasa de Falla'!HG19="","",'[2]Tasa de Falla'!HG19)</f>
      </c>
      <c r="O19" s="803">
        <f>IF('[2]Tasa de Falla'!HH19="","",'[2]Tasa de Falla'!HH19)</f>
      </c>
      <c r="P19" s="803">
        <f>IF('[2]Tasa de Falla'!HI19="","",'[2]Tasa de Falla'!HI19)</f>
      </c>
      <c r="Q19" s="803">
        <f>IF('[2]Tasa de Falla'!HJ19="","",'[2]Tasa de Falla'!HJ19)</f>
      </c>
      <c r="R19" s="803">
        <f>IF('[2]Tasa de Falla'!HK19="","",'[2]Tasa de Falla'!HK19)</f>
      </c>
      <c r="S19" s="800"/>
      <c r="T19" s="795"/>
    </row>
    <row r="20" spans="2:20" s="796" customFormat="1" ht="24.75" customHeight="1">
      <c r="B20" s="797"/>
      <c r="C20" s="805">
        <f>'[2]Tasa de Falla'!C20</f>
        <v>4</v>
      </c>
      <c r="D20" s="806" t="str">
        <f>'[2]Tasa de Falla'!D20</f>
        <v>CRUZ DE PIEDRA - SAN JUAN</v>
      </c>
      <c r="E20" s="806">
        <f>'[2]Tasa de Falla'!E20</f>
        <v>220</v>
      </c>
      <c r="F20" s="807">
        <f>'[2]Tasa de Falla'!F20</f>
        <v>171.6</v>
      </c>
      <c r="G20" s="806">
        <f>IF('[2]Tasa de Falla'!GZ20="","",'[2]Tasa de Falla'!GZ20)</f>
      </c>
      <c r="H20" s="806">
        <f>IF('[2]Tasa de Falla'!HA20="","",'[2]Tasa de Falla'!HA20)</f>
      </c>
      <c r="I20" s="806">
        <f>IF('[2]Tasa de Falla'!HB20="","",'[2]Tasa de Falla'!HB20)</f>
      </c>
      <c r="J20" s="806">
        <f>IF('[2]Tasa de Falla'!HC20="","",'[2]Tasa de Falla'!HC20)</f>
      </c>
      <c r="K20" s="806">
        <f>IF('[2]Tasa de Falla'!HD20="","",'[2]Tasa de Falla'!HD20)</f>
      </c>
      <c r="L20" s="806">
        <f>IF('[2]Tasa de Falla'!HE20="","",'[2]Tasa de Falla'!HE20)</f>
      </c>
      <c r="M20" s="806">
        <f>IF('[2]Tasa de Falla'!HF20="","",'[2]Tasa de Falla'!HF20)</f>
      </c>
      <c r="N20" s="806">
        <f>IF('[2]Tasa de Falla'!HG20="","",'[2]Tasa de Falla'!HG20)</f>
      </c>
      <c r="O20" s="806">
        <f>IF('[2]Tasa de Falla'!HH20="","",'[2]Tasa de Falla'!HH20)</f>
      </c>
      <c r="P20" s="806">
        <f>IF('[2]Tasa de Falla'!HI20="","",'[2]Tasa de Falla'!HI20)</f>
      </c>
      <c r="Q20" s="806">
        <f>IF('[2]Tasa de Falla'!HJ20="","",'[2]Tasa de Falla'!HJ20)</f>
      </c>
      <c r="R20" s="806">
        <f>IF('[2]Tasa de Falla'!HK20="","",'[2]Tasa de Falla'!HK20)</f>
      </c>
      <c r="S20" s="800"/>
      <c r="T20" s="795"/>
    </row>
    <row r="21" spans="2:20" s="796" customFormat="1" ht="24.75" customHeight="1">
      <c r="B21" s="797"/>
      <c r="C21" s="802">
        <f>'[2]Tasa de Falla'!C21</f>
        <v>5</v>
      </c>
      <c r="D21" s="803" t="str">
        <f>'[2]Tasa de Falla'!D21</f>
        <v>LOS REYUNOS - GRAN MENDOZA</v>
      </c>
      <c r="E21" s="803">
        <f>'[2]Tasa de Falla'!E21</f>
        <v>220</v>
      </c>
      <c r="F21" s="804">
        <f>'[2]Tasa de Falla'!F21</f>
        <v>188.3</v>
      </c>
      <c r="G21" s="803">
        <f>IF('[2]Tasa de Falla'!GZ21="","",'[2]Tasa de Falla'!GZ21)</f>
      </c>
      <c r="H21" s="803">
        <f>IF('[2]Tasa de Falla'!HA21="","",'[2]Tasa de Falla'!HA21)</f>
      </c>
      <c r="I21" s="803">
        <f>IF('[2]Tasa de Falla'!HB21="","",'[2]Tasa de Falla'!HB21)</f>
      </c>
      <c r="J21" s="803">
        <f>IF('[2]Tasa de Falla'!HC21="","",'[2]Tasa de Falla'!HC21)</f>
        <v>1</v>
      </c>
      <c r="K21" s="803">
        <f>IF('[2]Tasa de Falla'!HD21="","",'[2]Tasa de Falla'!HD21)</f>
      </c>
      <c r="L21" s="803">
        <f>IF('[2]Tasa de Falla'!HE21="","",'[2]Tasa de Falla'!HE21)</f>
      </c>
      <c r="M21" s="803">
        <f>IF('[2]Tasa de Falla'!HF21="","",'[2]Tasa de Falla'!HF21)</f>
      </c>
      <c r="N21" s="803">
        <f>IF('[2]Tasa de Falla'!HG21="","",'[2]Tasa de Falla'!HG21)</f>
      </c>
      <c r="O21" s="803">
        <f>IF('[2]Tasa de Falla'!HH21="","",'[2]Tasa de Falla'!HH21)</f>
      </c>
      <c r="P21" s="803">
        <f>IF('[2]Tasa de Falla'!HI21="","",'[2]Tasa de Falla'!HI21)</f>
      </c>
      <c r="Q21" s="803">
        <f>IF('[2]Tasa de Falla'!HJ21="","",'[2]Tasa de Falla'!HJ21)</f>
      </c>
      <c r="R21" s="803">
        <f>IF('[2]Tasa de Falla'!HK21="","",'[2]Tasa de Falla'!HK21)</f>
      </c>
      <c r="S21" s="800"/>
      <c r="T21" s="795"/>
    </row>
    <row r="22" spans="2:20" s="796" customFormat="1" ht="24.75" customHeight="1">
      <c r="B22" s="797"/>
      <c r="C22" s="802">
        <f>'[2]Tasa de Falla'!C22</f>
        <v>6</v>
      </c>
      <c r="D22" s="803" t="str">
        <f>'[2]Tasa de Falla'!D22</f>
        <v>CRUZ DE PIEDRA - CAÑADA HONDA</v>
      </c>
      <c r="E22" s="803">
        <f>'[2]Tasa de Falla'!E22</f>
        <v>132</v>
      </c>
      <c r="F22" s="804">
        <f>'[2]Tasa de Falla'!F22</f>
        <v>125.8</v>
      </c>
      <c r="G22" s="803">
        <f>IF('[2]Tasa de Falla'!GZ22="","",'[2]Tasa de Falla'!GZ22)</f>
      </c>
      <c r="H22" s="803">
        <f>IF('[2]Tasa de Falla'!HA22="","",'[2]Tasa de Falla'!HA22)</f>
      </c>
      <c r="I22" s="803">
        <f>IF('[2]Tasa de Falla'!HB22="","",'[2]Tasa de Falla'!HB22)</f>
      </c>
      <c r="J22" s="803">
        <f>IF('[2]Tasa de Falla'!HC22="","",'[2]Tasa de Falla'!HC22)</f>
      </c>
      <c r="K22" s="803">
        <f>IF('[2]Tasa de Falla'!HD22="","",'[2]Tasa de Falla'!HD22)</f>
      </c>
      <c r="L22" s="803">
        <f>IF('[2]Tasa de Falla'!HE22="","",'[2]Tasa de Falla'!HE22)</f>
        <v>1</v>
      </c>
      <c r="M22" s="803">
        <f>IF('[2]Tasa de Falla'!HF22="","",'[2]Tasa de Falla'!HF22)</f>
      </c>
      <c r="N22" s="803">
        <f>IF('[2]Tasa de Falla'!HG22="","",'[2]Tasa de Falla'!HG22)</f>
      </c>
      <c r="O22" s="803">
        <f>IF('[2]Tasa de Falla'!HH22="","",'[2]Tasa de Falla'!HH22)</f>
      </c>
      <c r="P22" s="803">
        <f>IF('[2]Tasa de Falla'!HI22="","",'[2]Tasa de Falla'!HI22)</f>
      </c>
      <c r="Q22" s="803">
        <f>IF('[2]Tasa de Falla'!HJ22="","",'[2]Tasa de Falla'!HJ22)</f>
      </c>
      <c r="R22" s="803">
        <f>IF('[2]Tasa de Falla'!HK22="","",'[2]Tasa de Falla'!HK22)</f>
      </c>
      <c r="S22" s="800"/>
      <c r="T22" s="795"/>
    </row>
    <row r="23" spans="2:20" s="796" customFormat="1" ht="24.75" customHeight="1">
      <c r="B23" s="797"/>
      <c r="C23" s="805">
        <f>'[2]Tasa de Falla'!C23</f>
        <v>7</v>
      </c>
      <c r="D23" s="806" t="str">
        <f>'[2]Tasa de Falla'!D23</f>
        <v>ANCHORIS - CAPIZ</v>
      </c>
      <c r="E23" s="806">
        <f>'[2]Tasa de Falla'!E23</f>
        <v>132</v>
      </c>
      <c r="F23" s="807">
        <f>'[2]Tasa de Falla'!F23</f>
        <v>42</v>
      </c>
      <c r="G23" s="806">
        <f>IF('[2]Tasa de Falla'!GZ23="","",'[2]Tasa de Falla'!GZ23)</f>
      </c>
      <c r="H23" s="806">
        <f>IF('[2]Tasa de Falla'!HA23="","",'[2]Tasa de Falla'!HA23)</f>
        <v>1</v>
      </c>
      <c r="I23" s="806">
        <f>IF('[2]Tasa de Falla'!HB23="","",'[2]Tasa de Falla'!HB23)</f>
      </c>
      <c r="J23" s="806">
        <f>IF('[2]Tasa de Falla'!HC23="","",'[2]Tasa de Falla'!HC23)</f>
      </c>
      <c r="K23" s="806">
        <f>IF('[2]Tasa de Falla'!HD23="","",'[2]Tasa de Falla'!HD23)</f>
        <v>1</v>
      </c>
      <c r="L23" s="806">
        <f>IF('[2]Tasa de Falla'!HE23="","",'[2]Tasa de Falla'!HE23)</f>
      </c>
      <c r="M23" s="806">
        <f>IF('[2]Tasa de Falla'!HF23="","",'[2]Tasa de Falla'!HF23)</f>
      </c>
      <c r="N23" s="806">
        <f>IF('[2]Tasa de Falla'!HG23="","",'[2]Tasa de Falla'!HG23)</f>
      </c>
      <c r="O23" s="806">
        <f>IF('[2]Tasa de Falla'!HH23="","",'[2]Tasa de Falla'!HH23)</f>
      </c>
      <c r="P23" s="806">
        <f>IF('[2]Tasa de Falla'!HI23="","",'[2]Tasa de Falla'!HI23)</f>
      </c>
      <c r="Q23" s="806">
        <f>IF('[2]Tasa de Falla'!HJ23="","",'[2]Tasa de Falla'!HJ23)</f>
      </c>
      <c r="R23" s="806">
        <f>IF('[2]Tasa de Falla'!HK23="","",'[2]Tasa de Falla'!HK23)</f>
      </c>
      <c r="S23" s="800"/>
      <c r="T23" s="795"/>
    </row>
    <row r="24" spans="2:20" s="796" customFormat="1" ht="24.75" customHeight="1">
      <c r="B24" s="797"/>
      <c r="C24" s="802">
        <f>'[2]Tasa de Falla'!C24</f>
        <v>8</v>
      </c>
      <c r="D24" s="803" t="str">
        <f>'[2]Tasa de Falla'!D24</f>
        <v>ANCHORIS - CRUZ DE PIEDRA</v>
      </c>
      <c r="E24" s="803">
        <f>'[2]Tasa de Falla'!E24</f>
        <v>132</v>
      </c>
      <c r="F24" s="804">
        <f>'[2]Tasa de Falla'!F24</f>
        <v>33.5</v>
      </c>
      <c r="G24" s="803">
        <f>IF('[2]Tasa de Falla'!GZ24="","",'[2]Tasa de Falla'!GZ24)</f>
      </c>
      <c r="H24" s="803">
        <f>IF('[2]Tasa de Falla'!HA24="","",'[2]Tasa de Falla'!HA24)</f>
      </c>
      <c r="I24" s="803">
        <f>IF('[2]Tasa de Falla'!HB24="","",'[2]Tasa de Falla'!HB24)</f>
      </c>
      <c r="J24" s="803">
        <f>IF('[2]Tasa de Falla'!HC24="","",'[2]Tasa de Falla'!HC24)</f>
      </c>
      <c r="K24" s="803">
        <f>IF('[2]Tasa de Falla'!HD24="","",'[2]Tasa de Falla'!HD24)</f>
      </c>
      <c r="L24" s="803">
        <f>IF('[2]Tasa de Falla'!HE24="","",'[2]Tasa de Falla'!HE24)</f>
      </c>
      <c r="M24" s="803">
        <f>IF('[2]Tasa de Falla'!HF24="","",'[2]Tasa de Falla'!HF24)</f>
      </c>
      <c r="N24" s="803">
        <f>IF('[2]Tasa de Falla'!HG24="","",'[2]Tasa de Falla'!HG24)</f>
      </c>
      <c r="O24" s="803">
        <f>IF('[2]Tasa de Falla'!HH24="","",'[2]Tasa de Falla'!HH24)</f>
      </c>
      <c r="P24" s="803">
        <f>IF('[2]Tasa de Falla'!HI24="","",'[2]Tasa de Falla'!HI24)</f>
      </c>
      <c r="Q24" s="803">
        <f>IF('[2]Tasa de Falla'!HJ24="","",'[2]Tasa de Falla'!HJ24)</f>
      </c>
      <c r="R24" s="803">
        <f>IF('[2]Tasa de Falla'!HK24="","",'[2]Tasa de Falla'!HK24)</f>
      </c>
      <c r="S24" s="800"/>
      <c r="T24" s="795"/>
    </row>
    <row r="25" spans="2:20" s="796" customFormat="1" ht="24.75" customHeight="1">
      <c r="B25" s="797"/>
      <c r="C25" s="805">
        <f>'[2]Tasa de Falla'!C25</f>
        <v>9</v>
      </c>
      <c r="D25" s="806" t="str">
        <f>'[2]Tasa de Falla'!D25</f>
        <v>ANCHORIZ -Deriv."T" a LC 35-B.R.Tunuyan</v>
      </c>
      <c r="E25" s="806">
        <f>'[2]Tasa de Falla'!E25</f>
        <v>132</v>
      </c>
      <c r="F25" s="807">
        <f>'[2]Tasa de Falla'!F25</f>
        <v>52.9</v>
      </c>
      <c r="G25" s="806">
        <f>IF('[2]Tasa de Falla'!GZ25="","",'[2]Tasa de Falla'!GZ25)</f>
      </c>
      <c r="H25" s="806">
        <f>IF('[2]Tasa de Falla'!HA25="","",'[2]Tasa de Falla'!HA25)</f>
      </c>
      <c r="I25" s="806">
        <f>IF('[2]Tasa de Falla'!HB25="","",'[2]Tasa de Falla'!HB25)</f>
        <v>1</v>
      </c>
      <c r="J25" s="806">
        <f>IF('[2]Tasa de Falla'!HC25="","",'[2]Tasa de Falla'!HC25)</f>
      </c>
      <c r="K25" s="806">
        <f>IF('[2]Tasa de Falla'!HD25="","",'[2]Tasa de Falla'!HD25)</f>
      </c>
      <c r="L25" s="806">
        <f>IF('[2]Tasa de Falla'!HE25="","",'[2]Tasa de Falla'!HE25)</f>
      </c>
      <c r="M25" s="806">
        <f>IF('[2]Tasa de Falla'!HF25="","",'[2]Tasa de Falla'!HF25)</f>
      </c>
      <c r="N25" s="806">
        <f>IF('[2]Tasa de Falla'!HG25="","",'[2]Tasa de Falla'!HG25)</f>
      </c>
      <c r="O25" s="806">
        <f>IF('[2]Tasa de Falla'!HH25="","",'[2]Tasa de Falla'!HH25)</f>
      </c>
      <c r="P25" s="806">
        <f>IF('[2]Tasa de Falla'!HI25="","",'[2]Tasa de Falla'!HI25)</f>
      </c>
      <c r="Q25" s="806">
        <f>IF('[2]Tasa de Falla'!HJ25="","",'[2]Tasa de Falla'!HJ25)</f>
      </c>
      <c r="R25" s="806">
        <f>IF('[2]Tasa de Falla'!HK25="","",'[2]Tasa de Falla'!HK25)</f>
      </c>
      <c r="S25" s="800"/>
      <c r="T25" s="795"/>
    </row>
    <row r="26" spans="2:20" s="796" customFormat="1" ht="24.75" customHeight="1">
      <c r="B26" s="797"/>
      <c r="C26" s="802">
        <f>'[2]Tasa de Falla'!C26</f>
        <v>10</v>
      </c>
      <c r="D26" s="803" t="str">
        <f>'[2]Tasa de Falla'!D26</f>
        <v>CAPIZ - PEDRO VARGAS</v>
      </c>
      <c r="E26" s="803">
        <f>'[2]Tasa de Falla'!E26</f>
        <v>132</v>
      </c>
      <c r="F26" s="804">
        <f>'[2]Tasa de Falla'!F26</f>
        <v>122.1</v>
      </c>
      <c r="G26" s="803">
        <f>IF('[2]Tasa de Falla'!GZ26="","",'[2]Tasa de Falla'!GZ26)</f>
      </c>
      <c r="H26" s="803">
        <f>IF('[2]Tasa de Falla'!HA26="","",'[2]Tasa de Falla'!HA26)</f>
        <v>1</v>
      </c>
      <c r="I26" s="803">
        <f>IF('[2]Tasa de Falla'!HB26="","",'[2]Tasa de Falla'!HB26)</f>
      </c>
      <c r="J26" s="803">
        <f>IF('[2]Tasa de Falla'!HC26="","",'[2]Tasa de Falla'!HC26)</f>
      </c>
      <c r="K26" s="803">
        <f>IF('[2]Tasa de Falla'!HD26="","",'[2]Tasa de Falla'!HD26)</f>
      </c>
      <c r="L26" s="803">
        <f>IF('[2]Tasa de Falla'!HE26="","",'[2]Tasa de Falla'!HE26)</f>
      </c>
      <c r="M26" s="803">
        <f>IF('[2]Tasa de Falla'!HF26="","",'[2]Tasa de Falla'!HF26)</f>
      </c>
      <c r="N26" s="803">
        <f>IF('[2]Tasa de Falla'!HG26="","",'[2]Tasa de Falla'!HG26)</f>
      </c>
      <c r="O26" s="803">
        <f>IF('[2]Tasa de Falla'!HH26="","",'[2]Tasa de Falla'!HH26)</f>
      </c>
      <c r="P26" s="803">
        <f>IF('[2]Tasa de Falla'!HI26="","",'[2]Tasa de Falla'!HI26)</f>
      </c>
      <c r="Q26" s="803">
        <f>IF('[2]Tasa de Falla'!HJ26="","",'[2]Tasa de Falla'!HJ26)</f>
      </c>
      <c r="R26" s="803">
        <f>IF('[2]Tasa de Falla'!HK26="","",'[2]Tasa de Falla'!HK26)</f>
      </c>
      <c r="S26" s="800"/>
      <c r="T26" s="795"/>
    </row>
    <row r="27" spans="2:20" s="796" customFormat="1" ht="24.75" customHeight="1">
      <c r="B27" s="797"/>
      <c r="C27" s="805">
        <f>'[2]Tasa de Falla'!C27</f>
        <v>11</v>
      </c>
      <c r="D27" s="806" t="str">
        <f>'[2]Tasa de Falla'!D27</f>
        <v>SAN RAFAEL - PEDRO VARGAS</v>
      </c>
      <c r="E27" s="806">
        <f>'[2]Tasa de Falla'!E27</f>
        <v>132</v>
      </c>
      <c r="F27" s="807">
        <f>'[2]Tasa de Falla'!F27</f>
        <v>15.6</v>
      </c>
      <c r="G27" s="806">
        <f>IF('[2]Tasa de Falla'!GZ27="","",'[2]Tasa de Falla'!GZ27)</f>
      </c>
      <c r="H27" s="806">
        <f>IF('[2]Tasa de Falla'!HA27="","",'[2]Tasa de Falla'!HA27)</f>
      </c>
      <c r="I27" s="806">
        <f>IF('[2]Tasa de Falla'!HB27="","",'[2]Tasa de Falla'!HB27)</f>
      </c>
      <c r="J27" s="806">
        <f>IF('[2]Tasa de Falla'!HC27="","",'[2]Tasa de Falla'!HC27)</f>
      </c>
      <c r="K27" s="806">
        <f>IF('[2]Tasa de Falla'!HD27="","",'[2]Tasa de Falla'!HD27)</f>
      </c>
      <c r="L27" s="806">
        <f>IF('[2]Tasa de Falla'!HE27="","",'[2]Tasa de Falla'!HE27)</f>
      </c>
      <c r="M27" s="806">
        <f>IF('[2]Tasa de Falla'!HF27="","",'[2]Tasa de Falla'!HF27)</f>
      </c>
      <c r="N27" s="806">
        <f>IF('[2]Tasa de Falla'!HG27="","",'[2]Tasa de Falla'!HG27)</f>
      </c>
      <c r="O27" s="806">
        <f>IF('[2]Tasa de Falla'!HH27="","",'[2]Tasa de Falla'!HH27)</f>
      </c>
      <c r="P27" s="806">
        <f>IF('[2]Tasa de Falla'!HI27="","",'[2]Tasa de Falla'!HI27)</f>
      </c>
      <c r="Q27" s="806">
        <f>IF('[2]Tasa de Falla'!HJ27="","",'[2]Tasa de Falla'!HJ27)</f>
      </c>
      <c r="R27" s="806">
        <f>IF('[2]Tasa de Falla'!HK27="","",'[2]Tasa de Falla'!HK27)</f>
      </c>
      <c r="S27" s="800"/>
      <c r="T27" s="795"/>
    </row>
    <row r="28" spans="2:20" s="796" customFormat="1" ht="24.75" customHeight="1">
      <c r="B28" s="797"/>
      <c r="C28" s="802">
        <f>'[2]Tasa de Falla'!C28</f>
        <v>12</v>
      </c>
      <c r="D28" s="803" t="str">
        <f>'[2]Tasa de Falla'!D28</f>
        <v>GRAN MENDOZA - MONTE CASEROS 1</v>
      </c>
      <c r="E28" s="803">
        <f>'[2]Tasa de Falla'!E28</f>
        <v>132</v>
      </c>
      <c r="F28" s="804">
        <f>'[2]Tasa de Falla'!F28</f>
        <v>19.1</v>
      </c>
      <c r="G28" s="803">
        <f>IF('[2]Tasa de Falla'!GZ28="","",'[2]Tasa de Falla'!GZ28)</f>
      </c>
      <c r="H28" s="803">
        <f>IF('[2]Tasa de Falla'!HA28="","",'[2]Tasa de Falla'!HA28)</f>
      </c>
      <c r="I28" s="803">
        <f>IF('[2]Tasa de Falla'!HB28="","",'[2]Tasa de Falla'!HB28)</f>
      </c>
      <c r="J28" s="803">
        <f>IF('[2]Tasa de Falla'!HC28="","",'[2]Tasa de Falla'!HC28)</f>
      </c>
      <c r="K28" s="803">
        <f>IF('[2]Tasa de Falla'!HD28="","",'[2]Tasa de Falla'!HD28)</f>
      </c>
      <c r="L28" s="803">
        <f>IF('[2]Tasa de Falla'!HE28="","",'[2]Tasa de Falla'!HE28)</f>
      </c>
      <c r="M28" s="803">
        <f>IF('[2]Tasa de Falla'!HF28="","",'[2]Tasa de Falla'!HF28)</f>
      </c>
      <c r="N28" s="803">
        <f>IF('[2]Tasa de Falla'!HG28="","",'[2]Tasa de Falla'!HG28)</f>
      </c>
      <c r="O28" s="803">
        <f>IF('[2]Tasa de Falla'!HH28="","",'[2]Tasa de Falla'!HH28)</f>
      </c>
      <c r="P28" s="803">
        <f>IF('[2]Tasa de Falla'!HI28="","",'[2]Tasa de Falla'!HI28)</f>
      </c>
      <c r="Q28" s="803">
        <f>IF('[2]Tasa de Falla'!HJ28="","",'[2]Tasa de Falla'!HJ28)</f>
      </c>
      <c r="R28" s="803">
        <f>IF('[2]Tasa de Falla'!HK28="","",'[2]Tasa de Falla'!HK28)</f>
      </c>
      <c r="S28" s="800"/>
      <c r="T28" s="795"/>
    </row>
    <row r="29" spans="2:20" s="796" customFormat="1" ht="24.75" customHeight="1">
      <c r="B29" s="797"/>
      <c r="C29" s="805">
        <f>'[2]Tasa de Falla'!C29</f>
        <v>13</v>
      </c>
      <c r="D29" s="806" t="str">
        <f>'[2]Tasa de Falla'!D29</f>
        <v>GRAN MENDOZA - MONTE CASEROS 2</v>
      </c>
      <c r="E29" s="806">
        <f>'[2]Tasa de Falla'!E29</f>
        <v>132</v>
      </c>
      <c r="F29" s="807">
        <f>'[2]Tasa de Falla'!F29</f>
        <v>19.1</v>
      </c>
      <c r="G29" s="806">
        <f>IF('[2]Tasa de Falla'!GZ29="","",'[2]Tasa de Falla'!GZ29)</f>
      </c>
      <c r="H29" s="806">
        <f>IF('[2]Tasa de Falla'!HA29="","",'[2]Tasa de Falla'!HA29)</f>
      </c>
      <c r="I29" s="806">
        <f>IF('[2]Tasa de Falla'!HB29="","",'[2]Tasa de Falla'!HB29)</f>
      </c>
      <c r="J29" s="806">
        <f>IF('[2]Tasa de Falla'!HC29="","",'[2]Tasa de Falla'!HC29)</f>
      </c>
      <c r="K29" s="806">
        <f>IF('[2]Tasa de Falla'!HD29="","",'[2]Tasa de Falla'!HD29)</f>
      </c>
      <c r="L29" s="806">
        <f>IF('[2]Tasa de Falla'!HE29="","",'[2]Tasa de Falla'!HE29)</f>
      </c>
      <c r="M29" s="806">
        <f>IF('[2]Tasa de Falla'!HF29="","",'[2]Tasa de Falla'!HF29)</f>
      </c>
      <c r="N29" s="806">
        <f>IF('[2]Tasa de Falla'!HG29="","",'[2]Tasa de Falla'!HG29)</f>
      </c>
      <c r="O29" s="806">
        <f>IF('[2]Tasa de Falla'!HH29="","",'[2]Tasa de Falla'!HH29)</f>
      </c>
      <c r="P29" s="806">
        <f>IF('[2]Tasa de Falla'!HI29="","",'[2]Tasa de Falla'!HI29)</f>
      </c>
      <c r="Q29" s="806">
        <f>IF('[2]Tasa de Falla'!HJ29="","",'[2]Tasa de Falla'!HJ29)</f>
      </c>
      <c r="R29" s="806">
        <f>IF('[2]Tasa de Falla'!HK29="","",'[2]Tasa de Falla'!HK29)</f>
      </c>
      <c r="S29" s="800"/>
      <c r="T29" s="795"/>
    </row>
    <row r="30" spans="2:20" s="796" customFormat="1" ht="24.75" customHeight="1">
      <c r="B30" s="797"/>
      <c r="C30" s="802">
        <f>'[2]Tasa de Falla'!C30</f>
        <v>14</v>
      </c>
      <c r="D30" s="803" t="str">
        <f>'[2]Tasa de Falla'!D30</f>
        <v>CRUZ DE PIEDRA - GRAN MENDOZA 1</v>
      </c>
      <c r="E30" s="803">
        <f>'[2]Tasa de Falla'!E30</f>
        <v>132</v>
      </c>
      <c r="F30" s="804">
        <f>'[2]Tasa de Falla'!F30</f>
        <v>22</v>
      </c>
      <c r="G30" s="803">
        <f>IF('[2]Tasa de Falla'!GZ30="","",'[2]Tasa de Falla'!GZ30)</f>
      </c>
      <c r="H30" s="803">
        <f>IF('[2]Tasa de Falla'!HA30="","",'[2]Tasa de Falla'!HA30)</f>
      </c>
      <c r="I30" s="803">
        <f>IF('[2]Tasa de Falla'!HB30="","",'[2]Tasa de Falla'!HB30)</f>
      </c>
      <c r="J30" s="803">
        <f>IF('[2]Tasa de Falla'!HC30="","",'[2]Tasa de Falla'!HC30)</f>
      </c>
      <c r="K30" s="803">
        <f>IF('[2]Tasa de Falla'!HD30="","",'[2]Tasa de Falla'!HD30)</f>
      </c>
      <c r="L30" s="803">
        <f>IF('[2]Tasa de Falla'!HE30="","",'[2]Tasa de Falla'!HE30)</f>
      </c>
      <c r="M30" s="803">
        <f>IF('[2]Tasa de Falla'!HF30="","",'[2]Tasa de Falla'!HF30)</f>
      </c>
      <c r="N30" s="803">
        <f>IF('[2]Tasa de Falla'!HG30="","",'[2]Tasa de Falla'!HG30)</f>
      </c>
      <c r="O30" s="803">
        <f>IF('[2]Tasa de Falla'!HH30="","",'[2]Tasa de Falla'!HH30)</f>
      </c>
      <c r="P30" s="803">
        <f>IF('[2]Tasa de Falla'!HI30="","",'[2]Tasa de Falla'!HI30)</f>
        <v>1</v>
      </c>
      <c r="Q30" s="803">
        <f>IF('[2]Tasa de Falla'!HJ30="","",'[2]Tasa de Falla'!HJ30)</f>
      </c>
      <c r="R30" s="803">
        <f>IF('[2]Tasa de Falla'!HK30="","",'[2]Tasa de Falla'!HK30)</f>
      </c>
      <c r="S30" s="800"/>
      <c r="T30" s="795"/>
    </row>
    <row r="31" spans="2:20" s="796" customFormat="1" ht="24.75" customHeight="1">
      <c r="B31" s="797"/>
      <c r="C31" s="805">
        <f>'[2]Tasa de Falla'!C31</f>
        <v>15</v>
      </c>
      <c r="D31" s="806" t="str">
        <f>'[2]Tasa de Falla'!D31</f>
        <v>CRUZ DE PIEDRA - GRAN MENDOZA 2</v>
      </c>
      <c r="E31" s="806">
        <f>'[2]Tasa de Falla'!E31</f>
        <v>132</v>
      </c>
      <c r="F31" s="807">
        <f>'[2]Tasa de Falla'!F31</f>
        <v>22</v>
      </c>
      <c r="G31" s="806">
        <f>IF('[2]Tasa de Falla'!GZ31="","",'[2]Tasa de Falla'!GZ31)</f>
      </c>
      <c r="H31" s="806">
        <f>IF('[2]Tasa de Falla'!HA31="","",'[2]Tasa de Falla'!HA31)</f>
      </c>
      <c r="I31" s="806">
        <f>IF('[2]Tasa de Falla'!HB31="","",'[2]Tasa de Falla'!HB31)</f>
      </c>
      <c r="J31" s="806">
        <f>IF('[2]Tasa de Falla'!HC31="","",'[2]Tasa de Falla'!HC31)</f>
      </c>
      <c r="K31" s="806">
        <f>IF('[2]Tasa de Falla'!HD31="","",'[2]Tasa de Falla'!HD31)</f>
      </c>
      <c r="L31" s="806">
        <f>IF('[2]Tasa de Falla'!HE31="","",'[2]Tasa de Falla'!HE31)</f>
      </c>
      <c r="M31" s="806">
        <f>IF('[2]Tasa de Falla'!HF31="","",'[2]Tasa de Falla'!HF31)</f>
      </c>
      <c r="N31" s="806">
        <f>IF('[2]Tasa de Falla'!HG31="","",'[2]Tasa de Falla'!HG31)</f>
      </c>
      <c r="O31" s="806">
        <f>IF('[2]Tasa de Falla'!HH31="","",'[2]Tasa de Falla'!HH31)</f>
      </c>
      <c r="P31" s="806">
        <f>IF('[2]Tasa de Falla'!HI31="","",'[2]Tasa de Falla'!HI31)</f>
        <v>1</v>
      </c>
      <c r="Q31" s="806">
        <f>IF('[2]Tasa de Falla'!HJ31="","",'[2]Tasa de Falla'!HJ31)</f>
      </c>
      <c r="R31" s="806">
        <f>IF('[2]Tasa de Falla'!HK31="","",'[2]Tasa de Falla'!HK31)</f>
      </c>
      <c r="S31" s="800"/>
      <c r="T31" s="795"/>
    </row>
    <row r="32" spans="2:20" s="796" customFormat="1" ht="24.75" customHeight="1">
      <c r="B32" s="797"/>
      <c r="C32" s="802">
        <f>'[2]Tasa de Falla'!C32</f>
        <v>16</v>
      </c>
      <c r="D32" s="803" t="str">
        <f>'[2]Tasa de Falla'!D32</f>
        <v>CRUZ DE PIEDRA - SAN JUAN</v>
      </c>
      <c r="E32" s="803">
        <f>'[2]Tasa de Falla'!E32</f>
        <v>132</v>
      </c>
      <c r="F32" s="804">
        <f>'[2]Tasa de Falla'!F32</f>
        <v>180.18</v>
      </c>
      <c r="G32" s="803" t="str">
        <f>IF('[2]Tasa de Falla'!GZ32="","",'[2]Tasa de Falla'!GZ32)</f>
        <v>XXXX</v>
      </c>
      <c r="H32" s="803" t="str">
        <f>IF('[2]Tasa de Falla'!HA32="","",'[2]Tasa de Falla'!HA32)</f>
        <v>XXXX</v>
      </c>
      <c r="I32" s="803" t="str">
        <f>IF('[2]Tasa de Falla'!HB32="","",'[2]Tasa de Falla'!HB32)</f>
        <v>XXXX</v>
      </c>
      <c r="J32" s="803" t="str">
        <f>IF('[2]Tasa de Falla'!HC32="","",'[2]Tasa de Falla'!HC32)</f>
        <v>XXXX</v>
      </c>
      <c r="K32" s="803" t="str">
        <f>IF('[2]Tasa de Falla'!HD32="","",'[2]Tasa de Falla'!HD32)</f>
        <v>XXXX</v>
      </c>
      <c r="L32" s="803" t="str">
        <f>IF('[2]Tasa de Falla'!HE32="","",'[2]Tasa de Falla'!HE32)</f>
        <v>XXXX</v>
      </c>
      <c r="M32" s="803" t="str">
        <f>IF('[2]Tasa de Falla'!HF32="","",'[2]Tasa de Falla'!HF32)</f>
        <v>XXXX</v>
      </c>
      <c r="N32" s="803" t="str">
        <f>IF('[2]Tasa de Falla'!HG32="","",'[2]Tasa de Falla'!HG32)</f>
        <v>XXXX</v>
      </c>
      <c r="O32" s="803" t="str">
        <f>IF('[2]Tasa de Falla'!HH32="","",'[2]Tasa de Falla'!HH32)</f>
        <v>XXXX</v>
      </c>
      <c r="P32" s="803" t="str">
        <f>IF('[2]Tasa de Falla'!HI32="","",'[2]Tasa de Falla'!HI32)</f>
        <v>XXXX</v>
      </c>
      <c r="Q32" s="803" t="str">
        <f>IF('[2]Tasa de Falla'!HJ32="","",'[2]Tasa de Falla'!HJ32)</f>
        <v>XXXX</v>
      </c>
      <c r="R32" s="803" t="str">
        <f>IF('[2]Tasa de Falla'!HK32="","",'[2]Tasa de Falla'!HK32)</f>
        <v>XXXX</v>
      </c>
      <c r="S32" s="800"/>
      <c r="T32" s="795"/>
    </row>
    <row r="33" spans="2:20" s="796" customFormat="1" ht="24.75" customHeight="1">
      <c r="B33" s="797"/>
      <c r="C33" s="805">
        <f>'[2]Tasa de Falla'!C33</f>
        <v>17</v>
      </c>
      <c r="D33" s="806" t="str">
        <f>'[2]Tasa de Falla'!D33</f>
        <v>CRUZ DE PIEDRA - LUJAN DE CUYO 1</v>
      </c>
      <c r="E33" s="806">
        <f>'[2]Tasa de Falla'!E33</f>
        <v>132</v>
      </c>
      <c r="F33" s="807">
        <f>'[2]Tasa de Falla'!F33</f>
        <v>18.1</v>
      </c>
      <c r="G33" s="806">
        <f>IF('[2]Tasa de Falla'!GZ33="","",'[2]Tasa de Falla'!GZ33)</f>
      </c>
      <c r="H33" s="806">
        <f>IF('[2]Tasa de Falla'!HA33="","",'[2]Tasa de Falla'!HA33)</f>
      </c>
      <c r="I33" s="806">
        <f>IF('[2]Tasa de Falla'!HB33="","",'[2]Tasa de Falla'!HB33)</f>
      </c>
      <c r="J33" s="806">
        <f>IF('[2]Tasa de Falla'!HC33="","",'[2]Tasa de Falla'!HC33)</f>
      </c>
      <c r="K33" s="806">
        <f>IF('[2]Tasa de Falla'!HD33="","",'[2]Tasa de Falla'!HD33)</f>
      </c>
      <c r="L33" s="806">
        <f>IF('[2]Tasa de Falla'!HE33="","",'[2]Tasa de Falla'!HE33)</f>
      </c>
      <c r="M33" s="806">
        <f>IF('[2]Tasa de Falla'!HF33="","",'[2]Tasa de Falla'!HF33)</f>
      </c>
      <c r="N33" s="806">
        <f>IF('[2]Tasa de Falla'!HG33="","",'[2]Tasa de Falla'!HG33)</f>
      </c>
      <c r="O33" s="806">
        <f>IF('[2]Tasa de Falla'!HH33="","",'[2]Tasa de Falla'!HH33)</f>
      </c>
      <c r="P33" s="806">
        <f>IF('[2]Tasa de Falla'!HI33="","",'[2]Tasa de Falla'!HI33)</f>
      </c>
      <c r="Q33" s="806">
        <f>IF('[2]Tasa de Falla'!HJ33="","",'[2]Tasa de Falla'!HJ33)</f>
      </c>
      <c r="R33" s="806">
        <f>IF('[2]Tasa de Falla'!HK33="","",'[2]Tasa de Falla'!HK33)</f>
      </c>
      <c r="S33" s="800"/>
      <c r="T33" s="795"/>
    </row>
    <row r="34" spans="2:20" s="796" customFormat="1" ht="24.75" customHeight="1">
      <c r="B34" s="797"/>
      <c r="C34" s="802">
        <f>'[2]Tasa de Falla'!C34</f>
        <v>18</v>
      </c>
      <c r="D34" s="803" t="str">
        <f>'[2]Tasa de Falla'!D34</f>
        <v>CRUZ DE PIEDRA - LUJAN DE CUYO 2</v>
      </c>
      <c r="E34" s="803">
        <f>'[2]Tasa de Falla'!E34</f>
        <v>132</v>
      </c>
      <c r="F34" s="804">
        <f>'[2]Tasa de Falla'!F34</f>
        <v>18.1</v>
      </c>
      <c r="G34" s="803">
        <f>IF('[2]Tasa de Falla'!GZ34="","",'[2]Tasa de Falla'!GZ34)</f>
      </c>
      <c r="H34" s="803">
        <f>IF('[2]Tasa de Falla'!HA34="","",'[2]Tasa de Falla'!HA34)</f>
      </c>
      <c r="I34" s="803">
        <f>IF('[2]Tasa de Falla'!HB34="","",'[2]Tasa de Falla'!HB34)</f>
      </c>
      <c r="J34" s="803">
        <f>IF('[2]Tasa de Falla'!HC34="","",'[2]Tasa de Falla'!HC34)</f>
      </c>
      <c r="K34" s="803">
        <f>IF('[2]Tasa de Falla'!HD34="","",'[2]Tasa de Falla'!HD34)</f>
      </c>
      <c r="L34" s="803">
        <f>IF('[2]Tasa de Falla'!HE34="","",'[2]Tasa de Falla'!HE34)</f>
      </c>
      <c r="M34" s="803">
        <f>IF('[2]Tasa de Falla'!HF34="","",'[2]Tasa de Falla'!HF34)</f>
        <v>1</v>
      </c>
      <c r="N34" s="803">
        <f>IF('[2]Tasa de Falla'!HG34="","",'[2]Tasa de Falla'!HG34)</f>
      </c>
      <c r="O34" s="803">
        <f>IF('[2]Tasa de Falla'!HH34="","",'[2]Tasa de Falla'!HH34)</f>
      </c>
      <c r="P34" s="803">
        <f>IF('[2]Tasa de Falla'!HI34="","",'[2]Tasa de Falla'!HI34)</f>
      </c>
      <c r="Q34" s="803">
        <f>IF('[2]Tasa de Falla'!HJ34="","",'[2]Tasa de Falla'!HJ34)</f>
      </c>
      <c r="R34" s="803">
        <f>IF('[2]Tasa de Falla'!HK34="","",'[2]Tasa de Falla'!HK34)</f>
      </c>
      <c r="S34" s="800"/>
      <c r="T34" s="795"/>
    </row>
    <row r="35" spans="2:20" s="796" customFormat="1" ht="24.75" customHeight="1">
      <c r="B35" s="797"/>
      <c r="C35" s="808">
        <f>'[2]Tasa de Falla'!C35</f>
        <v>19</v>
      </c>
      <c r="D35" s="809" t="str">
        <f>'[2]Tasa de Falla'!D35</f>
        <v>C.H. NIHUIL I - PEDRO VARGAS</v>
      </c>
      <c r="E35" s="809">
        <f>'[2]Tasa de Falla'!E35</f>
        <v>132</v>
      </c>
      <c r="F35" s="810">
        <f>'[2]Tasa de Falla'!F35</f>
        <v>46.5</v>
      </c>
      <c r="G35" s="809">
        <f>IF('[2]Tasa de Falla'!GZ35="","",'[2]Tasa de Falla'!GZ35)</f>
      </c>
      <c r="H35" s="809">
        <f>IF('[2]Tasa de Falla'!HA35="","",'[2]Tasa de Falla'!HA35)</f>
      </c>
      <c r="I35" s="809">
        <f>IF('[2]Tasa de Falla'!HB35="","",'[2]Tasa de Falla'!HB35)</f>
      </c>
      <c r="J35" s="809">
        <f>IF('[2]Tasa de Falla'!HC35="","",'[2]Tasa de Falla'!HC35)</f>
      </c>
      <c r="K35" s="809">
        <f>IF('[2]Tasa de Falla'!HD35="","",'[2]Tasa de Falla'!HD35)</f>
      </c>
      <c r="L35" s="809">
        <f>IF('[2]Tasa de Falla'!HE35="","",'[2]Tasa de Falla'!HE35)</f>
      </c>
      <c r="M35" s="809">
        <f>IF('[2]Tasa de Falla'!HF35="","",'[2]Tasa de Falla'!HF35)</f>
      </c>
      <c r="N35" s="809">
        <f>IF('[2]Tasa de Falla'!HG35="","",'[2]Tasa de Falla'!HG35)</f>
      </c>
      <c r="O35" s="809">
        <f>IF('[2]Tasa de Falla'!HH35="","",'[2]Tasa de Falla'!HH35)</f>
      </c>
      <c r="P35" s="809">
        <f>IF('[2]Tasa de Falla'!HI35="","",'[2]Tasa de Falla'!HI35)</f>
      </c>
      <c r="Q35" s="809">
        <f>IF('[2]Tasa de Falla'!HJ35="","",'[2]Tasa de Falla'!HJ35)</f>
      </c>
      <c r="R35" s="809">
        <f>IF('[2]Tasa de Falla'!HK35="","",'[2]Tasa de Falla'!HK35)</f>
      </c>
      <c r="S35" s="800"/>
      <c r="T35" s="795"/>
    </row>
    <row r="36" spans="2:20" s="796" customFormat="1" ht="24.75" customHeight="1">
      <c r="B36" s="797"/>
      <c r="C36" s="802">
        <f>'[2]Tasa de Falla'!C36</f>
        <v>20</v>
      </c>
      <c r="D36" s="803" t="str">
        <f>'[2]Tasa de Falla'!D36</f>
        <v>N AN JUAN - SAN JUAN</v>
      </c>
      <c r="E36" s="803">
        <f>'[2]Tasa de Falla'!E36</f>
        <v>220</v>
      </c>
      <c r="F36" s="804">
        <f>'[2]Tasa de Falla'!F36</f>
        <v>4.5</v>
      </c>
      <c r="G36" s="803">
        <f>IF('[2]Tasa de Falla'!GZ36="","",'[2]Tasa de Falla'!GZ36)</f>
      </c>
      <c r="H36" s="803">
        <f>IF('[2]Tasa de Falla'!HA36="","",'[2]Tasa de Falla'!HA36)</f>
      </c>
      <c r="I36" s="803">
        <f>IF('[2]Tasa de Falla'!HB36="","",'[2]Tasa de Falla'!HB36)</f>
      </c>
      <c r="J36" s="803">
        <f>IF('[2]Tasa de Falla'!HC36="","",'[2]Tasa de Falla'!HC36)</f>
      </c>
      <c r="K36" s="803">
        <f>IF('[2]Tasa de Falla'!HD36="","",'[2]Tasa de Falla'!HD36)</f>
      </c>
      <c r="L36" s="803">
        <f>IF('[2]Tasa de Falla'!HE36="","",'[2]Tasa de Falla'!HE36)</f>
      </c>
      <c r="M36" s="803">
        <f>IF('[2]Tasa de Falla'!HF36="","",'[2]Tasa de Falla'!HF36)</f>
      </c>
      <c r="N36" s="803">
        <f>IF('[2]Tasa de Falla'!HG36="","",'[2]Tasa de Falla'!HG36)</f>
      </c>
      <c r="O36" s="803">
        <f>IF('[2]Tasa de Falla'!HH36="","",'[2]Tasa de Falla'!HH36)</f>
      </c>
      <c r="P36" s="803">
        <f>IF('[2]Tasa de Falla'!HI36="","",'[2]Tasa de Falla'!HI36)</f>
      </c>
      <c r="Q36" s="803">
        <f>IF('[2]Tasa de Falla'!HJ36="","",'[2]Tasa de Falla'!HJ36)</f>
      </c>
      <c r="R36" s="803">
        <f>IF('[2]Tasa de Falla'!HK36="","",'[2]Tasa de Falla'!HK36)</f>
      </c>
      <c r="S36" s="800"/>
      <c r="T36" s="795"/>
    </row>
    <row r="37" spans="2:20" s="796" customFormat="1" ht="24.75" customHeight="1">
      <c r="B37" s="797"/>
      <c r="C37" s="808">
        <f>'[2]Tasa de Falla'!C37</f>
        <v>21</v>
      </c>
      <c r="D37" s="809" t="str">
        <f>'[2]Tasa de Falla'!D37</f>
        <v>SAN JUAN - CAÑADA HONDA</v>
      </c>
      <c r="E37" s="809">
        <f>'[2]Tasa de Falla'!E37</f>
        <v>132</v>
      </c>
      <c r="F37" s="810">
        <f>'[2]Tasa de Falla'!F37</f>
        <v>54.4</v>
      </c>
      <c r="G37" s="809">
        <f>IF('[2]Tasa de Falla'!GZ37="","",'[2]Tasa de Falla'!GZ37)</f>
      </c>
      <c r="H37" s="809">
        <f>IF('[2]Tasa de Falla'!HA37="","",'[2]Tasa de Falla'!HA37)</f>
      </c>
      <c r="I37" s="809">
        <f>IF('[2]Tasa de Falla'!HB37="","",'[2]Tasa de Falla'!HB37)</f>
      </c>
      <c r="J37" s="809">
        <f>IF('[2]Tasa de Falla'!HC37="","",'[2]Tasa de Falla'!HC37)</f>
      </c>
      <c r="K37" s="809">
        <f>IF('[2]Tasa de Falla'!HD37="","",'[2]Tasa de Falla'!HD37)</f>
      </c>
      <c r="L37" s="809">
        <f>IF('[2]Tasa de Falla'!HE37="","",'[2]Tasa de Falla'!HE37)</f>
      </c>
      <c r="M37" s="809">
        <f>IF('[2]Tasa de Falla'!HF37="","",'[2]Tasa de Falla'!HF37)</f>
        <v>1</v>
      </c>
      <c r="N37" s="809">
        <f>IF('[2]Tasa de Falla'!HG37="","",'[2]Tasa de Falla'!HG37)</f>
        <v>1</v>
      </c>
      <c r="O37" s="809">
        <f>IF('[2]Tasa de Falla'!HH37="","",'[2]Tasa de Falla'!HH37)</f>
      </c>
      <c r="P37" s="809">
        <f>IF('[2]Tasa de Falla'!HI37="","",'[2]Tasa de Falla'!HI37)</f>
      </c>
      <c r="Q37" s="809">
        <f>IF('[2]Tasa de Falla'!HJ37="","",'[2]Tasa de Falla'!HJ37)</f>
      </c>
      <c r="R37" s="809">
        <f>IF('[2]Tasa de Falla'!HK37="","",'[2]Tasa de Falla'!HK37)</f>
      </c>
      <c r="S37" s="800"/>
      <c r="T37" s="795"/>
    </row>
    <row r="38" spans="2:20" s="796" customFormat="1" ht="24.75" customHeight="1" thickBot="1">
      <c r="B38" s="797"/>
      <c r="C38" s="811">
        <f>IF('[3]Tasa de Falla'!C36=0,"",'[3]Tasa de Falla'!C36)</f>
      </c>
      <c r="D38" s="812">
        <f>IF('[3]Tasa de Falla'!D36=0,"",'[3]Tasa de Falla'!D36)</f>
      </c>
      <c r="E38" s="813">
        <f>IF('[3]Tasa de Falla'!E36=0,"",'[3]Tasa de Falla'!E36)</f>
      </c>
      <c r="F38" s="814">
        <f>IF('[3]Tasa de Falla'!F36=0,"",'[3]Tasa de Falla'!F36)</f>
      </c>
      <c r="G38" s="813"/>
      <c r="H38" s="813"/>
      <c r="I38" s="813"/>
      <c r="J38" s="813"/>
      <c r="K38" s="813"/>
      <c r="L38" s="813"/>
      <c r="M38" s="813"/>
      <c r="N38" s="813"/>
      <c r="O38" s="813"/>
      <c r="P38" s="813"/>
      <c r="Q38" s="813"/>
      <c r="R38" s="813"/>
      <c r="S38" s="800"/>
      <c r="T38" s="795"/>
    </row>
    <row r="39" spans="2:20" s="796" customFormat="1" ht="24.75" customHeight="1" thickBot="1" thickTop="1">
      <c r="B39" s="797"/>
      <c r="C39" s="815"/>
      <c r="D39" s="816"/>
      <c r="E39" s="817" t="s">
        <v>152</v>
      </c>
      <c r="F39" s="818">
        <f>ROUND(SUM($F$17:$F$38)-SUMIF($R17:$R38,"XXXX",$F$17:$F$38),2)</f>
        <v>1250</v>
      </c>
      <c r="G39" s="819"/>
      <c r="H39" s="820"/>
      <c r="I39" s="819"/>
      <c r="J39" s="820"/>
      <c r="K39" s="819"/>
      <c r="L39" s="820"/>
      <c r="M39" s="819"/>
      <c r="N39" s="820"/>
      <c r="O39" s="819"/>
      <c r="P39" s="820"/>
      <c r="Q39" s="819"/>
      <c r="R39" s="820"/>
      <c r="S39" s="800"/>
      <c r="T39" s="795"/>
    </row>
    <row r="40" spans="2:20" s="796" customFormat="1" ht="24.75" customHeight="1" thickBot="1" thickTop="1">
      <c r="B40" s="797"/>
      <c r="C40" s="821"/>
      <c r="D40" s="822"/>
      <c r="F40" s="823" t="s">
        <v>153</v>
      </c>
      <c r="G40" s="824">
        <f aca="true" t="shared" si="0" ref="G40:R40">SUM(G17:G38)</f>
        <v>0</v>
      </c>
      <c r="H40" s="824">
        <f t="shared" si="0"/>
        <v>2</v>
      </c>
      <c r="I40" s="824">
        <f t="shared" si="0"/>
        <v>1</v>
      </c>
      <c r="J40" s="824">
        <f t="shared" si="0"/>
        <v>1</v>
      </c>
      <c r="K40" s="824">
        <f t="shared" si="0"/>
        <v>1</v>
      </c>
      <c r="L40" s="824">
        <f t="shared" si="0"/>
        <v>1</v>
      </c>
      <c r="M40" s="824">
        <f t="shared" si="0"/>
        <v>2</v>
      </c>
      <c r="N40" s="824">
        <f t="shared" si="0"/>
        <v>1</v>
      </c>
      <c r="O40" s="824">
        <f t="shared" si="0"/>
        <v>0</v>
      </c>
      <c r="P40" s="824">
        <f t="shared" si="0"/>
        <v>2</v>
      </c>
      <c r="Q40" s="824">
        <f t="shared" si="0"/>
        <v>0</v>
      </c>
      <c r="R40" s="824">
        <f t="shared" si="0"/>
        <v>0</v>
      </c>
      <c r="S40" s="800"/>
      <c r="T40" s="795"/>
    </row>
    <row r="41" spans="2:20" s="796" customFormat="1" ht="24.75" customHeight="1" thickBot="1" thickTop="1">
      <c r="B41" s="797"/>
      <c r="C41" s="821"/>
      <c r="D41" s="821"/>
      <c r="E41" s="821"/>
      <c r="F41" s="825" t="s">
        <v>154</v>
      </c>
      <c r="G41" s="826">
        <f>'[2]Tasa de Falla'!GZ42</f>
        <v>1.2</v>
      </c>
      <c r="H41" s="826">
        <f>'[2]Tasa de Falla'!HA42</f>
        <v>1.04</v>
      </c>
      <c r="I41" s="826">
        <f>'[2]Tasa de Falla'!HB42</f>
        <v>1.2</v>
      </c>
      <c r="J41" s="826">
        <f>'[2]Tasa de Falla'!HC42</f>
        <v>1.12</v>
      </c>
      <c r="K41" s="826">
        <f>'[2]Tasa de Falla'!HD42</f>
        <v>1.12</v>
      </c>
      <c r="L41" s="826">
        <f>'[2]Tasa de Falla'!HE42</f>
        <v>1.2</v>
      </c>
      <c r="M41" s="826">
        <f>'[2]Tasa de Falla'!HF42</f>
        <v>1.04</v>
      </c>
      <c r="N41" s="826">
        <f>'[2]Tasa de Falla'!HG42</f>
        <v>1.12</v>
      </c>
      <c r="O41" s="826">
        <f>'[2]Tasa de Falla'!HH42</f>
        <v>1.04</v>
      </c>
      <c r="P41" s="826">
        <f>'[2]Tasa de Falla'!HI42</f>
        <v>0.88</v>
      </c>
      <c r="Q41" s="826">
        <f>'[2]Tasa de Falla'!HJ42</f>
        <v>0.96</v>
      </c>
      <c r="R41" s="826">
        <f>'[2]Tasa de Falla'!HK42</f>
        <v>0.96</v>
      </c>
      <c r="S41" s="826">
        <f>SUM(G40:R40)/F39*100</f>
        <v>0.88</v>
      </c>
      <c r="T41" s="795"/>
    </row>
    <row r="42" spans="2:20" ht="18.75" customHeight="1" thickBot="1" thickTop="1">
      <c r="B42" s="783"/>
      <c r="C42" s="827"/>
      <c r="D42" s="828" t="s">
        <v>155</v>
      </c>
      <c r="E42" s="829"/>
      <c r="F42" s="830"/>
      <c r="G42" s="831"/>
      <c r="H42" s="831"/>
      <c r="I42" s="831"/>
      <c r="J42" s="831"/>
      <c r="K42" s="831"/>
      <c r="L42" s="831"/>
      <c r="M42" s="831"/>
      <c r="N42" s="831"/>
      <c r="O42" s="831"/>
      <c r="P42" s="831"/>
      <c r="Q42" s="831"/>
      <c r="R42" s="831"/>
      <c r="S42" s="831"/>
      <c r="T42" s="832"/>
    </row>
    <row r="43" spans="2:20" ht="17.25" thickBot="1" thickTop="1">
      <c r="B43" s="833"/>
      <c r="C43" s="787"/>
      <c r="D43" s="787"/>
      <c r="H43" s="834" t="s">
        <v>156</v>
      </c>
      <c r="I43" s="835"/>
      <c r="J43" s="836">
        <f>S41</f>
        <v>0.88</v>
      </c>
      <c r="K43" s="837" t="s">
        <v>157</v>
      </c>
      <c r="L43" s="838"/>
      <c r="M43" s="839"/>
      <c r="N43" s="840"/>
      <c r="O43" s="840"/>
      <c r="P43" s="840"/>
      <c r="Q43" s="840"/>
      <c r="R43" s="787"/>
      <c r="S43" s="787"/>
      <c r="T43" s="788"/>
    </row>
    <row r="44" spans="2:20" ht="18.75" customHeight="1" thickBot="1" thickTop="1">
      <c r="B44" s="841"/>
      <c r="C44" s="842"/>
      <c r="D44" s="843"/>
      <c r="E44" s="843"/>
      <c r="F44" s="844"/>
      <c r="G44" s="845"/>
      <c r="H44" s="845"/>
      <c r="I44" s="845"/>
      <c r="J44" s="845"/>
      <c r="K44" s="845"/>
      <c r="L44" s="845"/>
      <c r="M44" s="845"/>
      <c r="N44" s="845"/>
      <c r="O44" s="845"/>
      <c r="P44" s="845"/>
      <c r="Q44" s="845"/>
      <c r="R44" s="845"/>
      <c r="S44" s="845"/>
      <c r="T44" s="846"/>
    </row>
    <row r="45" ht="13.5" thickTop="1">
      <c r="AA45" s="762">
        <f>ROUND(SUM(AA20:AA44),2)</f>
        <v>0</v>
      </c>
    </row>
  </sheetData>
  <sheetProtection/>
  <printOptions/>
  <pageMargins left="0.23" right="0.1968503937007874" top="0.63" bottom="0.7874015748031497" header="0.5118110236220472" footer="0.25"/>
  <pageSetup fitToHeight="1" fitToWidth="1" horizontalDpi="300" verticalDpi="300" orientation="landscape" paperSize="9" scale="48" r:id="rId2"/>
  <headerFooter alignWithMargins="0">
    <oddFooter>&amp;L&amp;"Times New Roman,Normal"&amp;8&amp;Z&amp;F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AAguirre</cp:lastModifiedBy>
  <cp:lastPrinted>2014-06-17T14:15:41Z</cp:lastPrinted>
  <dcterms:created xsi:type="dcterms:W3CDTF">1998-09-02T21:31:22Z</dcterms:created>
  <dcterms:modified xsi:type="dcterms:W3CDTF">2014-06-25T12:24:00Z</dcterms:modified>
  <cp:category/>
  <cp:version/>
  <cp:contentType/>
  <cp:contentStatus/>
</cp:coreProperties>
</file>