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1215" sheetId="1" r:id="rId1"/>
    <sheet name="LI-12 (1)" sheetId="2" r:id="rId2"/>
    <sheet name="T-12 (1)" sheetId="3" r:id="rId3"/>
    <sheet name="SA-12 (1)" sheetId="4" r:id="rId4"/>
    <sheet name="Tasa de Falla" sheetId="5" r:id="rId5"/>
    <sheet name="DATO" sheetId="6" r:id="rId6"/>
  </sheets>
  <externalReferences>
    <externalReference r:id="rId9"/>
  </externalReferences>
  <definedNames>
    <definedName name="_xlnm.Print_Area" localSheetId="3">'SA-12 (1)'!$A$1:$W$44</definedName>
  </definedNames>
  <calcPr fullCalcOnLoad="1"/>
</workbook>
</file>

<file path=xl/sharedStrings.xml><?xml version="1.0" encoding="utf-8"?>
<sst xmlns="http://schemas.openxmlformats.org/spreadsheetml/2006/main" count="344" uniqueCount="187">
  <si>
    <t>SISTEMA DE TRANSPORTE DE ENERGÍA ELÉCTRICA POR DISTRIBUCIÓN TRONCAL</t>
  </si>
  <si>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</si>
  <si>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</si>
  <si>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</si>
  <si>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</si>
  <si>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</si>
  <si>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</si>
  <si>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</si>
  <si>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</si>
  <si>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</si>
  <si>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</si>
  <si>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</si>
  <si>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</si>
  <si>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</si>
  <si>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</si>
  <si>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</si>
  <si>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</si>
  <si>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</si>
  <si>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</si>
  <si>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</si>
  <si>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</si>
  <si>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</si>
  <si>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</si>
  <si>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</si>
  <si>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</si>
  <si>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</si>
  <si>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</si>
  <si>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</si>
  <si>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</si>
  <si>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</si>
  <si>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</si>
  <si>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</si>
  <si>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</si>
  <si>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</si>
  <si>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</si>
  <si>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</si>
  <si>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</si>
  <si>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</si>
  <si>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</si>
  <si>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</si>
  <si>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</si>
  <si>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</si>
  <si>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</si>
  <si>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</si>
  <si>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</si>
  <si>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</si>
  <si>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</si>
  <si>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</si>
  <si>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</si>
  <si>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</si>
  <si>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</si>
  <si>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</si>
  <si>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</si>
  <si>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</si>
  <si>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</si>
  <si>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</si>
  <si>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</si>
  <si>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</si>
  <si>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</si>
  <si>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</si>
  <si>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</si>
  <si>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</si>
  <si>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</si>
  <si>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</si>
  <si>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</si>
  <si>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</si>
  <si>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</si>
  <si>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</si>
  <si>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</si>
  <si>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</si>
  <si>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K (P;ENS)</t>
  </si>
  <si>
    <t>E.N.S.</t>
  </si>
  <si>
    <t>EPEN</t>
  </si>
  <si>
    <t>SISTEMA DE TRANSPORTE DE ENERGÍA ELÉCTRICA POR DISTRIBUCIÓN TRONCAL - EPEN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</si>
  <si>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</si>
  <si>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</si>
  <si>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</si>
  <si>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</si>
  <si>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</si>
  <si>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</si>
  <si>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</si>
  <si>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</si>
  <si>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</si>
  <si>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</si>
  <si>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</si>
  <si>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</si>
  <si>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</si>
  <si>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</si>
  <si>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</si>
  <si>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</si>
  <si>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</si>
  <si>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</si>
  <si>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</si>
  <si>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</si>
  <si>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</si>
  <si>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</si>
  <si>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</si>
  <si>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</si>
  <si>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</si>
  <si>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</si>
  <si>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</si>
  <si>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</si>
  <si>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</si>
  <si>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</si>
  <si>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</si>
  <si>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</si>
  <si>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</si>
  <si>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</si>
  <si>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</si>
  <si>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</si>
  <si>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</si>
  <si>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</si>
  <si>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</si>
  <si>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</si>
  <si>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</si>
  <si>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</si>
  <si>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</si>
  <si>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</si>
  <si>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</si>
  <si>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</si>
  <si>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</si>
  <si>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</si>
  <si>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</si>
  <si>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</si>
  <si>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</si>
  <si>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</si>
  <si>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EPEN_CAUSAS_VST.XLS</t>
  </si>
  <si>
    <t>EPEN_INDISPONIBILIDADES_LINEAS_EPEN.XLS</t>
  </si>
  <si>
    <t>EPEN_INDISPONIBILIDADES_TRAFOS_EPEN.XLS</t>
  </si>
  <si>
    <t>EPEN_INDISPONIBILIDADES_SALIDAS_EPEN.XLS</t>
  </si>
  <si>
    <t>Desde el 01 al 31 de diciembre de 2015</t>
  </si>
  <si>
    <t>ALTO VALLE - COLONIA VALENTINA</t>
  </si>
  <si>
    <t>P</t>
  </si>
  <si>
    <t>SI</t>
  </si>
  <si>
    <t>0,000</t>
  </si>
  <si>
    <t>COLONIA VALENTINA - ARROYITO</t>
  </si>
  <si>
    <t>PTO.SECCIONAMIENTO-RINCON DE LOS SAUCES</t>
  </si>
  <si>
    <t>RINCON DE LOS SAUCES - PTO. HERNANDEZ</t>
  </si>
  <si>
    <t xml:space="preserve">PUESTO HERNANDEZ </t>
  </si>
  <si>
    <t xml:space="preserve"> TRAFO 3</t>
  </si>
  <si>
    <t>132/33/13,2</t>
  </si>
  <si>
    <t xml:space="preserve"> TRAFO 4</t>
  </si>
  <si>
    <t xml:space="preserve">ALTO VALLE </t>
  </si>
  <si>
    <t xml:space="preserve"> TRAFO 2</t>
  </si>
  <si>
    <t xml:space="preserve"> TRAFO 1</t>
  </si>
  <si>
    <t>F</t>
  </si>
  <si>
    <t xml:space="preserve">ARROYITO </t>
  </si>
  <si>
    <t>TRAFO</t>
  </si>
  <si>
    <t xml:space="preserve">COLONIA VALENTINA </t>
  </si>
  <si>
    <t>TRAFO 1</t>
  </si>
  <si>
    <t>PTO. HERNANDEZ</t>
  </si>
  <si>
    <t>ALIMENTADOR PIAS 2</t>
  </si>
  <si>
    <t>ALIMENTADOR PIAS 1</t>
  </si>
  <si>
    <t>ALIMENT. PLANTA IND. AGUA DULCE</t>
  </si>
  <si>
    <t>SALIDA 1 P.RED SECUNDARIA</t>
  </si>
  <si>
    <t>ALIMENTADOR RINCON DE LOS SAUCES</t>
  </si>
  <si>
    <t>ALIMENTADOR OLEODUCTO MZA.</t>
  </si>
  <si>
    <t>ALIMENTADOR CHIUIDOS</t>
  </si>
  <si>
    <t>ALIMENTADOR SAN JORGE</t>
  </si>
  <si>
    <t>ARROYITO</t>
  </si>
  <si>
    <t>SALIDA EPEN</t>
  </si>
  <si>
    <t>ALIMENTADOR P.I.A.P.</t>
  </si>
  <si>
    <t xml:space="preserve"> SALIDA LINEA AGUA CAJON 1</t>
  </si>
  <si>
    <t>P. DEL AGUILA</t>
  </si>
  <si>
    <t xml:space="preserve"> SALIDA ALIMENT MENCUE</t>
  </si>
  <si>
    <t>COLONIA VALENTINA</t>
  </si>
  <si>
    <t>SALIDA C.O.D.</t>
  </si>
  <si>
    <t>NO</t>
  </si>
  <si>
    <t xml:space="preserve">P - PROGRAMADA ;   F - FORZADA </t>
  </si>
  <si>
    <t>P - PROGRAMADA</t>
  </si>
  <si>
    <t>P - PROGRAMADA ;   F - FORZADA</t>
  </si>
  <si>
    <t>Valores de remuneración según  el Acuerdo Instrumental. Nota ENRE Nº 117663</t>
  </si>
  <si>
    <t>E.N.R.E.</t>
  </si>
  <si>
    <t>ENTE PROVINCIAL DE ENERGIA DEL NEUQUEN - EPEN</t>
  </si>
  <si>
    <t xml:space="preserve"> (TRANSPORTISTA POR DISTRIBUCIÓN TRONCAL)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</si>
  <si>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</si>
  <si>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</si>
  <si>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</si>
  <si>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</si>
  <si>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</si>
  <si>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</si>
  <si>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</si>
  <si>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 km</t>
  </si>
  <si>
    <t>Correspondiente al mes de Diciembre de 2015</t>
  </si>
  <si>
    <t>ANEXO III  al  Memorandum D.T.E.E.  N°  687/ 2016</t>
  </si>
  <si>
    <t>MEDANITOS - PTO. SECCIONAMIENTO</t>
  </si>
  <si>
    <t>Inf. p/EPEN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</si>
</sst>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.0000"/>
    <numFmt numFmtId="174" formatCode="0.00_)"/>
    <numFmt numFmtId="175" formatCode="0.0"/>
    <numFmt numFmtId="176" formatCode="&quot;$&quot;\ #,##0.000;&quot;$&quot;\ \-#,##0.000"/>
    <numFmt numFmtId="177" formatCode="0.000"/>
  </numFmts>
  <fonts count="13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indexed="9"/>
      <name val="MS Sans Serif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0"/>
      <name val="MS Sans Serif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8.5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55"/>
      </patternFill>
    </fill>
    <fill>
      <patternFill patternType="lightGray">
        <bgColor indexed="22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/>
      <right/>
      <top style="double"/>
      <bottom/>
    </border>
    <border>
      <left style="double"/>
      <right style="double"/>
      <top style="double"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ck"/>
      <right style="double"/>
      <top/>
      <bottom style="thin"/>
    </border>
    <border>
      <left style="double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/>
      <bottom/>
    </border>
    <border>
      <left style="thick"/>
      <right style="double"/>
      <top style="double"/>
      <bottom style="thin"/>
    </border>
    <border>
      <left/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 style="thick"/>
    </border>
    <border>
      <left style="thick"/>
      <right style="thick"/>
      <top/>
      <bottom/>
    </border>
    <border>
      <left style="double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2" fillId="20" borderId="0" applyNumberFormat="0" applyBorder="0" applyAlignment="0" applyProtection="0"/>
    <xf numFmtId="0" fontId="123" fillId="21" borderId="1" applyNumberFormat="0" applyAlignment="0" applyProtection="0"/>
    <xf numFmtId="0" fontId="124" fillId="22" borderId="2" applyNumberFormat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0" applyNumberFormat="0" applyFill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0" fontId="121" fillId="27" borderId="0" applyNumberFormat="0" applyBorder="0" applyAlignment="0" applyProtection="0"/>
    <xf numFmtId="0" fontId="121" fillId="28" borderId="0" applyNumberFormat="0" applyBorder="0" applyAlignment="0" applyProtection="0"/>
    <xf numFmtId="0" fontId="128" fillId="29" borderId="1" applyNumberFormat="0" applyAlignment="0" applyProtection="0"/>
    <xf numFmtId="0" fontId="129" fillId="0" borderId="0" applyNumberFormat="0" applyFill="0" applyBorder="0" applyAlignment="0" applyProtection="0"/>
    <xf numFmtId="0" fontId="1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2" fillId="21" borderId="6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7" applyNumberFormat="0" applyFill="0" applyAlignment="0" applyProtection="0"/>
    <xf numFmtId="0" fontId="127" fillId="0" borderId="8" applyNumberFormat="0" applyFill="0" applyAlignment="0" applyProtection="0"/>
    <xf numFmtId="0" fontId="137" fillId="0" borderId="9" applyNumberFormat="0" applyFill="0" applyAlignment="0" applyProtection="0"/>
  </cellStyleXfs>
  <cellXfs count="576">
    <xf numFmtId="0" fontId="0" fillId="0" borderId="0" xfId="0" applyAlignment="1">
      <alignment/>
    </xf>
    <xf numFmtId="0" fontId="2" fillId="0" borderId="0" xfId="53">
      <alignment/>
      <protection/>
    </xf>
    <xf numFmtId="0" fontId="10" fillId="0" borderId="0" xfId="53" applyFont="1">
      <alignment/>
      <protection/>
    </xf>
    <xf numFmtId="0" fontId="11" fillId="0" borderId="0" xfId="53" applyFont="1" applyAlignment="1">
      <alignment horizontal="centerContinuous"/>
      <protection/>
    </xf>
    <xf numFmtId="0" fontId="6" fillId="0" borderId="0" xfId="53" applyFont="1" applyAlignment="1">
      <alignment horizontal="right" vertical="top"/>
      <protection/>
    </xf>
    <xf numFmtId="0" fontId="12" fillId="0" borderId="0" xfId="53" applyFont="1" applyAlignment="1">
      <alignment horizontal="centerContinuous"/>
      <protection/>
    </xf>
    <xf numFmtId="0" fontId="10" fillId="0" borderId="0" xfId="53" applyFont="1" applyAlignment="1">
      <alignment horizontal="centerContinuous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Continuous"/>
      <protection/>
    </xf>
    <xf numFmtId="0" fontId="6" fillId="0" borderId="0" xfId="53" applyFont="1" applyBorder="1">
      <alignment/>
      <protection/>
    </xf>
    <xf numFmtId="0" fontId="5" fillId="0" borderId="0" xfId="53" applyFont="1" applyFill="1" applyBorder="1" applyAlignment="1" applyProtection="1">
      <alignment horizontal="centerContinuous"/>
      <protection/>
    </xf>
    <xf numFmtId="0" fontId="13" fillId="0" borderId="0" xfId="53" applyNumberFormat="1" applyFont="1" applyAlignment="1">
      <alignment horizontal="left"/>
      <protection/>
    </xf>
    <xf numFmtId="0" fontId="13" fillId="0" borderId="0" xfId="53" applyFont="1">
      <alignment/>
      <protection/>
    </xf>
    <xf numFmtId="0" fontId="13" fillId="0" borderId="0" xfId="53" applyFont="1" applyBorder="1">
      <alignment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10" fillId="0" borderId="0" xfId="53" applyFont="1" applyBorder="1">
      <alignment/>
      <protection/>
    </xf>
    <xf numFmtId="0" fontId="15" fillId="0" borderId="0" xfId="53" applyFont="1">
      <alignment/>
      <protection/>
    </xf>
    <xf numFmtId="0" fontId="16" fillId="0" borderId="0" xfId="53" applyFont="1" applyBorder="1" applyAlignment="1">
      <alignment horizontal="centerContinuous"/>
      <protection/>
    </xf>
    <xf numFmtId="0" fontId="17" fillId="0" borderId="0" xfId="53" applyFont="1" applyAlignment="1">
      <alignment horizontal="centerContinuous"/>
      <protection/>
    </xf>
    <xf numFmtId="0" fontId="15" fillId="0" borderId="0" xfId="53" applyFont="1" applyAlignment="1">
      <alignment horizontal="centerContinuous"/>
      <protection/>
    </xf>
    <xf numFmtId="0" fontId="15" fillId="0" borderId="0" xfId="53" applyFont="1" applyBorder="1" applyAlignment="1">
      <alignment horizontal="centerContinuous"/>
      <protection/>
    </xf>
    <xf numFmtId="0" fontId="15" fillId="0" borderId="0" xfId="53" applyFont="1" applyBorder="1">
      <alignment/>
      <protection/>
    </xf>
    <xf numFmtId="0" fontId="18" fillId="0" borderId="0" xfId="53" applyFont="1">
      <alignment/>
      <protection/>
    </xf>
    <xf numFmtId="0" fontId="2" fillId="0" borderId="0" xfId="53" applyAlignment="1">
      <alignment horizontal="centerContinuous"/>
      <protection/>
    </xf>
    <xf numFmtId="0" fontId="19" fillId="0" borderId="0" xfId="53" applyFont="1" applyAlignment="1">
      <alignment horizontal="centerContinuous"/>
      <protection/>
    </xf>
    <xf numFmtId="0" fontId="20" fillId="0" borderId="0" xfId="53" applyFont="1">
      <alignment/>
      <protection/>
    </xf>
    <xf numFmtId="0" fontId="21" fillId="0" borderId="0" xfId="53" applyFont="1" applyBorder="1">
      <alignment/>
      <protection/>
    </xf>
    <xf numFmtId="0" fontId="20" fillId="0" borderId="0" xfId="53" applyFont="1" applyBorder="1">
      <alignment/>
      <protection/>
    </xf>
    <xf numFmtId="0" fontId="22" fillId="0" borderId="10" xfId="53" applyFont="1" applyBorder="1">
      <alignment/>
      <protection/>
    </xf>
    <xf numFmtId="0" fontId="22" fillId="0" borderId="11" xfId="53" applyFont="1" applyBorder="1">
      <alignment/>
      <protection/>
    </xf>
    <xf numFmtId="0" fontId="20" fillId="0" borderId="11" xfId="53" applyFont="1" applyBorder="1">
      <alignment/>
      <protection/>
    </xf>
    <xf numFmtId="0" fontId="20" fillId="0" borderId="12" xfId="53" applyFont="1" applyBorder="1">
      <alignment/>
      <protection/>
    </xf>
    <xf numFmtId="0" fontId="23" fillId="0" borderId="0" xfId="53" applyFont="1">
      <alignment/>
      <protection/>
    </xf>
    <xf numFmtId="0" fontId="24" fillId="0" borderId="13" xfId="53" applyFont="1" applyBorder="1" applyAlignment="1">
      <alignment horizontal="centerContinuous"/>
      <protection/>
    </xf>
    <xf numFmtId="0" fontId="2" fillId="0" borderId="0" xfId="53" applyNumberFormat="1" applyAlignment="1">
      <alignment horizontal="centerContinuous"/>
      <protection/>
    </xf>
    <xf numFmtId="0" fontId="23" fillId="0" borderId="0" xfId="53" applyNumberFormat="1" applyFont="1" applyAlignment="1">
      <alignment horizontal="centerContinuous"/>
      <protection/>
    </xf>
    <xf numFmtId="0" fontId="24" fillId="0" borderId="0" xfId="53" applyFont="1" applyBorder="1" applyAlignment="1">
      <alignment horizontal="centerContinuous"/>
      <protection/>
    </xf>
    <xf numFmtId="0" fontId="23" fillId="0" borderId="0" xfId="53" applyFont="1" applyBorder="1" applyAlignment="1">
      <alignment horizontal="centerContinuous"/>
      <protection/>
    </xf>
    <xf numFmtId="0" fontId="23" fillId="0" borderId="14" xfId="53" applyFont="1" applyBorder="1" applyAlignment="1">
      <alignment horizontal="centerContinuous"/>
      <protection/>
    </xf>
    <xf numFmtId="0" fontId="23" fillId="0" borderId="0" xfId="53" applyFont="1" applyBorder="1">
      <alignment/>
      <protection/>
    </xf>
    <xf numFmtId="0" fontId="23" fillId="0" borderId="13" xfId="53" applyFont="1" applyBorder="1">
      <alignment/>
      <protection/>
    </xf>
    <xf numFmtId="0" fontId="25" fillId="0" borderId="0" xfId="53" applyNumberFormat="1" applyFont="1" applyBorder="1" applyAlignment="1">
      <alignment horizontal="right"/>
      <protection/>
    </xf>
    <xf numFmtId="0" fontId="24" fillId="0" borderId="0" xfId="53" applyFont="1" applyBorder="1">
      <alignment/>
      <protection/>
    </xf>
    <xf numFmtId="0" fontId="23" fillId="0" borderId="14" xfId="53" applyFont="1" applyBorder="1">
      <alignment/>
      <protection/>
    </xf>
    <xf numFmtId="0" fontId="25" fillId="0" borderId="0" xfId="53" applyNumberFormat="1" applyFont="1" applyBorder="1" applyAlignment="1">
      <alignment horizontal="centerContinuous"/>
      <protection/>
    </xf>
    <xf numFmtId="0" fontId="25" fillId="0" borderId="0" xfId="53" applyNumberFormat="1" applyFont="1" applyBorder="1" applyAlignment="1">
      <alignment horizontal="right"/>
      <protection/>
    </xf>
    <xf numFmtId="0" fontId="25" fillId="0" borderId="0" xfId="53" applyNumberFormat="1" applyFont="1" applyBorder="1" applyAlignment="1">
      <alignment/>
      <protection/>
    </xf>
    <xf numFmtId="7" fontId="25" fillId="0" borderId="0" xfId="53" applyNumberFormat="1" applyFont="1" applyBorder="1" applyAlignment="1">
      <alignment horizontal="right"/>
      <protection/>
    </xf>
    <xf numFmtId="0" fontId="6" fillId="0" borderId="13" xfId="53" applyFont="1" applyBorder="1">
      <alignment/>
      <protection/>
    </xf>
    <xf numFmtId="0" fontId="4" fillId="0" borderId="0" xfId="53" applyNumberFormat="1" applyFont="1" applyBorder="1" applyAlignment="1">
      <alignment horizontal="right"/>
      <protection/>
    </xf>
    <xf numFmtId="0" fontId="4" fillId="0" borderId="0" xfId="53" applyNumberFormat="1" applyFont="1" applyBorder="1" applyAlignment="1">
      <alignment/>
      <protection/>
    </xf>
    <xf numFmtId="0" fontId="26" fillId="0" borderId="0" xfId="53" applyFont="1" applyBorder="1">
      <alignment/>
      <protection/>
    </xf>
    <xf numFmtId="7" fontId="4" fillId="0" borderId="0" xfId="53" applyNumberFormat="1" applyFont="1" applyBorder="1" applyAlignment="1">
      <alignment horizontal="right"/>
      <protection/>
    </xf>
    <xf numFmtId="0" fontId="6" fillId="0" borderId="14" xfId="53" applyFont="1" applyBorder="1">
      <alignment/>
      <protection/>
    </xf>
    <xf numFmtId="0" fontId="6" fillId="0" borderId="0" xfId="53" applyFont="1" applyBorder="1" applyAlignment="1">
      <alignment horizontal="right"/>
      <protection/>
    </xf>
    <xf numFmtId="0" fontId="25" fillId="0" borderId="0" xfId="53" applyFont="1" applyBorder="1">
      <alignment/>
      <protection/>
    </xf>
    <xf numFmtId="0" fontId="23" fillId="0" borderId="0" xfId="53" applyFont="1" applyBorder="1" applyAlignment="1">
      <alignment horizontal="right"/>
      <protection/>
    </xf>
    <xf numFmtId="0" fontId="25" fillId="0" borderId="15" xfId="53" applyFont="1" applyBorder="1" applyAlignment="1">
      <alignment horizontal="center"/>
      <protection/>
    </xf>
    <xf numFmtId="7" fontId="25" fillId="0" borderId="16" xfId="53" applyNumberFormat="1" applyFont="1" applyBorder="1" applyAlignment="1">
      <alignment horizontal="center"/>
      <protection/>
    </xf>
    <xf numFmtId="7" fontId="25" fillId="0" borderId="0" xfId="53" applyNumberFormat="1" applyFont="1" applyBorder="1" applyAlignment="1">
      <alignment horizontal="center"/>
      <protection/>
    </xf>
    <xf numFmtId="0" fontId="20" fillId="0" borderId="17" xfId="53" applyFont="1" applyBorder="1">
      <alignment/>
      <protection/>
    </xf>
    <xf numFmtId="0" fontId="20" fillId="0" borderId="18" xfId="53" applyNumberFormat="1" applyFont="1" applyBorder="1">
      <alignment/>
      <protection/>
    </xf>
    <xf numFmtId="0" fontId="20" fillId="0" borderId="18" xfId="53" applyFont="1" applyBorder="1">
      <alignment/>
      <protection/>
    </xf>
    <xf numFmtId="0" fontId="20" fillId="0" borderId="19" xfId="53" applyFont="1" applyBorder="1">
      <alignment/>
      <protection/>
    </xf>
    <xf numFmtId="0" fontId="20" fillId="0" borderId="0" xfId="53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7" fontId="20" fillId="0" borderId="0" xfId="53" applyNumberFormat="1" applyFont="1" applyBorder="1">
      <alignment/>
      <protection/>
    </xf>
    <xf numFmtId="174" fontId="20" fillId="0" borderId="0" xfId="53" applyNumberFormat="1" applyFont="1" applyBorder="1" applyAlignment="1">
      <alignment horizontal="center"/>
      <protection/>
    </xf>
    <xf numFmtId="0" fontId="6" fillId="0" borderId="0" xfId="53" applyFont="1" applyFill="1" applyBorder="1">
      <alignment/>
      <protection/>
    </xf>
    <xf numFmtId="4" fontId="6" fillId="0" borderId="0" xfId="53" applyNumberFormat="1" applyFont="1" applyFill="1" applyBorder="1">
      <alignment/>
      <protection/>
    </xf>
    <xf numFmtId="0" fontId="6" fillId="0" borderId="0" xfId="53" applyFont="1" applyBorder="1" applyAlignment="1">
      <alignment horizontal="center"/>
      <protection/>
    </xf>
    <xf numFmtId="4" fontId="6" fillId="0" borderId="0" xfId="53" applyNumberFormat="1" applyFont="1" applyBorder="1">
      <alignment/>
      <protection/>
    </xf>
    <xf numFmtId="4" fontId="4" fillId="0" borderId="0" xfId="53" applyNumberFormat="1" applyFont="1" applyBorder="1" applyAlignment="1">
      <alignment horizontal="center"/>
      <protection/>
    </xf>
    <xf numFmtId="0" fontId="10" fillId="0" borderId="0" xfId="53" applyFont="1" applyProtection="1">
      <alignment/>
      <protection/>
    </xf>
    <xf numFmtId="0" fontId="10" fillId="0" borderId="0" xfId="53" applyFont="1" applyFill="1" applyProtection="1">
      <alignment/>
      <protection/>
    </xf>
    <xf numFmtId="0" fontId="10" fillId="0" borderId="0" xfId="53" applyFont="1" applyAlignment="1" applyProtection="1">
      <alignment horizontal="centerContinuous"/>
      <protection/>
    </xf>
    <xf numFmtId="0" fontId="6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13" fillId="0" borderId="0" xfId="53" applyFont="1" applyProtection="1">
      <alignment/>
      <protection/>
    </xf>
    <xf numFmtId="0" fontId="6" fillId="0" borderId="10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6" fillId="0" borderId="12" xfId="53" applyFont="1" applyBorder="1" applyProtection="1">
      <alignment/>
      <protection/>
    </xf>
    <xf numFmtId="0" fontId="6" fillId="0" borderId="13" xfId="53" applyFont="1" applyBorder="1" applyProtection="1">
      <alignment/>
      <protection/>
    </xf>
    <xf numFmtId="0" fontId="6" fillId="0" borderId="0" xfId="53" applyFont="1" applyBorder="1" applyProtection="1">
      <alignment/>
      <protection/>
    </xf>
    <xf numFmtId="0" fontId="19" fillId="0" borderId="0" xfId="53" applyFont="1" applyFill="1" applyBorder="1" applyProtection="1">
      <alignment/>
      <protection/>
    </xf>
    <xf numFmtId="0" fontId="6" fillId="0" borderId="14" xfId="53" applyFont="1" applyBorder="1" applyProtection="1">
      <alignment/>
      <protection/>
    </xf>
    <xf numFmtId="0" fontId="19" fillId="0" borderId="0" xfId="53" applyFont="1" applyBorder="1" applyProtection="1">
      <alignment/>
      <protection/>
    </xf>
    <xf numFmtId="0" fontId="25" fillId="0" borderId="0" xfId="53" applyFont="1" applyBorder="1" applyProtection="1">
      <alignment/>
      <protection/>
    </xf>
    <xf numFmtId="0" fontId="23" fillId="0" borderId="0" xfId="53" applyFont="1" applyProtection="1">
      <alignment/>
      <protection/>
    </xf>
    <xf numFmtId="0" fontId="24" fillId="0" borderId="13" xfId="53" applyFont="1" applyBorder="1" applyAlignment="1" applyProtection="1">
      <alignment horizontal="centerContinuous"/>
      <protection/>
    </xf>
    <xf numFmtId="0" fontId="23" fillId="0" borderId="0" xfId="53" applyFont="1" applyAlignment="1" applyProtection="1">
      <alignment horizontal="centerContinuous"/>
      <protection/>
    </xf>
    <xf numFmtId="0" fontId="23" fillId="0" borderId="0" xfId="53" applyFont="1" applyBorder="1" applyAlignment="1" applyProtection="1">
      <alignment horizontal="centerContinuous"/>
      <protection/>
    </xf>
    <xf numFmtId="0" fontId="23" fillId="0" borderId="14" xfId="53" applyFont="1" applyBorder="1" applyAlignment="1" applyProtection="1">
      <alignment horizontal="centerContinuous"/>
      <protection/>
    </xf>
    <xf numFmtId="0" fontId="6" fillId="0" borderId="0" xfId="53" applyFont="1" applyBorder="1" applyAlignment="1" applyProtection="1">
      <alignment horizontal="center"/>
      <protection/>
    </xf>
    <xf numFmtId="0" fontId="2" fillId="0" borderId="0" xfId="53" applyFont="1" applyBorder="1" applyProtection="1">
      <alignment/>
      <protection/>
    </xf>
    <xf numFmtId="0" fontId="2" fillId="0" borderId="15" xfId="53" applyFont="1" applyBorder="1" applyAlignment="1" applyProtection="1">
      <alignment horizontal="center"/>
      <protection/>
    </xf>
    <xf numFmtId="177" fontId="2" fillId="0" borderId="15" xfId="53" applyNumberFormat="1" applyFont="1" applyBorder="1" applyAlignment="1" applyProtection="1">
      <alignment horizontal="centerContinuous"/>
      <protection/>
    </xf>
    <xf numFmtId="173" fontId="2" fillId="0" borderId="16" xfId="53" applyNumberFormat="1" applyFont="1" applyBorder="1" applyAlignment="1" applyProtection="1">
      <alignment horizontal="centerContinuous"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Alignment="1" applyProtection="1">
      <alignment horizontal="right"/>
      <protection/>
    </xf>
    <xf numFmtId="0" fontId="2" fillId="0" borderId="0" xfId="53" applyFont="1" applyAlignment="1" applyProtection="1">
      <alignment/>
      <protection/>
    </xf>
    <xf numFmtId="0" fontId="27" fillId="0" borderId="0" xfId="53" applyFont="1" applyBorder="1" applyAlignment="1" applyProtection="1">
      <alignment horizontal="centerContinuous"/>
      <protection/>
    </xf>
    <xf numFmtId="0" fontId="2" fillId="0" borderId="0" xfId="53" applyFont="1" applyBorder="1" applyAlignment="1" applyProtection="1">
      <alignment horizontal="centerContinuous"/>
      <protection/>
    </xf>
    <xf numFmtId="0" fontId="2" fillId="0" borderId="0" xfId="53" applyFont="1" applyAlignment="1" applyProtection="1">
      <alignment horizontal="centerContinuous"/>
      <protection/>
    </xf>
    <xf numFmtId="0" fontId="28" fillId="0" borderId="0" xfId="53" applyFont="1" applyAlignment="1" applyProtection="1">
      <alignment horizontal="center" vertical="center"/>
      <protection/>
    </xf>
    <xf numFmtId="0" fontId="28" fillId="0" borderId="13" xfId="53" applyFont="1" applyBorder="1" applyAlignment="1" applyProtection="1">
      <alignment horizontal="center" vertical="center"/>
      <protection/>
    </xf>
    <xf numFmtId="0" fontId="29" fillId="0" borderId="20" xfId="53" applyFont="1" applyBorder="1" applyAlignment="1" applyProtection="1">
      <alignment horizontal="center" vertical="center"/>
      <protection/>
    </xf>
    <xf numFmtId="0" fontId="29" fillId="0" borderId="20" xfId="53" applyFont="1" applyBorder="1" applyAlignment="1" applyProtection="1">
      <alignment horizontal="center" vertical="center" wrapText="1"/>
      <protection/>
    </xf>
    <xf numFmtId="0" fontId="30" fillId="33" borderId="20" xfId="53" applyFont="1" applyFill="1" applyBorder="1" applyAlignment="1" applyProtection="1">
      <alignment horizontal="center" vertical="center"/>
      <protection/>
    </xf>
    <xf numFmtId="0" fontId="29" fillId="0" borderId="20" xfId="53" applyFont="1" applyBorder="1" applyAlignment="1" applyProtection="1">
      <alignment horizontal="centerContinuous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32" fillId="34" borderId="20" xfId="53" applyFont="1" applyFill="1" applyBorder="1" applyAlignment="1" applyProtection="1">
      <alignment horizontal="center" vertical="center" wrapText="1"/>
      <protection/>
    </xf>
    <xf numFmtId="0" fontId="33" fillId="35" borderId="20" xfId="53" applyFont="1" applyFill="1" applyBorder="1" applyAlignment="1" applyProtection="1">
      <alignment horizontal="center" vertical="center" wrapText="1"/>
      <protection/>
    </xf>
    <xf numFmtId="0" fontId="34" fillId="34" borderId="15" xfId="53" applyFont="1" applyFill="1" applyBorder="1" applyAlignment="1" applyProtection="1">
      <alignment horizontal="centerContinuous" vertical="center" wrapText="1"/>
      <protection/>
    </xf>
    <xf numFmtId="0" fontId="35" fillId="34" borderId="21" xfId="53" applyFont="1" applyFill="1" applyBorder="1" applyAlignment="1" applyProtection="1">
      <alignment horizontal="centerContinuous" vertical="center"/>
      <protection/>
    </xf>
    <xf numFmtId="0" fontId="34" fillId="34" borderId="16" xfId="53" applyFont="1" applyFill="1" applyBorder="1" applyAlignment="1" applyProtection="1">
      <alignment horizontal="centerContinuous" vertical="center"/>
      <protection/>
    </xf>
    <xf numFmtId="0" fontId="36" fillId="35" borderId="15" xfId="53" applyFont="1" applyFill="1" applyBorder="1" applyAlignment="1" applyProtection="1">
      <alignment horizontal="centerContinuous" vertical="center" wrapText="1"/>
      <protection/>
    </xf>
    <xf numFmtId="0" fontId="7" fillId="35" borderId="21" xfId="53" applyFont="1" applyFill="1" applyBorder="1" applyAlignment="1" applyProtection="1">
      <alignment horizontal="centerContinuous" vertical="center"/>
      <protection/>
    </xf>
    <xf numFmtId="0" fontId="36" fillId="35" borderId="16" xfId="53" applyFont="1" applyFill="1" applyBorder="1" applyAlignment="1" applyProtection="1">
      <alignment horizontal="centerContinuous" vertical="center"/>
      <protection/>
    </xf>
    <xf numFmtId="0" fontId="37" fillId="33" borderId="20" xfId="53" applyFont="1" applyFill="1" applyBorder="1" applyAlignment="1" applyProtection="1">
      <alignment horizontal="center" vertical="center" wrapText="1"/>
      <protection/>
    </xf>
    <xf numFmtId="0" fontId="38" fillId="36" borderId="20" xfId="53" applyFont="1" applyFill="1" applyBorder="1" applyAlignment="1" applyProtection="1">
      <alignment horizontal="center" vertical="center" wrapText="1"/>
      <protection/>
    </xf>
    <xf numFmtId="0" fontId="28" fillId="0" borderId="14" xfId="53" applyFont="1" applyBorder="1" applyAlignment="1" applyProtection="1">
      <alignment horizontal="center" vertical="center"/>
      <protection/>
    </xf>
    <xf numFmtId="0" fontId="6" fillId="0" borderId="22" xfId="53" applyFont="1" applyBorder="1" applyAlignment="1" applyProtection="1">
      <alignment horizontal="center"/>
      <protection locked="0"/>
    </xf>
    <xf numFmtId="0" fontId="6" fillId="0" borderId="23" xfId="53" applyFont="1" applyBorder="1" applyAlignment="1" applyProtection="1">
      <alignment horizontal="center"/>
      <protection locked="0"/>
    </xf>
    <xf numFmtId="2" fontId="6" fillId="0" borderId="24" xfId="53" applyNumberFormat="1" applyFont="1" applyBorder="1" applyAlignment="1" applyProtection="1">
      <alignment horizontal="center"/>
      <protection locked="0"/>
    </xf>
    <xf numFmtId="174" fontId="39" fillId="33" borderId="22" xfId="53" applyNumberFormat="1" applyFont="1" applyFill="1" applyBorder="1" applyAlignment="1" applyProtection="1">
      <alignment horizontal="center"/>
      <protection/>
    </xf>
    <xf numFmtId="22" fontId="6" fillId="0" borderId="22" xfId="53" applyNumberFormat="1" applyFont="1" applyBorder="1" applyAlignment="1" applyProtection="1">
      <alignment horizontal="center"/>
      <protection locked="0"/>
    </xf>
    <xf numFmtId="2" fontId="6" fillId="0" borderId="22" xfId="53" applyNumberFormat="1" applyFont="1" applyBorder="1" applyAlignment="1" applyProtection="1">
      <alignment horizontal="center"/>
      <protection/>
    </xf>
    <xf numFmtId="1" fontId="6" fillId="0" borderId="22" xfId="53" applyNumberFormat="1" applyFont="1" applyBorder="1" applyAlignment="1" applyProtection="1">
      <alignment horizontal="center"/>
      <protection/>
    </xf>
    <xf numFmtId="174" fontId="6" fillId="0" borderId="22" xfId="53" applyNumberFormat="1" applyFont="1" applyBorder="1" applyAlignment="1" applyProtection="1">
      <alignment horizontal="center"/>
      <protection locked="0"/>
    </xf>
    <xf numFmtId="38" fontId="6" fillId="0" borderId="22" xfId="53" applyNumberFormat="1" applyFont="1" applyBorder="1" applyAlignment="1" applyProtection="1">
      <alignment horizontal="center"/>
      <protection locked="0"/>
    </xf>
    <xf numFmtId="4" fontId="6" fillId="0" borderId="22" xfId="53" applyNumberFormat="1" applyFont="1" applyBorder="1" applyAlignment="1" applyProtection="1">
      <alignment horizontal="center"/>
      <protection locked="0"/>
    </xf>
    <xf numFmtId="2" fontId="28" fillId="0" borderId="22" xfId="53" applyNumberFormat="1" applyFont="1" applyBorder="1" applyAlignment="1" applyProtection="1">
      <alignment horizontal="right"/>
      <protection/>
    </xf>
    <xf numFmtId="2" fontId="6" fillId="0" borderId="14" xfId="53" applyNumberFormat="1" applyFont="1" applyBorder="1" applyProtection="1">
      <alignment/>
      <protection/>
    </xf>
    <xf numFmtId="0" fontId="6" fillId="0" borderId="25" xfId="53" applyFont="1" applyBorder="1" applyAlignment="1" applyProtection="1">
      <alignment horizontal="center"/>
      <protection locked="0"/>
    </xf>
    <xf numFmtId="0" fontId="6" fillId="0" borderId="26" xfId="53" applyFont="1" applyBorder="1" applyAlignment="1" applyProtection="1">
      <alignment horizontal="center"/>
      <protection locked="0"/>
    </xf>
    <xf numFmtId="0" fontId="45" fillId="0" borderId="26" xfId="53" applyFont="1" applyBorder="1" applyAlignment="1" applyProtection="1">
      <alignment horizontal="center"/>
      <protection locked="0"/>
    </xf>
    <xf numFmtId="175" fontId="6" fillId="0" borderId="26" xfId="53" applyNumberFormat="1" applyFont="1" applyBorder="1" applyAlignment="1" applyProtection="1">
      <alignment horizontal="center"/>
      <protection locked="0"/>
    </xf>
    <xf numFmtId="174" fontId="39" fillId="33" borderId="26" xfId="53" applyNumberFormat="1" applyFont="1" applyFill="1" applyBorder="1" applyAlignment="1" applyProtection="1">
      <alignment horizontal="center"/>
      <protection/>
    </xf>
    <xf numFmtId="174" fontId="6" fillId="0" borderId="26" xfId="53" applyNumberFormat="1" applyFont="1" applyBorder="1" applyAlignment="1" applyProtection="1">
      <alignment horizontal="center"/>
      <protection locked="0"/>
    </xf>
    <xf numFmtId="174" fontId="6" fillId="0" borderId="26" xfId="53" applyNumberFormat="1" applyFont="1" applyBorder="1" applyAlignment="1" applyProtection="1">
      <alignment horizontal="center"/>
      <protection/>
    </xf>
    <xf numFmtId="38" fontId="6" fillId="0" borderId="26" xfId="53" applyNumberFormat="1" applyFont="1" applyBorder="1" applyAlignment="1" applyProtection="1">
      <alignment horizontal="center"/>
      <protection locked="0"/>
    </xf>
    <xf numFmtId="4" fontId="6" fillId="0" borderId="26" xfId="53" applyNumberFormat="1" applyFont="1" applyBorder="1" applyAlignment="1" applyProtection="1">
      <alignment horizontal="center"/>
      <protection locked="0"/>
    </xf>
    <xf numFmtId="7" fontId="6" fillId="0" borderId="27" xfId="53" applyNumberFormat="1" applyFont="1" applyBorder="1" applyAlignment="1" applyProtection="1">
      <alignment horizontal="center"/>
      <protection/>
    </xf>
    <xf numFmtId="0" fontId="48" fillId="0" borderId="0" xfId="53" applyFont="1" applyBorder="1" applyAlignment="1" applyProtection="1">
      <alignment horizontal="left"/>
      <protection/>
    </xf>
    <xf numFmtId="175" fontId="6" fillId="0" borderId="0" xfId="53" applyNumberFormat="1" applyFont="1" applyBorder="1" applyAlignment="1" applyProtection="1">
      <alignment horizontal="center"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38" fontId="6" fillId="0" borderId="0" xfId="53" applyNumberFormat="1" applyFont="1" applyBorder="1" applyAlignment="1" applyProtection="1">
      <alignment horizontal="center"/>
      <protection/>
    </xf>
    <xf numFmtId="2" fontId="49" fillId="0" borderId="0" xfId="53" applyNumberFormat="1" applyFont="1" applyBorder="1" applyAlignment="1" applyProtection="1">
      <alignment horizontal="center"/>
      <protection/>
    </xf>
    <xf numFmtId="174" fontId="9" fillId="0" borderId="0" xfId="53" applyNumberFormat="1" applyFont="1" applyBorder="1" applyAlignment="1" applyProtection="1" quotePrefix="1">
      <alignment horizontal="center"/>
      <protection/>
    </xf>
    <xf numFmtId="4" fontId="9" fillId="0" borderId="0" xfId="53" applyNumberFormat="1" applyFont="1" applyBorder="1" applyAlignment="1" applyProtection="1">
      <alignment horizontal="center"/>
      <protection/>
    </xf>
    <xf numFmtId="4" fontId="6" fillId="0" borderId="0" xfId="53" applyNumberFormat="1" applyFont="1" applyBorder="1" applyAlignment="1" applyProtection="1">
      <alignment horizontal="center"/>
      <protection/>
    </xf>
    <xf numFmtId="0" fontId="47" fillId="0" borderId="0" xfId="53" applyFont="1" applyProtection="1">
      <alignment/>
      <protection/>
    </xf>
    <xf numFmtId="0" fontId="47" fillId="0" borderId="13" xfId="53" applyFont="1" applyBorder="1" applyProtection="1">
      <alignment/>
      <protection/>
    </xf>
    <xf numFmtId="0" fontId="48" fillId="0" borderId="0" xfId="53" applyFont="1" applyBorder="1" applyAlignment="1" applyProtection="1">
      <alignment horizontal="left" vertical="top"/>
      <protection/>
    </xf>
    <xf numFmtId="0" fontId="47" fillId="0" borderId="14" xfId="53" applyFont="1" applyBorder="1" applyProtection="1">
      <alignment/>
      <protection/>
    </xf>
    <xf numFmtId="0" fontId="6" fillId="0" borderId="17" xfId="53" applyFont="1" applyBorder="1" applyProtection="1">
      <alignment/>
      <protection/>
    </xf>
    <xf numFmtId="0" fontId="6" fillId="0" borderId="18" xfId="53" applyFont="1" applyBorder="1" applyProtection="1">
      <alignment/>
      <protection/>
    </xf>
    <xf numFmtId="0" fontId="6" fillId="0" borderId="19" xfId="53" applyFont="1" applyBorder="1" applyProtection="1">
      <alignment/>
      <protection/>
    </xf>
    <xf numFmtId="0" fontId="6" fillId="0" borderId="0" xfId="53" applyFont="1" applyAlignment="1" applyProtection="1">
      <alignment/>
      <protection/>
    </xf>
    <xf numFmtId="0" fontId="6" fillId="0" borderId="0" xfId="53" applyFont="1" applyAlignment="1" applyProtection="1">
      <alignment horizontal="center"/>
      <protection/>
    </xf>
    <xf numFmtId="0" fontId="6" fillId="0" borderId="0" xfId="53" applyFont="1" applyAlignment="1" applyProtection="1">
      <alignment horizontal="left"/>
      <protection/>
    </xf>
    <xf numFmtId="0" fontId="15" fillId="0" borderId="0" xfId="53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/>
    </xf>
    <xf numFmtId="0" fontId="2" fillId="0" borderId="15" xfId="53" applyFont="1" applyFill="1" applyBorder="1" applyAlignment="1" applyProtection="1">
      <alignment horizontal="left"/>
      <protection/>
    </xf>
    <xf numFmtId="0" fontId="2" fillId="0" borderId="28" xfId="53" applyFont="1" applyFill="1" applyBorder="1" applyAlignment="1" applyProtection="1">
      <alignment horizontal="center"/>
      <protection/>
    </xf>
    <xf numFmtId="0" fontId="2" fillId="0" borderId="15" xfId="53" applyFont="1" applyFill="1" applyBorder="1" applyAlignment="1" applyProtection="1" quotePrefix="1">
      <alignment horizontal="left"/>
      <protection/>
    </xf>
    <xf numFmtId="0" fontId="2" fillId="0" borderId="21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29" fillId="0" borderId="20" xfId="53" applyFont="1" applyFill="1" applyBorder="1" applyAlignment="1" applyProtection="1">
      <alignment horizontal="center" vertical="center" wrapText="1"/>
      <protection/>
    </xf>
    <xf numFmtId="0" fontId="29" fillId="0" borderId="20" xfId="53" applyFont="1" applyFill="1" applyBorder="1" applyAlignment="1" applyProtection="1">
      <alignment horizontal="center" vertical="center"/>
      <protection/>
    </xf>
    <xf numFmtId="0" fontId="29" fillId="0" borderId="20" xfId="53" applyFont="1" applyFill="1" applyBorder="1" applyAlignment="1" applyProtection="1" quotePrefix="1">
      <alignment horizontal="center" vertical="center" wrapText="1"/>
      <protection/>
    </xf>
    <xf numFmtId="0" fontId="29" fillId="0" borderId="15" xfId="53" applyFont="1" applyFill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horizontal="center" vertical="center"/>
      <protection/>
    </xf>
    <xf numFmtId="0" fontId="53" fillId="33" borderId="29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/>
      <protection locked="0"/>
    </xf>
    <xf numFmtId="0" fontId="60" fillId="33" borderId="22" xfId="53" applyFont="1" applyFill="1" applyBorder="1" applyProtection="1">
      <alignment/>
      <protection/>
    </xf>
    <xf numFmtId="0" fontId="6" fillId="0" borderId="22" xfId="53" applyFont="1" applyFill="1" applyBorder="1" applyProtection="1">
      <alignment/>
      <protection locked="0"/>
    </xf>
    <xf numFmtId="0" fontId="6" fillId="0" borderId="25" xfId="53" applyFont="1" applyBorder="1" applyAlignment="1" applyProtection="1">
      <alignment horizontal="center" vertical="center"/>
      <protection locked="0"/>
    </xf>
    <xf numFmtId="0" fontId="6" fillId="0" borderId="30" xfId="53" applyFont="1" applyBorder="1" applyAlignment="1" applyProtection="1">
      <alignment horizontal="center" vertical="center"/>
      <protection locked="0"/>
    </xf>
    <xf numFmtId="0" fontId="6" fillId="0" borderId="31" xfId="53" applyFont="1" applyBorder="1" applyAlignment="1" applyProtection="1" quotePrefix="1">
      <alignment horizontal="center" vertical="center"/>
      <protection locked="0"/>
    </xf>
    <xf numFmtId="2" fontId="6" fillId="0" borderId="32" xfId="53" applyNumberFormat="1" applyFont="1" applyBorder="1" applyAlignment="1" applyProtection="1" quotePrefix="1">
      <alignment horizontal="center" vertical="center"/>
      <protection locked="0"/>
    </xf>
    <xf numFmtId="174" fontId="39" fillId="33" borderId="22" xfId="53" applyNumberFormat="1" applyFont="1" applyFill="1" applyBorder="1" applyAlignment="1" applyProtection="1">
      <alignment horizontal="center"/>
      <protection/>
    </xf>
    <xf numFmtId="22" fontId="6" fillId="0" borderId="22" xfId="53" applyNumberFormat="1" applyFont="1" applyFill="1" applyBorder="1" applyAlignment="1" applyProtection="1">
      <alignment horizontal="center"/>
      <protection locked="0"/>
    </xf>
    <xf numFmtId="2" fontId="6" fillId="0" borderId="22" xfId="53" applyNumberFormat="1" applyFont="1" applyFill="1" applyBorder="1" applyAlignment="1" applyProtection="1">
      <alignment horizontal="center"/>
      <protection/>
    </xf>
    <xf numFmtId="3" fontId="6" fillId="0" borderId="22" xfId="53" applyNumberFormat="1" applyFont="1" applyFill="1" applyBorder="1" applyAlignment="1" applyProtection="1">
      <alignment horizontal="center"/>
      <protection/>
    </xf>
    <xf numFmtId="174" fontId="6" fillId="0" borderId="22" xfId="53" applyNumberFormat="1" applyFont="1" applyFill="1" applyBorder="1" applyAlignment="1" applyProtection="1">
      <alignment horizontal="center"/>
      <protection locked="0"/>
    </xf>
    <xf numFmtId="174" fontId="6" fillId="0" borderId="22" xfId="53" applyNumberFormat="1" applyFont="1" applyFill="1" applyBorder="1" applyAlignment="1" applyProtection="1" quotePrefix="1">
      <alignment horizontal="center"/>
      <protection locked="0"/>
    </xf>
    <xf numFmtId="0" fontId="6" fillId="0" borderId="23" xfId="53" applyFont="1" applyBorder="1" applyAlignment="1" applyProtection="1" quotePrefix="1">
      <alignment horizontal="center" vertical="center"/>
      <protection locked="0"/>
    </xf>
    <xf numFmtId="0" fontId="6" fillId="0" borderId="23" xfId="53" applyFont="1" applyBorder="1" applyAlignment="1" applyProtection="1">
      <alignment horizontal="center" vertical="center"/>
      <protection locked="0"/>
    </xf>
    <xf numFmtId="0" fontId="6" fillId="0" borderId="22" xfId="53" applyFont="1" applyBorder="1" applyAlignment="1" applyProtection="1">
      <alignment horizontal="center" vertical="center"/>
      <protection locked="0"/>
    </xf>
    <xf numFmtId="0" fontId="6" fillId="0" borderId="31" xfId="53" applyFont="1" applyBorder="1" applyAlignment="1" applyProtection="1">
      <alignment horizontal="center" vertical="center"/>
      <protection locked="0"/>
    </xf>
    <xf numFmtId="2" fontId="6" fillId="0" borderId="24" xfId="53" applyNumberFormat="1" applyFont="1" applyBorder="1" applyAlignment="1" applyProtection="1" quotePrefix="1">
      <alignment horizontal="center" vertical="center"/>
      <protection locked="0"/>
    </xf>
    <xf numFmtId="0" fontId="6" fillId="0" borderId="26" xfId="53" applyFont="1" applyFill="1" applyBorder="1" applyAlignment="1" applyProtection="1">
      <alignment horizontal="center"/>
      <protection locked="0"/>
    </xf>
    <xf numFmtId="0" fontId="45" fillId="0" borderId="26" xfId="53" applyFont="1" applyFill="1" applyBorder="1" applyAlignment="1" applyProtection="1">
      <alignment horizontal="center"/>
      <protection locked="0"/>
    </xf>
    <xf numFmtId="0" fontId="45" fillId="0" borderId="26" xfId="53" applyFont="1" applyFill="1" applyBorder="1" applyAlignment="1" applyProtection="1" quotePrefix="1">
      <alignment horizontal="center"/>
      <protection locked="0"/>
    </xf>
    <xf numFmtId="172" fontId="9" fillId="0" borderId="26" xfId="53" applyNumberFormat="1" applyFont="1" applyFill="1" applyBorder="1" applyAlignment="1" applyProtection="1" quotePrefix="1">
      <alignment horizontal="center"/>
      <protection locked="0"/>
    </xf>
    <xf numFmtId="174" fontId="60" fillId="33" borderId="26" xfId="53" applyNumberFormat="1" applyFont="1" applyFill="1" applyBorder="1" applyAlignment="1" applyProtection="1">
      <alignment horizontal="center"/>
      <protection/>
    </xf>
    <xf numFmtId="174" fontId="6" fillId="0" borderId="26" xfId="53" applyNumberFormat="1" applyFont="1" applyFill="1" applyBorder="1" applyAlignment="1" applyProtection="1">
      <alignment horizontal="center"/>
      <protection locked="0"/>
    </xf>
    <xf numFmtId="174" fontId="6" fillId="0" borderId="26" xfId="53" applyNumberFormat="1" applyFont="1" applyFill="1" applyBorder="1" applyAlignment="1" applyProtection="1">
      <alignment horizontal="center"/>
      <protection/>
    </xf>
    <xf numFmtId="174" fontId="6" fillId="0" borderId="26" xfId="53" applyNumberFormat="1" applyFont="1" applyFill="1" applyBorder="1" applyAlignment="1" applyProtection="1" quotePrefix="1">
      <alignment horizontal="center"/>
      <protection locked="0"/>
    </xf>
    <xf numFmtId="174" fontId="44" fillId="33" borderId="26" xfId="53" applyNumberFormat="1" applyFont="1" applyFill="1" applyBorder="1" applyAlignment="1" applyProtection="1" quotePrefix="1">
      <alignment horizontal="center"/>
      <protection/>
    </xf>
    <xf numFmtId="0" fontId="15" fillId="0" borderId="0" xfId="53" applyFont="1" applyAlignment="1" applyProtection="1">
      <alignment/>
      <protection/>
    </xf>
    <xf numFmtId="0" fontId="2" fillId="0" borderId="15" xfId="53" applyFont="1" applyFill="1" applyBorder="1" applyAlignment="1" applyProtection="1">
      <alignment/>
      <protection/>
    </xf>
    <xf numFmtId="176" fontId="2" fillId="0" borderId="16" xfId="53" applyNumberFormat="1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29" fillId="0" borderId="16" xfId="53" applyFont="1" applyFill="1" applyBorder="1" applyAlignment="1" applyProtection="1">
      <alignment horizontal="center" vertical="center"/>
      <protection/>
    </xf>
    <xf numFmtId="172" fontId="29" fillId="0" borderId="16" xfId="53" applyNumberFormat="1" applyFont="1" applyFill="1" applyBorder="1" applyAlignment="1" applyProtection="1">
      <alignment horizontal="center" vertical="center" wrapText="1"/>
      <protection/>
    </xf>
    <xf numFmtId="0" fontId="32" fillId="34" borderId="20" xfId="53" applyFont="1" applyFill="1" applyBorder="1" applyAlignment="1" applyProtection="1">
      <alignment horizontal="center" vertical="center"/>
      <protection/>
    </xf>
    <xf numFmtId="0" fontId="29" fillId="0" borderId="16" xfId="53" applyFont="1" applyFill="1" applyBorder="1" applyAlignment="1" applyProtection="1">
      <alignment horizontal="center" vertical="center" wrapText="1"/>
      <protection/>
    </xf>
    <xf numFmtId="0" fontId="52" fillId="33" borderId="20" xfId="53" applyFont="1" applyFill="1" applyBorder="1" applyAlignment="1" applyProtection="1">
      <alignment horizontal="center" vertical="center"/>
      <protection/>
    </xf>
    <xf numFmtId="0" fontId="6" fillId="0" borderId="33" xfId="53" applyFont="1" applyFill="1" applyBorder="1" applyAlignment="1" applyProtection="1">
      <alignment horizontal="center"/>
      <protection locked="0"/>
    </xf>
    <xf numFmtId="22" fontId="6" fillId="0" borderId="34" xfId="53" applyNumberFormat="1" applyFont="1" applyFill="1" applyBorder="1" applyAlignment="1" applyProtection="1">
      <alignment horizontal="center"/>
      <protection locked="0"/>
    </xf>
    <xf numFmtId="2" fontId="6" fillId="0" borderId="35" xfId="53" applyNumberFormat="1" applyFont="1" applyFill="1" applyBorder="1" applyAlignment="1" applyProtection="1">
      <alignment horizontal="center"/>
      <protection/>
    </xf>
    <xf numFmtId="172" fontId="6" fillId="0" borderId="35" xfId="53" applyNumberFormat="1" applyFont="1" applyFill="1" applyBorder="1" applyAlignment="1" applyProtection="1" quotePrefix="1">
      <alignment horizontal="center"/>
      <protection/>
    </xf>
    <xf numFmtId="174" fontId="6" fillId="0" borderId="30" xfId="53" applyNumberFormat="1" applyFont="1" applyFill="1" applyBorder="1" applyAlignment="1" applyProtection="1">
      <alignment horizontal="center"/>
      <protection locked="0"/>
    </xf>
    <xf numFmtId="174" fontId="6" fillId="0" borderId="35" xfId="53" applyNumberFormat="1" applyFont="1" applyFill="1" applyBorder="1" applyAlignment="1" applyProtection="1">
      <alignment horizontal="center"/>
      <protection locked="0"/>
    </xf>
    <xf numFmtId="175" fontId="6" fillId="0" borderId="24" xfId="53" applyNumberFormat="1" applyFont="1" applyBorder="1" applyAlignment="1" applyProtection="1" quotePrefix="1">
      <alignment horizontal="center" vertical="center"/>
      <protection locked="0"/>
    </xf>
    <xf numFmtId="0" fontId="6" fillId="0" borderId="36" xfId="53" applyFont="1" applyFill="1" applyBorder="1" applyProtection="1">
      <alignment/>
      <protection locked="0"/>
    </xf>
    <xf numFmtId="0" fontId="45" fillId="0" borderId="37" xfId="53" applyFont="1" applyFill="1" applyBorder="1" applyAlignment="1" applyProtection="1">
      <alignment horizontal="center"/>
      <protection locked="0"/>
    </xf>
    <xf numFmtId="0" fontId="6" fillId="0" borderId="38" xfId="53" applyFont="1" applyBorder="1" applyAlignment="1" applyProtection="1">
      <alignment horizontal="center" vertical="center"/>
      <protection locked="0"/>
    </xf>
    <xf numFmtId="174" fontId="6" fillId="0" borderId="39" xfId="53" applyNumberFormat="1" applyFont="1" applyFill="1" applyBorder="1" applyAlignment="1" applyProtection="1">
      <alignment horizontal="center"/>
      <protection locked="0"/>
    </xf>
    <xf numFmtId="174" fontId="6" fillId="0" borderId="39" xfId="53" applyNumberFormat="1" applyFont="1" applyFill="1" applyBorder="1" applyAlignment="1" applyProtection="1">
      <alignment horizontal="center"/>
      <protection/>
    </xf>
    <xf numFmtId="174" fontId="6" fillId="0" borderId="38" xfId="53" applyNumberFormat="1" applyFont="1" applyFill="1" applyBorder="1" applyAlignment="1" applyProtection="1">
      <alignment horizontal="center"/>
      <protection locked="0"/>
    </xf>
    <xf numFmtId="0" fontId="6" fillId="0" borderId="22" xfId="53" applyFont="1" applyBorder="1" applyAlignment="1" applyProtection="1">
      <alignment horizontal="center" vertical="center"/>
      <protection/>
    </xf>
    <xf numFmtId="0" fontId="83" fillId="0" borderId="0" xfId="53" applyFont="1" applyAlignment="1">
      <alignment horizontal="right" vertical="top"/>
      <protection/>
    </xf>
    <xf numFmtId="0" fontId="83" fillId="0" borderId="0" xfId="53" applyFont="1" applyAlignment="1" applyProtection="1">
      <alignment horizontal="right" vertical="top"/>
      <protection/>
    </xf>
    <xf numFmtId="0" fontId="11" fillId="0" borderId="0" xfId="53" applyFont="1" applyAlignment="1" applyProtection="1">
      <alignment horizontal="centerContinuous"/>
      <protection/>
    </xf>
    <xf numFmtId="0" fontId="13" fillId="0" borderId="0" xfId="53" applyFont="1" applyAlignment="1" applyProtection="1">
      <alignment horizontal="centerContinuous"/>
      <protection/>
    </xf>
    <xf numFmtId="0" fontId="24" fillId="0" borderId="0" xfId="53" applyFont="1" applyBorder="1" applyAlignment="1" applyProtection="1" quotePrefix="1">
      <alignment horizontal="centerContinuous"/>
      <protection/>
    </xf>
    <xf numFmtId="0" fontId="2" fillId="0" borderId="0" xfId="53" applyFont="1" applyBorder="1" applyAlignment="1" applyProtection="1">
      <alignment horizontal="left"/>
      <protection/>
    </xf>
    <xf numFmtId="0" fontId="6" fillId="0" borderId="40" xfId="53" applyFont="1" applyBorder="1" applyAlignment="1" applyProtection="1">
      <alignment horizontal="center"/>
      <protection/>
    </xf>
    <xf numFmtId="172" fontId="6" fillId="0" borderId="29" xfId="53" applyNumberFormat="1" applyFont="1" applyBorder="1" applyAlignment="1" applyProtection="1">
      <alignment horizontal="center"/>
      <protection/>
    </xf>
    <xf numFmtId="172" fontId="6" fillId="0" borderId="29" xfId="53" applyNumberFormat="1" applyFont="1" applyBorder="1" applyAlignment="1" applyProtection="1">
      <alignment horizontal="center" vertical="center"/>
      <protection/>
    </xf>
    <xf numFmtId="0" fontId="39" fillId="33" borderId="29" xfId="53" applyFont="1" applyFill="1" applyBorder="1" applyAlignment="1" applyProtection="1">
      <alignment horizontal="center"/>
      <protection/>
    </xf>
    <xf numFmtId="0" fontId="6" fillId="0" borderId="29" xfId="53" applyFont="1" applyBorder="1" applyAlignment="1" applyProtection="1">
      <alignment horizontal="center"/>
      <protection/>
    </xf>
    <xf numFmtId="0" fontId="6" fillId="0" borderId="40" xfId="53" applyFont="1" applyBorder="1" applyAlignment="1" applyProtection="1" quotePrefix="1">
      <alignment horizontal="center"/>
      <protection/>
    </xf>
    <xf numFmtId="0" fontId="40" fillId="34" borderId="29" xfId="53" applyFont="1" applyFill="1" applyBorder="1" applyAlignment="1" applyProtection="1">
      <alignment horizontal="center"/>
      <protection/>
    </xf>
    <xf numFmtId="0" fontId="41" fillId="37" borderId="29" xfId="53" applyFont="1" applyFill="1" applyBorder="1" applyAlignment="1" applyProtection="1">
      <alignment horizontal="center"/>
      <protection/>
    </xf>
    <xf numFmtId="0" fontId="42" fillId="34" borderId="41" xfId="53" applyFont="1" applyFill="1" applyBorder="1" applyAlignment="1" applyProtection="1">
      <alignment horizontal="center"/>
      <protection/>
    </xf>
    <xf numFmtId="0" fontId="42" fillId="34" borderId="40" xfId="53" applyFont="1" applyFill="1" applyBorder="1" applyAlignment="1" applyProtection="1">
      <alignment horizontal="center"/>
      <protection/>
    </xf>
    <xf numFmtId="0" fontId="42" fillId="34" borderId="42" xfId="53" applyFont="1" applyFill="1" applyBorder="1" applyAlignment="1" applyProtection="1">
      <alignment horizontal="left"/>
      <protection/>
    </xf>
    <xf numFmtId="0" fontId="8" fillId="37" borderId="41" xfId="53" applyFont="1" applyFill="1" applyBorder="1" applyAlignment="1" applyProtection="1">
      <alignment horizontal="center"/>
      <protection/>
    </xf>
    <xf numFmtId="0" fontId="8" fillId="37" borderId="40" xfId="53" applyFont="1" applyFill="1" applyBorder="1" applyAlignment="1" applyProtection="1">
      <alignment horizontal="center"/>
      <protection/>
    </xf>
    <xf numFmtId="0" fontId="8" fillId="37" borderId="42" xfId="53" applyFont="1" applyFill="1" applyBorder="1" applyAlignment="1" applyProtection="1">
      <alignment horizontal="left"/>
      <protection/>
    </xf>
    <xf numFmtId="0" fontId="43" fillId="33" borderId="29" xfId="53" applyFont="1" applyFill="1" applyBorder="1" applyAlignment="1" applyProtection="1">
      <alignment horizontal="left"/>
      <protection/>
    </xf>
    <xf numFmtId="0" fontId="44" fillId="36" borderId="29" xfId="53" applyFont="1" applyFill="1" applyBorder="1" applyAlignment="1" applyProtection="1">
      <alignment horizontal="left"/>
      <protection/>
    </xf>
    <xf numFmtId="7" fontId="20" fillId="0" borderId="29" xfId="53" applyNumberFormat="1" applyFont="1" applyBorder="1" applyAlignment="1" applyProtection="1">
      <alignment horizontal="center"/>
      <protection/>
    </xf>
    <xf numFmtId="0" fontId="6" fillId="0" borderId="22" xfId="53" applyFont="1" applyBorder="1" applyProtection="1">
      <alignment/>
      <protection/>
    </xf>
    <xf numFmtId="0" fontId="6" fillId="0" borderId="43" xfId="53" applyFont="1" applyBorder="1" applyProtection="1">
      <alignment/>
      <protection/>
    </xf>
    <xf numFmtId="0" fontId="39" fillId="33" borderId="22" xfId="53" applyFont="1" applyFill="1" applyBorder="1" applyProtection="1">
      <alignment/>
      <protection/>
    </xf>
    <xf numFmtId="0" fontId="6" fillId="0" borderId="43" xfId="53" applyFont="1" applyBorder="1" applyAlignment="1" applyProtection="1">
      <alignment horizontal="center"/>
      <protection/>
    </xf>
    <xf numFmtId="0" fontId="6" fillId="0" borderId="22" xfId="53" applyFont="1" applyBorder="1" applyAlignment="1" applyProtection="1">
      <alignment horizontal="center"/>
      <protection/>
    </xf>
    <xf numFmtId="0" fontId="40" fillId="34" borderId="22" xfId="53" applyFont="1" applyFill="1" applyBorder="1" applyProtection="1">
      <alignment/>
      <protection/>
    </xf>
    <xf numFmtId="0" fontId="41" fillId="37" borderId="22" xfId="53" applyFont="1" applyFill="1" applyBorder="1" applyProtection="1">
      <alignment/>
      <protection/>
    </xf>
    <xf numFmtId="0" fontId="42" fillId="34" borderId="44" xfId="53" applyFont="1" applyFill="1" applyBorder="1" applyAlignment="1" applyProtection="1">
      <alignment horizontal="center"/>
      <protection/>
    </xf>
    <xf numFmtId="0" fontId="42" fillId="34" borderId="43" xfId="53" applyFont="1" applyFill="1" applyBorder="1" applyProtection="1">
      <alignment/>
      <protection/>
    </xf>
    <xf numFmtId="0" fontId="42" fillId="34" borderId="24" xfId="53" applyFont="1" applyFill="1" applyBorder="1" applyProtection="1">
      <alignment/>
      <protection/>
    </xf>
    <xf numFmtId="0" fontId="8" fillId="37" borderId="44" xfId="53" applyFont="1" applyFill="1" applyBorder="1" applyAlignment="1" applyProtection="1">
      <alignment horizontal="center"/>
      <protection/>
    </xf>
    <xf numFmtId="0" fontId="8" fillId="37" borderId="43" xfId="53" applyFont="1" applyFill="1" applyBorder="1" applyProtection="1">
      <alignment/>
      <protection/>
    </xf>
    <xf numFmtId="0" fontId="8" fillId="37" borderId="24" xfId="53" applyFont="1" applyFill="1" applyBorder="1" applyProtection="1">
      <alignment/>
      <protection/>
    </xf>
    <xf numFmtId="0" fontId="43" fillId="33" borderId="22" xfId="53" applyFont="1" applyFill="1" applyBorder="1" applyProtection="1">
      <alignment/>
      <protection/>
    </xf>
    <xf numFmtId="0" fontId="44" fillId="36" borderId="22" xfId="53" applyFont="1" applyFill="1" applyBorder="1" applyProtection="1">
      <alignment/>
      <protection/>
    </xf>
    <xf numFmtId="7" fontId="20" fillId="0" borderId="22" xfId="53" applyNumberFormat="1" applyFont="1" applyBorder="1" applyAlignment="1" applyProtection="1">
      <alignment horizontal="center"/>
      <protection/>
    </xf>
    <xf numFmtId="0" fontId="47" fillId="0" borderId="28" xfId="53" applyFont="1" applyBorder="1" applyAlignment="1" applyProtection="1">
      <alignment horizontal="center"/>
      <protection/>
    </xf>
    <xf numFmtId="7" fontId="3" fillId="0" borderId="20" xfId="53" applyNumberFormat="1" applyFont="1" applyBorder="1" applyAlignment="1" applyProtection="1">
      <alignment horizontal="right"/>
      <protection/>
    </xf>
    <xf numFmtId="0" fontId="48" fillId="0" borderId="0" xfId="53" applyFont="1" applyBorder="1" applyAlignment="1" applyProtection="1">
      <alignment horizontal="center"/>
      <protection/>
    </xf>
    <xf numFmtId="2" fontId="40" fillId="34" borderId="22" xfId="53" applyNumberFormat="1" applyFont="1" applyFill="1" applyBorder="1" applyAlignment="1" applyProtection="1">
      <alignment horizontal="center"/>
      <protection locked="0"/>
    </xf>
    <xf numFmtId="2" fontId="41" fillId="37" borderId="22" xfId="53" applyNumberFormat="1" applyFont="1" applyFill="1" applyBorder="1" applyAlignment="1" applyProtection="1">
      <alignment horizontal="center"/>
      <protection locked="0"/>
    </xf>
    <xf numFmtId="174" fontId="42" fillId="34" borderId="44" xfId="53" applyNumberFormat="1" applyFont="1" applyFill="1" applyBorder="1" applyAlignment="1" applyProtection="1" quotePrefix="1">
      <alignment horizontal="center"/>
      <protection locked="0"/>
    </xf>
    <xf numFmtId="174" fontId="42" fillId="34" borderId="43" xfId="53" applyNumberFormat="1" applyFont="1" applyFill="1" applyBorder="1" applyAlignment="1" applyProtection="1" quotePrefix="1">
      <alignment horizontal="center"/>
      <protection locked="0"/>
    </xf>
    <xf numFmtId="4" fontId="42" fillId="34" borderId="24" xfId="53" applyNumberFormat="1" applyFont="1" applyFill="1" applyBorder="1" applyAlignment="1" applyProtection="1">
      <alignment horizontal="center"/>
      <protection locked="0"/>
    </xf>
    <xf numFmtId="174" fontId="8" fillId="37" borderId="44" xfId="53" applyNumberFormat="1" applyFont="1" applyFill="1" applyBorder="1" applyAlignment="1" applyProtection="1" quotePrefix="1">
      <alignment horizontal="center"/>
      <protection locked="0"/>
    </xf>
    <xf numFmtId="174" fontId="8" fillId="37" borderId="43" xfId="53" applyNumberFormat="1" applyFont="1" applyFill="1" applyBorder="1" applyAlignment="1" applyProtection="1" quotePrefix="1">
      <alignment horizontal="center"/>
      <protection locked="0"/>
    </xf>
    <xf numFmtId="4" fontId="8" fillId="37" borderId="24" xfId="53" applyNumberFormat="1" applyFont="1" applyFill="1" applyBorder="1" applyAlignment="1" applyProtection="1">
      <alignment horizontal="center"/>
      <protection locked="0"/>
    </xf>
    <xf numFmtId="4" fontId="43" fillId="33" borderId="22" xfId="53" applyNumberFormat="1" applyFont="1" applyFill="1" applyBorder="1" applyAlignment="1" applyProtection="1">
      <alignment horizontal="center"/>
      <protection locked="0"/>
    </xf>
    <xf numFmtId="4" fontId="44" fillId="36" borderId="22" xfId="53" applyNumberFormat="1" applyFont="1" applyFill="1" applyBorder="1" applyAlignment="1" applyProtection="1">
      <alignment horizontal="center"/>
      <protection locked="0"/>
    </xf>
    <xf numFmtId="2" fontId="40" fillId="34" borderId="26" xfId="53" applyNumberFormat="1" applyFont="1" applyFill="1" applyBorder="1" applyAlignment="1" applyProtection="1">
      <alignment horizontal="center"/>
      <protection locked="0"/>
    </xf>
    <xf numFmtId="2" fontId="41" fillId="37" borderId="26" xfId="53" applyNumberFormat="1" applyFont="1" applyFill="1" applyBorder="1" applyAlignment="1" applyProtection="1">
      <alignment horizontal="center"/>
      <protection locked="0"/>
    </xf>
    <xf numFmtId="174" fontId="42" fillId="34" borderId="45" xfId="53" applyNumberFormat="1" applyFont="1" applyFill="1" applyBorder="1" applyAlignment="1" applyProtection="1" quotePrefix="1">
      <alignment horizontal="center"/>
      <protection locked="0"/>
    </xf>
    <xf numFmtId="174" fontId="42" fillId="34" borderId="46" xfId="53" applyNumberFormat="1" applyFont="1" applyFill="1" applyBorder="1" applyAlignment="1" applyProtection="1" quotePrefix="1">
      <alignment horizontal="center"/>
      <protection locked="0"/>
    </xf>
    <xf numFmtId="4" fontId="42" fillId="34" borderId="47" xfId="53" applyNumberFormat="1" applyFont="1" applyFill="1" applyBorder="1" applyAlignment="1" applyProtection="1">
      <alignment horizontal="center"/>
      <protection locked="0"/>
    </xf>
    <xf numFmtId="174" fontId="8" fillId="37" borderId="45" xfId="53" applyNumberFormat="1" applyFont="1" applyFill="1" applyBorder="1" applyAlignment="1" applyProtection="1" quotePrefix="1">
      <alignment horizontal="center"/>
      <protection locked="0"/>
    </xf>
    <xf numFmtId="174" fontId="8" fillId="37" borderId="46" xfId="53" applyNumberFormat="1" applyFont="1" applyFill="1" applyBorder="1" applyAlignment="1" applyProtection="1" quotePrefix="1">
      <alignment horizontal="center"/>
      <protection locked="0"/>
    </xf>
    <xf numFmtId="4" fontId="8" fillId="37" borderId="47" xfId="53" applyNumberFormat="1" applyFont="1" applyFill="1" applyBorder="1" applyAlignment="1" applyProtection="1">
      <alignment horizontal="center"/>
      <protection locked="0"/>
    </xf>
    <xf numFmtId="4" fontId="43" fillId="33" borderId="26" xfId="53" applyNumberFormat="1" applyFont="1" applyFill="1" applyBorder="1" applyAlignment="1" applyProtection="1">
      <alignment horizontal="center"/>
      <protection locked="0"/>
    </xf>
    <xf numFmtId="4" fontId="44" fillId="36" borderId="26" xfId="53" applyNumberFormat="1" applyFont="1" applyFill="1" applyBorder="1" applyAlignment="1" applyProtection="1">
      <alignment horizontal="center"/>
      <protection locked="0"/>
    </xf>
    <xf numFmtId="0" fontId="13" fillId="0" borderId="0" xfId="53" applyFont="1" applyAlignment="1" applyProtection="1">
      <alignment/>
      <protection/>
    </xf>
    <xf numFmtId="0" fontId="6" fillId="0" borderId="10" xfId="53" applyFont="1" applyFill="1" applyBorder="1" applyProtection="1">
      <alignment/>
      <protection/>
    </xf>
    <xf numFmtId="0" fontId="6" fillId="0" borderId="11" xfId="53" applyFont="1" applyFill="1" applyBorder="1" applyProtection="1">
      <alignment/>
      <protection/>
    </xf>
    <xf numFmtId="0" fontId="6" fillId="0" borderId="12" xfId="53" applyFont="1" applyFill="1" applyBorder="1" applyProtection="1">
      <alignment/>
      <protection/>
    </xf>
    <xf numFmtId="0" fontId="15" fillId="0" borderId="0" xfId="53" applyFont="1" applyProtection="1">
      <alignment/>
      <protection/>
    </xf>
    <xf numFmtId="0" fontId="15" fillId="0" borderId="13" xfId="53" applyFont="1" applyFill="1" applyBorder="1" applyProtection="1">
      <alignment/>
      <protection/>
    </xf>
    <xf numFmtId="0" fontId="15" fillId="0" borderId="14" xfId="53" applyFont="1" applyFill="1" applyBorder="1" applyProtection="1">
      <alignment/>
      <protection/>
    </xf>
    <xf numFmtId="0" fontId="6" fillId="0" borderId="13" xfId="53" applyFont="1" applyFill="1" applyBorder="1" applyProtection="1">
      <alignment/>
      <protection/>
    </xf>
    <xf numFmtId="0" fontId="18" fillId="0" borderId="0" xfId="53" applyFont="1" applyFill="1" applyBorder="1" applyProtection="1">
      <alignment/>
      <protection/>
    </xf>
    <xf numFmtId="0" fontId="6" fillId="0" borderId="14" xfId="53" applyFont="1" applyFill="1" applyBorder="1" applyProtection="1">
      <alignment/>
      <protection/>
    </xf>
    <xf numFmtId="0" fontId="19" fillId="0" borderId="0" xfId="53" applyFont="1" applyBorder="1" applyAlignment="1" applyProtection="1">
      <alignment/>
      <protection/>
    </xf>
    <xf numFmtId="0" fontId="24" fillId="0" borderId="13" xfId="53" applyFont="1" applyFill="1" applyBorder="1" applyAlignment="1" applyProtection="1">
      <alignment horizontal="centerContinuous"/>
      <protection/>
    </xf>
    <xf numFmtId="0" fontId="24" fillId="0" borderId="0" xfId="53" applyFont="1" applyFill="1" applyBorder="1" applyAlignment="1" applyProtection="1">
      <alignment horizontal="centerContinuous"/>
      <protection/>
    </xf>
    <xf numFmtId="0" fontId="23" fillId="0" borderId="0" xfId="53" applyFont="1" applyFill="1" applyBorder="1" applyAlignment="1" applyProtection="1">
      <alignment horizontal="centerContinuous"/>
      <protection/>
    </xf>
    <xf numFmtId="0" fontId="23" fillId="0" borderId="14" xfId="53" applyFont="1" applyFill="1" applyBorder="1" applyAlignment="1" applyProtection="1">
      <alignment horizontal="centerContinuous"/>
      <protection/>
    </xf>
    <xf numFmtId="0" fontId="50" fillId="0" borderId="0" xfId="53" applyFont="1" applyFill="1" applyBorder="1" applyAlignment="1" applyProtection="1" quotePrefix="1">
      <alignment horizontal="left"/>
      <protection/>
    </xf>
    <xf numFmtId="0" fontId="2" fillId="0" borderId="0" xfId="53" applyFont="1" applyFill="1" applyBorder="1" applyProtection="1">
      <alignment/>
      <protection/>
    </xf>
    <xf numFmtId="0" fontId="2" fillId="0" borderId="28" xfId="53" applyFont="1" applyFill="1" applyBorder="1" applyProtection="1">
      <alignment/>
      <protection/>
    </xf>
    <xf numFmtId="0" fontId="2" fillId="0" borderId="20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177" fontId="2" fillId="0" borderId="0" xfId="53" applyNumberFormat="1" applyFont="1" applyFill="1" applyBorder="1" applyAlignment="1" applyProtection="1">
      <alignment horizontal="center" vertical="center"/>
      <protection/>
    </xf>
    <xf numFmtId="172" fontId="2" fillId="0" borderId="16" xfId="53" applyNumberFormat="1" applyFont="1" applyFill="1" applyBorder="1" applyAlignment="1" applyProtection="1">
      <alignment horizontal="center"/>
      <protection/>
    </xf>
    <xf numFmtId="22" fontId="2" fillId="0" borderId="0" xfId="53" applyNumberFormat="1" applyFont="1" applyFill="1" applyBorder="1" applyProtection="1">
      <alignment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38" fillId="33" borderId="20" xfId="53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 applyProtection="1">
      <alignment horizontal="center" vertical="center"/>
      <protection/>
    </xf>
    <xf numFmtId="0" fontId="6" fillId="0" borderId="0" xfId="53" applyFont="1" applyAlignment="1" applyProtection="1">
      <alignment horizontal="center" vertical="center"/>
      <protection/>
    </xf>
    <xf numFmtId="0" fontId="2" fillId="0" borderId="29" xfId="53" applyFont="1" applyFill="1" applyBorder="1" applyAlignment="1" applyProtection="1">
      <alignment horizontal="center"/>
      <protection/>
    </xf>
    <xf numFmtId="172" fontId="2" fillId="0" borderId="29" xfId="53" applyNumberFormat="1" applyFont="1" applyFill="1" applyBorder="1" applyAlignment="1" applyProtection="1">
      <alignment horizontal="center"/>
      <protection/>
    </xf>
    <xf numFmtId="0" fontId="58" fillId="33" borderId="29" xfId="53" applyFont="1" applyFill="1" applyBorder="1" applyAlignment="1" applyProtection="1">
      <alignment horizontal="left"/>
      <protection/>
    </xf>
    <xf numFmtId="0" fontId="6" fillId="0" borderId="22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Protection="1">
      <alignment/>
      <protection/>
    </xf>
    <xf numFmtId="0" fontId="44" fillId="33" borderId="22" xfId="53" applyFont="1" applyFill="1" applyBorder="1" applyProtection="1">
      <alignment/>
      <protection/>
    </xf>
    <xf numFmtId="174" fontId="6" fillId="0" borderId="22" xfId="53" applyNumberFormat="1" applyFont="1" applyFill="1" applyBorder="1" applyAlignment="1" applyProtection="1">
      <alignment horizontal="center"/>
      <protection/>
    </xf>
    <xf numFmtId="7" fontId="63" fillId="0" borderId="27" xfId="53" applyNumberFormat="1" applyFont="1" applyFill="1" applyBorder="1" applyAlignment="1" applyProtection="1">
      <alignment horizontal="right"/>
      <protection/>
    </xf>
    <xf numFmtId="7" fontId="3" fillId="0" borderId="20" xfId="53" applyNumberFormat="1" applyFont="1" applyFill="1" applyBorder="1" applyAlignment="1" applyProtection="1">
      <alignment horizontal="right"/>
      <protection/>
    </xf>
    <xf numFmtId="0" fontId="47" fillId="0" borderId="13" xfId="53" applyFont="1" applyFill="1" applyBorder="1" applyProtection="1">
      <alignment/>
      <protection/>
    </xf>
    <xf numFmtId="0" fontId="47" fillId="0" borderId="0" xfId="53" applyFont="1" applyFill="1" applyBorder="1" applyProtection="1">
      <alignment/>
      <protection/>
    </xf>
    <xf numFmtId="7" fontId="64" fillId="0" borderId="0" xfId="53" applyNumberFormat="1" applyFont="1" applyFill="1" applyBorder="1" applyAlignment="1" applyProtection="1">
      <alignment horizontal="right"/>
      <protection/>
    </xf>
    <xf numFmtId="0" fontId="6" fillId="0" borderId="17" xfId="53" applyFont="1" applyFill="1" applyBorder="1" applyProtection="1">
      <alignment/>
      <protection/>
    </xf>
    <xf numFmtId="0" fontId="6" fillId="0" borderId="18" xfId="53" applyFont="1" applyFill="1" applyBorder="1" applyProtection="1">
      <alignment/>
      <protection/>
    </xf>
    <xf numFmtId="0" fontId="6" fillId="0" borderId="19" xfId="53" applyFont="1" applyFill="1" applyBorder="1" applyProtection="1">
      <alignment/>
      <protection/>
    </xf>
    <xf numFmtId="0" fontId="10" fillId="0" borderId="0" xfId="53" applyFont="1" applyFill="1" applyAlignment="1" applyProtection="1">
      <alignment horizontal="centerContinuous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Protection="1">
      <alignment/>
      <protection/>
    </xf>
    <xf numFmtId="0" fontId="15" fillId="0" borderId="0" xfId="53" applyFont="1" applyFill="1" applyProtection="1">
      <alignment/>
      <protection/>
    </xf>
    <xf numFmtId="0" fontId="15" fillId="0" borderId="14" xfId="53" applyFont="1" applyBorder="1" applyProtection="1">
      <alignment/>
      <protection/>
    </xf>
    <xf numFmtId="0" fontId="23" fillId="0" borderId="0" xfId="53" applyFont="1" applyFill="1" applyAlignment="1" applyProtection="1">
      <alignment horizontal="centerContinuous"/>
      <protection/>
    </xf>
    <xf numFmtId="0" fontId="2" fillId="0" borderId="0" xfId="53" applyFont="1" applyFill="1" applyProtection="1">
      <alignment/>
      <protection/>
    </xf>
    <xf numFmtId="22" fontId="65" fillId="0" borderId="0" xfId="53" applyNumberFormat="1" applyFont="1" applyFill="1" applyBorder="1" applyProtection="1">
      <alignment/>
      <protection/>
    </xf>
    <xf numFmtId="0" fontId="2" fillId="0" borderId="0" xfId="53" applyFont="1" applyFill="1" applyBorder="1" applyAlignment="1" applyProtection="1" quotePrefix="1">
      <alignment horizontal="center"/>
      <protection/>
    </xf>
    <xf numFmtId="176" fontId="2" fillId="0" borderId="16" xfId="53" applyNumberFormat="1" applyFont="1" applyFill="1" applyBorder="1" applyAlignment="1" applyProtection="1" quotePrefix="1">
      <alignment horizontal="center"/>
      <protection/>
    </xf>
    <xf numFmtId="0" fontId="6" fillId="0" borderId="48" xfId="53" applyFont="1" applyFill="1" applyBorder="1" applyAlignment="1" applyProtection="1">
      <alignment horizontal="center"/>
      <protection/>
    </xf>
    <xf numFmtId="0" fontId="66" fillId="37" borderId="20" xfId="53" applyFont="1" applyFill="1" applyBorder="1" applyAlignment="1" applyProtection="1">
      <alignment horizontal="center" vertical="center" wrapText="1"/>
      <protection/>
    </xf>
    <xf numFmtId="0" fontId="34" fillId="38" borderId="15" xfId="53" applyFont="1" applyFill="1" applyBorder="1" applyAlignment="1" applyProtection="1">
      <alignment horizontal="centerContinuous" vertical="center" wrapText="1"/>
      <protection/>
    </xf>
    <xf numFmtId="0" fontId="34" fillId="38" borderId="16" xfId="53" applyFont="1" applyFill="1" applyBorder="1" applyAlignment="1" applyProtection="1">
      <alignment horizontal="centerContinuous" vertical="center"/>
      <protection/>
    </xf>
    <xf numFmtId="0" fontId="67" fillId="39" borderId="20" xfId="53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 applyProtection="1">
      <alignment horizontal="center"/>
      <protection/>
    </xf>
    <xf numFmtId="0" fontId="6" fillId="0" borderId="48" xfId="53" applyFont="1" applyFill="1" applyBorder="1" applyProtection="1">
      <alignment/>
      <protection/>
    </xf>
    <xf numFmtId="0" fontId="2" fillId="0" borderId="49" xfId="53" applyFont="1" applyFill="1" applyBorder="1" applyProtection="1">
      <alignment/>
      <protection/>
    </xf>
    <xf numFmtId="0" fontId="2" fillId="0" borderId="50" xfId="53" applyFont="1" applyFill="1" applyBorder="1" applyAlignment="1" applyProtection="1">
      <alignment horizontal="center"/>
      <protection/>
    </xf>
    <xf numFmtId="172" fontId="2" fillId="0" borderId="50" xfId="53" applyNumberFormat="1" applyFont="1" applyFill="1" applyBorder="1" applyAlignment="1" applyProtection="1">
      <alignment horizontal="center"/>
      <protection/>
    </xf>
    <xf numFmtId="0" fontId="68" fillId="34" borderId="29" xfId="53" applyFont="1" applyFill="1" applyBorder="1" applyAlignment="1" applyProtection="1">
      <alignment horizontal="center"/>
      <protection/>
    </xf>
    <xf numFmtId="0" fontId="69" fillId="33" borderId="29" xfId="53" applyNumberFormat="1" applyFont="1" applyFill="1" applyBorder="1" applyAlignment="1" applyProtection="1">
      <alignment horizontal="center"/>
      <protection/>
    </xf>
    <xf numFmtId="0" fontId="70" fillId="37" borderId="29" xfId="53" applyFont="1" applyFill="1" applyBorder="1" applyAlignment="1" applyProtection="1">
      <alignment horizontal="center"/>
      <protection/>
    </xf>
    <xf numFmtId="0" fontId="56" fillId="38" borderId="41" xfId="53" applyFont="1" applyFill="1" applyBorder="1" applyAlignment="1" applyProtection="1">
      <alignment horizontal="center"/>
      <protection/>
    </xf>
    <xf numFmtId="0" fontId="56" fillId="38" borderId="42" xfId="53" applyFont="1" applyFill="1" applyBorder="1" applyAlignment="1" applyProtection="1">
      <alignment horizontal="left"/>
      <protection/>
    </xf>
    <xf numFmtId="0" fontId="71" fillId="39" borderId="29" xfId="53" applyFont="1" applyFill="1" applyBorder="1" applyAlignment="1" applyProtection="1">
      <alignment horizontal="left"/>
      <protection/>
    </xf>
    <xf numFmtId="0" fontId="6" fillId="0" borderId="51" xfId="53" applyFont="1" applyFill="1" applyBorder="1" applyProtection="1">
      <alignment/>
      <protection/>
    </xf>
    <xf numFmtId="0" fontId="6" fillId="0" borderId="52" xfId="53" applyFont="1" applyFill="1" applyBorder="1" applyProtection="1">
      <alignment/>
      <protection/>
    </xf>
    <xf numFmtId="0" fontId="49" fillId="34" borderId="22" xfId="53" applyFont="1" applyFill="1" applyBorder="1" applyProtection="1">
      <alignment/>
      <protection/>
    </xf>
    <xf numFmtId="0" fontId="6" fillId="0" borderId="24" xfId="53" applyFont="1" applyFill="1" applyBorder="1" applyAlignment="1" applyProtection="1">
      <alignment horizontal="center"/>
      <protection/>
    </xf>
    <xf numFmtId="0" fontId="6" fillId="0" borderId="23" xfId="53" applyFont="1" applyFill="1" applyBorder="1" applyAlignment="1" applyProtection="1">
      <alignment horizontal="center"/>
      <protection/>
    </xf>
    <xf numFmtId="0" fontId="6" fillId="0" borderId="53" xfId="53" applyFont="1" applyFill="1" applyBorder="1" applyProtection="1">
      <alignment/>
      <protection/>
    </xf>
    <xf numFmtId="0" fontId="72" fillId="33" borderId="22" xfId="53" applyNumberFormat="1" applyFont="1" applyFill="1" applyBorder="1" applyProtection="1">
      <alignment/>
      <protection/>
    </xf>
    <xf numFmtId="0" fontId="73" fillId="37" borderId="25" xfId="53" applyFont="1" applyFill="1" applyBorder="1" applyProtection="1">
      <alignment/>
      <protection/>
    </xf>
    <xf numFmtId="0" fontId="42" fillId="38" borderId="44" xfId="53" applyFont="1" applyFill="1" applyBorder="1" applyAlignment="1" applyProtection="1">
      <alignment horizontal="center"/>
      <protection/>
    </xf>
    <xf numFmtId="0" fontId="42" fillId="38" borderId="24" xfId="53" applyFont="1" applyFill="1" applyBorder="1" applyProtection="1">
      <alignment/>
      <protection/>
    </xf>
    <xf numFmtId="0" fontId="74" fillId="39" borderId="22" xfId="53" applyFont="1" applyFill="1" applyBorder="1" applyProtection="1">
      <alignment/>
      <protection/>
    </xf>
    <xf numFmtId="176" fontId="49" fillId="34" borderId="35" xfId="53" applyNumberFormat="1" applyFont="1" applyFill="1" applyBorder="1" applyAlignment="1" applyProtection="1">
      <alignment horizontal="center"/>
      <protection/>
    </xf>
    <xf numFmtId="0" fontId="72" fillId="33" borderId="35" xfId="53" applyNumberFormat="1" applyFont="1" applyFill="1" applyBorder="1" applyAlignment="1" applyProtection="1">
      <alignment horizontal="center"/>
      <protection/>
    </xf>
    <xf numFmtId="2" fontId="73" fillId="37" borderId="22" xfId="53" applyNumberFormat="1" applyFont="1" applyFill="1" applyBorder="1" applyAlignment="1" applyProtection="1">
      <alignment horizontal="center"/>
      <protection/>
    </xf>
    <xf numFmtId="2" fontId="42" fillId="38" borderId="44" xfId="53" applyNumberFormat="1" applyFont="1" applyFill="1" applyBorder="1" applyAlignment="1" applyProtection="1">
      <alignment horizontal="center"/>
      <protection/>
    </xf>
    <xf numFmtId="2" fontId="42" fillId="38" borderId="24" xfId="53" applyNumberFormat="1" applyFont="1" applyFill="1" applyBorder="1" applyAlignment="1" applyProtection="1">
      <alignment horizontal="center"/>
      <protection/>
    </xf>
    <xf numFmtId="2" fontId="74" fillId="39" borderId="35" xfId="53" applyNumberFormat="1" applyFont="1" applyFill="1" applyBorder="1" applyAlignment="1" applyProtection="1">
      <alignment horizontal="center"/>
      <protection/>
    </xf>
    <xf numFmtId="174" fontId="75" fillId="0" borderId="35" xfId="53" applyNumberFormat="1" applyFont="1" applyFill="1" applyBorder="1" applyAlignment="1" applyProtection="1">
      <alignment horizontal="center"/>
      <protection/>
    </xf>
    <xf numFmtId="2" fontId="76" fillId="0" borderId="35" xfId="53" applyNumberFormat="1" applyFont="1" applyFill="1" applyBorder="1" applyAlignment="1" applyProtection="1">
      <alignment horizontal="right"/>
      <protection/>
    </xf>
    <xf numFmtId="174" fontId="49" fillId="34" borderId="38" xfId="53" applyNumberFormat="1" applyFont="1" applyFill="1" applyBorder="1" applyAlignment="1" applyProtection="1">
      <alignment horizontal="center"/>
      <protection/>
    </xf>
    <xf numFmtId="0" fontId="72" fillId="33" borderId="38" xfId="53" applyNumberFormat="1" applyFont="1" applyFill="1" applyBorder="1" applyAlignment="1" applyProtection="1">
      <alignment horizontal="center"/>
      <protection/>
    </xf>
    <xf numFmtId="2" fontId="77" fillId="37" borderId="38" xfId="53" applyNumberFormat="1" applyFont="1" applyFill="1" applyBorder="1" applyAlignment="1" applyProtection="1">
      <alignment horizontal="center"/>
      <protection/>
    </xf>
    <xf numFmtId="174" fontId="78" fillId="38" borderId="54" xfId="53" applyNumberFormat="1" applyFont="1" applyFill="1" applyBorder="1" applyAlignment="1" applyProtection="1" quotePrefix="1">
      <alignment horizontal="center"/>
      <protection/>
    </xf>
    <xf numFmtId="174" fontId="78" fillId="38" borderId="55" xfId="53" applyNumberFormat="1" applyFont="1" applyFill="1" applyBorder="1" applyAlignment="1" applyProtection="1" quotePrefix="1">
      <alignment horizontal="center"/>
      <protection/>
    </xf>
    <xf numFmtId="174" fontId="79" fillId="39" borderId="38" xfId="53" applyNumberFormat="1" applyFont="1" applyFill="1" applyBorder="1" applyAlignment="1" applyProtection="1" quotePrefix="1">
      <alignment horizontal="center"/>
      <protection/>
    </xf>
    <xf numFmtId="174" fontId="63" fillId="0" borderId="38" xfId="53" applyNumberFormat="1" applyFont="1" applyFill="1" applyBorder="1" applyAlignment="1" applyProtection="1">
      <alignment horizontal="center"/>
      <protection/>
    </xf>
    <xf numFmtId="7" fontId="80" fillId="0" borderId="56" xfId="53" applyNumberFormat="1" applyFont="1" applyFill="1" applyBorder="1" applyAlignment="1" applyProtection="1">
      <alignment horizontal="right"/>
      <protection/>
    </xf>
    <xf numFmtId="4" fontId="81" fillId="0" borderId="0" xfId="53" applyNumberFormat="1" applyFont="1" applyFill="1" applyBorder="1" applyAlignment="1" applyProtection="1">
      <alignment horizontal="center"/>
      <protection/>
    </xf>
    <xf numFmtId="4" fontId="42" fillId="0" borderId="0" xfId="53" applyNumberFormat="1" applyFont="1" applyFill="1" applyBorder="1" applyAlignment="1" applyProtection="1">
      <alignment horizontal="center"/>
      <protection/>
    </xf>
    <xf numFmtId="4" fontId="18" fillId="0" borderId="11" xfId="53" applyNumberFormat="1" applyFont="1" applyFill="1" applyBorder="1" applyAlignment="1" applyProtection="1">
      <alignment horizontal="center"/>
      <protection/>
    </xf>
    <xf numFmtId="2" fontId="6" fillId="0" borderId="57" xfId="53" applyNumberFormat="1" applyFont="1" applyBorder="1" applyProtection="1">
      <alignment/>
      <protection/>
    </xf>
    <xf numFmtId="4" fontId="82" fillId="0" borderId="0" xfId="53" applyNumberFormat="1" applyFont="1" applyFill="1" applyBorder="1" applyAlignment="1" applyProtection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84" fillId="0" borderId="0" xfId="53" applyNumberFormat="1" applyFont="1" applyBorder="1" applyAlignment="1">
      <alignment horizontal="left"/>
      <protection/>
    </xf>
    <xf numFmtId="0" fontId="37" fillId="40" borderId="20" xfId="0" applyFont="1" applyFill="1" applyBorder="1" applyAlignment="1" applyProtection="1">
      <alignment horizontal="center" vertical="center"/>
      <protection/>
    </xf>
    <xf numFmtId="0" fontId="85" fillId="40" borderId="29" xfId="0" applyFont="1" applyFill="1" applyBorder="1" applyAlignment="1">
      <alignment/>
    </xf>
    <xf numFmtId="0" fontId="85" fillId="40" borderId="35" xfId="0" applyFont="1" applyFill="1" applyBorder="1" applyAlignment="1">
      <alignment/>
    </xf>
    <xf numFmtId="4" fontId="85" fillId="40" borderId="35" xfId="0" applyNumberFormat="1" applyFont="1" applyFill="1" applyBorder="1" applyAlignment="1" applyProtection="1">
      <alignment horizontal="center"/>
      <protection/>
    </xf>
    <xf numFmtId="0" fontId="85" fillId="40" borderId="38" xfId="0" applyFont="1" applyFill="1" applyBorder="1" applyAlignment="1">
      <alignment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174" fontId="6" fillId="0" borderId="35" xfId="0" applyNumberFormat="1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41" borderId="22" xfId="53" applyFont="1" applyFill="1" applyBorder="1" applyAlignment="1" applyProtection="1">
      <alignment horizontal="center"/>
      <protection locked="0"/>
    </xf>
    <xf numFmtId="0" fontId="6" fillId="0" borderId="58" xfId="53" applyFont="1" applyBorder="1" applyAlignment="1" applyProtection="1">
      <alignment horizontal="center" vertical="center"/>
      <protection locked="0"/>
    </xf>
    <xf numFmtId="4" fontId="28" fillId="0" borderId="30" xfId="0" applyNumberFormat="1" applyFont="1" applyFill="1" applyBorder="1" applyAlignment="1">
      <alignment horizontal="right"/>
    </xf>
    <xf numFmtId="2" fontId="43" fillId="42" borderId="35" xfId="0" applyNumberFormat="1" applyFont="1" applyFill="1" applyBorder="1" applyAlignment="1">
      <alignment horizontal="center"/>
    </xf>
    <xf numFmtId="174" fontId="8" fillId="43" borderId="34" xfId="0" applyNumberFormat="1" applyFont="1" applyFill="1" applyBorder="1" applyAlignment="1" applyProtection="1" quotePrefix="1">
      <alignment horizontal="center"/>
      <protection/>
    </xf>
    <xf numFmtId="174" fontId="8" fillId="43" borderId="59" xfId="0" applyNumberFormat="1" applyFont="1" applyFill="1" applyBorder="1" applyAlignment="1" applyProtection="1" quotePrefix="1">
      <alignment horizontal="center"/>
      <protection/>
    </xf>
    <xf numFmtId="174" fontId="8" fillId="33" borderId="35" xfId="0" applyNumberFormat="1" applyFont="1" applyFill="1" applyBorder="1" applyAlignment="1" applyProtection="1" quotePrefix="1">
      <alignment horizontal="center"/>
      <protection/>
    </xf>
    <xf numFmtId="0" fontId="36" fillId="43" borderId="15" xfId="53" applyFont="1" applyFill="1" applyBorder="1" applyAlignment="1" applyProtection="1">
      <alignment horizontal="centerContinuous" vertical="center" wrapText="1"/>
      <protection/>
    </xf>
    <xf numFmtId="0" fontId="36" fillId="43" borderId="16" xfId="53" applyFont="1" applyFill="1" applyBorder="1" applyAlignment="1" applyProtection="1">
      <alignment horizontal="centerContinuous" vertical="center"/>
      <protection/>
    </xf>
    <xf numFmtId="0" fontId="57" fillId="43" borderId="41" xfId="53" applyFont="1" applyFill="1" applyBorder="1" applyAlignment="1" applyProtection="1">
      <alignment horizontal="center"/>
      <protection/>
    </xf>
    <xf numFmtId="0" fontId="57" fillId="43" borderId="42" xfId="53" applyFont="1" applyFill="1" applyBorder="1" applyAlignment="1" applyProtection="1">
      <alignment horizontal="left"/>
      <protection/>
    </xf>
    <xf numFmtId="0" fontId="8" fillId="43" borderId="44" xfId="53" applyFont="1" applyFill="1" applyBorder="1" applyAlignment="1" applyProtection="1">
      <alignment horizontal="center"/>
      <protection/>
    </xf>
    <xf numFmtId="0" fontId="8" fillId="43" borderId="24" xfId="53" applyFont="1" applyFill="1" applyBorder="1" applyProtection="1">
      <alignment/>
      <protection/>
    </xf>
    <xf numFmtId="174" fontId="8" fillId="43" borderId="45" xfId="53" applyNumberFormat="1" applyFont="1" applyFill="1" applyBorder="1" applyAlignment="1" applyProtection="1" quotePrefix="1">
      <alignment horizontal="center"/>
      <protection/>
    </xf>
    <xf numFmtId="174" fontId="8" fillId="43" borderId="47" xfId="53" applyNumberFormat="1" applyFont="1" applyFill="1" applyBorder="1" applyAlignment="1" applyProtection="1" quotePrefix="1">
      <alignment horizontal="center"/>
      <protection/>
    </xf>
    <xf numFmtId="0" fontId="34" fillId="44" borderId="20" xfId="53" applyFont="1" applyFill="1" applyBorder="1" applyAlignment="1" applyProtection="1">
      <alignment horizontal="centerContinuous" vertical="center" wrapText="1"/>
      <protection/>
    </xf>
    <xf numFmtId="0" fontId="34" fillId="44" borderId="16" xfId="53" applyFont="1" applyFill="1" applyBorder="1" applyAlignment="1" applyProtection="1">
      <alignment horizontal="centerContinuous" vertical="center"/>
      <protection/>
    </xf>
    <xf numFmtId="0" fontId="56" fillId="44" borderId="41" xfId="53" applyFont="1" applyFill="1" applyBorder="1" applyAlignment="1" applyProtection="1">
      <alignment horizontal="center"/>
      <protection/>
    </xf>
    <xf numFmtId="0" fontId="56" fillId="44" borderId="42" xfId="53" applyFont="1" applyFill="1" applyBorder="1" applyAlignment="1" applyProtection="1">
      <alignment horizontal="left"/>
      <protection/>
    </xf>
    <xf numFmtId="0" fontId="42" fillId="44" borderId="44" xfId="53" applyFont="1" applyFill="1" applyBorder="1" applyAlignment="1" applyProtection="1">
      <alignment horizontal="center"/>
      <protection/>
    </xf>
    <xf numFmtId="0" fontId="42" fillId="44" borderId="24" xfId="53" applyFont="1" applyFill="1" applyBorder="1" applyProtection="1">
      <alignment/>
      <protection/>
    </xf>
    <xf numFmtId="174" fontId="42" fillId="44" borderId="34" xfId="0" applyNumberFormat="1" applyFont="1" applyFill="1" applyBorder="1" applyAlignment="1" applyProtection="1" quotePrefix="1">
      <alignment horizontal="center"/>
      <protection/>
    </xf>
    <xf numFmtId="174" fontId="42" fillId="44" borderId="59" xfId="0" applyNumberFormat="1" applyFont="1" applyFill="1" applyBorder="1" applyAlignment="1" applyProtection="1" quotePrefix="1">
      <alignment horizontal="center"/>
      <protection/>
    </xf>
    <xf numFmtId="174" fontId="42" fillId="44" borderId="45" xfId="53" applyNumberFormat="1" applyFont="1" applyFill="1" applyBorder="1" applyAlignment="1" applyProtection="1" quotePrefix="1">
      <alignment horizontal="center"/>
      <protection/>
    </xf>
    <xf numFmtId="174" fontId="42" fillId="44" borderId="47" xfId="53" applyNumberFormat="1" applyFont="1" applyFill="1" applyBorder="1" applyAlignment="1" applyProtection="1" quotePrefix="1">
      <alignment horizontal="center"/>
      <protection/>
    </xf>
    <xf numFmtId="0" fontId="51" fillId="45" borderId="20" xfId="53" applyFont="1" applyFill="1" applyBorder="1" applyAlignment="1" applyProtection="1">
      <alignment horizontal="center" vertical="center" wrapText="1"/>
      <protection/>
    </xf>
    <xf numFmtId="0" fontId="55" fillId="45" borderId="29" xfId="53" applyFont="1" applyFill="1" applyBorder="1" applyAlignment="1" applyProtection="1">
      <alignment horizontal="center"/>
      <protection/>
    </xf>
    <xf numFmtId="0" fontId="61" fillId="45" borderId="22" xfId="53" applyFont="1" applyFill="1" applyBorder="1" applyProtection="1">
      <alignment/>
      <protection/>
    </xf>
    <xf numFmtId="2" fontId="43" fillId="45" borderId="35" xfId="0" applyNumberFormat="1" applyFont="1" applyFill="1" applyBorder="1" applyAlignment="1">
      <alignment horizontal="center"/>
    </xf>
    <xf numFmtId="2" fontId="61" fillId="45" borderId="26" xfId="53" applyNumberFormat="1" applyFont="1" applyFill="1" applyBorder="1" applyAlignment="1" applyProtection="1">
      <alignment horizontal="center"/>
      <protection/>
    </xf>
    <xf numFmtId="0" fontId="32" fillId="42" borderId="20" xfId="53" applyFont="1" applyFill="1" applyBorder="1" applyAlignment="1" applyProtection="1">
      <alignment horizontal="center" vertical="center" wrapText="1"/>
      <protection/>
    </xf>
    <xf numFmtId="0" fontId="54" fillId="42" borderId="29" xfId="53" applyFont="1" applyFill="1" applyBorder="1" applyAlignment="1" applyProtection="1">
      <alignment horizontal="center"/>
      <protection/>
    </xf>
    <xf numFmtId="0" fontId="40" fillId="42" borderId="22" xfId="53" applyFont="1" applyFill="1" applyBorder="1" applyProtection="1">
      <alignment/>
      <protection/>
    </xf>
    <xf numFmtId="2" fontId="40" fillId="42" borderId="26" xfId="53" applyNumberFormat="1" applyFont="1" applyFill="1" applyBorder="1" applyAlignment="1" applyProtection="1">
      <alignment horizontal="center"/>
      <protection/>
    </xf>
    <xf numFmtId="0" fontId="52" fillId="46" borderId="20" xfId="53" applyFont="1" applyFill="1" applyBorder="1" applyAlignment="1" applyProtection="1">
      <alignment horizontal="center" vertical="center" wrapText="1"/>
      <protection/>
    </xf>
    <xf numFmtId="0" fontId="59" fillId="46" borderId="29" xfId="53" applyFont="1" applyFill="1" applyBorder="1" applyAlignment="1" applyProtection="1">
      <alignment horizontal="left"/>
      <protection/>
    </xf>
    <xf numFmtId="0" fontId="62" fillId="46" borderId="22" xfId="53" applyFont="1" applyFill="1" applyBorder="1" applyProtection="1">
      <alignment/>
      <protection/>
    </xf>
    <xf numFmtId="174" fontId="86" fillId="46" borderId="35" xfId="0" applyNumberFormat="1" applyFont="1" applyFill="1" applyBorder="1" applyAlignment="1" applyProtection="1" quotePrefix="1">
      <alignment horizontal="center"/>
      <protection/>
    </xf>
    <xf numFmtId="174" fontId="62" fillId="46" borderId="26" xfId="53" applyNumberFormat="1" applyFont="1" applyFill="1" applyBorder="1" applyAlignment="1" applyProtection="1" quotePrefix="1">
      <alignment horizontal="center"/>
      <protection/>
    </xf>
    <xf numFmtId="0" fontId="47" fillId="0" borderId="0" xfId="53" applyFont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 locked="0"/>
    </xf>
    <xf numFmtId="0" fontId="6" fillId="0" borderId="25" xfId="53" applyFont="1" applyFill="1" applyBorder="1" applyAlignment="1" applyProtection="1">
      <alignment horizontal="center"/>
      <protection locked="0"/>
    </xf>
    <xf numFmtId="0" fontId="2" fillId="0" borderId="50" xfId="53" applyFont="1" applyFill="1" applyBorder="1" applyProtection="1">
      <alignment/>
      <protection/>
    </xf>
    <xf numFmtId="0" fontId="6" fillId="0" borderId="30" xfId="53" applyFont="1" applyFill="1" applyBorder="1" applyAlignment="1" applyProtection="1">
      <alignment horizontal="center"/>
      <protection locked="0"/>
    </xf>
    <xf numFmtId="0" fontId="29" fillId="0" borderId="20" xfId="0" applyFont="1" applyBorder="1" applyAlignment="1">
      <alignment horizontal="center" vertical="center"/>
    </xf>
    <xf numFmtId="0" fontId="2" fillId="34" borderId="4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 quotePrefix="1">
      <alignment/>
    </xf>
    <xf numFmtId="0" fontId="87" fillId="34" borderId="43" xfId="0" applyFont="1" applyFill="1" applyBorder="1" applyAlignment="1">
      <alignment horizontal="center"/>
    </xf>
    <xf numFmtId="0" fontId="2" fillId="47" borderId="0" xfId="0" applyFont="1" applyFill="1" applyAlignment="1">
      <alignment/>
    </xf>
    <xf numFmtId="0" fontId="2" fillId="47" borderId="0" xfId="0" applyNumberFormat="1" applyFont="1" applyFill="1" applyAlignment="1">
      <alignment/>
    </xf>
    <xf numFmtId="0" fontId="87" fillId="0" borderId="43" xfId="0" applyFont="1" applyFill="1" applyBorder="1" applyAlignment="1">
      <alignment horizontal="center"/>
    </xf>
    <xf numFmtId="0" fontId="2" fillId="47" borderId="0" xfId="53" applyFont="1" applyFill="1" applyAlignment="1">
      <alignment/>
      <protection/>
    </xf>
    <xf numFmtId="0" fontId="2" fillId="0" borderId="0" xfId="0" applyFont="1" applyFill="1" applyAlignment="1">
      <alignment/>
    </xf>
    <xf numFmtId="0" fontId="35" fillId="0" borderId="43" xfId="0" applyFont="1" applyBorder="1" applyAlignment="1">
      <alignment/>
    </xf>
    <xf numFmtId="0" fontId="35" fillId="0" borderId="43" xfId="0" applyFont="1" applyFill="1" applyBorder="1" applyAlignment="1">
      <alignment/>
    </xf>
    <xf numFmtId="0" fontId="35" fillId="0" borderId="60" xfId="0" applyFont="1" applyBorder="1" applyAlignment="1">
      <alignment/>
    </xf>
    <xf numFmtId="0" fontId="88" fillId="0" borderId="43" xfId="0" applyFont="1" applyFill="1" applyBorder="1" applyAlignment="1">
      <alignment/>
    </xf>
    <xf numFmtId="0" fontId="88" fillId="0" borderId="60" xfId="0" applyFont="1" applyFill="1" applyBorder="1" applyAlignment="1">
      <alignment/>
    </xf>
    <xf numFmtId="0" fontId="85" fillId="0" borderId="0" xfId="53" applyFont="1" applyFill="1" applyBorder="1" applyProtection="1">
      <alignment/>
      <protection/>
    </xf>
    <xf numFmtId="0" fontId="89" fillId="0" borderId="0" xfId="53" applyFont="1" applyFill="1" applyBorder="1" applyProtection="1">
      <alignment/>
      <protection/>
    </xf>
    <xf numFmtId="0" fontId="85" fillId="0" borderId="0" xfId="53" applyFont="1" applyBorder="1" applyProtection="1">
      <alignment/>
      <protection/>
    </xf>
    <xf numFmtId="2" fontId="6" fillId="0" borderId="61" xfId="53" applyNumberFormat="1" applyFont="1" applyBorder="1" applyAlignment="1" applyProtection="1">
      <alignment horizontal="center" vertical="center"/>
      <protection locked="0"/>
    </xf>
    <xf numFmtId="2" fontId="6" fillId="0" borderId="32" xfId="53" applyNumberFormat="1" applyFont="1" applyBorder="1" applyAlignment="1" applyProtection="1">
      <alignment horizontal="center" vertical="center"/>
      <protection locked="0"/>
    </xf>
    <xf numFmtId="2" fontId="6" fillId="0" borderId="24" xfId="53" applyNumberFormat="1" applyFont="1" applyBorder="1" applyAlignment="1" applyProtection="1">
      <alignment horizontal="center" vertical="center"/>
      <protection locked="0"/>
    </xf>
    <xf numFmtId="0" fontId="90" fillId="0" borderId="0" xfId="53" applyFont="1" applyBorder="1" applyAlignment="1" applyProtection="1">
      <alignment horizontal="left"/>
      <protection/>
    </xf>
    <xf numFmtId="0" fontId="6" fillId="0" borderId="26" xfId="53" applyFont="1" applyFill="1" applyBorder="1" applyProtection="1">
      <alignment/>
      <protection locked="0"/>
    </xf>
    <xf numFmtId="0" fontId="2" fillId="0" borderId="0" xfId="55">
      <alignment/>
      <protection/>
    </xf>
    <xf numFmtId="0" fontId="83" fillId="0" borderId="0" xfId="55" applyFont="1" applyAlignment="1">
      <alignment horizontal="right" vertical="top"/>
      <protection/>
    </xf>
    <xf numFmtId="0" fontId="10" fillId="0" borderId="0" xfId="55" applyFont="1">
      <alignment/>
      <protection/>
    </xf>
    <xf numFmtId="0" fontId="11" fillId="0" borderId="0" xfId="55" applyFont="1" applyAlignment="1">
      <alignment horizontal="centerContinuous"/>
      <protection/>
    </xf>
    <xf numFmtId="0" fontId="87" fillId="0" borderId="0" xfId="55" applyFont="1">
      <alignment/>
      <protection/>
    </xf>
    <xf numFmtId="0" fontId="5" fillId="0" borderId="0" xfId="55" applyFont="1" applyBorder="1" applyAlignment="1" applyProtection="1">
      <alignment horizontal="centerContinuous" vertical="center"/>
      <protection/>
    </xf>
    <xf numFmtId="0" fontId="87" fillId="0" borderId="0" xfId="55" applyFont="1" applyAlignment="1">
      <alignment horizontal="centerContinuous" vertical="center"/>
      <protection/>
    </xf>
    <xf numFmtId="0" fontId="91" fillId="0" borderId="0" xfId="55" applyFont="1" applyBorder="1" applyAlignment="1">
      <alignment horizontal="centerContinuous"/>
      <protection/>
    </xf>
    <xf numFmtId="0" fontId="92" fillId="0" borderId="0" xfId="55" applyFont="1" applyBorder="1" applyAlignment="1" applyProtection="1">
      <alignment horizontal="left"/>
      <protection/>
    </xf>
    <xf numFmtId="0" fontId="93" fillId="0" borderId="0" xfId="55" applyFont="1" applyBorder="1" applyAlignment="1">
      <alignment horizontal="centerContinuous"/>
      <protection/>
    </xf>
    <xf numFmtId="0" fontId="94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0" fontId="2" fillId="0" borderId="10" xfId="55" applyBorder="1">
      <alignment/>
      <protection/>
    </xf>
    <xf numFmtId="0" fontId="2" fillId="0" borderId="11" xfId="55" applyBorder="1">
      <alignment/>
      <protection/>
    </xf>
    <xf numFmtId="0" fontId="95" fillId="0" borderId="11" xfId="55" applyFont="1" applyBorder="1">
      <alignment/>
      <protection/>
    </xf>
    <xf numFmtId="0" fontId="2" fillId="0" borderId="12" xfId="55" applyBorder="1">
      <alignment/>
      <protection/>
    </xf>
    <xf numFmtId="0" fontId="24" fillId="0" borderId="13" xfId="55" applyFont="1" applyBorder="1" applyAlignment="1">
      <alignment horizontal="centerContinuous"/>
      <protection/>
    </xf>
    <xf numFmtId="0" fontId="95" fillId="0" borderId="0" xfId="55" applyFont="1" applyBorder="1" applyAlignment="1">
      <alignment horizontal="centerContinuous"/>
      <protection/>
    </xf>
    <xf numFmtId="0" fontId="2" fillId="0" borderId="0" xfId="55" applyBorder="1" applyAlignment="1">
      <alignment horizontal="centerContinuous"/>
      <protection/>
    </xf>
    <xf numFmtId="0" fontId="2" fillId="0" borderId="14" xfId="55" applyBorder="1" applyAlignment="1">
      <alignment horizontal="centerContinuous"/>
      <protection/>
    </xf>
    <xf numFmtId="0" fontId="2" fillId="0" borderId="13" xfId="55" applyBorder="1">
      <alignment/>
      <protection/>
    </xf>
    <xf numFmtId="0" fontId="2" fillId="0" borderId="36" xfId="55" applyBorder="1">
      <alignment/>
      <protection/>
    </xf>
    <xf numFmtId="0" fontId="95" fillId="0" borderId="0" xfId="55" applyFont="1" applyBorder="1" applyAlignment="1" applyProtection="1">
      <alignment horizontal="center"/>
      <protection/>
    </xf>
    <xf numFmtId="0" fontId="95" fillId="0" borderId="0" xfId="55" applyFont="1" applyBorder="1">
      <alignment/>
      <protection/>
    </xf>
    <xf numFmtId="0" fontId="2" fillId="0" borderId="0" xfId="55" applyBorder="1">
      <alignment/>
      <protection/>
    </xf>
    <xf numFmtId="0" fontId="2" fillId="0" borderId="14" xfId="55" applyBorder="1">
      <alignment/>
      <protection/>
    </xf>
    <xf numFmtId="0" fontId="2" fillId="0" borderId="0" xfId="55" applyAlignment="1">
      <alignment horizontal="centerContinuous" vertical="center"/>
      <protection/>
    </xf>
    <xf numFmtId="0" fontId="2" fillId="0" borderId="13" xfId="55" applyBorder="1" applyAlignment="1">
      <alignment horizontal="centerContinuous" vertical="center"/>
      <protection/>
    </xf>
    <xf numFmtId="0" fontId="2" fillId="0" borderId="37" xfId="55" applyBorder="1" applyAlignment="1">
      <alignment horizontal="centerContinuous" vertical="center"/>
      <protection/>
    </xf>
    <xf numFmtId="0" fontId="29" fillId="0" borderId="62" xfId="55" applyFont="1" applyBorder="1" applyAlignment="1" applyProtection="1">
      <alignment horizontal="centerContinuous" vertical="center"/>
      <protection/>
    </xf>
    <xf numFmtId="0" fontId="29" fillId="0" borderId="62" xfId="55" applyFont="1" applyBorder="1" applyAlignment="1" applyProtection="1">
      <alignment horizontal="centerContinuous" vertical="center" wrapText="1"/>
      <protection/>
    </xf>
    <xf numFmtId="174" fontId="29" fillId="0" borderId="20" xfId="55" applyNumberFormat="1" applyFont="1" applyBorder="1" applyAlignment="1" applyProtection="1">
      <alignment horizontal="centerContinuous" vertical="center" wrapText="1"/>
      <protection/>
    </xf>
    <xf numFmtId="17" fontId="29" fillId="0" borderId="20" xfId="55" applyNumberFormat="1" applyFont="1" applyBorder="1" applyAlignment="1">
      <alignment horizontal="center" vertical="center"/>
      <protection/>
    </xf>
    <xf numFmtId="17" fontId="29" fillId="0" borderId="16" xfId="55" applyNumberFormat="1" applyFont="1" applyBorder="1" applyAlignment="1">
      <alignment horizontal="center" vertical="center"/>
      <protection/>
    </xf>
    <xf numFmtId="0" fontId="2" fillId="0" borderId="14" xfId="55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63" xfId="55" applyBorder="1" applyAlignment="1">
      <alignment horizontal="centerContinuous" vertical="center"/>
      <protection/>
    </xf>
    <xf numFmtId="0" fontId="29" fillId="0" borderId="64" xfId="55" applyFont="1" applyBorder="1" applyAlignment="1" applyProtection="1">
      <alignment horizontal="centerContinuous" vertical="center"/>
      <protection/>
    </xf>
    <xf numFmtId="0" fontId="29" fillId="0" borderId="64" xfId="55" applyFont="1" applyBorder="1" applyAlignment="1" applyProtection="1">
      <alignment horizontal="centerContinuous" vertical="center" wrapText="1"/>
      <protection/>
    </xf>
    <xf numFmtId="174" fontId="29" fillId="0" borderId="58" xfId="55" applyNumberFormat="1" applyFont="1" applyBorder="1" applyAlignment="1" applyProtection="1">
      <alignment horizontal="centerContinuous" vertical="center" wrapText="1"/>
      <protection/>
    </xf>
    <xf numFmtId="17" fontId="29" fillId="0" borderId="58" xfId="55" applyNumberFormat="1" applyFont="1" applyBorder="1" applyAlignment="1">
      <alignment horizontal="center" vertical="center"/>
      <protection/>
    </xf>
    <xf numFmtId="17" fontId="6" fillId="0" borderId="0" xfId="55" applyNumberFormat="1" applyFont="1" applyBorder="1" applyAlignment="1">
      <alignment vertical="center"/>
      <protection/>
    </xf>
    <xf numFmtId="0" fontId="2" fillId="0" borderId="0" xfId="55" applyBorder="1" applyAlignment="1">
      <alignment vertical="center"/>
      <protection/>
    </xf>
    <xf numFmtId="0" fontId="2" fillId="0" borderId="63" xfId="55" applyBorder="1">
      <alignment/>
      <protection/>
    </xf>
    <xf numFmtId="0" fontId="95" fillId="0" borderId="64" xfId="55" applyFont="1" applyBorder="1">
      <alignment/>
      <protection/>
    </xf>
    <xf numFmtId="0" fontId="95" fillId="0" borderId="58" xfId="55" applyFont="1" applyBorder="1">
      <alignment/>
      <protection/>
    </xf>
    <xf numFmtId="0" fontId="6" fillId="0" borderId="58" xfId="55" applyFont="1" applyBorder="1" applyAlignment="1" applyProtection="1">
      <alignment horizontal="left"/>
      <protection/>
    </xf>
    <xf numFmtId="0" fontId="6" fillId="48" borderId="58" xfId="55" applyFont="1" applyFill="1" applyBorder="1" applyAlignment="1" applyProtection="1">
      <alignment horizontal="left"/>
      <protection/>
    </xf>
    <xf numFmtId="0" fontId="2" fillId="0" borderId="58" xfId="55" applyBorder="1">
      <alignment/>
      <protection/>
    </xf>
    <xf numFmtId="0" fontId="6" fillId="1" borderId="22" xfId="55" applyFont="1" applyFill="1" applyBorder="1" applyAlignment="1">
      <alignment horizontal="center"/>
      <protection/>
    </xf>
    <xf numFmtId="1" fontId="6" fillId="48" borderId="25" xfId="55" applyNumberFormat="1" applyFont="1" applyFill="1" applyBorder="1" applyAlignment="1" applyProtection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26" xfId="55" applyFont="1" applyFill="1" applyBorder="1" applyAlignment="1" applyProtection="1">
      <alignment horizontal="center"/>
      <protection/>
    </xf>
    <xf numFmtId="2" fontId="6" fillId="0" borderId="26" xfId="55" applyNumberFormat="1" applyFont="1" applyFill="1" applyBorder="1" applyAlignment="1" applyProtection="1">
      <alignment horizontal="center"/>
      <protection/>
    </xf>
    <xf numFmtId="1" fontId="6" fillId="0" borderId="26" xfId="55" applyNumberFormat="1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right"/>
      <protection/>
    </xf>
    <xf numFmtId="174" fontId="4" fillId="0" borderId="26" xfId="55" applyNumberFormat="1" applyFont="1" applyBorder="1" applyAlignment="1" applyProtection="1">
      <alignment horizontal="center"/>
      <protection/>
    </xf>
    <xf numFmtId="1" fontId="96" fillId="0" borderId="15" xfId="55" applyNumberFormat="1" applyFont="1" applyFill="1" applyBorder="1" applyAlignment="1" applyProtection="1">
      <alignment horizontal="center"/>
      <protection/>
    </xf>
    <xf numFmtId="1" fontId="2" fillId="0" borderId="20" xfId="55" applyNumberFormat="1" applyBorder="1" applyAlignment="1">
      <alignment horizontal="center"/>
      <protection/>
    </xf>
    <xf numFmtId="0" fontId="2" fillId="0" borderId="20" xfId="55" applyBorder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right"/>
      <protection/>
    </xf>
    <xf numFmtId="1" fontId="4" fillId="0" borderId="0" xfId="55" applyNumberFormat="1" applyFont="1" applyBorder="1" applyAlignment="1" applyProtection="1">
      <alignment horizontal="right"/>
      <protection/>
    </xf>
    <xf numFmtId="1" fontId="6" fillId="0" borderId="20" xfId="55" applyNumberFormat="1" applyFont="1" applyBorder="1" applyAlignment="1" applyProtection="1">
      <alignment horizontal="center"/>
      <protection/>
    </xf>
    <xf numFmtId="0" fontId="2" fillId="0" borderId="38" xfId="55" applyBorder="1">
      <alignment/>
      <protection/>
    </xf>
    <xf numFmtId="17" fontId="97" fillId="0" borderId="0" xfId="55" applyNumberFormat="1" applyFont="1" applyBorder="1" applyAlignment="1">
      <alignment horizontal="right"/>
      <protection/>
    </xf>
    <xf numFmtId="2" fontId="3" fillId="49" borderId="20" xfId="55" applyNumberFormat="1" applyFont="1" applyFill="1" applyBorder="1" applyAlignment="1" quotePrefix="1">
      <alignment horizontal="center"/>
      <protection/>
    </xf>
    <xf numFmtId="0" fontId="6" fillId="0" borderId="0" xfId="55" applyFont="1" applyFill="1" applyBorder="1">
      <alignment/>
      <protection/>
    </xf>
    <xf numFmtId="0" fontId="4" fillId="0" borderId="0" xfId="55" applyFont="1" applyBorder="1" applyAlignment="1" applyProtection="1">
      <alignment horizontal="center"/>
      <protection/>
    </xf>
    <xf numFmtId="174" fontId="4" fillId="0" borderId="0" xfId="55" applyNumberFormat="1" applyFont="1" applyBorder="1" applyAlignment="1" applyProtection="1">
      <alignment horizontal="right"/>
      <protection/>
    </xf>
    <xf numFmtId="0" fontId="2" fillId="0" borderId="0" xfId="55" applyBorder="1" applyAlignment="1">
      <alignment horizontal="center"/>
      <protection/>
    </xf>
    <xf numFmtId="2" fontId="2" fillId="0" borderId="0" xfId="55" applyNumberFormat="1" applyBorder="1" applyAlignment="1">
      <alignment horizontal="center"/>
      <protection/>
    </xf>
    <xf numFmtId="2" fontId="2" fillId="0" borderId="14" xfId="55" applyNumberFormat="1" applyBorder="1" applyAlignment="1">
      <alignment horizontal="center"/>
      <protection/>
    </xf>
    <xf numFmtId="2" fontId="2" fillId="0" borderId="0" xfId="55" applyNumberFormat="1">
      <alignment/>
      <protection/>
    </xf>
    <xf numFmtId="0" fontId="0" fillId="0" borderId="13" xfId="56" applyBorder="1">
      <alignment/>
      <protection/>
    </xf>
    <xf numFmtId="0" fontId="6" fillId="0" borderId="0" xfId="56" applyFont="1" applyFill="1" applyBorder="1">
      <alignment/>
      <protection/>
    </xf>
    <xf numFmtId="0" fontId="6" fillId="0" borderId="0" xfId="54" applyBorder="1" applyAlignment="1">
      <alignment horizontal="center"/>
      <protection/>
    </xf>
    <xf numFmtId="0" fontId="0" fillId="0" borderId="0" xfId="56">
      <alignment/>
      <protection/>
    </xf>
    <xf numFmtId="0" fontId="95" fillId="0" borderId="15" xfId="56" applyFont="1" applyBorder="1">
      <alignment/>
      <protection/>
    </xf>
    <xf numFmtId="0" fontId="0" fillId="0" borderId="21" xfId="56" applyBorder="1">
      <alignment/>
      <protection/>
    </xf>
    <xf numFmtId="2" fontId="98" fillId="0" borderId="21" xfId="56" applyNumberFormat="1" applyFont="1" applyBorder="1" applyAlignment="1">
      <alignment horizontal="center"/>
      <protection/>
    </xf>
    <xf numFmtId="0" fontId="99" fillId="0" borderId="21" xfId="56" applyFont="1" applyBorder="1" applyAlignment="1">
      <alignment horizontal="center"/>
      <protection/>
    </xf>
    <xf numFmtId="0" fontId="99" fillId="0" borderId="16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0" fillId="0" borderId="14" xfId="56" applyBorder="1">
      <alignment/>
      <protection/>
    </xf>
    <xf numFmtId="0" fontId="100" fillId="0" borderId="17" xfId="55" applyFont="1" applyBorder="1">
      <alignment/>
      <protection/>
    </xf>
    <xf numFmtId="0" fontId="4" fillId="0" borderId="18" xfId="55" applyFont="1" applyBorder="1" applyAlignment="1" applyProtection="1">
      <alignment horizontal="left"/>
      <protection/>
    </xf>
    <xf numFmtId="0" fontId="6" fillId="0" borderId="18" xfId="55" applyFont="1" applyBorder="1">
      <alignment/>
      <protection/>
    </xf>
    <xf numFmtId="0" fontId="2" fillId="0" borderId="18" xfId="55" applyBorder="1">
      <alignment/>
      <protection/>
    </xf>
    <xf numFmtId="1" fontId="101" fillId="0" borderId="18" xfId="55" applyNumberFormat="1" applyFont="1" applyBorder="1" applyAlignment="1" applyProtection="1">
      <alignment horizontal="center"/>
      <protection/>
    </xf>
    <xf numFmtId="0" fontId="2" fillId="0" borderId="19" xfId="55" applyBorder="1">
      <alignment/>
      <protection/>
    </xf>
    <xf numFmtId="0" fontId="100" fillId="0" borderId="0" xfId="55" applyFont="1" applyBorder="1" applyAlignment="1" applyProtection="1">
      <alignment horizontal="left"/>
      <protection/>
    </xf>
    <xf numFmtId="1" fontId="101" fillId="0" borderId="0" xfId="55" applyNumberFormat="1" applyFont="1" applyBorder="1" applyAlignment="1" applyProtection="1">
      <alignment horizontal="center"/>
      <protection/>
    </xf>
    <xf numFmtId="0" fontId="100" fillId="0" borderId="0" xfId="55" applyFont="1" applyBorder="1">
      <alignment/>
      <protection/>
    </xf>
    <xf numFmtId="0" fontId="101" fillId="0" borderId="0" xfId="55" applyFont="1" applyBorder="1" applyAlignment="1" applyProtection="1">
      <alignment horizontal="left"/>
      <protection/>
    </xf>
    <xf numFmtId="0" fontId="27" fillId="0" borderId="0" xfId="55" applyFont="1" applyBorder="1">
      <alignment/>
      <protection/>
    </xf>
    <xf numFmtId="0" fontId="102" fillId="0" borderId="0" xfId="55" applyFont="1" applyBorder="1">
      <alignment/>
      <protection/>
    </xf>
    <xf numFmtId="174" fontId="101" fillId="0" borderId="0" xfId="55" applyNumberFormat="1" applyFont="1" applyBorder="1" applyAlignment="1" applyProtection="1">
      <alignment horizontal="center"/>
      <protection/>
    </xf>
    <xf numFmtId="1" fontId="2" fillId="0" borderId="0" xfId="55" applyNumberFormat="1" applyBorder="1" applyAlignment="1">
      <alignment horizontal="center"/>
      <protection/>
    </xf>
    <xf numFmtId="0" fontId="95" fillId="0" borderId="0" xfId="55" applyFont="1" applyBorder="1" applyAlignment="1" applyProtection="1">
      <alignment horizontal="left"/>
      <protection/>
    </xf>
    <xf numFmtId="1" fontId="95" fillId="0" borderId="0" xfId="55" applyNumberFormat="1" applyFont="1" applyBorder="1" applyAlignment="1" applyProtection="1">
      <alignment horizontal="center"/>
      <protection/>
    </xf>
    <xf numFmtId="0" fontId="95" fillId="0" borderId="0" xfId="55" applyFont="1" applyBorder="1" applyAlignment="1" applyProtection="1">
      <alignment horizontal="fill"/>
      <protection/>
    </xf>
    <xf numFmtId="1" fontId="101" fillId="0" borderId="0" xfId="55" applyNumberFormat="1" applyFont="1" applyBorder="1" applyAlignment="1">
      <alignment horizontal="center"/>
      <protection/>
    </xf>
    <xf numFmtId="1" fontId="2" fillId="0" borderId="0" xfId="55" applyNumberFormat="1" applyAlignment="1">
      <alignment horizontal="center"/>
      <protection/>
    </xf>
    <xf numFmtId="7" fontId="101" fillId="0" borderId="0" xfId="55" applyNumberFormat="1" applyFont="1">
      <alignment/>
      <protection/>
    </xf>
    <xf numFmtId="0" fontId="5" fillId="0" borderId="0" xfId="55" applyFont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ahue" xfId="53"/>
    <cellStyle name="Normal_líneas" xfId="54"/>
    <cellStyle name="Normal_T0002COM" xfId="55"/>
    <cellStyle name="Normal_T9911ESJ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0</xdr:rowOff>
    </xdr:from>
    <xdr:to>
      <xdr:col>3</xdr:col>
      <xdr:colOff>628650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3</xdr:col>
      <xdr:colOff>628650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3</xdr:col>
      <xdr:colOff>628650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1</xdr:col>
      <xdr:colOff>438150</xdr:colOff>
      <xdr:row>1</xdr:row>
      <xdr:rowOff>276225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953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COMAHU\TBASECOM_DIVID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DM15">
            <v>41974</v>
          </cell>
          <cell r="DN15">
            <v>42005</v>
          </cell>
          <cell r="DO15">
            <v>42036</v>
          </cell>
          <cell r="DP15">
            <v>42064</v>
          </cell>
          <cell r="DQ15">
            <v>42095</v>
          </cell>
          <cell r="DR15">
            <v>42125</v>
          </cell>
          <cell r="DS15">
            <v>42156</v>
          </cell>
          <cell r="DT15">
            <v>42186</v>
          </cell>
          <cell r="DU15">
            <v>42217</v>
          </cell>
          <cell r="DV15">
            <v>42248</v>
          </cell>
          <cell r="DW15">
            <v>42278</v>
          </cell>
          <cell r="DX15">
            <v>42309</v>
          </cell>
          <cell r="DY15">
            <v>42339</v>
          </cell>
        </row>
        <row r="19">
          <cell r="C19">
            <v>1</v>
          </cell>
          <cell r="D19" t="str">
            <v>ARROYITO - CHARROYITO 1</v>
          </cell>
          <cell r="E19">
            <v>132</v>
          </cell>
          <cell r="F19">
            <v>1</v>
          </cell>
          <cell r="G19" t="str">
            <v>L</v>
          </cell>
        </row>
        <row r="20">
          <cell r="C20">
            <v>2</v>
          </cell>
          <cell r="D20" t="str">
            <v>ARROYITO - CHARROYITO 2</v>
          </cell>
          <cell r="E20">
            <v>132</v>
          </cell>
          <cell r="F20">
            <v>1</v>
          </cell>
          <cell r="G20" t="str">
            <v>L</v>
          </cell>
        </row>
        <row r="21">
          <cell r="C21">
            <v>3</v>
          </cell>
          <cell r="D21" t="str">
            <v>ARROYITO - CHARROYITO 3</v>
          </cell>
          <cell r="E21">
            <v>132</v>
          </cell>
          <cell r="F21">
            <v>1</v>
          </cell>
          <cell r="G21" t="str">
            <v>L</v>
          </cell>
          <cell r="DV21">
            <v>1</v>
          </cell>
        </row>
        <row r="22">
          <cell r="C22">
            <v>4</v>
          </cell>
          <cell r="D22" t="str">
            <v>ARROYITO - CHOCON 1</v>
          </cell>
          <cell r="E22">
            <v>132</v>
          </cell>
          <cell r="F22">
            <v>25</v>
          </cell>
          <cell r="G22" t="str">
            <v>L</v>
          </cell>
          <cell r="DN22">
            <v>1</v>
          </cell>
        </row>
        <row r="23">
          <cell r="C23">
            <v>5</v>
          </cell>
          <cell r="D23" t="str">
            <v>ARROYITO - CHOCON 2</v>
          </cell>
          <cell r="E23">
            <v>132</v>
          </cell>
          <cell r="F23">
            <v>25</v>
          </cell>
          <cell r="G23" t="str">
            <v>L</v>
          </cell>
        </row>
        <row r="24">
          <cell r="C24">
            <v>6</v>
          </cell>
          <cell r="D24" t="str">
            <v>ARROYITO - PIAP 1</v>
          </cell>
          <cell r="E24">
            <v>132</v>
          </cell>
          <cell r="F24">
            <v>2</v>
          </cell>
          <cell r="G24" t="str">
            <v>L</v>
          </cell>
        </row>
        <row r="25">
          <cell r="C25">
            <v>7</v>
          </cell>
          <cell r="D25" t="str">
            <v>ARROYITO - PIAP 2</v>
          </cell>
          <cell r="E25">
            <v>132</v>
          </cell>
          <cell r="F25">
            <v>2</v>
          </cell>
          <cell r="G25" t="str">
            <v>L</v>
          </cell>
        </row>
        <row r="26">
          <cell r="C26">
            <v>8</v>
          </cell>
          <cell r="D26" t="str">
            <v>ALTO VALLE - CENTENARIO</v>
          </cell>
          <cell r="E26">
            <v>132</v>
          </cell>
          <cell r="F26">
            <v>17</v>
          </cell>
          <cell r="G26" t="str">
            <v>L</v>
          </cell>
          <cell r="DU26">
            <v>1</v>
          </cell>
        </row>
        <row r="27">
          <cell r="C27">
            <v>10</v>
          </cell>
          <cell r="D27" t="str">
            <v>ALTO VALLE - COLONIA VALENTINA - ARROYITO</v>
          </cell>
          <cell r="E27">
            <v>132</v>
          </cell>
          <cell r="F27">
            <v>58.9</v>
          </cell>
          <cell r="G27" t="str">
            <v>L</v>
          </cell>
        </row>
        <row r="28">
          <cell r="C28">
            <v>11</v>
          </cell>
          <cell r="D28" t="str">
            <v>CHOCON OESTE - CHOCON</v>
          </cell>
          <cell r="E28">
            <v>132</v>
          </cell>
          <cell r="F28">
            <v>3.5</v>
          </cell>
          <cell r="G28" t="str">
            <v>L</v>
          </cell>
        </row>
        <row r="29">
          <cell r="C29">
            <v>18</v>
          </cell>
          <cell r="D29" t="str">
            <v>MEDANITOS - PTO. SECCIONAMIENTO</v>
          </cell>
          <cell r="E29">
            <v>132</v>
          </cell>
          <cell r="F29">
            <v>41</v>
          </cell>
          <cell r="G29" t="str">
            <v>L</v>
          </cell>
        </row>
        <row r="30">
          <cell r="C30">
            <v>19</v>
          </cell>
          <cell r="D30" t="str">
            <v>PIEDRA DEL AGUILA - EL CHOCON</v>
          </cell>
          <cell r="E30">
            <v>132</v>
          </cell>
          <cell r="F30">
            <v>170</v>
          </cell>
          <cell r="G30" t="str">
            <v>L</v>
          </cell>
        </row>
        <row r="31">
          <cell r="C31">
            <v>20</v>
          </cell>
          <cell r="D31" t="str">
            <v>PLAYA PLANICIE BANDERITA - PCIE. BANDERITA</v>
          </cell>
          <cell r="E31">
            <v>132</v>
          </cell>
          <cell r="F31">
            <v>1.5</v>
          </cell>
          <cell r="G31" t="str">
            <v>L</v>
          </cell>
        </row>
        <row r="32">
          <cell r="C32">
            <v>21</v>
          </cell>
          <cell r="D32" t="str">
            <v>PTO. SECCIONAMIENTO - PTO. HERNANDEZ</v>
          </cell>
          <cell r="E32">
            <v>132</v>
          </cell>
          <cell r="F32">
            <v>89</v>
          </cell>
          <cell r="G32" t="str">
            <v>L</v>
          </cell>
          <cell r="DM32" t="str">
            <v>XXXX</v>
          </cell>
          <cell r="DN32" t="str">
            <v>XXXX</v>
          </cell>
          <cell r="DO32" t="str">
            <v>XXXX</v>
          </cell>
          <cell r="DP32" t="str">
            <v>XXXX</v>
          </cell>
          <cell r="DQ32" t="str">
            <v>XXXX</v>
          </cell>
          <cell r="DR32" t="str">
            <v>XXXX</v>
          </cell>
          <cell r="DS32" t="str">
            <v>XXXX</v>
          </cell>
          <cell r="DT32" t="str">
            <v>XXXX</v>
          </cell>
          <cell r="DU32" t="str">
            <v>XXXX</v>
          </cell>
          <cell r="DV32" t="str">
            <v>XXXX</v>
          </cell>
          <cell r="DW32" t="str">
            <v>XXXX</v>
          </cell>
          <cell r="DX32" t="str">
            <v>XXXX</v>
          </cell>
        </row>
        <row r="33">
          <cell r="C33">
            <v>22</v>
          </cell>
          <cell r="D33" t="str">
            <v>PTO. SECCIONAMIENTO - SEÑAL PICADA</v>
          </cell>
          <cell r="E33">
            <v>132</v>
          </cell>
          <cell r="F33">
            <v>18</v>
          </cell>
          <cell r="G33" t="str">
            <v>L</v>
          </cell>
        </row>
        <row r="34">
          <cell r="C34">
            <v>29</v>
          </cell>
          <cell r="D34" t="str">
            <v>PUESTO HERNANDEZ - CHIUHIDO II</v>
          </cell>
          <cell r="E34">
            <v>132</v>
          </cell>
          <cell r="F34">
            <v>19.5</v>
          </cell>
          <cell r="G34" t="str">
            <v>L</v>
          </cell>
        </row>
        <row r="35">
          <cell r="C35">
            <v>30</v>
          </cell>
          <cell r="D35" t="str">
            <v>CHIUHIDO II - EL TRAPIAL</v>
          </cell>
          <cell r="E35">
            <v>132</v>
          </cell>
          <cell r="F35">
            <v>4.9</v>
          </cell>
          <cell r="G35" t="str">
            <v>L</v>
          </cell>
        </row>
        <row r="36">
          <cell r="C36">
            <v>31</v>
          </cell>
          <cell r="D36" t="str">
            <v>EL TRAPIAL - LOMA DE LA LATA 1</v>
          </cell>
          <cell r="E36">
            <v>132</v>
          </cell>
          <cell r="F36">
            <v>142</v>
          </cell>
          <cell r="G36" t="str">
            <v>L</v>
          </cell>
        </row>
        <row r="37">
          <cell r="C37">
            <v>32</v>
          </cell>
          <cell r="D37" t="str">
            <v>EL TRAPIAL - LOMA DE LA LATA 2</v>
          </cell>
          <cell r="E37">
            <v>132</v>
          </cell>
          <cell r="F37">
            <v>142</v>
          </cell>
          <cell r="G37" t="str">
            <v>L</v>
          </cell>
        </row>
        <row r="38">
          <cell r="C38">
            <v>33</v>
          </cell>
          <cell r="D38" t="str">
            <v>PTO. SECCIONAMIENTO - RINCON DE LOS SAUCES</v>
          </cell>
          <cell r="E38">
            <v>132</v>
          </cell>
          <cell r="F38">
            <v>67.705</v>
          </cell>
          <cell r="G38" t="str">
            <v>L</v>
          </cell>
        </row>
        <row r="39">
          <cell r="C39">
            <v>34</v>
          </cell>
          <cell r="D39" t="str">
            <v>PTO. HERNANDEZ - RINCON DE LOS SAUCES</v>
          </cell>
          <cell r="E39">
            <v>132</v>
          </cell>
          <cell r="F39">
            <v>21</v>
          </cell>
          <cell r="G39" t="str">
            <v>L</v>
          </cell>
          <cell r="DO39">
            <v>1</v>
          </cell>
        </row>
        <row r="43">
          <cell r="DM43">
            <v>2.36</v>
          </cell>
          <cell r="DN43">
            <v>2.36</v>
          </cell>
          <cell r="DO43">
            <v>1.96</v>
          </cell>
          <cell r="DP43">
            <v>1.83</v>
          </cell>
          <cell r="DQ43">
            <v>1.57</v>
          </cell>
          <cell r="DR43">
            <v>1.44</v>
          </cell>
          <cell r="DS43">
            <v>1.05</v>
          </cell>
          <cell r="DT43">
            <v>1.05</v>
          </cell>
          <cell r="DU43">
            <v>1.05</v>
          </cell>
          <cell r="DV43">
            <v>1.05</v>
          </cell>
          <cell r="DW43">
            <v>1.05</v>
          </cell>
          <cell r="DX43">
            <v>0.52</v>
          </cell>
          <cell r="DY43">
            <v>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AA%20PROCESO%20AUT/EXCEL/DISTROCUYO/FABIAN" TargetMode="External" /><Relationship Id="rId2" Type="http://schemas.openxmlformats.org/officeDocument/2006/relationships/hyperlink" Target="../../../AA%20PROCESO%20AUT/EXCEL/DISTROCUYO/FABIAN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85" zoomScaleNormal="85" zoomScalePageLayoutView="0" workbookViewId="0" topLeftCell="A1">
      <selection activeCell="N3" sqref="N3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25"/>
    </row>
    <row r="2" spans="2:10" s="2" customFormat="1" ht="26.25">
      <c r="B2" s="3" t="s">
        <v>184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2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3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72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tr">
        <f>CONCATENATE("TOTAL DE PENALIZACIONES A ",IF(DATO!$F$1="E.N.R.E.","APLICAR","FORMULAR"))</f>
        <v>TOTAL DE PENALIZACIONES A APLICAR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f>IF(C13=TRUE,2,1)</f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130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4</v>
      </c>
      <c r="D18" s="46" t="s">
        <v>1</v>
      </c>
      <c r="E18" s="39"/>
      <c r="F18" s="42"/>
      <c r="G18" s="42"/>
      <c r="H18" s="42"/>
      <c r="I18" s="47">
        <f>'LI-12 (1)'!AB40</f>
        <v>8008.26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5</v>
      </c>
      <c r="D20" s="46" t="s">
        <v>6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7</v>
      </c>
      <c r="E22" s="55" t="s">
        <v>8</v>
      </c>
      <c r="F22" s="42"/>
      <c r="G22" s="42"/>
      <c r="H22" s="42"/>
      <c r="I22" s="47">
        <f>'T-12 (1)'!AC43</f>
        <v>13806.78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9</v>
      </c>
      <c r="E24" s="55" t="s">
        <v>10</v>
      </c>
      <c r="F24" s="42"/>
      <c r="G24" s="42"/>
      <c r="H24" s="42"/>
      <c r="I24" s="47">
        <f>'SA-12 (1)'!V42</f>
        <v>20503.5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11</v>
      </c>
      <c r="G28" s="58">
        <f>SUM(I18:I26)</f>
        <v>42318.54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387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388" t="s">
        <v>171</v>
      </c>
      <c r="D30" s="45"/>
      <c r="F30" s="387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90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AC56"/>
  <sheetViews>
    <sheetView zoomScale="85" zoomScaleNormal="85" zoomScalePageLayoutView="0" workbookViewId="0" topLeftCell="A7">
      <selection activeCell="D28" sqref="D28"/>
    </sheetView>
  </sheetViews>
  <sheetFormatPr defaultColWidth="11.421875" defaultRowHeight="12.75"/>
  <cols>
    <col min="1" max="2" width="4.140625" style="76" customWidth="1"/>
    <col min="3" max="3" width="5.57421875" style="76" customWidth="1"/>
    <col min="4" max="5" width="13.7109375" style="76" customWidth="1"/>
    <col min="6" max="6" width="45.7109375" style="76" customWidth="1"/>
    <col min="7" max="7" width="8.421875" style="76" customWidth="1"/>
    <col min="8" max="8" width="8.7109375" style="76" customWidth="1"/>
    <col min="9" max="9" width="13.7109375" style="76" hidden="1" customWidth="1"/>
    <col min="10" max="11" width="15.7109375" style="76" customWidth="1"/>
    <col min="12" max="13" width="9.7109375" style="76" customWidth="1"/>
    <col min="14" max="14" width="8.7109375" style="76" customWidth="1"/>
    <col min="15" max="16" width="7.7109375" style="76" customWidth="1"/>
    <col min="17" max="17" width="14.421875" style="76" hidden="1" customWidth="1"/>
    <col min="18" max="18" width="14.00390625" style="76" hidden="1" customWidth="1"/>
    <col min="19" max="20" width="13.00390625" style="76" hidden="1" customWidth="1"/>
    <col min="21" max="21" width="14.57421875" style="76" hidden="1" customWidth="1"/>
    <col min="22" max="23" width="13.00390625" style="76" hidden="1" customWidth="1"/>
    <col min="24" max="24" width="14.57421875" style="76" hidden="1" customWidth="1"/>
    <col min="25" max="25" width="16.00390625" style="76" hidden="1" customWidth="1"/>
    <col min="26" max="26" width="17.140625" style="76" hidden="1" customWidth="1"/>
    <col min="27" max="27" width="9.421875" style="76" customWidth="1"/>
    <col min="28" max="28" width="15.7109375" style="76" customWidth="1"/>
    <col min="29" max="29" width="4.140625" style="76" customWidth="1"/>
    <col min="30" max="16384" width="11.421875" style="76" customWidth="1"/>
  </cols>
  <sheetData>
    <row r="1" spans="2:29" s="73" customFormat="1" ht="29.25" customHeight="1">
      <c r="B1" s="74"/>
      <c r="AC1" s="226"/>
    </row>
    <row r="2" spans="2:29" s="73" customFormat="1" ht="26.25">
      <c r="B2" s="227" t="str">
        <f>+'TOT-1215'!B2</f>
        <v>ANEXO III  al  Memorandum D.T.E.E.  N°  687/ 2016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ht="13.5" customHeight="1">
      <c r="B3" s="77"/>
    </row>
    <row r="4" spans="2:4" s="78" customFormat="1" ht="11.25">
      <c r="B4" s="228"/>
      <c r="D4" s="10" t="s">
        <v>2</v>
      </c>
    </row>
    <row r="5" spans="2:4" s="78" customFormat="1" ht="11.25">
      <c r="B5" s="228"/>
      <c r="D5" s="10" t="s">
        <v>3</v>
      </c>
    </row>
    <row r="6" ht="13.5" thickBot="1"/>
    <row r="7" spans="2:29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1"/>
    </row>
    <row r="8" spans="2:29" ht="20.25">
      <c r="B8" s="82"/>
      <c r="C8" s="83"/>
      <c r="D8" s="83"/>
      <c r="E8" s="83"/>
      <c r="F8" s="84" t="s">
        <v>73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5"/>
    </row>
    <row r="9" spans="2:29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5"/>
    </row>
    <row r="10" spans="2:29" ht="20.25">
      <c r="B10" s="82"/>
      <c r="C10" s="83"/>
      <c r="D10" s="83"/>
      <c r="E10" s="83"/>
      <c r="F10" s="86" t="s">
        <v>12</v>
      </c>
      <c r="G10" s="87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5"/>
    </row>
    <row r="11" spans="2:29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5"/>
    </row>
    <row r="12" spans="2:29" s="88" customFormat="1" ht="19.5">
      <c r="B12" s="89" t="str">
        <f>+'TOT-1215'!B14</f>
        <v>Desde el 01 al 31 de diciembre de 2015</v>
      </c>
      <c r="C12" s="229"/>
      <c r="D12" s="229"/>
      <c r="E12" s="229"/>
      <c r="F12" s="90"/>
      <c r="G12" s="91"/>
      <c r="H12" s="91"/>
      <c r="I12" s="91"/>
      <c r="J12" s="90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</row>
    <row r="13" spans="2:29" ht="13.5" thickBot="1">
      <c r="B13" s="82"/>
      <c r="C13" s="83"/>
      <c r="D13" s="83"/>
      <c r="E13" s="83"/>
      <c r="F13" s="83"/>
      <c r="G13" s="93"/>
      <c r="H13" s="9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5"/>
    </row>
    <row r="14" spans="2:29" ht="16.5" customHeight="1" thickBot="1" thickTop="1">
      <c r="B14" s="82"/>
      <c r="C14" s="94"/>
      <c r="D14" s="94"/>
      <c r="E14" s="94"/>
      <c r="F14" s="95" t="s">
        <v>13</v>
      </c>
      <c r="G14" s="96">
        <v>498.71</v>
      </c>
      <c r="H14" s="97"/>
      <c r="I14" s="94"/>
      <c r="J14" s="98"/>
      <c r="K14" s="99" t="s">
        <v>14</v>
      </c>
      <c r="L14" s="230">
        <f>30*'TOT-1215'!B13</f>
        <v>30</v>
      </c>
      <c r="M14" s="100" t="str">
        <f>IF(L14=30," ",IF(L14=60,"Coeficiente duplicado por tasa de falla &gt;4 Sal. x año/100 km.","REVISAR COEFICIENTE"))</f>
        <v> </v>
      </c>
      <c r="N14" s="101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85"/>
    </row>
    <row r="15" spans="2:29" ht="16.5" customHeight="1" thickBot="1" thickTop="1">
      <c r="B15" s="82"/>
      <c r="C15" s="461">
        <v>3</v>
      </c>
      <c r="D15" s="461">
        <v>4</v>
      </c>
      <c r="E15" s="461">
        <v>5</v>
      </c>
      <c r="F15" s="461">
        <v>6</v>
      </c>
      <c r="G15" s="461">
        <v>7</v>
      </c>
      <c r="H15" s="461">
        <v>8</v>
      </c>
      <c r="I15" s="461">
        <v>9</v>
      </c>
      <c r="J15" s="461">
        <v>10</v>
      </c>
      <c r="K15" s="461">
        <v>11</v>
      </c>
      <c r="L15" s="461">
        <v>12</v>
      </c>
      <c r="M15" s="461">
        <v>13</v>
      </c>
      <c r="N15" s="461">
        <v>14</v>
      </c>
      <c r="O15" s="461">
        <v>15</v>
      </c>
      <c r="P15" s="461">
        <v>16</v>
      </c>
      <c r="Q15" s="461">
        <v>17</v>
      </c>
      <c r="R15" s="461">
        <v>18</v>
      </c>
      <c r="S15" s="461">
        <v>19</v>
      </c>
      <c r="T15" s="461">
        <v>20</v>
      </c>
      <c r="U15" s="461">
        <v>21</v>
      </c>
      <c r="V15" s="461">
        <v>22</v>
      </c>
      <c r="W15" s="461">
        <v>23</v>
      </c>
      <c r="X15" s="461">
        <v>24</v>
      </c>
      <c r="Y15" s="461">
        <v>25</v>
      </c>
      <c r="Z15" s="461">
        <v>26</v>
      </c>
      <c r="AA15" s="461">
        <v>27</v>
      </c>
      <c r="AB15" s="461">
        <v>28</v>
      </c>
      <c r="AC15" s="85"/>
    </row>
    <row r="16" spans="2:29" s="104" customFormat="1" ht="34.5" customHeight="1" thickBot="1" thickTop="1">
      <c r="B16" s="105"/>
      <c r="C16" s="443" t="s">
        <v>15</v>
      </c>
      <c r="D16" s="443" t="s">
        <v>74</v>
      </c>
      <c r="E16" s="443" t="s">
        <v>75</v>
      </c>
      <c r="F16" s="106" t="s">
        <v>1</v>
      </c>
      <c r="G16" s="107" t="s">
        <v>16</v>
      </c>
      <c r="H16" s="107" t="s">
        <v>17</v>
      </c>
      <c r="I16" s="108" t="s">
        <v>18</v>
      </c>
      <c r="J16" s="106" t="s">
        <v>19</v>
      </c>
      <c r="K16" s="106" t="s">
        <v>20</v>
      </c>
      <c r="L16" s="109" t="s">
        <v>21</v>
      </c>
      <c r="M16" s="107" t="s">
        <v>22</v>
      </c>
      <c r="N16" s="110" t="s">
        <v>68</v>
      </c>
      <c r="O16" s="107" t="s">
        <v>23</v>
      </c>
      <c r="P16" s="106" t="s">
        <v>24</v>
      </c>
      <c r="Q16" s="111" t="s">
        <v>25</v>
      </c>
      <c r="R16" s="112" t="s">
        <v>26</v>
      </c>
      <c r="S16" s="113" t="s">
        <v>27</v>
      </c>
      <c r="T16" s="114"/>
      <c r="U16" s="115"/>
      <c r="V16" s="116" t="s">
        <v>28</v>
      </c>
      <c r="W16" s="117"/>
      <c r="X16" s="118"/>
      <c r="Y16" s="119" t="s">
        <v>29</v>
      </c>
      <c r="Z16" s="120" t="s">
        <v>30</v>
      </c>
      <c r="AA16" s="107" t="s">
        <v>31</v>
      </c>
      <c r="AB16" s="107" t="s">
        <v>32</v>
      </c>
      <c r="AC16" s="121"/>
    </row>
    <row r="17" spans="2:29" ht="16.5" customHeight="1" thickTop="1">
      <c r="B17" s="82"/>
      <c r="C17" s="122"/>
      <c r="D17" s="122"/>
      <c r="E17" s="122"/>
      <c r="F17" s="231"/>
      <c r="G17" s="232"/>
      <c r="H17" s="233"/>
      <c r="I17" s="234"/>
      <c r="J17" s="235"/>
      <c r="K17" s="231"/>
      <c r="L17" s="235"/>
      <c r="M17" s="231"/>
      <c r="N17" s="235"/>
      <c r="O17" s="236"/>
      <c r="P17" s="235"/>
      <c r="Q17" s="237"/>
      <c r="R17" s="238"/>
      <c r="S17" s="239"/>
      <c r="T17" s="240"/>
      <c r="U17" s="241"/>
      <c r="V17" s="242"/>
      <c r="W17" s="243"/>
      <c r="X17" s="244"/>
      <c r="Y17" s="245"/>
      <c r="Z17" s="246"/>
      <c r="AA17" s="235"/>
      <c r="AB17" s="247"/>
      <c r="AC17" s="85"/>
    </row>
    <row r="18" spans="2:29" ht="16.5" customHeight="1">
      <c r="B18" s="82"/>
      <c r="C18" s="122"/>
      <c r="D18" s="122"/>
      <c r="E18" s="122"/>
      <c r="F18" s="249"/>
      <c r="G18" s="248"/>
      <c r="H18" s="248"/>
      <c r="I18" s="250"/>
      <c r="J18" s="248"/>
      <c r="K18" s="251"/>
      <c r="L18" s="252"/>
      <c r="M18" s="251"/>
      <c r="N18" s="248"/>
      <c r="O18" s="249"/>
      <c r="P18" s="252"/>
      <c r="Q18" s="253"/>
      <c r="R18" s="254"/>
      <c r="S18" s="255"/>
      <c r="T18" s="256"/>
      <c r="U18" s="257"/>
      <c r="V18" s="258"/>
      <c r="W18" s="259"/>
      <c r="X18" s="260"/>
      <c r="Y18" s="261"/>
      <c r="Z18" s="262"/>
      <c r="AA18" s="252"/>
      <c r="AB18" s="263"/>
      <c r="AC18" s="85"/>
    </row>
    <row r="19" spans="2:29" ht="16.5" customHeight="1">
      <c r="B19" s="82"/>
      <c r="C19" s="122">
        <v>1</v>
      </c>
      <c r="D19" s="122">
        <v>295632</v>
      </c>
      <c r="E19" s="122">
        <v>151</v>
      </c>
      <c r="F19" s="122" t="s">
        <v>131</v>
      </c>
      <c r="G19" s="123">
        <v>132</v>
      </c>
      <c r="H19" s="124">
        <v>15.5</v>
      </c>
      <c r="I19" s="125">
        <f>H19*$G$14/100</f>
        <v>77.30005</v>
      </c>
      <c r="J19" s="126">
        <v>42351.31458333333</v>
      </c>
      <c r="K19" s="126">
        <v>42351.49930555555</v>
      </c>
      <c r="L19" s="127">
        <f aca="true" t="shared" si="0" ref="L19:L38">IF(J19="","",(K19-J19)*24)</f>
        <v>4.433333333290648</v>
      </c>
      <c r="M19" s="128">
        <f aca="true" t="shared" si="1" ref="M19:M38">IF(K19="","",ROUND((K19-J19)*24*60,0))</f>
        <v>266</v>
      </c>
      <c r="N19" s="129" t="s">
        <v>132</v>
      </c>
      <c r="O19" s="129" t="str">
        <f>IF(F19="","","--")</f>
        <v>--</v>
      </c>
      <c r="P19" s="130" t="str">
        <f aca="true" t="shared" si="2" ref="P19:P38">IF(F19="","",IF(OR(N19="P",N19="RP"),"--","NO"))</f>
        <v>--</v>
      </c>
      <c r="Q19" s="267">
        <f aca="true" t="shared" si="3" ref="Q19:Q38">IF(N19="P",ROUND(M19/60,2)*I19*$L$14*0.01,"--")</f>
        <v>102.73176645</v>
      </c>
      <c r="R19" s="268" t="str">
        <f aca="true" t="shared" si="4" ref="R19:R38">IF(N19="RP",ROUND(M19/60,2)*I19*$L$14*0.01*O19/100,"--")</f>
        <v>--</v>
      </c>
      <c r="S19" s="269" t="str">
        <f aca="true" t="shared" si="5" ref="S19:S38">IF(P19="SI","--",IF(N19="F",ROUND(I19*$L$14,2),"--"))</f>
        <v>--</v>
      </c>
      <c r="T19" s="270" t="str">
        <f aca="true" t="shared" si="6" ref="T19:T38">IF(N19="F",IF(M19&lt;10,"--",IF(M19&gt;180,ROUND(I19*$L$14*3,2),I19*$L$14*ROUND(M19/60,2))),"--")</f>
        <v>--</v>
      </c>
      <c r="U19" s="271" t="str">
        <f aca="true" t="shared" si="7" ref="U19:U38">IF(AND(N19="F",M19&gt;180),I19*$L$14*0.1*(ROUND(M19/60,2)-3),"--")</f>
        <v>--</v>
      </c>
      <c r="V19" s="272" t="str">
        <f aca="true" t="shared" si="8" ref="V19:V38">IF(P19="SI","--",IF(N19="R",ROUND(I19*$L$14*O19/100,2),"--"))</f>
        <v>--</v>
      </c>
      <c r="W19" s="273" t="str">
        <f aca="true" t="shared" si="9" ref="W19:W38">IF(N19="R",IF(M19&lt;10,"--",IF(M19&gt;180,ROUND(I19*$L$14*3*O19/100,2),I19*$L$14*O19/100*ROUND(M19/60,2))),"--")</f>
        <v>--</v>
      </c>
      <c r="X19" s="274" t="str">
        <f aca="true" t="shared" si="10" ref="X19:X38">IF(AND(N19="R",M19&gt;180),I19*$L$14*O19/100*0.1*(ROUND(M19/60,2)-3),"--")</f>
        <v>--</v>
      </c>
      <c r="Y19" s="275" t="str">
        <f aca="true" t="shared" si="11" ref="Y19:Y38">IF(N19="RF",I19*$L$14*0.1*ROUND(M19/60,2),"--")</f>
        <v>--</v>
      </c>
      <c r="Z19" s="276" t="str">
        <f aca="true" t="shared" si="12" ref="Z19:Z38">IF(N19="RR",I19*$L$14*0.1*O19/100*ROUND(M19/60,2),"--")</f>
        <v>--</v>
      </c>
      <c r="AA19" s="131" t="s">
        <v>133</v>
      </c>
      <c r="AB19" s="132">
        <f aca="true" t="shared" si="13" ref="AB19:AB38">IF(F19="","",IF(AA19="SI",SUM(Q19:Z19),2*SUM(Q19:Z19)))</f>
        <v>102.73176645</v>
      </c>
      <c r="AC19" s="133"/>
    </row>
    <row r="20" spans="2:29" ht="16.5" customHeight="1">
      <c r="B20" s="82"/>
      <c r="C20" s="122">
        <v>2</v>
      </c>
      <c r="D20" s="122">
        <v>295633</v>
      </c>
      <c r="E20" s="122">
        <v>159</v>
      </c>
      <c r="F20" s="122" t="s">
        <v>135</v>
      </c>
      <c r="G20" s="123">
        <v>132</v>
      </c>
      <c r="H20" s="124">
        <v>43.5</v>
      </c>
      <c r="I20" s="125">
        <f aca="true" t="shared" si="14" ref="I20:I38">H20*$G$14/100</f>
        <v>216.93884999999997</v>
      </c>
      <c r="J20" s="126">
        <v>42351.31458333333</v>
      </c>
      <c r="K20" s="126">
        <v>42351.49930555555</v>
      </c>
      <c r="L20" s="127">
        <f t="shared" si="0"/>
        <v>4.433333333290648</v>
      </c>
      <c r="M20" s="128">
        <f t="shared" si="1"/>
        <v>266</v>
      </c>
      <c r="N20" s="129" t="s">
        <v>132</v>
      </c>
      <c r="O20" s="129" t="str">
        <f>IF(F20="","","--")</f>
        <v>--</v>
      </c>
      <c r="P20" s="130" t="str">
        <f t="shared" si="2"/>
        <v>--</v>
      </c>
      <c r="Q20" s="267">
        <f t="shared" si="3"/>
        <v>288.31173164999996</v>
      </c>
      <c r="R20" s="268" t="str">
        <f t="shared" si="4"/>
        <v>--</v>
      </c>
      <c r="S20" s="269" t="str">
        <f t="shared" si="5"/>
        <v>--</v>
      </c>
      <c r="T20" s="270" t="str">
        <f t="shared" si="6"/>
        <v>--</v>
      </c>
      <c r="U20" s="271" t="str">
        <f t="shared" si="7"/>
        <v>--</v>
      </c>
      <c r="V20" s="272" t="str">
        <f t="shared" si="8"/>
        <v>--</v>
      </c>
      <c r="W20" s="273" t="str">
        <f t="shared" si="9"/>
        <v>--</v>
      </c>
      <c r="X20" s="274" t="str">
        <f t="shared" si="10"/>
        <v>--</v>
      </c>
      <c r="Y20" s="275" t="str">
        <f t="shared" si="11"/>
        <v>--</v>
      </c>
      <c r="Z20" s="276" t="str">
        <f t="shared" si="12"/>
        <v>--</v>
      </c>
      <c r="AA20" s="131" t="s">
        <v>133</v>
      </c>
      <c r="AB20" s="132">
        <f t="shared" si="13"/>
        <v>288.31173164999996</v>
      </c>
      <c r="AC20" s="133"/>
    </row>
    <row r="21" spans="2:29" ht="16.5" customHeight="1">
      <c r="B21" s="82"/>
      <c r="C21" s="122">
        <v>3</v>
      </c>
      <c r="D21" s="122">
        <v>296277</v>
      </c>
      <c r="E21" s="122">
        <v>5028</v>
      </c>
      <c r="F21" s="122" t="s">
        <v>136</v>
      </c>
      <c r="G21" s="123">
        <v>132</v>
      </c>
      <c r="H21" s="124">
        <v>69</v>
      </c>
      <c r="I21" s="125">
        <f t="shared" si="14"/>
        <v>344.1099</v>
      </c>
      <c r="J21" s="126">
        <v>42358.38958333333</v>
      </c>
      <c r="K21" s="126">
        <v>42358.839583333334</v>
      </c>
      <c r="L21" s="127">
        <f t="shared" si="0"/>
        <v>10.800000000104774</v>
      </c>
      <c r="M21" s="128">
        <f t="shared" si="1"/>
        <v>648</v>
      </c>
      <c r="N21" s="129" t="s">
        <v>132</v>
      </c>
      <c r="O21" s="129" t="str">
        <f>IF(F21="","","--")</f>
        <v>--</v>
      </c>
      <c r="P21" s="130" t="str">
        <f t="shared" si="2"/>
        <v>--</v>
      </c>
      <c r="Q21" s="267">
        <f t="shared" si="3"/>
        <v>1114.916076</v>
      </c>
      <c r="R21" s="268" t="str">
        <f t="shared" si="4"/>
        <v>--</v>
      </c>
      <c r="S21" s="269" t="str">
        <f t="shared" si="5"/>
        <v>--</v>
      </c>
      <c r="T21" s="270" t="str">
        <f t="shared" si="6"/>
        <v>--</v>
      </c>
      <c r="U21" s="271" t="str">
        <f t="shared" si="7"/>
        <v>--</v>
      </c>
      <c r="V21" s="272" t="str">
        <f t="shared" si="8"/>
        <v>--</v>
      </c>
      <c r="W21" s="273" t="str">
        <f t="shared" si="9"/>
        <v>--</v>
      </c>
      <c r="X21" s="274" t="str">
        <f t="shared" si="10"/>
        <v>--</v>
      </c>
      <c r="Y21" s="275" t="str">
        <f t="shared" si="11"/>
        <v>--</v>
      </c>
      <c r="Z21" s="276" t="str">
        <f t="shared" si="12"/>
        <v>--</v>
      </c>
      <c r="AA21" s="131" t="s">
        <v>133</v>
      </c>
      <c r="AB21" s="132">
        <f t="shared" si="13"/>
        <v>1114.916076</v>
      </c>
      <c r="AC21" s="133"/>
    </row>
    <row r="22" spans="2:29" ht="16.5" customHeight="1">
      <c r="B22" s="82"/>
      <c r="C22" s="122">
        <v>4</v>
      </c>
      <c r="D22" s="122">
        <v>296278</v>
      </c>
      <c r="E22" s="122">
        <v>5029</v>
      </c>
      <c r="F22" s="122" t="s">
        <v>137</v>
      </c>
      <c r="G22" s="123">
        <v>132</v>
      </c>
      <c r="H22" s="124">
        <v>23.2810001373291</v>
      </c>
      <c r="I22" s="125">
        <f t="shared" si="14"/>
        <v>116.10467578487396</v>
      </c>
      <c r="J22" s="126">
        <v>42358.39166666667</v>
      </c>
      <c r="K22" s="126">
        <v>42358.83194444444</v>
      </c>
      <c r="L22" s="127">
        <f t="shared" si="0"/>
        <v>10.56666666653473</v>
      </c>
      <c r="M22" s="128">
        <f t="shared" si="1"/>
        <v>634</v>
      </c>
      <c r="N22" s="129" t="s">
        <v>132</v>
      </c>
      <c r="O22" s="129" t="str">
        <f>IF(F22="","","--")</f>
        <v>--</v>
      </c>
      <c r="P22" s="130" t="str">
        <f t="shared" si="2"/>
        <v>--</v>
      </c>
      <c r="Q22" s="267">
        <f t="shared" si="3"/>
        <v>368.16792691383534</v>
      </c>
      <c r="R22" s="268" t="str">
        <f t="shared" si="4"/>
        <v>--</v>
      </c>
      <c r="S22" s="269" t="str">
        <f t="shared" si="5"/>
        <v>--</v>
      </c>
      <c r="T22" s="270" t="str">
        <f t="shared" si="6"/>
        <v>--</v>
      </c>
      <c r="U22" s="271" t="str">
        <f t="shared" si="7"/>
        <v>--</v>
      </c>
      <c r="V22" s="272" t="str">
        <f t="shared" si="8"/>
        <v>--</v>
      </c>
      <c r="W22" s="273" t="str">
        <f t="shared" si="9"/>
        <v>--</v>
      </c>
      <c r="X22" s="274" t="str">
        <f t="shared" si="10"/>
        <v>--</v>
      </c>
      <c r="Y22" s="275" t="str">
        <f t="shared" si="11"/>
        <v>--</v>
      </c>
      <c r="Z22" s="276" t="str">
        <f t="shared" si="12"/>
        <v>--</v>
      </c>
      <c r="AA22" s="131" t="s">
        <v>133</v>
      </c>
      <c r="AB22" s="132">
        <f t="shared" si="13"/>
        <v>368.16792691383534</v>
      </c>
      <c r="AC22" s="133"/>
    </row>
    <row r="23" spans="2:29" ht="16.5" customHeight="1">
      <c r="B23" s="82"/>
      <c r="C23" s="122">
        <v>5</v>
      </c>
      <c r="D23" s="122" t="s">
        <v>186</v>
      </c>
      <c r="E23" s="122">
        <v>168</v>
      </c>
      <c r="F23" s="122" t="s">
        <v>185</v>
      </c>
      <c r="G23" s="123">
        <v>132</v>
      </c>
      <c r="H23" s="124">
        <v>41</v>
      </c>
      <c r="I23" s="125">
        <f t="shared" si="14"/>
        <v>204.4711</v>
      </c>
      <c r="J23" s="126">
        <v>42369.96805555555</v>
      </c>
      <c r="K23" s="126">
        <v>42369.97361111111</v>
      </c>
      <c r="L23" s="127">
        <f t="shared" si="0"/>
        <v>0.13333333341870457</v>
      </c>
      <c r="M23" s="128">
        <f t="shared" si="1"/>
        <v>8</v>
      </c>
      <c r="N23" s="129" t="s">
        <v>145</v>
      </c>
      <c r="O23" s="129" t="str">
        <f>IF(F23="","","--")</f>
        <v>--</v>
      </c>
      <c r="P23" s="130" t="str">
        <f t="shared" si="2"/>
        <v>NO</v>
      </c>
      <c r="Q23" s="267" t="str">
        <f t="shared" si="3"/>
        <v>--</v>
      </c>
      <c r="R23" s="268" t="str">
        <f t="shared" si="4"/>
        <v>--</v>
      </c>
      <c r="S23" s="269">
        <f t="shared" si="5"/>
        <v>6134.13</v>
      </c>
      <c r="T23" s="270" t="str">
        <f t="shared" si="6"/>
        <v>--</v>
      </c>
      <c r="U23" s="271" t="str">
        <f t="shared" si="7"/>
        <v>--</v>
      </c>
      <c r="V23" s="272" t="str">
        <f t="shared" si="8"/>
        <v>--</v>
      </c>
      <c r="W23" s="273" t="str">
        <f t="shared" si="9"/>
        <v>--</v>
      </c>
      <c r="X23" s="274" t="str">
        <f t="shared" si="10"/>
        <v>--</v>
      </c>
      <c r="Y23" s="275" t="str">
        <f t="shared" si="11"/>
        <v>--</v>
      </c>
      <c r="Z23" s="276" t="str">
        <f t="shared" si="12"/>
        <v>--</v>
      </c>
      <c r="AA23" s="131" t="str">
        <f aca="true" t="shared" si="15" ref="AA23:AA38">IF(F23="","","SI")</f>
        <v>SI</v>
      </c>
      <c r="AB23" s="132">
        <f t="shared" si="13"/>
        <v>6134.13</v>
      </c>
      <c r="AC23" s="133"/>
    </row>
    <row r="24" spans="2:29" ht="16.5" customHeight="1">
      <c r="B24" s="82"/>
      <c r="C24" s="122"/>
      <c r="D24" s="122"/>
      <c r="E24" s="122"/>
      <c r="F24" s="122"/>
      <c r="G24" s="123"/>
      <c r="H24" s="124"/>
      <c r="I24" s="125">
        <f t="shared" si="14"/>
        <v>0</v>
      </c>
      <c r="J24" s="126"/>
      <c r="K24" s="126"/>
      <c r="L24" s="127">
        <f t="shared" si="0"/>
      </c>
      <c r="M24" s="128">
        <f t="shared" si="1"/>
      </c>
      <c r="N24" s="129"/>
      <c r="O24" s="129">
        <f aca="true" t="shared" si="16" ref="O24:O38">IF(F24="","","--")</f>
      </c>
      <c r="P24" s="130">
        <f t="shared" si="2"/>
      </c>
      <c r="Q24" s="267" t="str">
        <f t="shared" si="3"/>
        <v>--</v>
      </c>
      <c r="R24" s="268" t="str">
        <f t="shared" si="4"/>
        <v>--</v>
      </c>
      <c r="S24" s="269" t="str">
        <f t="shared" si="5"/>
        <v>--</v>
      </c>
      <c r="T24" s="270" t="str">
        <f t="shared" si="6"/>
        <v>--</v>
      </c>
      <c r="U24" s="271" t="str">
        <f t="shared" si="7"/>
        <v>--</v>
      </c>
      <c r="V24" s="272" t="str">
        <f t="shared" si="8"/>
        <v>--</v>
      </c>
      <c r="W24" s="273" t="str">
        <f t="shared" si="9"/>
        <v>--</v>
      </c>
      <c r="X24" s="274" t="str">
        <f t="shared" si="10"/>
        <v>--</v>
      </c>
      <c r="Y24" s="275" t="str">
        <f t="shared" si="11"/>
        <v>--</v>
      </c>
      <c r="Z24" s="276" t="str">
        <f t="shared" si="12"/>
        <v>--</v>
      </c>
      <c r="AA24" s="131">
        <f t="shared" si="15"/>
      </c>
      <c r="AB24" s="132">
        <f t="shared" si="13"/>
      </c>
      <c r="AC24" s="133"/>
    </row>
    <row r="25" spans="2:29" ht="16.5" customHeight="1">
      <c r="B25" s="82"/>
      <c r="C25" s="122"/>
      <c r="D25" s="122"/>
      <c r="E25" s="122"/>
      <c r="F25" s="122"/>
      <c r="G25" s="123"/>
      <c r="H25" s="124"/>
      <c r="I25" s="125">
        <f t="shared" si="14"/>
        <v>0</v>
      </c>
      <c r="J25" s="126"/>
      <c r="K25" s="126"/>
      <c r="L25" s="127">
        <f t="shared" si="0"/>
      </c>
      <c r="M25" s="128">
        <f t="shared" si="1"/>
      </c>
      <c r="N25" s="129"/>
      <c r="O25" s="129">
        <f t="shared" si="16"/>
      </c>
      <c r="P25" s="130">
        <f t="shared" si="2"/>
      </c>
      <c r="Q25" s="267" t="str">
        <f t="shared" si="3"/>
        <v>--</v>
      </c>
      <c r="R25" s="268" t="str">
        <f t="shared" si="4"/>
        <v>--</v>
      </c>
      <c r="S25" s="269" t="str">
        <f t="shared" si="5"/>
        <v>--</v>
      </c>
      <c r="T25" s="270" t="str">
        <f t="shared" si="6"/>
        <v>--</v>
      </c>
      <c r="U25" s="271" t="str">
        <f t="shared" si="7"/>
        <v>--</v>
      </c>
      <c r="V25" s="272" t="str">
        <f t="shared" si="8"/>
        <v>--</v>
      </c>
      <c r="W25" s="273" t="str">
        <f t="shared" si="9"/>
        <v>--</v>
      </c>
      <c r="X25" s="274" t="str">
        <f t="shared" si="10"/>
        <v>--</v>
      </c>
      <c r="Y25" s="275" t="str">
        <f t="shared" si="11"/>
        <v>--</v>
      </c>
      <c r="Z25" s="276" t="str">
        <f t="shared" si="12"/>
        <v>--</v>
      </c>
      <c r="AA25" s="131">
        <f t="shared" si="15"/>
      </c>
      <c r="AB25" s="132">
        <f t="shared" si="13"/>
      </c>
      <c r="AC25" s="133"/>
    </row>
    <row r="26" spans="2:29" ht="16.5" customHeight="1">
      <c r="B26" s="82"/>
      <c r="C26" s="122"/>
      <c r="D26" s="122"/>
      <c r="E26" s="122"/>
      <c r="F26" s="122"/>
      <c r="G26" s="123"/>
      <c r="H26" s="124"/>
      <c r="I26" s="125">
        <f t="shared" si="14"/>
        <v>0</v>
      </c>
      <c r="J26" s="126"/>
      <c r="K26" s="126"/>
      <c r="L26" s="127">
        <f t="shared" si="0"/>
      </c>
      <c r="M26" s="128">
        <f t="shared" si="1"/>
      </c>
      <c r="N26" s="129"/>
      <c r="O26" s="129">
        <f t="shared" si="16"/>
      </c>
      <c r="P26" s="130">
        <f t="shared" si="2"/>
      </c>
      <c r="Q26" s="267" t="str">
        <f t="shared" si="3"/>
        <v>--</v>
      </c>
      <c r="R26" s="268" t="str">
        <f t="shared" si="4"/>
        <v>--</v>
      </c>
      <c r="S26" s="269" t="str">
        <f t="shared" si="5"/>
        <v>--</v>
      </c>
      <c r="T26" s="270" t="str">
        <f t="shared" si="6"/>
        <v>--</v>
      </c>
      <c r="U26" s="271" t="str">
        <f t="shared" si="7"/>
        <v>--</v>
      </c>
      <c r="V26" s="272" t="str">
        <f t="shared" si="8"/>
        <v>--</v>
      </c>
      <c r="W26" s="273" t="str">
        <f t="shared" si="9"/>
        <v>--</v>
      </c>
      <c r="X26" s="274" t="str">
        <f t="shared" si="10"/>
        <v>--</v>
      </c>
      <c r="Y26" s="275" t="str">
        <f t="shared" si="11"/>
        <v>--</v>
      </c>
      <c r="Z26" s="276" t="str">
        <f t="shared" si="12"/>
        <v>--</v>
      </c>
      <c r="AA26" s="131">
        <f t="shared" si="15"/>
      </c>
      <c r="AB26" s="132">
        <f t="shared" si="13"/>
      </c>
      <c r="AC26" s="133"/>
    </row>
    <row r="27" spans="2:29" ht="16.5" customHeight="1">
      <c r="B27" s="82"/>
      <c r="C27" s="122"/>
      <c r="D27" s="122"/>
      <c r="E27" s="122"/>
      <c r="F27" s="122"/>
      <c r="G27" s="123"/>
      <c r="H27" s="124"/>
      <c r="I27" s="125">
        <f t="shared" si="14"/>
        <v>0</v>
      </c>
      <c r="J27" s="126"/>
      <c r="K27" s="126"/>
      <c r="L27" s="127">
        <f t="shared" si="0"/>
      </c>
      <c r="M27" s="128">
        <f t="shared" si="1"/>
      </c>
      <c r="N27" s="129"/>
      <c r="O27" s="129">
        <f t="shared" si="16"/>
      </c>
      <c r="P27" s="130">
        <f t="shared" si="2"/>
      </c>
      <c r="Q27" s="267" t="str">
        <f t="shared" si="3"/>
        <v>--</v>
      </c>
      <c r="R27" s="268" t="str">
        <f t="shared" si="4"/>
        <v>--</v>
      </c>
      <c r="S27" s="269" t="str">
        <f t="shared" si="5"/>
        <v>--</v>
      </c>
      <c r="T27" s="270" t="str">
        <f t="shared" si="6"/>
        <v>--</v>
      </c>
      <c r="U27" s="271" t="str">
        <f t="shared" si="7"/>
        <v>--</v>
      </c>
      <c r="V27" s="272" t="str">
        <f t="shared" si="8"/>
        <v>--</v>
      </c>
      <c r="W27" s="273" t="str">
        <f t="shared" si="9"/>
        <v>--</v>
      </c>
      <c r="X27" s="274" t="str">
        <f t="shared" si="10"/>
        <v>--</v>
      </c>
      <c r="Y27" s="275" t="str">
        <f t="shared" si="11"/>
        <v>--</v>
      </c>
      <c r="Z27" s="276" t="str">
        <f t="shared" si="12"/>
        <v>--</v>
      </c>
      <c r="AA27" s="131">
        <f t="shared" si="15"/>
      </c>
      <c r="AB27" s="132">
        <f t="shared" si="13"/>
      </c>
      <c r="AC27" s="133"/>
    </row>
    <row r="28" spans="2:29" ht="16.5" customHeight="1">
      <c r="B28" s="82"/>
      <c r="C28" s="122"/>
      <c r="D28" s="134"/>
      <c r="E28" s="134"/>
      <c r="F28" s="134"/>
      <c r="G28" s="123"/>
      <c r="H28" s="124"/>
      <c r="I28" s="125">
        <f t="shared" si="14"/>
        <v>0</v>
      </c>
      <c r="J28" s="126"/>
      <c r="K28" s="126"/>
      <c r="L28" s="127">
        <f t="shared" si="0"/>
      </c>
      <c r="M28" s="128">
        <f t="shared" si="1"/>
      </c>
      <c r="N28" s="129"/>
      <c r="O28" s="129">
        <f t="shared" si="16"/>
      </c>
      <c r="P28" s="130">
        <f t="shared" si="2"/>
      </c>
      <c r="Q28" s="267" t="str">
        <f t="shared" si="3"/>
        <v>--</v>
      </c>
      <c r="R28" s="268" t="str">
        <f t="shared" si="4"/>
        <v>--</v>
      </c>
      <c r="S28" s="269" t="str">
        <f t="shared" si="5"/>
        <v>--</v>
      </c>
      <c r="T28" s="270" t="str">
        <f t="shared" si="6"/>
        <v>--</v>
      </c>
      <c r="U28" s="271" t="str">
        <f t="shared" si="7"/>
        <v>--</v>
      </c>
      <c r="V28" s="272" t="str">
        <f t="shared" si="8"/>
        <v>--</v>
      </c>
      <c r="W28" s="273" t="str">
        <f t="shared" si="9"/>
        <v>--</v>
      </c>
      <c r="X28" s="274" t="str">
        <f t="shared" si="10"/>
        <v>--</v>
      </c>
      <c r="Y28" s="275" t="str">
        <f t="shared" si="11"/>
        <v>--</v>
      </c>
      <c r="Z28" s="276" t="str">
        <f t="shared" si="12"/>
        <v>--</v>
      </c>
      <c r="AA28" s="131">
        <f t="shared" si="15"/>
      </c>
      <c r="AB28" s="132">
        <f t="shared" si="13"/>
      </c>
      <c r="AC28" s="133"/>
    </row>
    <row r="29" spans="2:29" ht="16.5" customHeight="1">
      <c r="B29" s="82"/>
      <c r="C29" s="122"/>
      <c r="D29" s="134"/>
      <c r="E29" s="134"/>
      <c r="F29" s="134"/>
      <c r="G29" s="123"/>
      <c r="H29" s="124"/>
      <c r="I29" s="125">
        <f t="shared" si="14"/>
        <v>0</v>
      </c>
      <c r="J29" s="126"/>
      <c r="K29" s="126"/>
      <c r="L29" s="127">
        <f t="shared" si="0"/>
      </c>
      <c r="M29" s="128">
        <f t="shared" si="1"/>
      </c>
      <c r="N29" s="129"/>
      <c r="O29" s="129">
        <f t="shared" si="16"/>
      </c>
      <c r="P29" s="130">
        <f t="shared" si="2"/>
      </c>
      <c r="Q29" s="267" t="str">
        <f t="shared" si="3"/>
        <v>--</v>
      </c>
      <c r="R29" s="268" t="str">
        <f t="shared" si="4"/>
        <v>--</v>
      </c>
      <c r="S29" s="269" t="str">
        <f t="shared" si="5"/>
        <v>--</v>
      </c>
      <c r="T29" s="270" t="str">
        <f t="shared" si="6"/>
        <v>--</v>
      </c>
      <c r="U29" s="271" t="str">
        <f t="shared" si="7"/>
        <v>--</v>
      </c>
      <c r="V29" s="272" t="str">
        <f t="shared" si="8"/>
        <v>--</v>
      </c>
      <c r="W29" s="273" t="str">
        <f t="shared" si="9"/>
        <v>--</v>
      </c>
      <c r="X29" s="274" t="str">
        <f t="shared" si="10"/>
        <v>--</v>
      </c>
      <c r="Y29" s="275" t="str">
        <f t="shared" si="11"/>
        <v>--</v>
      </c>
      <c r="Z29" s="276" t="str">
        <f t="shared" si="12"/>
        <v>--</v>
      </c>
      <c r="AA29" s="131">
        <f t="shared" si="15"/>
      </c>
      <c r="AB29" s="132">
        <f t="shared" si="13"/>
      </c>
      <c r="AC29" s="133"/>
    </row>
    <row r="30" spans="2:29" ht="16.5" customHeight="1">
      <c r="B30" s="82"/>
      <c r="C30" s="122"/>
      <c r="D30" s="134"/>
      <c r="E30" s="134"/>
      <c r="F30" s="134"/>
      <c r="G30" s="123"/>
      <c r="H30" s="124"/>
      <c r="I30" s="125">
        <f t="shared" si="14"/>
        <v>0</v>
      </c>
      <c r="J30" s="126"/>
      <c r="K30" s="126"/>
      <c r="L30" s="127">
        <f t="shared" si="0"/>
      </c>
      <c r="M30" s="128">
        <f t="shared" si="1"/>
      </c>
      <c r="N30" s="129"/>
      <c r="O30" s="129">
        <f t="shared" si="16"/>
      </c>
      <c r="P30" s="130">
        <f t="shared" si="2"/>
      </c>
      <c r="Q30" s="267" t="str">
        <f t="shared" si="3"/>
        <v>--</v>
      </c>
      <c r="R30" s="268" t="str">
        <f t="shared" si="4"/>
        <v>--</v>
      </c>
      <c r="S30" s="269" t="str">
        <f t="shared" si="5"/>
        <v>--</v>
      </c>
      <c r="T30" s="270" t="str">
        <f t="shared" si="6"/>
        <v>--</v>
      </c>
      <c r="U30" s="271" t="str">
        <f t="shared" si="7"/>
        <v>--</v>
      </c>
      <c r="V30" s="272" t="str">
        <f t="shared" si="8"/>
        <v>--</v>
      </c>
      <c r="W30" s="273" t="str">
        <f t="shared" si="9"/>
        <v>--</v>
      </c>
      <c r="X30" s="274" t="str">
        <f t="shared" si="10"/>
        <v>--</v>
      </c>
      <c r="Y30" s="275" t="str">
        <f t="shared" si="11"/>
        <v>--</v>
      </c>
      <c r="Z30" s="276" t="str">
        <f t="shared" si="12"/>
        <v>--</v>
      </c>
      <c r="AA30" s="131">
        <f t="shared" si="15"/>
      </c>
      <c r="AB30" s="132">
        <f t="shared" si="13"/>
      </c>
      <c r="AC30" s="133"/>
    </row>
    <row r="31" spans="2:29" ht="16.5" customHeight="1">
      <c r="B31" s="82"/>
      <c r="C31" s="122"/>
      <c r="D31" s="134"/>
      <c r="E31" s="134"/>
      <c r="F31" s="134"/>
      <c r="G31" s="123"/>
      <c r="H31" s="124"/>
      <c r="I31" s="125">
        <f t="shared" si="14"/>
        <v>0</v>
      </c>
      <c r="J31" s="126"/>
      <c r="K31" s="126"/>
      <c r="L31" s="127">
        <f t="shared" si="0"/>
      </c>
      <c r="M31" s="128">
        <f t="shared" si="1"/>
      </c>
      <c r="N31" s="129"/>
      <c r="O31" s="129">
        <f t="shared" si="16"/>
      </c>
      <c r="P31" s="130">
        <f t="shared" si="2"/>
      </c>
      <c r="Q31" s="267" t="str">
        <f t="shared" si="3"/>
        <v>--</v>
      </c>
      <c r="R31" s="268" t="str">
        <f t="shared" si="4"/>
        <v>--</v>
      </c>
      <c r="S31" s="269" t="str">
        <f t="shared" si="5"/>
        <v>--</v>
      </c>
      <c r="T31" s="270" t="str">
        <f t="shared" si="6"/>
        <v>--</v>
      </c>
      <c r="U31" s="271" t="str">
        <f t="shared" si="7"/>
        <v>--</v>
      </c>
      <c r="V31" s="272" t="str">
        <f t="shared" si="8"/>
        <v>--</v>
      </c>
      <c r="W31" s="273" t="str">
        <f t="shared" si="9"/>
        <v>--</v>
      </c>
      <c r="X31" s="274" t="str">
        <f t="shared" si="10"/>
        <v>--</v>
      </c>
      <c r="Y31" s="275" t="str">
        <f t="shared" si="11"/>
        <v>--</v>
      </c>
      <c r="Z31" s="276" t="str">
        <f t="shared" si="12"/>
        <v>--</v>
      </c>
      <c r="AA31" s="131">
        <f t="shared" si="15"/>
      </c>
      <c r="AB31" s="132">
        <f t="shared" si="13"/>
      </c>
      <c r="AC31" s="133"/>
    </row>
    <row r="32" spans="2:29" ht="16.5" customHeight="1">
      <c r="B32" s="82"/>
      <c r="C32" s="122"/>
      <c r="D32" s="134"/>
      <c r="E32" s="134"/>
      <c r="F32" s="134"/>
      <c r="G32" s="123"/>
      <c r="H32" s="124"/>
      <c r="I32" s="125">
        <f t="shared" si="14"/>
        <v>0</v>
      </c>
      <c r="J32" s="126"/>
      <c r="K32" s="126"/>
      <c r="L32" s="127">
        <f t="shared" si="0"/>
      </c>
      <c r="M32" s="128">
        <f t="shared" si="1"/>
      </c>
      <c r="N32" s="129"/>
      <c r="O32" s="129">
        <f t="shared" si="16"/>
      </c>
      <c r="P32" s="130">
        <f t="shared" si="2"/>
      </c>
      <c r="Q32" s="267" t="str">
        <f t="shared" si="3"/>
        <v>--</v>
      </c>
      <c r="R32" s="268" t="str">
        <f t="shared" si="4"/>
        <v>--</v>
      </c>
      <c r="S32" s="269" t="str">
        <f t="shared" si="5"/>
        <v>--</v>
      </c>
      <c r="T32" s="270" t="str">
        <f t="shared" si="6"/>
        <v>--</v>
      </c>
      <c r="U32" s="271" t="str">
        <f t="shared" si="7"/>
        <v>--</v>
      </c>
      <c r="V32" s="272" t="str">
        <f t="shared" si="8"/>
        <v>--</v>
      </c>
      <c r="W32" s="273" t="str">
        <f t="shared" si="9"/>
        <v>--</v>
      </c>
      <c r="X32" s="274" t="str">
        <f t="shared" si="10"/>
        <v>--</v>
      </c>
      <c r="Y32" s="275" t="str">
        <f t="shared" si="11"/>
        <v>--</v>
      </c>
      <c r="Z32" s="276" t="str">
        <f t="shared" si="12"/>
        <v>--</v>
      </c>
      <c r="AA32" s="131">
        <f t="shared" si="15"/>
      </c>
      <c r="AB32" s="132">
        <f t="shared" si="13"/>
      </c>
      <c r="AC32" s="133"/>
    </row>
    <row r="33" spans="2:29" ht="16.5" customHeight="1">
      <c r="B33" s="82"/>
      <c r="C33" s="122"/>
      <c r="D33" s="134"/>
      <c r="E33" s="134"/>
      <c r="F33" s="134"/>
      <c r="G33" s="123"/>
      <c r="H33" s="124"/>
      <c r="I33" s="125">
        <f t="shared" si="14"/>
        <v>0</v>
      </c>
      <c r="J33" s="126"/>
      <c r="K33" s="126"/>
      <c r="L33" s="127">
        <f t="shared" si="0"/>
      </c>
      <c r="M33" s="128">
        <f t="shared" si="1"/>
      </c>
      <c r="N33" s="129"/>
      <c r="O33" s="129">
        <f t="shared" si="16"/>
      </c>
      <c r="P33" s="130">
        <f t="shared" si="2"/>
      </c>
      <c r="Q33" s="267" t="str">
        <f t="shared" si="3"/>
        <v>--</v>
      </c>
      <c r="R33" s="268" t="str">
        <f t="shared" si="4"/>
        <v>--</v>
      </c>
      <c r="S33" s="269" t="str">
        <f t="shared" si="5"/>
        <v>--</v>
      </c>
      <c r="T33" s="270" t="str">
        <f t="shared" si="6"/>
        <v>--</v>
      </c>
      <c r="U33" s="271" t="str">
        <f t="shared" si="7"/>
        <v>--</v>
      </c>
      <c r="V33" s="272" t="str">
        <f t="shared" si="8"/>
        <v>--</v>
      </c>
      <c r="W33" s="273" t="str">
        <f t="shared" si="9"/>
        <v>--</v>
      </c>
      <c r="X33" s="274" t="str">
        <f t="shared" si="10"/>
        <v>--</v>
      </c>
      <c r="Y33" s="275" t="str">
        <f t="shared" si="11"/>
        <v>--</v>
      </c>
      <c r="Z33" s="276" t="str">
        <f t="shared" si="12"/>
        <v>--</v>
      </c>
      <c r="AA33" s="131">
        <f t="shared" si="15"/>
      </c>
      <c r="AB33" s="132">
        <f t="shared" si="13"/>
      </c>
      <c r="AC33" s="133"/>
    </row>
    <row r="34" spans="2:29" ht="16.5" customHeight="1">
      <c r="B34" s="82"/>
      <c r="C34" s="122"/>
      <c r="D34" s="134"/>
      <c r="E34" s="134"/>
      <c r="F34" s="134"/>
      <c r="G34" s="123"/>
      <c r="H34" s="124"/>
      <c r="I34" s="125">
        <f t="shared" si="14"/>
        <v>0</v>
      </c>
      <c r="J34" s="126"/>
      <c r="K34" s="126"/>
      <c r="L34" s="127">
        <f t="shared" si="0"/>
      </c>
      <c r="M34" s="128">
        <f t="shared" si="1"/>
      </c>
      <c r="N34" s="129"/>
      <c r="O34" s="129">
        <f t="shared" si="16"/>
      </c>
      <c r="P34" s="130">
        <f t="shared" si="2"/>
      </c>
      <c r="Q34" s="267" t="str">
        <f t="shared" si="3"/>
        <v>--</v>
      </c>
      <c r="R34" s="268" t="str">
        <f t="shared" si="4"/>
        <v>--</v>
      </c>
      <c r="S34" s="269" t="str">
        <f t="shared" si="5"/>
        <v>--</v>
      </c>
      <c r="T34" s="270" t="str">
        <f t="shared" si="6"/>
        <v>--</v>
      </c>
      <c r="U34" s="271" t="str">
        <f t="shared" si="7"/>
        <v>--</v>
      </c>
      <c r="V34" s="272" t="str">
        <f t="shared" si="8"/>
        <v>--</v>
      </c>
      <c r="W34" s="273" t="str">
        <f t="shared" si="9"/>
        <v>--</v>
      </c>
      <c r="X34" s="274" t="str">
        <f t="shared" si="10"/>
        <v>--</v>
      </c>
      <c r="Y34" s="275" t="str">
        <f t="shared" si="11"/>
        <v>--</v>
      </c>
      <c r="Z34" s="276" t="str">
        <f t="shared" si="12"/>
        <v>--</v>
      </c>
      <c r="AA34" s="131">
        <f t="shared" si="15"/>
      </c>
      <c r="AB34" s="132">
        <f t="shared" si="13"/>
      </c>
      <c r="AC34" s="133"/>
    </row>
    <row r="35" spans="2:29" ht="16.5" customHeight="1">
      <c r="B35" s="82"/>
      <c r="C35" s="122"/>
      <c r="D35" s="134"/>
      <c r="E35" s="134"/>
      <c r="F35" s="134"/>
      <c r="G35" s="123"/>
      <c r="H35" s="124"/>
      <c r="I35" s="125">
        <f t="shared" si="14"/>
        <v>0</v>
      </c>
      <c r="J35" s="126"/>
      <c r="K35" s="126"/>
      <c r="L35" s="127">
        <f t="shared" si="0"/>
      </c>
      <c r="M35" s="128">
        <f t="shared" si="1"/>
      </c>
      <c r="N35" s="129"/>
      <c r="O35" s="129">
        <f t="shared" si="16"/>
      </c>
      <c r="P35" s="130">
        <f t="shared" si="2"/>
      </c>
      <c r="Q35" s="267" t="str">
        <f t="shared" si="3"/>
        <v>--</v>
      </c>
      <c r="R35" s="268" t="str">
        <f t="shared" si="4"/>
        <v>--</v>
      </c>
      <c r="S35" s="269" t="str">
        <f t="shared" si="5"/>
        <v>--</v>
      </c>
      <c r="T35" s="270" t="str">
        <f t="shared" si="6"/>
        <v>--</v>
      </c>
      <c r="U35" s="271" t="str">
        <f t="shared" si="7"/>
        <v>--</v>
      </c>
      <c r="V35" s="272" t="str">
        <f t="shared" si="8"/>
        <v>--</v>
      </c>
      <c r="W35" s="273" t="str">
        <f t="shared" si="9"/>
        <v>--</v>
      </c>
      <c r="X35" s="274" t="str">
        <f t="shared" si="10"/>
        <v>--</v>
      </c>
      <c r="Y35" s="275" t="str">
        <f t="shared" si="11"/>
        <v>--</v>
      </c>
      <c r="Z35" s="276" t="str">
        <f t="shared" si="12"/>
        <v>--</v>
      </c>
      <c r="AA35" s="131">
        <f t="shared" si="15"/>
      </c>
      <c r="AB35" s="132">
        <f t="shared" si="13"/>
      </c>
      <c r="AC35" s="133"/>
    </row>
    <row r="36" spans="2:29" ht="16.5" customHeight="1">
      <c r="B36" s="82"/>
      <c r="C36" s="122"/>
      <c r="D36" s="134"/>
      <c r="E36" s="134"/>
      <c r="F36" s="134"/>
      <c r="G36" s="123"/>
      <c r="H36" s="124"/>
      <c r="I36" s="125">
        <f t="shared" si="14"/>
        <v>0</v>
      </c>
      <c r="J36" s="126"/>
      <c r="K36" s="126"/>
      <c r="L36" s="127">
        <f t="shared" si="0"/>
      </c>
      <c r="M36" s="128">
        <f t="shared" si="1"/>
      </c>
      <c r="N36" s="129"/>
      <c r="O36" s="129">
        <f t="shared" si="16"/>
      </c>
      <c r="P36" s="130">
        <f t="shared" si="2"/>
      </c>
      <c r="Q36" s="267" t="str">
        <f t="shared" si="3"/>
        <v>--</v>
      </c>
      <c r="R36" s="268" t="str">
        <f t="shared" si="4"/>
        <v>--</v>
      </c>
      <c r="S36" s="269" t="str">
        <f t="shared" si="5"/>
        <v>--</v>
      </c>
      <c r="T36" s="270" t="str">
        <f t="shared" si="6"/>
        <v>--</v>
      </c>
      <c r="U36" s="271" t="str">
        <f t="shared" si="7"/>
        <v>--</v>
      </c>
      <c r="V36" s="272" t="str">
        <f t="shared" si="8"/>
        <v>--</v>
      </c>
      <c r="W36" s="273" t="str">
        <f t="shared" si="9"/>
        <v>--</v>
      </c>
      <c r="X36" s="274" t="str">
        <f t="shared" si="10"/>
        <v>--</v>
      </c>
      <c r="Y36" s="275" t="str">
        <f t="shared" si="11"/>
        <v>--</v>
      </c>
      <c r="Z36" s="276" t="str">
        <f t="shared" si="12"/>
        <v>--</v>
      </c>
      <c r="AA36" s="131">
        <f t="shared" si="15"/>
      </c>
      <c r="AB36" s="132">
        <f t="shared" si="13"/>
      </c>
      <c r="AC36" s="133"/>
    </row>
    <row r="37" spans="2:29" ht="16.5" customHeight="1">
      <c r="B37" s="82"/>
      <c r="C37" s="122"/>
      <c r="D37" s="134"/>
      <c r="E37" s="134"/>
      <c r="F37" s="134"/>
      <c r="G37" s="123"/>
      <c r="H37" s="124"/>
      <c r="I37" s="125">
        <f t="shared" si="14"/>
        <v>0</v>
      </c>
      <c r="J37" s="126"/>
      <c r="K37" s="126"/>
      <c r="L37" s="127">
        <f t="shared" si="0"/>
      </c>
      <c r="M37" s="128">
        <f t="shared" si="1"/>
      </c>
      <c r="N37" s="129"/>
      <c r="O37" s="129">
        <f t="shared" si="16"/>
      </c>
      <c r="P37" s="130">
        <f t="shared" si="2"/>
      </c>
      <c r="Q37" s="267" t="str">
        <f t="shared" si="3"/>
        <v>--</v>
      </c>
      <c r="R37" s="268" t="str">
        <f t="shared" si="4"/>
        <v>--</v>
      </c>
      <c r="S37" s="269" t="str">
        <f t="shared" si="5"/>
        <v>--</v>
      </c>
      <c r="T37" s="270" t="str">
        <f t="shared" si="6"/>
        <v>--</v>
      </c>
      <c r="U37" s="271" t="str">
        <f t="shared" si="7"/>
        <v>--</v>
      </c>
      <c r="V37" s="272" t="str">
        <f t="shared" si="8"/>
        <v>--</v>
      </c>
      <c r="W37" s="273" t="str">
        <f t="shared" si="9"/>
        <v>--</v>
      </c>
      <c r="X37" s="274" t="str">
        <f t="shared" si="10"/>
        <v>--</v>
      </c>
      <c r="Y37" s="275" t="str">
        <f t="shared" si="11"/>
        <v>--</v>
      </c>
      <c r="Z37" s="276" t="str">
        <f t="shared" si="12"/>
        <v>--</v>
      </c>
      <c r="AA37" s="131">
        <f t="shared" si="15"/>
      </c>
      <c r="AB37" s="132">
        <f t="shared" si="13"/>
      </c>
      <c r="AC37" s="133"/>
    </row>
    <row r="38" spans="2:29" ht="16.5" customHeight="1">
      <c r="B38" s="82"/>
      <c r="C38" s="122"/>
      <c r="D38" s="134"/>
      <c r="E38" s="134"/>
      <c r="F38" s="134"/>
      <c r="G38" s="123"/>
      <c r="H38" s="124"/>
      <c r="I38" s="125">
        <f t="shared" si="14"/>
        <v>0</v>
      </c>
      <c r="J38" s="126"/>
      <c r="K38" s="126"/>
      <c r="L38" s="127">
        <f t="shared" si="0"/>
      </c>
      <c r="M38" s="128">
        <f t="shared" si="1"/>
      </c>
      <c r="N38" s="129"/>
      <c r="O38" s="129">
        <f t="shared" si="16"/>
      </c>
      <c r="P38" s="130">
        <f t="shared" si="2"/>
      </c>
      <c r="Q38" s="267" t="str">
        <f t="shared" si="3"/>
        <v>--</v>
      </c>
      <c r="R38" s="268" t="str">
        <f t="shared" si="4"/>
        <v>--</v>
      </c>
      <c r="S38" s="269" t="str">
        <f t="shared" si="5"/>
        <v>--</v>
      </c>
      <c r="T38" s="270" t="str">
        <f t="shared" si="6"/>
        <v>--</v>
      </c>
      <c r="U38" s="271" t="str">
        <f t="shared" si="7"/>
        <v>--</v>
      </c>
      <c r="V38" s="272" t="str">
        <f t="shared" si="8"/>
        <v>--</v>
      </c>
      <c r="W38" s="273" t="str">
        <f t="shared" si="9"/>
        <v>--</v>
      </c>
      <c r="X38" s="274" t="str">
        <f t="shared" si="10"/>
        <v>--</v>
      </c>
      <c r="Y38" s="275" t="str">
        <f t="shared" si="11"/>
        <v>--</v>
      </c>
      <c r="Z38" s="276" t="str">
        <f t="shared" si="12"/>
        <v>--</v>
      </c>
      <c r="AA38" s="131">
        <f t="shared" si="15"/>
      </c>
      <c r="AB38" s="132">
        <f t="shared" si="13"/>
      </c>
      <c r="AC38" s="133"/>
    </row>
    <row r="39" spans="2:29" ht="16.5" customHeight="1" thickBot="1">
      <c r="B39" s="82"/>
      <c r="C39" s="135"/>
      <c r="D39" s="135"/>
      <c r="E39" s="135"/>
      <c r="F39" s="136"/>
      <c r="G39" s="135"/>
      <c r="H39" s="137"/>
      <c r="I39" s="138"/>
      <c r="J39" s="139"/>
      <c r="K39" s="139"/>
      <c r="L39" s="140"/>
      <c r="M39" s="140"/>
      <c r="N39" s="139"/>
      <c r="O39" s="139"/>
      <c r="P39" s="141"/>
      <c r="Q39" s="277"/>
      <c r="R39" s="278"/>
      <c r="S39" s="279"/>
      <c r="T39" s="280"/>
      <c r="U39" s="281"/>
      <c r="V39" s="282"/>
      <c r="W39" s="283"/>
      <c r="X39" s="284"/>
      <c r="Y39" s="285"/>
      <c r="Z39" s="286"/>
      <c r="AA39" s="142"/>
      <c r="AB39" s="143"/>
      <c r="AC39" s="133"/>
    </row>
    <row r="40" spans="2:29" ht="16.5" customHeight="1" thickBot="1" thickTop="1">
      <c r="B40" s="82"/>
      <c r="C40" s="264" t="s">
        <v>69</v>
      </c>
      <c r="D40" s="465" t="s">
        <v>169</v>
      </c>
      <c r="E40" s="438"/>
      <c r="F40" s="144"/>
      <c r="G40" s="93"/>
      <c r="H40" s="145"/>
      <c r="I40" s="146"/>
      <c r="J40" s="146"/>
      <c r="K40" s="146"/>
      <c r="L40" s="146"/>
      <c r="M40" s="146"/>
      <c r="N40" s="146"/>
      <c r="O40" s="146"/>
      <c r="P40" s="147"/>
      <c r="Q40" s="148"/>
      <c r="R40" s="148"/>
      <c r="S40" s="149"/>
      <c r="T40" s="149"/>
      <c r="U40" s="150"/>
      <c r="V40" s="149"/>
      <c r="W40" s="149"/>
      <c r="X40" s="150"/>
      <c r="Y40" s="150"/>
      <c r="Z40" s="150"/>
      <c r="AA40" s="151"/>
      <c r="AB40" s="265">
        <f>ROUND(SUM(AB17:AB39),2)</f>
        <v>8008.26</v>
      </c>
      <c r="AC40" s="133"/>
    </row>
    <row r="41" spans="2:29" s="152" customFormat="1" ht="9.75" thickTop="1">
      <c r="B41" s="153"/>
      <c r="C41" s="266"/>
      <c r="D41" s="266"/>
      <c r="E41" s="266"/>
      <c r="F41" s="154"/>
      <c r="AC41" s="155"/>
    </row>
    <row r="42" spans="2:29" ht="16.5" customHeight="1" thickBot="1"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8"/>
    </row>
    <row r="43" ht="13.5" thickTop="1"/>
    <row r="52" ht="12.75">
      <c r="J52" s="159"/>
    </row>
    <row r="53" ht="12.75">
      <c r="J53" s="159"/>
    </row>
    <row r="54" ht="12.75">
      <c r="J54" s="159"/>
    </row>
    <row r="55" spans="10:11" ht="12.75">
      <c r="J55" s="160"/>
      <c r="K55" s="161"/>
    </row>
    <row r="56" ht="12.75">
      <c r="J56" s="159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AD45"/>
  <sheetViews>
    <sheetView zoomScale="85" zoomScaleNormal="85" zoomScalePageLayoutView="0" workbookViewId="0" topLeftCell="A10">
      <selection activeCell="N3" sqref="N3"/>
    </sheetView>
  </sheetViews>
  <sheetFormatPr defaultColWidth="11.421875" defaultRowHeight="12.75"/>
  <cols>
    <col min="1" max="2" width="4.140625" style="76" customWidth="1"/>
    <col min="3" max="3" width="5.421875" style="76" customWidth="1"/>
    <col min="4" max="5" width="13.7109375" style="76" customWidth="1"/>
    <col min="6" max="6" width="30.7109375" style="76" customWidth="1"/>
    <col min="7" max="7" width="15.7109375" style="76" customWidth="1"/>
    <col min="8" max="8" width="8.00390625" style="76" customWidth="1"/>
    <col min="9" max="9" width="12.28125" style="76" customWidth="1"/>
    <col min="10" max="10" width="6.421875" style="76" hidden="1" customWidth="1"/>
    <col min="11" max="12" width="15.7109375" style="76" customWidth="1"/>
    <col min="13" max="14" width="9.7109375" style="76" customWidth="1"/>
    <col min="15" max="16" width="8.7109375" style="76" customWidth="1"/>
    <col min="17" max="17" width="6.00390625" style="76" customWidth="1"/>
    <col min="18" max="18" width="6.8515625" style="76" customWidth="1"/>
    <col min="19" max="19" width="12.28125" style="76" hidden="1" customWidth="1"/>
    <col min="20" max="20" width="13.421875" style="76" hidden="1" customWidth="1"/>
    <col min="21" max="22" width="8.421875" style="76" hidden="1" customWidth="1"/>
    <col min="23" max="24" width="9.57421875" style="76" hidden="1" customWidth="1"/>
    <col min="25" max="25" width="12.28125" style="76" hidden="1" customWidth="1"/>
    <col min="26" max="26" width="13.421875" style="76" hidden="1" customWidth="1"/>
    <col min="27" max="27" width="9.28125" style="76" hidden="1" customWidth="1"/>
    <col min="28" max="29" width="15.7109375" style="76" customWidth="1"/>
    <col min="30" max="30" width="4.140625" style="76" customWidth="1"/>
    <col min="31" max="16384" width="11.421875" style="76" customWidth="1"/>
  </cols>
  <sheetData>
    <row r="1" spans="2:30" s="73" customFormat="1" ht="26.25">
      <c r="B1" s="74"/>
      <c r="AD1" s="226"/>
    </row>
    <row r="2" spans="2:30" s="73" customFormat="1" ht="26.25">
      <c r="B2" s="227" t="str">
        <f>+'TOT-1215'!B2</f>
        <v>ANEXO III  al  Memorandum D.T.E.E.  N°  687/ 2016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ht="12.75">
      <c r="B3" s="77"/>
    </row>
    <row r="4" spans="2:5" s="78" customFormat="1" ht="11.25">
      <c r="B4" s="228"/>
      <c r="C4" s="287"/>
      <c r="D4" s="10" t="s">
        <v>2</v>
      </c>
      <c r="E4" s="287"/>
    </row>
    <row r="5" spans="2:5" s="78" customFormat="1" ht="11.25">
      <c r="B5" s="228"/>
      <c r="C5" s="287"/>
      <c r="D5" s="10" t="s">
        <v>3</v>
      </c>
      <c r="E5" s="287"/>
    </row>
    <row r="6" ht="13.5" thickBot="1"/>
    <row r="7" spans="2:30" ht="13.5" thickTop="1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90"/>
    </row>
    <row r="8" spans="2:30" s="291" customFormat="1" ht="20.25">
      <c r="B8" s="292"/>
      <c r="C8" s="162"/>
      <c r="D8" s="162"/>
      <c r="E8" s="162"/>
      <c r="F8" s="84" t="s">
        <v>73</v>
      </c>
      <c r="G8" s="84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293"/>
    </row>
    <row r="9" spans="2:30" ht="12.75">
      <c r="B9" s="294"/>
      <c r="C9" s="163"/>
      <c r="D9" s="163"/>
      <c r="E9" s="163"/>
      <c r="F9" s="163"/>
      <c r="G9" s="295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296"/>
    </row>
    <row r="10" spans="2:30" s="291" customFormat="1" ht="20.25">
      <c r="B10" s="292"/>
      <c r="C10" s="162"/>
      <c r="D10" s="162"/>
      <c r="E10" s="162"/>
      <c r="F10" s="84" t="s">
        <v>33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293"/>
    </row>
    <row r="11" spans="2:30" ht="12.75">
      <c r="B11" s="294"/>
      <c r="C11" s="163"/>
      <c r="D11" s="163"/>
      <c r="E11" s="163"/>
      <c r="F11" s="295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296"/>
    </row>
    <row r="12" spans="2:30" s="291" customFormat="1" ht="20.25">
      <c r="B12" s="292"/>
      <c r="C12" s="162"/>
      <c r="D12" s="162"/>
      <c r="E12" s="162"/>
      <c r="F12" s="297" t="s">
        <v>34</v>
      </c>
      <c r="G12" s="84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293"/>
    </row>
    <row r="13" spans="2:30" ht="12.75">
      <c r="B13" s="294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296"/>
    </row>
    <row r="14" spans="2:30" s="88" customFormat="1" ht="19.5">
      <c r="B14" s="298" t="str">
        <f>+'TOT-1215'!B14</f>
        <v>Desde el 01 al 31 de diciembre de 2015</v>
      </c>
      <c r="C14" s="299"/>
      <c r="D14" s="299"/>
      <c r="E14" s="299"/>
      <c r="F14" s="300"/>
      <c r="G14" s="300"/>
      <c r="H14" s="300"/>
      <c r="I14" s="300"/>
      <c r="J14" s="300"/>
      <c r="K14" s="90"/>
      <c r="L14" s="300"/>
      <c r="M14" s="300"/>
      <c r="N14" s="300"/>
      <c r="O14" s="300"/>
      <c r="P14" s="300"/>
      <c r="Q14" s="300"/>
      <c r="R14" s="163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1"/>
    </row>
    <row r="15" spans="2:30" ht="16.5" thickBot="1">
      <c r="B15" s="294"/>
      <c r="C15" s="163"/>
      <c r="D15" s="163"/>
      <c r="E15" s="163"/>
      <c r="F15" s="163"/>
      <c r="G15" s="163"/>
      <c r="H15" s="163"/>
      <c r="I15" s="205"/>
      <c r="J15" s="163"/>
      <c r="K15" s="302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296"/>
    </row>
    <row r="16" spans="2:30" ht="14.25" thickBot="1" thickTop="1">
      <c r="B16" s="294"/>
      <c r="C16" s="303"/>
      <c r="D16" s="303"/>
      <c r="E16" s="303"/>
      <c r="F16" s="164" t="s">
        <v>35</v>
      </c>
      <c r="G16" s="165"/>
      <c r="H16" s="304"/>
      <c r="I16" s="305">
        <v>1.752</v>
      </c>
      <c r="J16" s="303"/>
      <c r="K16" s="303"/>
      <c r="L16" s="306"/>
      <c r="M16" s="306"/>
      <c r="N16" s="306"/>
      <c r="O16" s="307"/>
      <c r="P16" s="307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296"/>
    </row>
    <row r="17" spans="2:30" ht="14.25" thickBot="1" thickTop="1">
      <c r="B17" s="294"/>
      <c r="C17" s="303"/>
      <c r="D17" s="303"/>
      <c r="E17" s="303"/>
      <c r="F17" s="166" t="s">
        <v>36</v>
      </c>
      <c r="G17" s="167"/>
      <c r="H17" s="167"/>
      <c r="I17" s="308">
        <f>30*'TOT-1215'!B13</f>
        <v>30</v>
      </c>
      <c r="J17" s="303"/>
      <c r="K17" s="100" t="str">
        <f>IF(I17=30," ",IF(I17=60,"    Coeficiente duplicado por tasa de falla &gt;4 Sal. x año/100 km.","   REVISAR COEFICIENTE"))</f>
        <v> </v>
      </c>
      <c r="L17" s="303"/>
      <c r="M17" s="303"/>
      <c r="N17" s="303"/>
      <c r="O17" s="303"/>
      <c r="P17" s="303"/>
      <c r="Q17" s="303" t="s">
        <v>37</v>
      </c>
      <c r="R17" s="303"/>
      <c r="S17" s="303"/>
      <c r="T17" s="303"/>
      <c r="U17" s="303"/>
      <c r="V17" s="309"/>
      <c r="W17" s="303"/>
      <c r="X17" s="309"/>
      <c r="Y17" s="309"/>
      <c r="Z17" s="309"/>
      <c r="AA17" s="309"/>
      <c r="AB17" s="309"/>
      <c r="AC17" s="303"/>
      <c r="AD17" s="296"/>
    </row>
    <row r="18" spans="2:30" ht="16.5" customHeight="1" thickBot="1" thickTop="1">
      <c r="B18" s="294"/>
      <c r="C18" s="460">
        <v>3</v>
      </c>
      <c r="D18" s="460">
        <v>4</v>
      </c>
      <c r="E18" s="460">
        <v>5</v>
      </c>
      <c r="F18" s="460">
        <v>6</v>
      </c>
      <c r="G18" s="460">
        <v>7</v>
      </c>
      <c r="H18" s="460">
        <v>8</v>
      </c>
      <c r="I18" s="460">
        <v>9</v>
      </c>
      <c r="J18" s="460">
        <v>10</v>
      </c>
      <c r="K18" s="460">
        <v>11</v>
      </c>
      <c r="L18" s="460">
        <v>12</v>
      </c>
      <c r="M18" s="460">
        <v>13</v>
      </c>
      <c r="N18" s="460">
        <v>14</v>
      </c>
      <c r="O18" s="460">
        <v>15</v>
      </c>
      <c r="P18" s="460">
        <v>16</v>
      </c>
      <c r="Q18" s="460">
        <v>17</v>
      </c>
      <c r="R18" s="460">
        <v>18</v>
      </c>
      <c r="S18" s="460">
        <v>19</v>
      </c>
      <c r="T18" s="460">
        <v>20</v>
      </c>
      <c r="U18" s="460">
        <v>21</v>
      </c>
      <c r="V18" s="460">
        <v>22</v>
      </c>
      <c r="W18" s="460">
        <v>23</v>
      </c>
      <c r="X18" s="460">
        <v>24</v>
      </c>
      <c r="Y18" s="460">
        <v>25</v>
      </c>
      <c r="Z18" s="460">
        <v>26</v>
      </c>
      <c r="AA18" s="460">
        <v>27</v>
      </c>
      <c r="AB18" s="460">
        <v>28</v>
      </c>
      <c r="AC18" s="460">
        <v>29</v>
      </c>
      <c r="AD18" s="296"/>
    </row>
    <row r="19" spans="2:30" s="313" customFormat="1" ht="34.5" customHeight="1" thickBot="1" thickTop="1">
      <c r="B19" s="310"/>
      <c r="C19" s="443" t="s">
        <v>15</v>
      </c>
      <c r="D19" s="443" t="s">
        <v>74</v>
      </c>
      <c r="E19" s="443" t="s">
        <v>75</v>
      </c>
      <c r="F19" s="169" t="s">
        <v>38</v>
      </c>
      <c r="G19" s="170" t="s">
        <v>39</v>
      </c>
      <c r="H19" s="171" t="s">
        <v>40</v>
      </c>
      <c r="I19" s="169" t="s">
        <v>41</v>
      </c>
      <c r="J19" s="108" t="s">
        <v>18</v>
      </c>
      <c r="K19" s="169" t="s">
        <v>19</v>
      </c>
      <c r="L19" s="169" t="s">
        <v>20</v>
      </c>
      <c r="M19" s="169" t="s">
        <v>42</v>
      </c>
      <c r="N19" s="169" t="s">
        <v>43</v>
      </c>
      <c r="O19" s="110" t="s">
        <v>68</v>
      </c>
      <c r="P19" s="173" t="s">
        <v>24</v>
      </c>
      <c r="Q19" s="172" t="s">
        <v>23</v>
      </c>
      <c r="R19" s="394" t="s">
        <v>71</v>
      </c>
      <c r="S19" s="389" t="s">
        <v>70</v>
      </c>
      <c r="T19" s="429" t="s">
        <v>25</v>
      </c>
      <c r="U19" s="424" t="s">
        <v>26</v>
      </c>
      <c r="V19" s="414" t="s">
        <v>44</v>
      </c>
      <c r="W19" s="415"/>
      <c r="X19" s="406" t="s">
        <v>45</v>
      </c>
      <c r="Y19" s="407"/>
      <c r="Z19" s="311" t="s">
        <v>46</v>
      </c>
      <c r="AA19" s="433" t="s">
        <v>47</v>
      </c>
      <c r="AB19" s="169" t="s">
        <v>48</v>
      </c>
      <c r="AC19" s="169" t="s">
        <v>32</v>
      </c>
      <c r="AD19" s="312"/>
    </row>
    <row r="20" spans="2:30" ht="16.5" customHeight="1" thickTop="1">
      <c r="B20" s="294"/>
      <c r="C20" s="314"/>
      <c r="D20" s="314"/>
      <c r="E20" s="314"/>
      <c r="F20" s="314"/>
      <c r="G20" s="314"/>
      <c r="H20" s="314"/>
      <c r="I20" s="315"/>
      <c r="J20" s="174"/>
      <c r="K20" s="314"/>
      <c r="L20" s="314"/>
      <c r="M20" s="314"/>
      <c r="N20" s="314"/>
      <c r="O20" s="314"/>
      <c r="P20" s="314"/>
      <c r="Q20" s="314"/>
      <c r="R20" s="395"/>
      <c r="S20" s="390"/>
      <c r="T20" s="430"/>
      <c r="U20" s="425"/>
      <c r="V20" s="416"/>
      <c r="W20" s="417"/>
      <c r="X20" s="408"/>
      <c r="Y20" s="409"/>
      <c r="Z20" s="316"/>
      <c r="AA20" s="434"/>
      <c r="AB20" s="314"/>
      <c r="AC20" s="247"/>
      <c r="AD20" s="85"/>
    </row>
    <row r="21" spans="2:30" ht="16.5" customHeight="1">
      <c r="B21" s="294"/>
      <c r="C21" s="175"/>
      <c r="D21" s="175"/>
      <c r="E21" s="175"/>
      <c r="F21" s="175"/>
      <c r="G21" s="175"/>
      <c r="H21" s="175"/>
      <c r="I21" s="175"/>
      <c r="J21" s="176"/>
      <c r="K21" s="175"/>
      <c r="L21" s="177"/>
      <c r="M21" s="317"/>
      <c r="N21" s="317"/>
      <c r="O21" s="177"/>
      <c r="P21" s="177"/>
      <c r="Q21" s="177"/>
      <c r="R21" s="396"/>
      <c r="S21" s="391"/>
      <c r="T21" s="431"/>
      <c r="U21" s="426"/>
      <c r="V21" s="418"/>
      <c r="W21" s="419"/>
      <c r="X21" s="410"/>
      <c r="Y21" s="411"/>
      <c r="Z21" s="319"/>
      <c r="AA21" s="435"/>
      <c r="AB21" s="317"/>
      <c r="AC21" s="317"/>
      <c r="AD21" s="85"/>
    </row>
    <row r="22" spans="2:30" ht="16.5" customHeight="1">
      <c r="B22" s="294"/>
      <c r="C22" s="175">
        <v>6</v>
      </c>
      <c r="D22" s="175">
        <v>295640</v>
      </c>
      <c r="E22" s="175">
        <v>2637</v>
      </c>
      <c r="F22" s="399" t="s">
        <v>138</v>
      </c>
      <c r="G22" s="399" t="s">
        <v>139</v>
      </c>
      <c r="H22" s="399">
        <v>30</v>
      </c>
      <c r="I22" s="399" t="s">
        <v>140</v>
      </c>
      <c r="J22" s="182">
        <f>H22*$I$16</f>
        <v>52.56</v>
      </c>
      <c r="K22" s="183">
        <v>42339.561111111114</v>
      </c>
      <c r="L22" s="183">
        <v>42339.78888888889</v>
      </c>
      <c r="M22" s="184">
        <f aca="true" t="shared" si="0" ref="M22:M41">IF(K22="","",(L22-K22)*24)</f>
        <v>5.466666666674428</v>
      </c>
      <c r="N22" s="185">
        <f aca="true" t="shared" si="1" ref="N22:N41">IF(L22="","",ROUND((L22-K22)*24*60,0))</f>
        <v>328</v>
      </c>
      <c r="O22" s="186" t="s">
        <v>132</v>
      </c>
      <c r="P22" s="186" t="str">
        <f aca="true" t="shared" si="2" ref="P22:P41">IF(O22="","",IF(OR(O22="P",O22="RP"),"--","NO"))</f>
        <v>--</v>
      </c>
      <c r="Q22" s="186" t="s">
        <v>134</v>
      </c>
      <c r="R22" s="397" t="s">
        <v>167</v>
      </c>
      <c r="S22" s="392">
        <f>$I$17*IF(R22="SI",1,0.1)*IF(OR(O22="P",O22="RP"),0.1,1)</f>
        <v>0.30000000000000004</v>
      </c>
      <c r="T22" s="402">
        <f aca="true" t="shared" si="3" ref="T22:T40">IF(O22="P",J22*S22*ROUND(N22/60,2),"--")</f>
        <v>86.25096</v>
      </c>
      <c r="U22" s="427" t="str">
        <f aca="true" t="shared" si="4" ref="U22:U41">IF(O22="RP",J22*S22*Q22/100*ROUND(N22/60,2),"--")</f>
        <v>--</v>
      </c>
      <c r="V22" s="420" t="str">
        <f>IF(AND(O22="F",P22="NO"),J22*S22,"--")</f>
        <v>--</v>
      </c>
      <c r="W22" s="421" t="str">
        <f>IF(O22="F",J22*S22*ROUND(N22/60,2),"--")</f>
        <v>--</v>
      </c>
      <c r="X22" s="403" t="str">
        <f>IF(AND(O22="R",P22="NO"),J22*S22*Q22/100,"--")</f>
        <v>--</v>
      </c>
      <c r="Y22" s="404" t="str">
        <f>IF(O22="R",J22*S22*ROUND(N22/60,2)*Q22/100,"--")</f>
        <v>--</v>
      </c>
      <c r="Z22" s="405" t="str">
        <f>IF(O22="RF",J22*S22*ROUND(N22/60,2),"--")</f>
        <v>--</v>
      </c>
      <c r="AA22" s="436" t="str">
        <f>IF(O22="RR",J22*S22*ROUND(N22/60,2)*Q22/100,"--")</f>
        <v>--</v>
      </c>
      <c r="AB22" s="320" t="s">
        <v>133</v>
      </c>
      <c r="AC22" s="401">
        <f aca="true" t="shared" si="5" ref="AC22:AC41">IF(F22="","",SUM(T22:AA22)*IF(AB22="SI",1,2))</f>
        <v>86.25096</v>
      </c>
      <c r="AD22" s="133"/>
    </row>
    <row r="23" spans="2:30" ht="16.5" customHeight="1">
      <c r="B23" s="294"/>
      <c r="C23" s="175">
        <v>7</v>
      </c>
      <c r="D23" s="175">
        <v>295642</v>
      </c>
      <c r="E23" s="175">
        <v>2738</v>
      </c>
      <c r="F23" s="399" t="s">
        <v>138</v>
      </c>
      <c r="G23" s="399" t="s">
        <v>141</v>
      </c>
      <c r="H23" s="399">
        <v>30</v>
      </c>
      <c r="I23" s="399" t="s">
        <v>140</v>
      </c>
      <c r="J23" s="182">
        <f aca="true" t="shared" si="6" ref="J23:J41">H23*$I$16</f>
        <v>52.56</v>
      </c>
      <c r="K23" s="183">
        <v>42341.32777777778</v>
      </c>
      <c r="L23" s="183">
        <v>42341.50763888889</v>
      </c>
      <c r="M23" s="184">
        <f t="shared" si="0"/>
        <v>4.31666666676756</v>
      </c>
      <c r="N23" s="185">
        <f t="shared" si="1"/>
        <v>259</v>
      </c>
      <c r="O23" s="186" t="s">
        <v>132</v>
      </c>
      <c r="P23" s="186" t="str">
        <f t="shared" si="2"/>
        <v>--</v>
      </c>
      <c r="Q23" s="186" t="s">
        <v>134</v>
      </c>
      <c r="R23" s="397" t="s">
        <v>167</v>
      </c>
      <c r="S23" s="392">
        <f aca="true" t="shared" si="7" ref="S23:S41">$I$17*IF(R23="SI",1,0.1)*IF(OR(O23="P",O23="RP"),0.1,1)</f>
        <v>0.30000000000000004</v>
      </c>
      <c r="T23" s="402">
        <f t="shared" si="3"/>
        <v>68.11776000000002</v>
      </c>
      <c r="U23" s="427" t="str">
        <f t="shared" si="4"/>
        <v>--</v>
      </c>
      <c r="V23" s="420" t="str">
        <f aca="true" t="shared" si="8" ref="V23:V41">IF(AND(O23="F",P23="NO"),J23*S23,"--")</f>
        <v>--</v>
      </c>
      <c r="W23" s="421" t="str">
        <f aca="true" t="shared" si="9" ref="W23:W41">IF(O23="F",J23*S23*ROUND(N23/60,2),"--")</f>
        <v>--</v>
      </c>
      <c r="X23" s="403" t="str">
        <f aca="true" t="shared" si="10" ref="X23:X41">IF(AND(O23="R",P23="NO"),J23*S23*Q23/100,"--")</f>
        <v>--</v>
      </c>
      <c r="Y23" s="404" t="str">
        <f aca="true" t="shared" si="11" ref="Y23:Y41">IF(O23="R",J23*S23*ROUND(N23/60,2)*Q23/100,"--")</f>
        <v>--</v>
      </c>
      <c r="Z23" s="405" t="str">
        <f aca="true" t="shared" si="12" ref="Z23:Z41">IF(O23="RF",J23*S23*ROUND(N23/60,2),"--")</f>
        <v>--</v>
      </c>
      <c r="AA23" s="436" t="str">
        <f aca="true" t="shared" si="13" ref="AA23:AA41">IF(O23="RR",J23*S23*ROUND(N23/60,2)*Q23/100,"--")</f>
        <v>--</v>
      </c>
      <c r="AB23" s="320" t="s">
        <v>133</v>
      </c>
      <c r="AC23" s="401">
        <f t="shared" si="5"/>
        <v>68.11776000000002</v>
      </c>
      <c r="AD23" s="133"/>
    </row>
    <row r="24" spans="2:30" ht="16.5" customHeight="1">
      <c r="B24" s="294"/>
      <c r="C24" s="175">
        <v>8</v>
      </c>
      <c r="D24" s="175">
        <v>295655</v>
      </c>
      <c r="E24" s="175">
        <v>176</v>
      </c>
      <c r="F24" s="399" t="s">
        <v>142</v>
      </c>
      <c r="G24" s="399" t="s">
        <v>143</v>
      </c>
      <c r="H24" s="399">
        <v>30</v>
      </c>
      <c r="I24" s="399" t="s">
        <v>140</v>
      </c>
      <c r="J24" s="182">
        <f t="shared" si="6"/>
        <v>52.56</v>
      </c>
      <c r="K24" s="183">
        <v>42341.35625</v>
      </c>
      <c r="L24" s="183">
        <v>42341.544444444444</v>
      </c>
      <c r="M24" s="184">
        <f t="shared" si="0"/>
        <v>4.516666666720994</v>
      </c>
      <c r="N24" s="185">
        <f t="shared" si="1"/>
        <v>271</v>
      </c>
      <c r="O24" s="186" t="s">
        <v>132</v>
      </c>
      <c r="P24" s="186" t="str">
        <f t="shared" si="2"/>
        <v>--</v>
      </c>
      <c r="Q24" s="186" t="s">
        <v>134</v>
      </c>
      <c r="R24" s="397" t="s">
        <v>167</v>
      </c>
      <c r="S24" s="392">
        <f t="shared" si="7"/>
        <v>0.30000000000000004</v>
      </c>
      <c r="T24" s="402">
        <f t="shared" si="3"/>
        <v>71.27136</v>
      </c>
      <c r="U24" s="427" t="str">
        <f t="shared" si="4"/>
        <v>--</v>
      </c>
      <c r="V24" s="420" t="str">
        <f t="shared" si="8"/>
        <v>--</v>
      </c>
      <c r="W24" s="421" t="str">
        <f t="shared" si="9"/>
        <v>--</v>
      </c>
      <c r="X24" s="403" t="str">
        <f t="shared" si="10"/>
        <v>--</v>
      </c>
      <c r="Y24" s="404" t="str">
        <f t="shared" si="11"/>
        <v>--</v>
      </c>
      <c r="Z24" s="405" t="str">
        <f t="shared" si="12"/>
        <v>--</v>
      </c>
      <c r="AA24" s="436" t="str">
        <f t="shared" si="13"/>
        <v>--</v>
      </c>
      <c r="AB24" s="320" t="s">
        <v>133</v>
      </c>
      <c r="AC24" s="401">
        <f t="shared" si="5"/>
        <v>71.27136</v>
      </c>
      <c r="AD24" s="133"/>
    </row>
    <row r="25" spans="2:30" ht="16.5" customHeight="1">
      <c r="B25" s="294"/>
      <c r="C25" s="175">
        <v>9</v>
      </c>
      <c r="D25" s="175">
        <v>295643</v>
      </c>
      <c r="E25" s="175">
        <v>189</v>
      </c>
      <c r="F25" s="399" t="s">
        <v>138</v>
      </c>
      <c r="G25" s="399" t="s">
        <v>144</v>
      </c>
      <c r="H25" s="399">
        <v>15</v>
      </c>
      <c r="I25" s="399" t="s">
        <v>140</v>
      </c>
      <c r="J25" s="182">
        <f t="shared" si="6"/>
        <v>26.28</v>
      </c>
      <c r="K25" s="183">
        <v>42341.50902777778</v>
      </c>
      <c r="L25" s="183">
        <v>42341.53680555556</v>
      </c>
      <c r="M25" s="184">
        <f t="shared" si="0"/>
        <v>0.6666666667442769</v>
      </c>
      <c r="N25" s="185">
        <f t="shared" si="1"/>
        <v>40</v>
      </c>
      <c r="O25" s="186" t="s">
        <v>145</v>
      </c>
      <c r="P25" s="186" t="str">
        <f t="shared" si="2"/>
        <v>NO</v>
      </c>
      <c r="Q25" s="186" t="s">
        <v>134</v>
      </c>
      <c r="R25" s="397" t="s">
        <v>167</v>
      </c>
      <c r="S25" s="392">
        <f t="shared" si="7"/>
        <v>3</v>
      </c>
      <c r="T25" s="402" t="str">
        <f t="shared" si="3"/>
        <v>--</v>
      </c>
      <c r="U25" s="427" t="str">
        <f t="shared" si="4"/>
        <v>--</v>
      </c>
      <c r="V25" s="420">
        <f t="shared" si="8"/>
        <v>78.84</v>
      </c>
      <c r="W25" s="421">
        <f t="shared" si="9"/>
        <v>52.82280000000001</v>
      </c>
      <c r="X25" s="403" t="str">
        <f t="shared" si="10"/>
        <v>--</v>
      </c>
      <c r="Y25" s="404" t="str">
        <f t="shared" si="11"/>
        <v>--</v>
      </c>
      <c r="Z25" s="405" t="str">
        <f t="shared" si="12"/>
        <v>--</v>
      </c>
      <c r="AA25" s="436" t="str">
        <f t="shared" si="13"/>
        <v>--</v>
      </c>
      <c r="AB25" s="320" t="s">
        <v>133</v>
      </c>
      <c r="AC25" s="401">
        <f t="shared" si="5"/>
        <v>131.6628</v>
      </c>
      <c r="AD25" s="133"/>
    </row>
    <row r="26" spans="2:30" ht="16.5" customHeight="1">
      <c r="B26" s="294"/>
      <c r="C26" s="175">
        <v>10</v>
      </c>
      <c r="D26" s="439">
        <v>295644</v>
      </c>
      <c r="E26" s="439">
        <v>190</v>
      </c>
      <c r="F26" s="400" t="s">
        <v>138</v>
      </c>
      <c r="G26" s="179" t="s">
        <v>143</v>
      </c>
      <c r="H26" s="179">
        <v>15</v>
      </c>
      <c r="I26" s="462" t="s">
        <v>140</v>
      </c>
      <c r="J26" s="182">
        <f t="shared" si="6"/>
        <v>26.28</v>
      </c>
      <c r="K26" s="183">
        <v>42341.50902777778</v>
      </c>
      <c r="L26" s="183">
        <v>42341.53680555556</v>
      </c>
      <c r="M26" s="184">
        <f t="shared" si="0"/>
        <v>0.6666666667442769</v>
      </c>
      <c r="N26" s="185">
        <f t="shared" si="1"/>
        <v>40</v>
      </c>
      <c r="O26" s="186" t="s">
        <v>145</v>
      </c>
      <c r="P26" s="186" t="str">
        <f t="shared" si="2"/>
        <v>NO</v>
      </c>
      <c r="Q26" s="186" t="s">
        <v>134</v>
      </c>
      <c r="R26" s="397" t="s">
        <v>167</v>
      </c>
      <c r="S26" s="392">
        <f t="shared" si="7"/>
        <v>3</v>
      </c>
      <c r="T26" s="402" t="str">
        <f t="shared" si="3"/>
        <v>--</v>
      </c>
      <c r="U26" s="427" t="str">
        <f t="shared" si="4"/>
        <v>--</v>
      </c>
      <c r="V26" s="420">
        <f t="shared" si="8"/>
        <v>78.84</v>
      </c>
      <c r="W26" s="421">
        <f t="shared" si="9"/>
        <v>52.82280000000001</v>
      </c>
      <c r="X26" s="403" t="str">
        <f t="shared" si="10"/>
        <v>--</v>
      </c>
      <c r="Y26" s="404" t="str">
        <f t="shared" si="11"/>
        <v>--</v>
      </c>
      <c r="Z26" s="405" t="str">
        <f t="shared" si="12"/>
        <v>--</v>
      </c>
      <c r="AA26" s="436" t="str">
        <f t="shared" si="13"/>
        <v>--</v>
      </c>
      <c r="AB26" s="320" t="s">
        <v>133</v>
      </c>
      <c r="AC26" s="401">
        <f t="shared" si="5"/>
        <v>131.6628</v>
      </c>
      <c r="AD26" s="133"/>
    </row>
    <row r="27" spans="2:30" ht="16.5" customHeight="1">
      <c r="B27" s="294"/>
      <c r="C27" s="175">
        <v>11</v>
      </c>
      <c r="D27" s="440">
        <v>295645</v>
      </c>
      <c r="E27" s="440">
        <v>2637</v>
      </c>
      <c r="F27" s="178" t="s">
        <v>138</v>
      </c>
      <c r="G27" s="179" t="s">
        <v>139</v>
      </c>
      <c r="H27" s="179">
        <v>30</v>
      </c>
      <c r="I27" s="463" t="s">
        <v>140</v>
      </c>
      <c r="J27" s="182">
        <f t="shared" si="6"/>
        <v>52.56</v>
      </c>
      <c r="K27" s="183">
        <v>42341.50902777778</v>
      </c>
      <c r="L27" s="183">
        <v>42341.53680555556</v>
      </c>
      <c r="M27" s="184">
        <f t="shared" si="0"/>
        <v>0.6666666667442769</v>
      </c>
      <c r="N27" s="185">
        <f t="shared" si="1"/>
        <v>40</v>
      </c>
      <c r="O27" s="186" t="s">
        <v>145</v>
      </c>
      <c r="P27" s="186" t="str">
        <f t="shared" si="2"/>
        <v>NO</v>
      </c>
      <c r="Q27" s="186" t="s">
        <v>134</v>
      </c>
      <c r="R27" s="397" t="s">
        <v>167</v>
      </c>
      <c r="S27" s="392">
        <f t="shared" si="7"/>
        <v>3</v>
      </c>
      <c r="T27" s="402" t="str">
        <f t="shared" si="3"/>
        <v>--</v>
      </c>
      <c r="U27" s="427" t="str">
        <f t="shared" si="4"/>
        <v>--</v>
      </c>
      <c r="V27" s="420">
        <f t="shared" si="8"/>
        <v>157.68</v>
      </c>
      <c r="W27" s="421">
        <f t="shared" si="9"/>
        <v>105.64560000000002</v>
      </c>
      <c r="X27" s="403" t="str">
        <f t="shared" si="10"/>
        <v>--</v>
      </c>
      <c r="Y27" s="404" t="str">
        <f t="shared" si="11"/>
        <v>--</v>
      </c>
      <c r="Z27" s="405" t="str">
        <f t="shared" si="12"/>
        <v>--</v>
      </c>
      <c r="AA27" s="436" t="str">
        <f t="shared" si="13"/>
        <v>--</v>
      </c>
      <c r="AB27" s="320" t="s">
        <v>133</v>
      </c>
      <c r="AC27" s="401">
        <f t="shared" si="5"/>
        <v>263.3256</v>
      </c>
      <c r="AD27" s="133"/>
    </row>
    <row r="28" spans="2:30" ht="16.5" customHeight="1">
      <c r="B28" s="294"/>
      <c r="C28" s="175">
        <v>12</v>
      </c>
      <c r="D28" s="440">
        <v>295646</v>
      </c>
      <c r="E28" s="440">
        <v>2738</v>
      </c>
      <c r="F28" s="178" t="s">
        <v>138</v>
      </c>
      <c r="G28" s="179" t="s">
        <v>141</v>
      </c>
      <c r="H28" s="179">
        <v>30</v>
      </c>
      <c r="I28" s="463" t="s">
        <v>140</v>
      </c>
      <c r="J28" s="182">
        <f t="shared" si="6"/>
        <v>52.56</v>
      </c>
      <c r="K28" s="183">
        <v>42341.50902777778</v>
      </c>
      <c r="L28" s="183">
        <v>42343.592361111114</v>
      </c>
      <c r="M28" s="184">
        <f t="shared" si="0"/>
        <v>50.00000000005821</v>
      </c>
      <c r="N28" s="185">
        <f t="shared" si="1"/>
        <v>3000</v>
      </c>
      <c r="O28" s="186" t="s">
        <v>145</v>
      </c>
      <c r="P28" s="186" t="str">
        <f t="shared" si="2"/>
        <v>NO</v>
      </c>
      <c r="Q28" s="186" t="s">
        <v>134</v>
      </c>
      <c r="R28" s="397" t="s">
        <v>167</v>
      </c>
      <c r="S28" s="392">
        <f t="shared" si="7"/>
        <v>3</v>
      </c>
      <c r="T28" s="402" t="str">
        <f t="shared" si="3"/>
        <v>--</v>
      </c>
      <c r="U28" s="427" t="str">
        <f t="shared" si="4"/>
        <v>--</v>
      </c>
      <c r="V28" s="420">
        <f t="shared" si="8"/>
        <v>157.68</v>
      </c>
      <c r="W28" s="421">
        <f t="shared" si="9"/>
        <v>7884</v>
      </c>
      <c r="X28" s="403" t="str">
        <f t="shared" si="10"/>
        <v>--</v>
      </c>
      <c r="Y28" s="404" t="str">
        <f t="shared" si="11"/>
        <v>--</v>
      </c>
      <c r="Z28" s="405" t="str">
        <f t="shared" si="12"/>
        <v>--</v>
      </c>
      <c r="AA28" s="436" t="str">
        <f t="shared" si="13"/>
        <v>--</v>
      </c>
      <c r="AB28" s="320" t="s">
        <v>133</v>
      </c>
      <c r="AC28" s="401">
        <f t="shared" si="5"/>
        <v>8041.68</v>
      </c>
      <c r="AD28" s="133"/>
    </row>
    <row r="29" spans="2:30" ht="16.5" customHeight="1">
      <c r="B29" s="294"/>
      <c r="C29" s="175">
        <v>13</v>
      </c>
      <c r="D29" s="440">
        <v>295636</v>
      </c>
      <c r="E29" s="440">
        <v>186</v>
      </c>
      <c r="F29" s="178" t="s">
        <v>146</v>
      </c>
      <c r="G29" s="179" t="s">
        <v>147</v>
      </c>
      <c r="H29" s="191">
        <v>15</v>
      </c>
      <c r="I29" s="464" t="s">
        <v>140</v>
      </c>
      <c r="J29" s="182">
        <f t="shared" si="6"/>
        <v>26.28</v>
      </c>
      <c r="K29" s="183">
        <v>42351.33819444444</v>
      </c>
      <c r="L29" s="183">
        <v>42351.62152777778</v>
      </c>
      <c r="M29" s="184">
        <f t="shared" si="0"/>
        <v>6.8000000001629815</v>
      </c>
      <c r="N29" s="185">
        <f t="shared" si="1"/>
        <v>408</v>
      </c>
      <c r="O29" s="186" t="s">
        <v>132</v>
      </c>
      <c r="P29" s="186" t="str">
        <f t="shared" si="2"/>
        <v>--</v>
      </c>
      <c r="Q29" s="186" t="s">
        <v>134</v>
      </c>
      <c r="R29" s="397" t="s">
        <v>167</v>
      </c>
      <c r="S29" s="392">
        <f t="shared" si="7"/>
        <v>0.30000000000000004</v>
      </c>
      <c r="T29" s="402">
        <f t="shared" si="3"/>
        <v>53.611200000000004</v>
      </c>
      <c r="U29" s="427" t="str">
        <f t="shared" si="4"/>
        <v>--</v>
      </c>
      <c r="V29" s="420" t="str">
        <f t="shared" si="8"/>
        <v>--</v>
      </c>
      <c r="W29" s="421" t="str">
        <f t="shared" si="9"/>
        <v>--</v>
      </c>
      <c r="X29" s="403" t="str">
        <f t="shared" si="10"/>
        <v>--</v>
      </c>
      <c r="Y29" s="404" t="str">
        <f t="shared" si="11"/>
        <v>--</v>
      </c>
      <c r="Z29" s="405" t="str">
        <f t="shared" si="12"/>
        <v>--</v>
      </c>
      <c r="AA29" s="436" t="str">
        <f t="shared" si="13"/>
        <v>--</v>
      </c>
      <c r="AB29" s="320" t="s">
        <v>133</v>
      </c>
      <c r="AC29" s="401">
        <f t="shared" si="5"/>
        <v>53.611200000000004</v>
      </c>
      <c r="AD29" s="133"/>
    </row>
    <row r="30" spans="2:30" ht="16.5" customHeight="1">
      <c r="B30" s="294"/>
      <c r="C30" s="175">
        <v>14</v>
      </c>
      <c r="D30" s="440">
        <v>296287</v>
      </c>
      <c r="E30" s="440">
        <v>175</v>
      </c>
      <c r="F30" s="178" t="s">
        <v>142</v>
      </c>
      <c r="G30" s="179" t="s">
        <v>144</v>
      </c>
      <c r="H30" s="191">
        <v>30</v>
      </c>
      <c r="I30" s="464" t="s">
        <v>140</v>
      </c>
      <c r="J30" s="182">
        <f t="shared" si="6"/>
        <v>52.56</v>
      </c>
      <c r="K30" s="183">
        <v>42361.425</v>
      </c>
      <c r="L30" s="183">
        <v>42361.478472222225</v>
      </c>
      <c r="M30" s="184">
        <f t="shared" si="0"/>
        <v>1.2833333333255723</v>
      </c>
      <c r="N30" s="185">
        <f t="shared" si="1"/>
        <v>77</v>
      </c>
      <c r="O30" s="186" t="s">
        <v>132</v>
      </c>
      <c r="P30" s="186" t="str">
        <f t="shared" si="2"/>
        <v>--</v>
      </c>
      <c r="Q30" s="186" t="s">
        <v>134</v>
      </c>
      <c r="R30" s="397" t="s">
        <v>167</v>
      </c>
      <c r="S30" s="392">
        <f t="shared" si="7"/>
        <v>0.30000000000000004</v>
      </c>
      <c r="T30" s="402">
        <f t="shared" si="3"/>
        <v>20.183040000000002</v>
      </c>
      <c r="U30" s="427" t="str">
        <f t="shared" si="4"/>
        <v>--</v>
      </c>
      <c r="V30" s="420" t="str">
        <f t="shared" si="8"/>
        <v>--</v>
      </c>
      <c r="W30" s="421" t="str">
        <f t="shared" si="9"/>
        <v>--</v>
      </c>
      <c r="X30" s="403" t="str">
        <f t="shared" si="10"/>
        <v>--</v>
      </c>
      <c r="Y30" s="404" t="str">
        <f t="shared" si="11"/>
        <v>--</v>
      </c>
      <c r="Z30" s="405" t="str">
        <f t="shared" si="12"/>
        <v>--</v>
      </c>
      <c r="AA30" s="436" t="str">
        <f t="shared" si="13"/>
        <v>--</v>
      </c>
      <c r="AB30" s="320" t="s">
        <v>133</v>
      </c>
      <c r="AC30" s="401">
        <f t="shared" si="5"/>
        <v>20.183040000000002</v>
      </c>
      <c r="AD30" s="133"/>
    </row>
    <row r="31" spans="2:30" ht="16.5" customHeight="1">
      <c r="B31" s="294"/>
      <c r="C31" s="175">
        <v>15</v>
      </c>
      <c r="D31" s="440">
        <v>296286</v>
      </c>
      <c r="E31" s="440">
        <v>176</v>
      </c>
      <c r="F31" s="178" t="s">
        <v>142</v>
      </c>
      <c r="G31" s="179" t="s">
        <v>143</v>
      </c>
      <c r="H31" s="191">
        <v>30</v>
      </c>
      <c r="I31" s="464" t="s">
        <v>140</v>
      </c>
      <c r="J31" s="182">
        <f t="shared" si="6"/>
        <v>52.56</v>
      </c>
      <c r="K31" s="183">
        <v>42361.472916666666</v>
      </c>
      <c r="L31" s="183">
        <v>42361.50347222222</v>
      </c>
      <c r="M31" s="184">
        <f t="shared" si="0"/>
        <v>0.7333333332790062</v>
      </c>
      <c r="N31" s="185">
        <f t="shared" si="1"/>
        <v>44</v>
      </c>
      <c r="O31" s="186" t="s">
        <v>132</v>
      </c>
      <c r="P31" s="186" t="str">
        <f t="shared" si="2"/>
        <v>--</v>
      </c>
      <c r="Q31" s="186" t="s">
        <v>134</v>
      </c>
      <c r="R31" s="397" t="s">
        <v>167</v>
      </c>
      <c r="S31" s="392">
        <f t="shared" si="7"/>
        <v>0.30000000000000004</v>
      </c>
      <c r="T31" s="402">
        <f t="shared" si="3"/>
        <v>11.510640000000002</v>
      </c>
      <c r="U31" s="427" t="str">
        <f t="shared" si="4"/>
        <v>--</v>
      </c>
      <c r="V31" s="420" t="str">
        <f t="shared" si="8"/>
        <v>--</v>
      </c>
      <c r="W31" s="421" t="str">
        <f t="shared" si="9"/>
        <v>--</v>
      </c>
      <c r="X31" s="403" t="str">
        <f t="shared" si="10"/>
        <v>--</v>
      </c>
      <c r="Y31" s="404" t="str">
        <f t="shared" si="11"/>
        <v>--</v>
      </c>
      <c r="Z31" s="405" t="str">
        <f t="shared" si="12"/>
        <v>--</v>
      </c>
      <c r="AA31" s="436" t="str">
        <f t="shared" si="13"/>
        <v>--</v>
      </c>
      <c r="AB31" s="320" t="s">
        <v>133</v>
      </c>
      <c r="AC31" s="401">
        <f t="shared" si="5"/>
        <v>11.510640000000002</v>
      </c>
      <c r="AD31" s="133"/>
    </row>
    <row r="32" spans="2:30" ht="16.5" customHeight="1">
      <c r="B32" s="294"/>
      <c r="C32" s="175">
        <v>16</v>
      </c>
      <c r="D32" s="440">
        <v>296289</v>
      </c>
      <c r="E32" s="440">
        <v>196</v>
      </c>
      <c r="F32" s="178" t="s">
        <v>148</v>
      </c>
      <c r="G32" s="179" t="s">
        <v>149</v>
      </c>
      <c r="H32" s="191">
        <v>15</v>
      </c>
      <c r="I32" s="464" t="s">
        <v>140</v>
      </c>
      <c r="J32" s="182">
        <f t="shared" si="6"/>
        <v>26.28</v>
      </c>
      <c r="K32" s="183">
        <v>42364.27916666667</v>
      </c>
      <c r="L32" s="183">
        <v>42364.49791666667</v>
      </c>
      <c r="M32" s="184">
        <f t="shared" si="0"/>
        <v>5.25</v>
      </c>
      <c r="N32" s="185">
        <f t="shared" si="1"/>
        <v>315</v>
      </c>
      <c r="O32" s="186" t="s">
        <v>145</v>
      </c>
      <c r="P32" s="186" t="str">
        <f t="shared" si="2"/>
        <v>NO</v>
      </c>
      <c r="Q32" s="186" t="s">
        <v>134</v>
      </c>
      <c r="R32" s="397" t="s">
        <v>133</v>
      </c>
      <c r="S32" s="392">
        <f t="shared" si="7"/>
        <v>30</v>
      </c>
      <c r="T32" s="402" t="str">
        <f t="shared" si="3"/>
        <v>--</v>
      </c>
      <c r="U32" s="427" t="str">
        <f t="shared" si="4"/>
        <v>--</v>
      </c>
      <c r="V32" s="420">
        <f t="shared" si="8"/>
        <v>788.4000000000001</v>
      </c>
      <c r="W32" s="421">
        <f t="shared" si="9"/>
        <v>4139.1</v>
      </c>
      <c r="X32" s="403" t="str">
        <f t="shared" si="10"/>
        <v>--</v>
      </c>
      <c r="Y32" s="404" t="str">
        <f t="shared" si="11"/>
        <v>--</v>
      </c>
      <c r="Z32" s="405" t="str">
        <f t="shared" si="12"/>
        <v>--</v>
      </c>
      <c r="AA32" s="436" t="str">
        <f t="shared" si="13"/>
        <v>--</v>
      </c>
      <c r="AB32" s="320" t="s">
        <v>133</v>
      </c>
      <c r="AC32" s="401">
        <f t="shared" si="5"/>
        <v>4927.5</v>
      </c>
      <c r="AD32" s="133"/>
    </row>
    <row r="33" spans="2:30" ht="16.5" customHeight="1">
      <c r="B33" s="294"/>
      <c r="C33" s="175"/>
      <c r="D33" s="440"/>
      <c r="E33" s="440"/>
      <c r="F33" s="178"/>
      <c r="G33" s="179"/>
      <c r="H33" s="191"/>
      <c r="I33" s="192"/>
      <c r="J33" s="182">
        <f t="shared" si="6"/>
        <v>0</v>
      </c>
      <c r="K33" s="183"/>
      <c r="L33" s="183"/>
      <c r="M33" s="184">
        <f t="shared" si="0"/>
      </c>
      <c r="N33" s="185">
        <f t="shared" si="1"/>
      </c>
      <c r="O33" s="186"/>
      <c r="P33" s="186">
        <f t="shared" si="2"/>
      </c>
      <c r="Q33" s="187">
        <f aca="true" t="shared" si="14" ref="Q33:Q41">IF(F33="","","--")</f>
      </c>
      <c r="R33" s="397"/>
      <c r="S33" s="392">
        <f t="shared" si="7"/>
        <v>3</v>
      </c>
      <c r="T33" s="402" t="str">
        <f t="shared" si="3"/>
        <v>--</v>
      </c>
      <c r="U33" s="427" t="str">
        <f t="shared" si="4"/>
        <v>--</v>
      </c>
      <c r="V33" s="420" t="str">
        <f t="shared" si="8"/>
        <v>--</v>
      </c>
      <c r="W33" s="421" t="str">
        <f t="shared" si="9"/>
        <v>--</v>
      </c>
      <c r="X33" s="403" t="str">
        <f t="shared" si="10"/>
        <v>--</v>
      </c>
      <c r="Y33" s="404" t="str">
        <f t="shared" si="11"/>
        <v>--</v>
      </c>
      <c r="Z33" s="405" t="str">
        <f t="shared" si="12"/>
        <v>--</v>
      </c>
      <c r="AA33" s="436" t="str">
        <f t="shared" si="13"/>
        <v>--</v>
      </c>
      <c r="AB33" s="320">
        <f aca="true" t="shared" si="15" ref="AB33:AB41">IF(F33="","","SI")</f>
      </c>
      <c r="AC33" s="401">
        <f t="shared" si="5"/>
      </c>
      <c r="AD33" s="133"/>
    </row>
    <row r="34" spans="2:30" ht="16.5" customHeight="1">
      <c r="B34" s="294"/>
      <c r="C34" s="175"/>
      <c r="D34" s="440"/>
      <c r="E34" s="440"/>
      <c r="F34" s="178"/>
      <c r="G34" s="179"/>
      <c r="H34" s="191"/>
      <c r="I34" s="192"/>
      <c r="J34" s="182">
        <f t="shared" si="6"/>
        <v>0</v>
      </c>
      <c r="K34" s="183"/>
      <c r="L34" s="183"/>
      <c r="M34" s="184">
        <f t="shared" si="0"/>
      </c>
      <c r="N34" s="185">
        <f t="shared" si="1"/>
      </c>
      <c r="O34" s="186"/>
      <c r="P34" s="186">
        <f t="shared" si="2"/>
      </c>
      <c r="Q34" s="187">
        <f t="shared" si="14"/>
      </c>
      <c r="R34" s="397"/>
      <c r="S34" s="392">
        <f t="shared" si="7"/>
        <v>3</v>
      </c>
      <c r="T34" s="402" t="str">
        <f t="shared" si="3"/>
        <v>--</v>
      </c>
      <c r="U34" s="427" t="str">
        <f t="shared" si="4"/>
        <v>--</v>
      </c>
      <c r="V34" s="420" t="str">
        <f t="shared" si="8"/>
        <v>--</v>
      </c>
      <c r="W34" s="421" t="str">
        <f t="shared" si="9"/>
        <v>--</v>
      </c>
      <c r="X34" s="403" t="str">
        <f t="shared" si="10"/>
        <v>--</v>
      </c>
      <c r="Y34" s="404" t="str">
        <f t="shared" si="11"/>
        <v>--</v>
      </c>
      <c r="Z34" s="405" t="str">
        <f t="shared" si="12"/>
        <v>--</v>
      </c>
      <c r="AA34" s="436" t="str">
        <f t="shared" si="13"/>
        <v>--</v>
      </c>
      <c r="AB34" s="320">
        <f t="shared" si="15"/>
      </c>
      <c r="AC34" s="401">
        <f t="shared" si="5"/>
      </c>
      <c r="AD34" s="133"/>
    </row>
    <row r="35" spans="2:30" ht="16.5" customHeight="1">
      <c r="B35" s="294"/>
      <c r="C35" s="175"/>
      <c r="D35" s="440"/>
      <c r="E35" s="440"/>
      <c r="F35" s="178"/>
      <c r="G35" s="179"/>
      <c r="H35" s="191"/>
      <c r="I35" s="192"/>
      <c r="J35" s="182">
        <f t="shared" si="6"/>
        <v>0</v>
      </c>
      <c r="K35" s="183"/>
      <c r="L35" s="183"/>
      <c r="M35" s="184">
        <f t="shared" si="0"/>
      </c>
      <c r="N35" s="185">
        <f t="shared" si="1"/>
      </c>
      <c r="O35" s="186"/>
      <c r="P35" s="186">
        <f t="shared" si="2"/>
      </c>
      <c r="Q35" s="187">
        <f t="shared" si="14"/>
      </c>
      <c r="R35" s="397"/>
      <c r="S35" s="392">
        <f t="shared" si="7"/>
        <v>3</v>
      </c>
      <c r="T35" s="402" t="str">
        <f t="shared" si="3"/>
        <v>--</v>
      </c>
      <c r="U35" s="427" t="str">
        <f t="shared" si="4"/>
        <v>--</v>
      </c>
      <c r="V35" s="420" t="str">
        <f t="shared" si="8"/>
        <v>--</v>
      </c>
      <c r="W35" s="421" t="str">
        <f t="shared" si="9"/>
        <v>--</v>
      </c>
      <c r="X35" s="403" t="str">
        <f t="shared" si="10"/>
        <v>--</v>
      </c>
      <c r="Y35" s="404" t="str">
        <f t="shared" si="11"/>
        <v>--</v>
      </c>
      <c r="Z35" s="405" t="str">
        <f t="shared" si="12"/>
        <v>--</v>
      </c>
      <c r="AA35" s="436" t="str">
        <f t="shared" si="13"/>
        <v>--</v>
      </c>
      <c r="AB35" s="320">
        <f t="shared" si="15"/>
      </c>
      <c r="AC35" s="401">
        <f t="shared" si="5"/>
      </c>
      <c r="AD35" s="133"/>
    </row>
    <row r="36" spans="2:30" ht="16.5" customHeight="1">
      <c r="B36" s="294"/>
      <c r="C36" s="175"/>
      <c r="D36" s="440"/>
      <c r="E36" s="440"/>
      <c r="F36" s="178"/>
      <c r="G36" s="179"/>
      <c r="H36" s="191"/>
      <c r="I36" s="192"/>
      <c r="J36" s="182">
        <f t="shared" si="6"/>
        <v>0</v>
      </c>
      <c r="K36" s="183"/>
      <c r="L36" s="183"/>
      <c r="M36" s="184">
        <f t="shared" si="0"/>
      </c>
      <c r="N36" s="185">
        <f t="shared" si="1"/>
      </c>
      <c r="O36" s="186"/>
      <c r="P36" s="186">
        <f t="shared" si="2"/>
      </c>
      <c r="Q36" s="187">
        <f t="shared" si="14"/>
      </c>
      <c r="R36" s="397"/>
      <c r="S36" s="392">
        <f t="shared" si="7"/>
        <v>3</v>
      </c>
      <c r="T36" s="402" t="str">
        <f t="shared" si="3"/>
        <v>--</v>
      </c>
      <c r="U36" s="427" t="str">
        <f t="shared" si="4"/>
        <v>--</v>
      </c>
      <c r="V36" s="420" t="str">
        <f t="shared" si="8"/>
        <v>--</v>
      </c>
      <c r="W36" s="421" t="str">
        <f t="shared" si="9"/>
        <v>--</v>
      </c>
      <c r="X36" s="403" t="str">
        <f t="shared" si="10"/>
        <v>--</v>
      </c>
      <c r="Y36" s="404" t="str">
        <f t="shared" si="11"/>
        <v>--</v>
      </c>
      <c r="Z36" s="405" t="str">
        <f t="shared" si="12"/>
        <v>--</v>
      </c>
      <c r="AA36" s="436" t="str">
        <f t="shared" si="13"/>
        <v>--</v>
      </c>
      <c r="AB36" s="320">
        <f t="shared" si="15"/>
      </c>
      <c r="AC36" s="401">
        <f t="shared" si="5"/>
      </c>
      <c r="AD36" s="133"/>
    </row>
    <row r="37" spans="2:30" ht="16.5" customHeight="1">
      <c r="B37" s="294"/>
      <c r="C37" s="175"/>
      <c r="D37" s="440"/>
      <c r="E37" s="440"/>
      <c r="F37" s="178"/>
      <c r="G37" s="179"/>
      <c r="H37" s="191"/>
      <c r="I37" s="192"/>
      <c r="J37" s="182">
        <f t="shared" si="6"/>
        <v>0</v>
      </c>
      <c r="K37" s="183"/>
      <c r="L37" s="183"/>
      <c r="M37" s="184">
        <f t="shared" si="0"/>
      </c>
      <c r="N37" s="185">
        <f t="shared" si="1"/>
      </c>
      <c r="O37" s="186"/>
      <c r="P37" s="186">
        <f t="shared" si="2"/>
      </c>
      <c r="Q37" s="187">
        <f t="shared" si="14"/>
      </c>
      <c r="R37" s="397"/>
      <c r="S37" s="392">
        <f t="shared" si="7"/>
        <v>3</v>
      </c>
      <c r="T37" s="402" t="str">
        <f t="shared" si="3"/>
        <v>--</v>
      </c>
      <c r="U37" s="427" t="str">
        <f t="shared" si="4"/>
        <v>--</v>
      </c>
      <c r="V37" s="420" t="str">
        <f t="shared" si="8"/>
        <v>--</v>
      </c>
      <c r="W37" s="421" t="str">
        <f t="shared" si="9"/>
        <v>--</v>
      </c>
      <c r="X37" s="403" t="str">
        <f t="shared" si="10"/>
        <v>--</v>
      </c>
      <c r="Y37" s="404" t="str">
        <f t="shared" si="11"/>
        <v>--</v>
      </c>
      <c r="Z37" s="405" t="str">
        <f t="shared" si="12"/>
        <v>--</v>
      </c>
      <c r="AA37" s="436" t="str">
        <f t="shared" si="13"/>
        <v>--</v>
      </c>
      <c r="AB37" s="320">
        <f t="shared" si="15"/>
      </c>
      <c r="AC37" s="401">
        <f t="shared" si="5"/>
      </c>
      <c r="AD37" s="133"/>
    </row>
    <row r="38" spans="2:30" ht="16.5" customHeight="1">
      <c r="B38" s="294"/>
      <c r="C38" s="175"/>
      <c r="D38" s="440"/>
      <c r="E38" s="440"/>
      <c r="F38" s="178"/>
      <c r="G38" s="179"/>
      <c r="H38" s="191"/>
      <c r="I38" s="192"/>
      <c r="J38" s="182">
        <f t="shared" si="6"/>
        <v>0</v>
      </c>
      <c r="K38" s="183"/>
      <c r="L38" s="183"/>
      <c r="M38" s="184">
        <f t="shared" si="0"/>
      </c>
      <c r="N38" s="185">
        <f t="shared" si="1"/>
      </c>
      <c r="O38" s="186"/>
      <c r="P38" s="186">
        <f t="shared" si="2"/>
      </c>
      <c r="Q38" s="187">
        <f t="shared" si="14"/>
      </c>
      <c r="R38" s="397"/>
      <c r="S38" s="392">
        <f t="shared" si="7"/>
        <v>3</v>
      </c>
      <c r="T38" s="402" t="str">
        <f t="shared" si="3"/>
        <v>--</v>
      </c>
      <c r="U38" s="427" t="str">
        <f t="shared" si="4"/>
        <v>--</v>
      </c>
      <c r="V38" s="420" t="str">
        <f t="shared" si="8"/>
        <v>--</v>
      </c>
      <c r="W38" s="421" t="str">
        <f t="shared" si="9"/>
        <v>--</v>
      </c>
      <c r="X38" s="403" t="str">
        <f t="shared" si="10"/>
        <v>--</v>
      </c>
      <c r="Y38" s="404" t="str">
        <f t="shared" si="11"/>
        <v>--</v>
      </c>
      <c r="Z38" s="405" t="str">
        <f t="shared" si="12"/>
        <v>--</v>
      </c>
      <c r="AA38" s="436" t="str">
        <f t="shared" si="13"/>
        <v>--</v>
      </c>
      <c r="AB38" s="320">
        <f t="shared" si="15"/>
      </c>
      <c r="AC38" s="401">
        <f t="shared" si="5"/>
      </c>
      <c r="AD38" s="133"/>
    </row>
    <row r="39" spans="2:30" ht="16.5" customHeight="1">
      <c r="B39" s="294"/>
      <c r="C39" s="175"/>
      <c r="D39" s="440"/>
      <c r="E39" s="440"/>
      <c r="F39" s="178"/>
      <c r="G39" s="179"/>
      <c r="H39" s="180"/>
      <c r="I39" s="181"/>
      <c r="J39" s="182">
        <f t="shared" si="6"/>
        <v>0</v>
      </c>
      <c r="K39" s="183"/>
      <c r="L39" s="183"/>
      <c r="M39" s="184">
        <f t="shared" si="0"/>
      </c>
      <c r="N39" s="185">
        <f t="shared" si="1"/>
      </c>
      <c r="O39" s="186"/>
      <c r="P39" s="186">
        <f t="shared" si="2"/>
      </c>
      <c r="Q39" s="187">
        <f t="shared" si="14"/>
      </c>
      <c r="R39" s="397"/>
      <c r="S39" s="392">
        <f t="shared" si="7"/>
        <v>3</v>
      </c>
      <c r="T39" s="402" t="str">
        <f t="shared" si="3"/>
        <v>--</v>
      </c>
      <c r="U39" s="427" t="str">
        <f t="shared" si="4"/>
        <v>--</v>
      </c>
      <c r="V39" s="420" t="str">
        <f t="shared" si="8"/>
        <v>--</v>
      </c>
      <c r="W39" s="421" t="str">
        <f t="shared" si="9"/>
        <v>--</v>
      </c>
      <c r="X39" s="403" t="str">
        <f t="shared" si="10"/>
        <v>--</v>
      </c>
      <c r="Y39" s="404" t="str">
        <f t="shared" si="11"/>
        <v>--</v>
      </c>
      <c r="Z39" s="405" t="str">
        <f t="shared" si="12"/>
        <v>--</v>
      </c>
      <c r="AA39" s="436" t="str">
        <f t="shared" si="13"/>
        <v>--</v>
      </c>
      <c r="AB39" s="320">
        <f t="shared" si="15"/>
      </c>
      <c r="AC39" s="401">
        <f t="shared" si="5"/>
      </c>
      <c r="AD39" s="133"/>
    </row>
    <row r="40" spans="2:30" ht="16.5" customHeight="1">
      <c r="B40" s="294"/>
      <c r="C40" s="175"/>
      <c r="D40" s="440"/>
      <c r="E40" s="440"/>
      <c r="F40" s="178"/>
      <c r="G40" s="179"/>
      <c r="H40" s="188"/>
      <c r="I40" s="181"/>
      <c r="J40" s="182">
        <f t="shared" si="6"/>
        <v>0</v>
      </c>
      <c r="K40" s="183"/>
      <c r="L40" s="183"/>
      <c r="M40" s="184">
        <f t="shared" si="0"/>
      </c>
      <c r="N40" s="185">
        <f t="shared" si="1"/>
      </c>
      <c r="O40" s="186"/>
      <c r="P40" s="186">
        <f t="shared" si="2"/>
      </c>
      <c r="Q40" s="187">
        <f t="shared" si="14"/>
      </c>
      <c r="R40" s="397"/>
      <c r="S40" s="392">
        <f t="shared" si="7"/>
        <v>3</v>
      </c>
      <c r="T40" s="402" t="str">
        <f t="shared" si="3"/>
        <v>--</v>
      </c>
      <c r="U40" s="427" t="str">
        <f t="shared" si="4"/>
        <v>--</v>
      </c>
      <c r="V40" s="420" t="str">
        <f t="shared" si="8"/>
        <v>--</v>
      </c>
      <c r="W40" s="421" t="str">
        <f t="shared" si="9"/>
        <v>--</v>
      </c>
      <c r="X40" s="403" t="str">
        <f t="shared" si="10"/>
        <v>--</v>
      </c>
      <c r="Y40" s="404" t="str">
        <f t="shared" si="11"/>
        <v>--</v>
      </c>
      <c r="Z40" s="405" t="str">
        <f t="shared" si="12"/>
        <v>--</v>
      </c>
      <c r="AA40" s="436" t="str">
        <f t="shared" si="13"/>
        <v>--</v>
      </c>
      <c r="AB40" s="320">
        <f t="shared" si="15"/>
      </c>
      <c r="AC40" s="401">
        <f t="shared" si="5"/>
      </c>
      <c r="AD40" s="133"/>
    </row>
    <row r="41" spans="2:30" ht="16.5" customHeight="1">
      <c r="B41" s="294"/>
      <c r="C41" s="175"/>
      <c r="D41" s="440"/>
      <c r="E41" s="440"/>
      <c r="F41" s="178"/>
      <c r="G41" s="179"/>
      <c r="H41" s="189"/>
      <c r="I41" s="181"/>
      <c r="J41" s="182">
        <f t="shared" si="6"/>
        <v>0</v>
      </c>
      <c r="K41" s="183"/>
      <c r="L41" s="183"/>
      <c r="M41" s="184">
        <f t="shared" si="0"/>
      </c>
      <c r="N41" s="185">
        <f t="shared" si="1"/>
      </c>
      <c r="O41" s="186"/>
      <c r="P41" s="186">
        <f t="shared" si="2"/>
      </c>
      <c r="Q41" s="187">
        <f t="shared" si="14"/>
      </c>
      <c r="R41" s="397"/>
      <c r="S41" s="392">
        <f t="shared" si="7"/>
        <v>3</v>
      </c>
      <c r="T41" s="402" t="str">
        <f>IF(O41="P",J41*S41*ROUND(N41/60,2),"--")</f>
        <v>--</v>
      </c>
      <c r="U41" s="427" t="str">
        <f t="shared" si="4"/>
        <v>--</v>
      </c>
      <c r="V41" s="420" t="str">
        <f t="shared" si="8"/>
        <v>--</v>
      </c>
      <c r="W41" s="421" t="str">
        <f t="shared" si="9"/>
        <v>--</v>
      </c>
      <c r="X41" s="403" t="str">
        <f t="shared" si="10"/>
        <v>--</v>
      </c>
      <c r="Y41" s="404" t="str">
        <f t="shared" si="11"/>
        <v>--</v>
      </c>
      <c r="Z41" s="405" t="str">
        <f t="shared" si="12"/>
        <v>--</v>
      </c>
      <c r="AA41" s="436" t="str">
        <f t="shared" si="13"/>
        <v>--</v>
      </c>
      <c r="AB41" s="320">
        <f t="shared" si="15"/>
      </c>
      <c r="AC41" s="401">
        <f t="shared" si="5"/>
      </c>
      <c r="AD41" s="133"/>
    </row>
    <row r="42" spans="2:30" ht="16.5" customHeight="1" thickBot="1">
      <c r="B42" s="294"/>
      <c r="C42" s="193"/>
      <c r="D42" s="193"/>
      <c r="E42" s="193"/>
      <c r="F42" s="194"/>
      <c r="G42" s="195"/>
      <c r="H42" s="194"/>
      <c r="I42" s="196"/>
      <c r="J42" s="197"/>
      <c r="K42" s="198"/>
      <c r="L42" s="198"/>
      <c r="M42" s="199"/>
      <c r="N42" s="199"/>
      <c r="O42" s="198"/>
      <c r="P42" s="198"/>
      <c r="Q42" s="200"/>
      <c r="R42" s="398"/>
      <c r="S42" s="393"/>
      <c r="T42" s="432"/>
      <c r="U42" s="428"/>
      <c r="V42" s="422"/>
      <c r="W42" s="423"/>
      <c r="X42" s="412"/>
      <c r="Y42" s="413"/>
      <c r="Z42" s="201"/>
      <c r="AA42" s="437"/>
      <c r="AB42" s="199"/>
      <c r="AC42" s="321"/>
      <c r="AD42" s="133"/>
    </row>
    <row r="43" spans="2:30" ht="16.5" customHeight="1" thickBot="1" thickTop="1">
      <c r="B43" s="294"/>
      <c r="C43" s="264" t="s">
        <v>69</v>
      </c>
      <c r="D43" s="465" t="s">
        <v>168</v>
      </c>
      <c r="E43" s="438"/>
      <c r="F43" s="144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322">
        <f>ROUND(SUM(AC20:AC42),2)</f>
        <v>13806.78</v>
      </c>
      <c r="AD43" s="133"/>
    </row>
    <row r="44" spans="2:30" s="152" customFormat="1" ht="9.75" thickTop="1">
      <c r="B44" s="323"/>
      <c r="C44" s="266"/>
      <c r="D44" s="266"/>
      <c r="E44" s="266"/>
      <c r="F44" s="15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5"/>
      <c r="AD44" s="155"/>
    </row>
    <row r="45" spans="2:30" ht="16.5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W16381"/>
  <sheetViews>
    <sheetView zoomScale="85" zoomScaleNormal="85" zoomScalePageLayoutView="0" workbookViewId="0" topLeftCell="A7">
      <selection activeCell="N3" sqref="N3"/>
    </sheetView>
  </sheetViews>
  <sheetFormatPr defaultColWidth="11.421875" defaultRowHeight="12.75"/>
  <cols>
    <col min="1" max="2" width="4.140625" style="76" customWidth="1"/>
    <col min="3" max="3" width="5.57421875" style="76" customWidth="1"/>
    <col min="4" max="5" width="13.7109375" style="76" customWidth="1"/>
    <col min="6" max="6" width="30.7109375" style="76" customWidth="1"/>
    <col min="7" max="7" width="35.7109375" style="76" customWidth="1"/>
    <col min="8" max="8" width="8.7109375" style="76" customWidth="1"/>
    <col min="9" max="9" width="14.421875" style="76" hidden="1" customWidth="1"/>
    <col min="10" max="11" width="15.7109375" style="76" customWidth="1"/>
    <col min="12" max="14" width="9.7109375" style="76" customWidth="1"/>
    <col min="15" max="15" width="6.00390625" style="76" customWidth="1"/>
    <col min="16" max="16" width="7.7109375" style="76" hidden="1" customWidth="1"/>
    <col min="17" max="17" width="12.28125" style="76" hidden="1" customWidth="1"/>
    <col min="18" max="18" width="13.8515625" style="76" hidden="1" customWidth="1"/>
    <col min="19" max="20" width="14.00390625" style="76" hidden="1" customWidth="1"/>
    <col min="21" max="21" width="9.7109375" style="76" customWidth="1"/>
    <col min="22" max="22" width="15.7109375" style="76" customWidth="1"/>
    <col min="23" max="23" width="4.140625" style="76" customWidth="1"/>
    <col min="24" max="24" width="11.57421875" style="76" customWidth="1"/>
    <col min="25" max="16384" width="11.421875" style="76" customWidth="1"/>
  </cols>
  <sheetData>
    <row r="1" spans="2:23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226"/>
    </row>
    <row r="2" spans="2:23" s="73" customFormat="1" ht="26.25">
      <c r="B2" s="227" t="str">
        <f>+'TOT-1215'!B2</f>
        <v>ANEXO III  al  Memorandum D.T.E.E.  N°  687/ 2016</v>
      </c>
      <c r="C2" s="329"/>
      <c r="D2" s="329"/>
      <c r="E2" s="329"/>
      <c r="F2" s="329"/>
      <c r="G2" s="75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75"/>
    </row>
    <row r="3" spans="2:22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s="78" customFormat="1" ht="11.25">
      <c r="B4" s="228"/>
      <c r="C4" s="330"/>
      <c r="D4" s="10" t="s">
        <v>2</v>
      </c>
      <c r="E4" s="330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</row>
    <row r="5" spans="2:22" s="78" customFormat="1" ht="11.25">
      <c r="B5" s="228"/>
      <c r="C5" s="330"/>
      <c r="D5" s="10" t="s">
        <v>3</v>
      </c>
      <c r="E5" s="330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</row>
    <row r="6" spans="2:22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2:23" ht="13.5" thickTop="1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81"/>
    </row>
    <row r="8" spans="2:23" s="291" customFormat="1" ht="20.25">
      <c r="B8" s="292"/>
      <c r="C8" s="162"/>
      <c r="D8" s="162"/>
      <c r="E8" s="162"/>
      <c r="F8" s="84" t="s">
        <v>73</v>
      </c>
      <c r="N8" s="332"/>
      <c r="O8" s="332"/>
      <c r="P8" s="332"/>
      <c r="Q8" s="162"/>
      <c r="R8" s="162"/>
      <c r="S8" s="162"/>
      <c r="T8" s="162"/>
      <c r="U8" s="162"/>
      <c r="V8" s="162"/>
      <c r="W8" s="333"/>
    </row>
    <row r="9" spans="2:23" ht="12.75">
      <c r="B9" s="294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85"/>
    </row>
    <row r="10" spans="2:23" s="291" customFormat="1" ht="20.25">
      <c r="B10" s="292"/>
      <c r="C10" s="162"/>
      <c r="D10" s="162"/>
      <c r="E10" s="162"/>
      <c r="F10" s="86" t="s">
        <v>49</v>
      </c>
      <c r="G10" s="202"/>
      <c r="H10" s="332"/>
      <c r="I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333"/>
    </row>
    <row r="11" spans="2:23" ht="12.75">
      <c r="B11" s="294"/>
      <c r="C11" s="163"/>
      <c r="D11" s="163"/>
      <c r="E11" s="163"/>
      <c r="F11" s="77"/>
      <c r="G11" s="77"/>
      <c r="H11" s="77"/>
      <c r="I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85"/>
    </row>
    <row r="12" spans="2:23" s="88" customFormat="1" ht="19.5">
      <c r="B12" s="298" t="str">
        <f>+'TOT-1215'!B14</f>
        <v>Desde el 01 al 31 de diciembre de 2015</v>
      </c>
      <c r="C12" s="299"/>
      <c r="D12" s="299"/>
      <c r="E12" s="299"/>
      <c r="F12" s="300"/>
      <c r="G12" s="300"/>
      <c r="H12" s="300"/>
      <c r="I12" s="334"/>
      <c r="J12" s="90"/>
      <c r="K12" s="334"/>
      <c r="L12" s="334"/>
      <c r="M12" s="334"/>
      <c r="N12" s="300"/>
      <c r="O12" s="300"/>
      <c r="P12" s="300"/>
      <c r="Q12" s="300"/>
      <c r="R12" s="300"/>
      <c r="S12" s="300"/>
      <c r="T12" s="300"/>
      <c r="U12" s="300"/>
      <c r="V12" s="300"/>
      <c r="W12" s="92"/>
    </row>
    <row r="13" spans="2:23" ht="16.5" thickBot="1">
      <c r="B13" s="294"/>
      <c r="C13" s="163"/>
      <c r="D13" s="163"/>
      <c r="E13" s="163"/>
      <c r="F13" s="163"/>
      <c r="G13" s="163"/>
      <c r="H13" s="205"/>
      <c r="I13" s="77"/>
      <c r="J13" s="302"/>
      <c r="K13" s="77"/>
      <c r="L13" s="77"/>
      <c r="M13" s="77"/>
      <c r="N13" s="163"/>
      <c r="O13" s="163"/>
      <c r="P13" s="163"/>
      <c r="Q13" s="163"/>
      <c r="R13" s="163"/>
      <c r="S13" s="163"/>
      <c r="T13" s="163"/>
      <c r="U13" s="163"/>
      <c r="V13" s="163"/>
      <c r="W13" s="85"/>
    </row>
    <row r="14" spans="2:23" ht="16.5" customHeight="1" thickBot="1" thickTop="1">
      <c r="B14" s="294"/>
      <c r="C14" s="303"/>
      <c r="D14" s="303"/>
      <c r="E14" s="303"/>
      <c r="F14" s="203" t="s">
        <v>50</v>
      </c>
      <c r="G14" s="204">
        <v>23.195</v>
      </c>
      <c r="H14" s="305">
        <f>50*'TOT-1215'!B13</f>
        <v>50</v>
      </c>
      <c r="I14" s="335"/>
      <c r="J14" s="100" t="str">
        <f>IF(H14=50," ",IF(H14=100,"  Coeficiente duplicado por tasa de falla &gt;4 Sal. x año/100 km.","REVISAR COEFICIENTE"))</f>
        <v> </v>
      </c>
      <c r="K14" s="335"/>
      <c r="L14" s="335"/>
      <c r="M14" s="335"/>
      <c r="N14" s="335"/>
      <c r="O14" s="335"/>
      <c r="P14" s="335"/>
      <c r="Q14" s="335"/>
      <c r="R14" s="335"/>
      <c r="S14" s="303"/>
      <c r="T14" s="303"/>
      <c r="U14" s="336"/>
      <c r="V14" s="303"/>
      <c r="W14" s="85"/>
    </row>
    <row r="15" spans="2:23" ht="16.5" customHeight="1" thickBot="1" thickTop="1">
      <c r="B15" s="294"/>
      <c r="C15" s="303"/>
      <c r="D15" s="303"/>
      <c r="E15" s="303"/>
      <c r="F15" s="203" t="s">
        <v>51</v>
      </c>
      <c r="G15" s="204">
        <v>17.396</v>
      </c>
      <c r="H15" s="305">
        <f>25*'TOT-1215'!B13</f>
        <v>25</v>
      </c>
      <c r="I15" s="335"/>
      <c r="J15" s="100" t="str">
        <f>IF(H15=25," ",IF(H15=50,"  Coeficiente duplicado por tasa de falla &gt;4 Sal. x año/100 km.","REVISAR COEFICIENTE"))</f>
        <v> </v>
      </c>
      <c r="K15" s="335"/>
      <c r="L15" s="335"/>
      <c r="M15" s="335"/>
      <c r="N15" s="335"/>
      <c r="O15" s="303"/>
      <c r="P15" s="303"/>
      <c r="Q15" s="337"/>
      <c r="R15" s="168"/>
      <c r="S15" s="303"/>
      <c r="T15" s="303"/>
      <c r="U15" s="336"/>
      <c r="V15" s="303"/>
      <c r="W15" s="85"/>
    </row>
    <row r="16" spans="2:23" ht="16.5" customHeight="1" thickBot="1" thickTop="1">
      <c r="B16" s="294"/>
      <c r="C16" s="303"/>
      <c r="D16" s="303"/>
      <c r="E16" s="303"/>
      <c r="F16" s="203" t="s">
        <v>52</v>
      </c>
      <c r="G16" s="338">
        <v>17.396</v>
      </c>
      <c r="H16" s="305">
        <f>20*'TOT-1215'!B13</f>
        <v>20</v>
      </c>
      <c r="I16" s="335"/>
      <c r="J16" s="100" t="str">
        <f>IF(H16=20," ",IF(H16=40,"  Coeficiente duplicado por tasa de falla &gt;4 Sal. x año/100 km.","REVISAR COEFICIENTE"))</f>
        <v> </v>
      </c>
      <c r="K16" s="335"/>
      <c r="L16" s="335"/>
      <c r="M16" s="335"/>
      <c r="N16" s="335"/>
      <c r="O16" s="303"/>
      <c r="P16" s="303"/>
      <c r="Q16" s="337"/>
      <c r="R16" s="168"/>
      <c r="S16" s="303"/>
      <c r="T16" s="303"/>
      <c r="U16" s="336"/>
      <c r="V16" s="303"/>
      <c r="W16" s="85"/>
    </row>
    <row r="17" spans="2:23" ht="16.5" customHeight="1" thickBot="1" thickTop="1">
      <c r="B17" s="294"/>
      <c r="C17" s="459">
        <v>3</v>
      </c>
      <c r="D17" s="459">
        <v>4</v>
      </c>
      <c r="E17" s="459">
        <v>5</v>
      </c>
      <c r="F17" s="459">
        <v>6</v>
      </c>
      <c r="G17" s="459">
        <v>7</v>
      </c>
      <c r="H17" s="459">
        <v>8</v>
      </c>
      <c r="I17" s="459">
        <v>9</v>
      </c>
      <c r="J17" s="459">
        <v>10</v>
      </c>
      <c r="K17" s="459">
        <v>11</v>
      </c>
      <c r="L17" s="459">
        <v>12</v>
      </c>
      <c r="M17" s="459">
        <v>13</v>
      </c>
      <c r="N17" s="459">
        <v>14</v>
      </c>
      <c r="O17" s="459">
        <v>15</v>
      </c>
      <c r="P17" s="459">
        <v>16</v>
      </c>
      <c r="Q17" s="459">
        <v>17</v>
      </c>
      <c r="R17" s="459">
        <v>18</v>
      </c>
      <c r="S17" s="459">
        <v>19</v>
      </c>
      <c r="T17" s="459">
        <v>20</v>
      </c>
      <c r="U17" s="459">
        <v>21</v>
      </c>
      <c r="V17" s="459">
        <v>22</v>
      </c>
      <c r="W17" s="85"/>
    </row>
    <row r="18" spans="2:23" s="160" customFormat="1" ht="34.5" customHeight="1" thickBot="1" thickTop="1">
      <c r="B18" s="339"/>
      <c r="C18" s="443" t="s">
        <v>15</v>
      </c>
      <c r="D18" s="443" t="s">
        <v>74</v>
      </c>
      <c r="E18" s="443" t="s">
        <v>75</v>
      </c>
      <c r="F18" s="169" t="s">
        <v>53</v>
      </c>
      <c r="G18" s="206" t="s">
        <v>39</v>
      </c>
      <c r="H18" s="207" t="s">
        <v>16</v>
      </c>
      <c r="I18" s="208" t="s">
        <v>18</v>
      </c>
      <c r="J18" s="170" t="s">
        <v>19</v>
      </c>
      <c r="K18" s="206" t="s">
        <v>20</v>
      </c>
      <c r="L18" s="209" t="s">
        <v>42</v>
      </c>
      <c r="M18" s="209" t="s">
        <v>43</v>
      </c>
      <c r="N18" s="110" t="s">
        <v>68</v>
      </c>
      <c r="O18" s="170" t="s">
        <v>24</v>
      </c>
      <c r="P18" s="210" t="s">
        <v>54</v>
      </c>
      <c r="Q18" s="340" t="s">
        <v>25</v>
      </c>
      <c r="R18" s="341" t="s">
        <v>55</v>
      </c>
      <c r="S18" s="342"/>
      <c r="T18" s="343" t="s">
        <v>46</v>
      </c>
      <c r="U18" s="209" t="s">
        <v>31</v>
      </c>
      <c r="V18" s="169" t="s">
        <v>32</v>
      </c>
      <c r="W18" s="344"/>
    </row>
    <row r="19" spans="2:23" ht="16.5" customHeight="1" thickTop="1">
      <c r="B19" s="345"/>
      <c r="C19" s="346"/>
      <c r="D19" s="441"/>
      <c r="E19" s="441"/>
      <c r="F19" s="314"/>
      <c r="G19" s="347"/>
      <c r="H19" s="348"/>
      <c r="I19" s="349"/>
      <c r="J19" s="314"/>
      <c r="K19" s="314"/>
      <c r="L19" s="314"/>
      <c r="M19" s="314"/>
      <c r="N19" s="314"/>
      <c r="O19" s="314"/>
      <c r="P19" s="350"/>
      <c r="Q19" s="351"/>
      <c r="R19" s="352"/>
      <c r="S19" s="353"/>
      <c r="T19" s="354"/>
      <c r="U19" s="347"/>
      <c r="V19" s="247"/>
      <c r="W19" s="85"/>
    </row>
    <row r="20" spans="2:23" ht="16.5" customHeight="1">
      <c r="B20" s="345"/>
      <c r="C20" s="355"/>
      <c r="D20" s="442"/>
      <c r="E20" s="442"/>
      <c r="F20" s="356"/>
      <c r="G20" s="356"/>
      <c r="H20" s="318"/>
      <c r="I20" s="357"/>
      <c r="J20" s="318"/>
      <c r="K20" s="358"/>
      <c r="L20" s="317"/>
      <c r="M20" s="359"/>
      <c r="N20" s="360"/>
      <c r="O20" s="318"/>
      <c r="P20" s="361"/>
      <c r="Q20" s="362"/>
      <c r="R20" s="363"/>
      <c r="S20" s="364"/>
      <c r="T20" s="365"/>
      <c r="U20" s="317"/>
      <c r="V20" s="317"/>
      <c r="W20" s="85"/>
    </row>
    <row r="21" spans="2:23" ht="16.5" customHeight="1">
      <c r="B21" s="345"/>
      <c r="C21" s="211">
        <v>17</v>
      </c>
      <c r="D21" s="442">
        <v>295641</v>
      </c>
      <c r="E21" s="442">
        <v>3466</v>
      </c>
      <c r="F21" s="190" t="s">
        <v>150</v>
      </c>
      <c r="G21" s="179" t="s">
        <v>151</v>
      </c>
      <c r="H21" s="179">
        <v>33</v>
      </c>
      <c r="I21" s="366">
        <f>IF(OR(H21=132,H21=66),$G$14,IF(H21=33,$G$15,$G$16))</f>
        <v>17.396</v>
      </c>
      <c r="J21" s="212">
        <v>42340.31805555556</v>
      </c>
      <c r="K21" s="212">
        <v>42340.493055555555</v>
      </c>
      <c r="L21" s="213">
        <f aca="true" t="shared" si="0" ref="L21:L40">IF(J21="","",(K21-J21)*24)</f>
        <v>4.199999999895226</v>
      </c>
      <c r="M21" s="214">
        <f aca="true" t="shared" si="1" ref="M21:M40">IF(K21="","",ROUND((K21-J21)*24*60,0))</f>
        <v>252</v>
      </c>
      <c r="N21" s="215" t="s">
        <v>132</v>
      </c>
      <c r="O21" s="216" t="str">
        <f>IF(N21="","",IF(OR(N21="P",N21="RP"),"--","NO"))</f>
        <v>--</v>
      </c>
      <c r="P21" s="367">
        <f aca="true" t="shared" si="2" ref="P21:P40">IF(OR(H21=132,H21=66),$H$14,IF(H21=33,$H$15,$H$16))</f>
        <v>25</v>
      </c>
      <c r="Q21" s="368">
        <f aca="true" t="shared" si="3" ref="Q21:Q40">IF(N21="P",I21*P21*0.1*ROUND(M21/60,2),"--")</f>
        <v>182.65800000000004</v>
      </c>
      <c r="R21" s="369" t="str">
        <f aca="true" t="shared" si="4" ref="R21:R40">IF(O21="NO",IF(N21="F",I21*P21,"--"),"--")</f>
        <v>--</v>
      </c>
      <c r="S21" s="370" t="str">
        <f aca="true" t="shared" si="5" ref="S21:S40">IF(N21="F",I21*P21*ROUND(M21/60,2),"--")</f>
        <v>--</v>
      </c>
      <c r="T21" s="371" t="str">
        <f aca="true" t="shared" si="6" ref="T21:T40">IF(N21="RF",I21*P21*ROUND(M21/60,2),"--")</f>
        <v>--</v>
      </c>
      <c r="U21" s="372" t="s">
        <v>133</v>
      </c>
      <c r="V21" s="373">
        <f aca="true" t="shared" si="7" ref="V21:V40">IF(F21="","",IF(H21="500/220",0,IF(U21="SI",SUM(Q21:T21),2*SUM(Q21:T21))))</f>
        <v>182.65800000000004</v>
      </c>
      <c r="W21" s="133"/>
    </row>
    <row r="22" spans="2:23" ht="16.5" customHeight="1">
      <c r="B22" s="345"/>
      <c r="C22" s="211">
        <v>18</v>
      </c>
      <c r="D22" s="442">
        <v>295647</v>
      </c>
      <c r="E22" s="442">
        <v>3465</v>
      </c>
      <c r="F22" s="190" t="s">
        <v>150</v>
      </c>
      <c r="G22" s="179" t="s">
        <v>152</v>
      </c>
      <c r="H22" s="179">
        <v>33</v>
      </c>
      <c r="I22" s="366">
        <f aca="true" t="shared" si="8" ref="I22:I40">IF(OR(H22=132,H22=66),$G$14,IF(H22=33,$G$15,$G$16))</f>
        <v>17.396</v>
      </c>
      <c r="J22" s="212">
        <v>42341.529861111114</v>
      </c>
      <c r="K22" s="212">
        <v>42341.53958333333</v>
      </c>
      <c r="L22" s="213">
        <f t="shared" si="0"/>
        <v>0.23333333322079852</v>
      </c>
      <c r="M22" s="214">
        <f t="shared" si="1"/>
        <v>14</v>
      </c>
      <c r="N22" s="215" t="s">
        <v>145</v>
      </c>
      <c r="O22" s="216" t="str">
        <f aca="true" t="shared" si="9" ref="O22:O40">IF(N22="","",IF(OR(N22="P",N22="RP"),"--","NO"))</f>
        <v>NO</v>
      </c>
      <c r="P22" s="367">
        <f t="shared" si="2"/>
        <v>25</v>
      </c>
      <c r="Q22" s="368" t="str">
        <f t="shared" si="3"/>
        <v>--</v>
      </c>
      <c r="R22" s="369">
        <f t="shared" si="4"/>
        <v>434.90000000000003</v>
      </c>
      <c r="S22" s="370">
        <f t="shared" si="5"/>
        <v>100.02700000000002</v>
      </c>
      <c r="T22" s="371" t="str">
        <f t="shared" si="6"/>
        <v>--</v>
      </c>
      <c r="U22" s="372" t="s">
        <v>133</v>
      </c>
      <c r="V22" s="373">
        <f t="shared" si="7"/>
        <v>534.927</v>
      </c>
      <c r="W22" s="133"/>
    </row>
    <row r="23" spans="2:23" ht="16.5" customHeight="1">
      <c r="B23" s="345"/>
      <c r="C23" s="211">
        <v>19</v>
      </c>
      <c r="D23" s="442">
        <v>295648</v>
      </c>
      <c r="E23" s="442">
        <v>1600</v>
      </c>
      <c r="F23" s="190" t="s">
        <v>150</v>
      </c>
      <c r="G23" s="179" t="s">
        <v>153</v>
      </c>
      <c r="H23" s="179">
        <v>33</v>
      </c>
      <c r="I23" s="366">
        <f t="shared" si="8"/>
        <v>17.396</v>
      </c>
      <c r="J23" s="212">
        <v>42341.53055555555</v>
      </c>
      <c r="K23" s="212">
        <v>42341.54027777778</v>
      </c>
      <c r="L23" s="213">
        <f t="shared" si="0"/>
        <v>0.2333333333954215</v>
      </c>
      <c r="M23" s="214">
        <f t="shared" si="1"/>
        <v>14</v>
      </c>
      <c r="N23" s="215" t="s">
        <v>145</v>
      </c>
      <c r="O23" s="216" t="str">
        <f t="shared" si="9"/>
        <v>NO</v>
      </c>
      <c r="P23" s="367">
        <f t="shared" si="2"/>
        <v>25</v>
      </c>
      <c r="Q23" s="368" t="str">
        <f t="shared" si="3"/>
        <v>--</v>
      </c>
      <c r="R23" s="369">
        <f t="shared" si="4"/>
        <v>434.90000000000003</v>
      </c>
      <c r="S23" s="370">
        <f t="shared" si="5"/>
        <v>100.02700000000002</v>
      </c>
      <c r="T23" s="371" t="str">
        <f t="shared" si="6"/>
        <v>--</v>
      </c>
      <c r="U23" s="372" t="s">
        <v>133</v>
      </c>
      <c r="V23" s="373">
        <f t="shared" si="7"/>
        <v>534.927</v>
      </c>
      <c r="W23" s="133"/>
    </row>
    <row r="24" spans="2:23" ht="16.5" customHeight="1">
      <c r="B24" s="339"/>
      <c r="C24" s="211">
        <v>20</v>
      </c>
      <c r="D24" s="442">
        <v>295649</v>
      </c>
      <c r="E24" s="442">
        <v>3466</v>
      </c>
      <c r="F24" s="190" t="s">
        <v>150</v>
      </c>
      <c r="G24" s="179" t="s">
        <v>151</v>
      </c>
      <c r="H24" s="179">
        <v>33</v>
      </c>
      <c r="I24" s="366">
        <f t="shared" si="8"/>
        <v>17.396</v>
      </c>
      <c r="J24" s="212">
        <v>42341.53055555555</v>
      </c>
      <c r="K24" s="212">
        <v>42341.54027777778</v>
      </c>
      <c r="L24" s="213">
        <f t="shared" si="0"/>
        <v>0.2333333333954215</v>
      </c>
      <c r="M24" s="214">
        <f t="shared" si="1"/>
        <v>14</v>
      </c>
      <c r="N24" s="215" t="s">
        <v>145</v>
      </c>
      <c r="O24" s="216" t="str">
        <f t="shared" si="9"/>
        <v>NO</v>
      </c>
      <c r="P24" s="367">
        <f t="shared" si="2"/>
        <v>25</v>
      </c>
      <c r="Q24" s="368" t="str">
        <f t="shared" si="3"/>
        <v>--</v>
      </c>
      <c r="R24" s="369">
        <f t="shared" si="4"/>
        <v>434.90000000000003</v>
      </c>
      <c r="S24" s="370">
        <f t="shared" si="5"/>
        <v>100.02700000000002</v>
      </c>
      <c r="T24" s="371" t="str">
        <f t="shared" si="6"/>
        <v>--</v>
      </c>
      <c r="U24" s="372" t="s">
        <v>133</v>
      </c>
      <c r="V24" s="373">
        <f t="shared" si="7"/>
        <v>534.927</v>
      </c>
      <c r="W24" s="133"/>
    </row>
    <row r="25" spans="2:23" ht="16.5" customHeight="1">
      <c r="B25" s="345"/>
      <c r="C25" s="211">
        <v>21</v>
      </c>
      <c r="D25" s="442">
        <v>295650</v>
      </c>
      <c r="E25" s="442">
        <v>243</v>
      </c>
      <c r="F25" s="190" t="s">
        <v>150</v>
      </c>
      <c r="G25" s="179" t="s">
        <v>154</v>
      </c>
      <c r="H25" s="179">
        <v>33</v>
      </c>
      <c r="I25" s="366">
        <f t="shared" si="8"/>
        <v>17.396</v>
      </c>
      <c r="J25" s="212">
        <v>42341.53125</v>
      </c>
      <c r="K25" s="212">
        <v>42341.55347222222</v>
      </c>
      <c r="L25" s="213">
        <f t="shared" si="0"/>
        <v>0.5333333333255723</v>
      </c>
      <c r="M25" s="214">
        <f t="shared" si="1"/>
        <v>32</v>
      </c>
      <c r="N25" s="215" t="s">
        <v>145</v>
      </c>
      <c r="O25" s="216" t="str">
        <f t="shared" si="9"/>
        <v>NO</v>
      </c>
      <c r="P25" s="367">
        <f t="shared" si="2"/>
        <v>25</v>
      </c>
      <c r="Q25" s="368" t="str">
        <f t="shared" si="3"/>
        <v>--</v>
      </c>
      <c r="R25" s="369">
        <f t="shared" si="4"/>
        <v>434.90000000000003</v>
      </c>
      <c r="S25" s="370">
        <f t="shared" si="5"/>
        <v>230.49700000000004</v>
      </c>
      <c r="T25" s="371" t="str">
        <f t="shared" si="6"/>
        <v>--</v>
      </c>
      <c r="U25" s="372" t="s">
        <v>133</v>
      </c>
      <c r="V25" s="373">
        <f t="shared" si="7"/>
        <v>665.397</v>
      </c>
      <c r="W25" s="133"/>
    </row>
    <row r="26" spans="2:23" ht="16.5" customHeight="1">
      <c r="B26" s="345"/>
      <c r="C26" s="211">
        <v>22</v>
      </c>
      <c r="D26" s="442">
        <v>295651</v>
      </c>
      <c r="E26" s="442">
        <v>245</v>
      </c>
      <c r="F26" s="190" t="s">
        <v>150</v>
      </c>
      <c r="G26" s="179" t="s">
        <v>155</v>
      </c>
      <c r="H26" s="179">
        <v>33</v>
      </c>
      <c r="I26" s="366">
        <f t="shared" si="8"/>
        <v>17.396</v>
      </c>
      <c r="J26" s="212">
        <v>42341.53125</v>
      </c>
      <c r="K26" s="212">
        <v>42341.5625</v>
      </c>
      <c r="L26" s="213">
        <f t="shared" si="0"/>
        <v>0.75</v>
      </c>
      <c r="M26" s="214">
        <f t="shared" si="1"/>
        <v>45</v>
      </c>
      <c r="N26" s="215" t="s">
        <v>145</v>
      </c>
      <c r="O26" s="216" t="str">
        <f t="shared" si="9"/>
        <v>NO</v>
      </c>
      <c r="P26" s="367">
        <f t="shared" si="2"/>
        <v>25</v>
      </c>
      <c r="Q26" s="368" t="str">
        <f t="shared" si="3"/>
        <v>--</v>
      </c>
      <c r="R26" s="369">
        <f t="shared" si="4"/>
        <v>434.90000000000003</v>
      </c>
      <c r="S26" s="370">
        <f t="shared" si="5"/>
        <v>326.175</v>
      </c>
      <c r="T26" s="371" t="str">
        <f t="shared" si="6"/>
        <v>--</v>
      </c>
      <c r="U26" s="372" t="s">
        <v>133</v>
      </c>
      <c r="V26" s="373">
        <f t="shared" si="7"/>
        <v>761.075</v>
      </c>
      <c r="W26" s="133"/>
    </row>
    <row r="27" spans="2:23" ht="16.5" customHeight="1">
      <c r="B27" s="345"/>
      <c r="C27" s="211">
        <v>23</v>
      </c>
      <c r="D27" s="442">
        <v>295652</v>
      </c>
      <c r="E27" s="442">
        <v>244</v>
      </c>
      <c r="F27" s="190" t="s">
        <v>150</v>
      </c>
      <c r="G27" s="179" t="s">
        <v>156</v>
      </c>
      <c r="H27" s="179">
        <v>33</v>
      </c>
      <c r="I27" s="366">
        <f t="shared" si="8"/>
        <v>17.396</v>
      </c>
      <c r="J27" s="212">
        <v>42341.53194444445</v>
      </c>
      <c r="K27" s="212">
        <v>42341.56527777778</v>
      </c>
      <c r="L27" s="213">
        <f t="shared" si="0"/>
        <v>0.7999999999883585</v>
      </c>
      <c r="M27" s="214">
        <f t="shared" si="1"/>
        <v>48</v>
      </c>
      <c r="N27" s="215" t="s">
        <v>145</v>
      </c>
      <c r="O27" s="216" t="str">
        <f t="shared" si="9"/>
        <v>NO</v>
      </c>
      <c r="P27" s="367">
        <f t="shared" si="2"/>
        <v>25</v>
      </c>
      <c r="Q27" s="368" t="str">
        <f t="shared" si="3"/>
        <v>--</v>
      </c>
      <c r="R27" s="369">
        <f t="shared" si="4"/>
        <v>434.90000000000003</v>
      </c>
      <c r="S27" s="370">
        <f t="shared" si="5"/>
        <v>347.9200000000001</v>
      </c>
      <c r="T27" s="371" t="str">
        <f t="shared" si="6"/>
        <v>--</v>
      </c>
      <c r="U27" s="372" t="s">
        <v>133</v>
      </c>
      <c r="V27" s="373">
        <f t="shared" si="7"/>
        <v>782.8200000000002</v>
      </c>
      <c r="W27" s="133"/>
    </row>
    <row r="28" spans="2:23" ht="16.5" customHeight="1">
      <c r="B28" s="345"/>
      <c r="C28" s="211">
        <v>24</v>
      </c>
      <c r="D28" s="442">
        <v>295653</v>
      </c>
      <c r="E28" s="442">
        <v>247</v>
      </c>
      <c r="F28" s="190" t="s">
        <v>150</v>
      </c>
      <c r="G28" s="179" t="s">
        <v>157</v>
      </c>
      <c r="H28" s="179">
        <v>33</v>
      </c>
      <c r="I28" s="366">
        <f t="shared" si="8"/>
        <v>17.396</v>
      </c>
      <c r="J28" s="212">
        <v>42341.53194444445</v>
      </c>
      <c r="K28" s="212">
        <v>42341.552083333336</v>
      </c>
      <c r="L28" s="213">
        <f t="shared" si="0"/>
        <v>0.48333333333721384</v>
      </c>
      <c r="M28" s="214">
        <f t="shared" si="1"/>
        <v>29</v>
      </c>
      <c r="N28" s="215" t="s">
        <v>145</v>
      </c>
      <c r="O28" s="216" t="str">
        <f t="shared" si="9"/>
        <v>NO</v>
      </c>
      <c r="P28" s="367">
        <f t="shared" si="2"/>
        <v>25</v>
      </c>
      <c r="Q28" s="368" t="str">
        <f t="shared" si="3"/>
        <v>--</v>
      </c>
      <c r="R28" s="369">
        <f t="shared" si="4"/>
        <v>434.90000000000003</v>
      </c>
      <c r="S28" s="370">
        <f t="shared" si="5"/>
        <v>208.752</v>
      </c>
      <c r="T28" s="371" t="str">
        <f t="shared" si="6"/>
        <v>--</v>
      </c>
      <c r="U28" s="372" t="s">
        <v>133</v>
      </c>
      <c r="V28" s="373">
        <f t="shared" si="7"/>
        <v>643.652</v>
      </c>
      <c r="W28" s="133"/>
    </row>
    <row r="29" spans="2:23" ht="16.5" customHeight="1">
      <c r="B29" s="345"/>
      <c r="C29" s="211">
        <v>25</v>
      </c>
      <c r="D29" s="442">
        <v>295654</v>
      </c>
      <c r="E29" s="442">
        <v>246</v>
      </c>
      <c r="F29" s="190" t="s">
        <v>150</v>
      </c>
      <c r="G29" s="179" t="s">
        <v>158</v>
      </c>
      <c r="H29" s="217">
        <v>33</v>
      </c>
      <c r="I29" s="366">
        <f t="shared" si="8"/>
        <v>17.396</v>
      </c>
      <c r="J29" s="212">
        <v>42341.532638888886</v>
      </c>
      <c r="K29" s="212">
        <v>42341.561111111114</v>
      </c>
      <c r="L29" s="213">
        <f t="shared" si="0"/>
        <v>0.6833333334652707</v>
      </c>
      <c r="M29" s="214">
        <f t="shared" si="1"/>
        <v>41</v>
      </c>
      <c r="N29" s="215" t="s">
        <v>145</v>
      </c>
      <c r="O29" s="216" t="str">
        <f t="shared" si="9"/>
        <v>NO</v>
      </c>
      <c r="P29" s="367">
        <f t="shared" si="2"/>
        <v>25</v>
      </c>
      <c r="Q29" s="368" t="str">
        <f t="shared" si="3"/>
        <v>--</v>
      </c>
      <c r="R29" s="369">
        <f t="shared" si="4"/>
        <v>434.90000000000003</v>
      </c>
      <c r="S29" s="370">
        <f t="shared" si="5"/>
        <v>295.732</v>
      </c>
      <c r="T29" s="371" t="str">
        <f t="shared" si="6"/>
        <v>--</v>
      </c>
      <c r="U29" s="372" t="s">
        <v>133</v>
      </c>
      <c r="V29" s="373">
        <f t="shared" si="7"/>
        <v>730.6320000000001</v>
      </c>
      <c r="W29" s="133"/>
    </row>
    <row r="30" spans="2:23" ht="16.5" customHeight="1">
      <c r="B30" s="345"/>
      <c r="C30" s="211">
        <v>26</v>
      </c>
      <c r="D30" s="442">
        <v>295634</v>
      </c>
      <c r="E30" s="442">
        <v>233</v>
      </c>
      <c r="F30" s="190" t="s">
        <v>159</v>
      </c>
      <c r="G30" s="179" t="s">
        <v>160</v>
      </c>
      <c r="H30" s="217">
        <v>13.199999809265137</v>
      </c>
      <c r="I30" s="366">
        <f t="shared" si="8"/>
        <v>17.396</v>
      </c>
      <c r="J30" s="212">
        <v>42351.33611111111</v>
      </c>
      <c r="K30" s="212">
        <v>42351.62430555555</v>
      </c>
      <c r="L30" s="213">
        <f t="shared" si="0"/>
        <v>6.916666666686069</v>
      </c>
      <c r="M30" s="214">
        <f t="shared" si="1"/>
        <v>415</v>
      </c>
      <c r="N30" s="215" t="s">
        <v>132</v>
      </c>
      <c r="O30" s="216" t="str">
        <f t="shared" si="9"/>
        <v>--</v>
      </c>
      <c r="P30" s="367">
        <f t="shared" si="2"/>
        <v>20</v>
      </c>
      <c r="Q30" s="368">
        <f t="shared" si="3"/>
        <v>240.76064</v>
      </c>
      <c r="R30" s="369" t="str">
        <f t="shared" si="4"/>
        <v>--</v>
      </c>
      <c r="S30" s="370" t="str">
        <f t="shared" si="5"/>
        <v>--</v>
      </c>
      <c r="T30" s="371" t="str">
        <f t="shared" si="6"/>
        <v>--</v>
      </c>
      <c r="U30" s="372" t="s">
        <v>133</v>
      </c>
      <c r="V30" s="373">
        <f t="shared" si="7"/>
        <v>240.76064</v>
      </c>
      <c r="W30" s="133"/>
    </row>
    <row r="31" spans="2:23" ht="16.5" customHeight="1">
      <c r="B31" s="345"/>
      <c r="C31" s="211">
        <v>27</v>
      </c>
      <c r="D31" s="442">
        <v>295635</v>
      </c>
      <c r="E31" s="442">
        <v>234</v>
      </c>
      <c r="F31" s="190" t="s">
        <v>159</v>
      </c>
      <c r="G31" s="179" t="s">
        <v>161</v>
      </c>
      <c r="H31" s="217">
        <v>13.199999809265137</v>
      </c>
      <c r="I31" s="366">
        <f t="shared" si="8"/>
        <v>17.396</v>
      </c>
      <c r="J31" s="212">
        <v>42351.33611111111</v>
      </c>
      <c r="K31" s="212">
        <v>42351.62430555555</v>
      </c>
      <c r="L31" s="213">
        <f t="shared" si="0"/>
        <v>6.916666666686069</v>
      </c>
      <c r="M31" s="214">
        <f t="shared" si="1"/>
        <v>415</v>
      </c>
      <c r="N31" s="215" t="s">
        <v>132</v>
      </c>
      <c r="O31" s="216" t="str">
        <f t="shared" si="9"/>
        <v>--</v>
      </c>
      <c r="P31" s="367">
        <f t="shared" si="2"/>
        <v>20</v>
      </c>
      <c r="Q31" s="368">
        <f t="shared" si="3"/>
        <v>240.76064</v>
      </c>
      <c r="R31" s="369" t="str">
        <f t="shared" si="4"/>
        <v>--</v>
      </c>
      <c r="S31" s="370" t="str">
        <f t="shared" si="5"/>
        <v>--</v>
      </c>
      <c r="T31" s="371" t="str">
        <f t="shared" si="6"/>
        <v>--</v>
      </c>
      <c r="U31" s="372" t="s">
        <v>133</v>
      </c>
      <c r="V31" s="373">
        <f t="shared" si="7"/>
        <v>240.76064</v>
      </c>
      <c r="W31" s="133"/>
    </row>
    <row r="32" spans="2:23" ht="16.5" customHeight="1">
      <c r="B32" s="345"/>
      <c r="C32" s="211">
        <v>28</v>
      </c>
      <c r="D32" s="442">
        <v>296279</v>
      </c>
      <c r="E32" s="442">
        <v>231</v>
      </c>
      <c r="F32" s="190" t="s">
        <v>159</v>
      </c>
      <c r="G32" s="179" t="s">
        <v>162</v>
      </c>
      <c r="H32" s="217">
        <v>132</v>
      </c>
      <c r="I32" s="366">
        <f t="shared" si="8"/>
        <v>23.195</v>
      </c>
      <c r="J32" s="212">
        <v>42352.44375</v>
      </c>
      <c r="K32" s="212">
        <v>42356.603472222225</v>
      </c>
      <c r="L32" s="213">
        <f t="shared" si="0"/>
        <v>99.83333333343035</v>
      </c>
      <c r="M32" s="214">
        <f t="shared" si="1"/>
        <v>5990</v>
      </c>
      <c r="N32" s="215" t="s">
        <v>132</v>
      </c>
      <c r="O32" s="216" t="str">
        <f t="shared" si="9"/>
        <v>--</v>
      </c>
      <c r="P32" s="367">
        <f t="shared" si="2"/>
        <v>50</v>
      </c>
      <c r="Q32" s="368">
        <f t="shared" si="3"/>
        <v>11577.78425</v>
      </c>
      <c r="R32" s="369" t="str">
        <f t="shared" si="4"/>
        <v>--</v>
      </c>
      <c r="S32" s="370" t="str">
        <f t="shared" si="5"/>
        <v>--</v>
      </c>
      <c r="T32" s="371" t="str">
        <f t="shared" si="6"/>
        <v>--</v>
      </c>
      <c r="U32" s="372" t="s">
        <v>133</v>
      </c>
      <c r="V32" s="373">
        <f t="shared" si="7"/>
        <v>11577.78425</v>
      </c>
      <c r="W32" s="133"/>
    </row>
    <row r="33" spans="2:23" ht="16.5" customHeight="1">
      <c r="B33" s="345"/>
      <c r="C33" s="211">
        <v>29</v>
      </c>
      <c r="D33" s="442">
        <v>296284</v>
      </c>
      <c r="E33" s="442">
        <v>245</v>
      </c>
      <c r="F33" s="190" t="s">
        <v>150</v>
      </c>
      <c r="G33" s="179" t="s">
        <v>155</v>
      </c>
      <c r="H33" s="217">
        <v>33</v>
      </c>
      <c r="I33" s="366">
        <f t="shared" si="8"/>
        <v>17.396</v>
      </c>
      <c r="J33" s="212">
        <v>42360.305555555555</v>
      </c>
      <c r="K33" s="212">
        <v>42360.55902777778</v>
      </c>
      <c r="L33" s="213">
        <f t="shared" si="0"/>
        <v>6.083333333430346</v>
      </c>
      <c r="M33" s="214">
        <f t="shared" si="1"/>
        <v>365</v>
      </c>
      <c r="N33" s="215" t="s">
        <v>132</v>
      </c>
      <c r="O33" s="216" t="str">
        <f t="shared" si="9"/>
        <v>--</v>
      </c>
      <c r="P33" s="367">
        <f t="shared" si="2"/>
        <v>25</v>
      </c>
      <c r="Q33" s="368">
        <f t="shared" si="3"/>
        <v>264.41920000000005</v>
      </c>
      <c r="R33" s="369" t="str">
        <f t="shared" si="4"/>
        <v>--</v>
      </c>
      <c r="S33" s="370" t="str">
        <f t="shared" si="5"/>
        <v>--</v>
      </c>
      <c r="T33" s="371" t="str">
        <f t="shared" si="6"/>
        <v>--</v>
      </c>
      <c r="U33" s="372" t="s">
        <v>133</v>
      </c>
      <c r="V33" s="373">
        <f t="shared" si="7"/>
        <v>264.41920000000005</v>
      </c>
      <c r="W33" s="133"/>
    </row>
    <row r="34" spans="2:23" ht="16.5" customHeight="1">
      <c r="B34" s="345"/>
      <c r="C34" s="211">
        <v>30</v>
      </c>
      <c r="D34" s="442">
        <v>296285</v>
      </c>
      <c r="E34" s="442">
        <v>4094</v>
      </c>
      <c r="F34" s="190" t="s">
        <v>163</v>
      </c>
      <c r="G34" s="179" t="s">
        <v>164</v>
      </c>
      <c r="H34" s="217">
        <v>13.199999809265137</v>
      </c>
      <c r="I34" s="366">
        <f t="shared" si="8"/>
        <v>17.396</v>
      </c>
      <c r="J34" s="212">
        <v>42361.40069444444</v>
      </c>
      <c r="K34" s="212">
        <v>42361.525</v>
      </c>
      <c r="L34" s="213">
        <f t="shared" si="0"/>
        <v>2.983333333453629</v>
      </c>
      <c r="M34" s="214">
        <f t="shared" si="1"/>
        <v>179</v>
      </c>
      <c r="N34" s="215" t="s">
        <v>132</v>
      </c>
      <c r="O34" s="216" t="str">
        <f t="shared" si="9"/>
        <v>--</v>
      </c>
      <c r="P34" s="367">
        <f t="shared" si="2"/>
        <v>20</v>
      </c>
      <c r="Q34" s="368">
        <f t="shared" si="3"/>
        <v>103.68016</v>
      </c>
      <c r="R34" s="369" t="str">
        <f t="shared" si="4"/>
        <v>--</v>
      </c>
      <c r="S34" s="370" t="str">
        <f t="shared" si="5"/>
        <v>--</v>
      </c>
      <c r="T34" s="371" t="str">
        <f t="shared" si="6"/>
        <v>--</v>
      </c>
      <c r="U34" s="372" t="s">
        <v>133</v>
      </c>
      <c r="V34" s="373">
        <f t="shared" si="7"/>
        <v>103.68016</v>
      </c>
      <c r="W34" s="133"/>
    </row>
    <row r="35" spans="2:23" ht="16.5" customHeight="1">
      <c r="B35" s="345"/>
      <c r="C35" s="211">
        <v>31</v>
      </c>
      <c r="D35" s="442">
        <v>296288</v>
      </c>
      <c r="E35" s="442">
        <v>270</v>
      </c>
      <c r="F35" s="190" t="s">
        <v>165</v>
      </c>
      <c r="G35" s="179" t="s">
        <v>166</v>
      </c>
      <c r="H35" s="217">
        <v>33</v>
      </c>
      <c r="I35" s="366">
        <f t="shared" si="8"/>
        <v>17.396</v>
      </c>
      <c r="J35" s="212">
        <v>42364.279861111114</v>
      </c>
      <c r="K35" s="212">
        <v>42364.49722222222</v>
      </c>
      <c r="L35" s="213">
        <f t="shared" si="0"/>
        <v>5.216666666558012</v>
      </c>
      <c r="M35" s="214">
        <f t="shared" si="1"/>
        <v>313</v>
      </c>
      <c r="N35" s="215" t="s">
        <v>145</v>
      </c>
      <c r="O35" s="216" t="str">
        <f t="shared" si="9"/>
        <v>NO</v>
      </c>
      <c r="P35" s="367">
        <f t="shared" si="2"/>
        <v>25</v>
      </c>
      <c r="Q35" s="368" t="str">
        <f t="shared" si="3"/>
        <v>--</v>
      </c>
      <c r="R35" s="369">
        <f t="shared" si="4"/>
        <v>434.90000000000003</v>
      </c>
      <c r="S35" s="370">
        <f t="shared" si="5"/>
        <v>2270.178</v>
      </c>
      <c r="T35" s="371" t="str">
        <f t="shared" si="6"/>
        <v>--</v>
      </c>
      <c r="U35" s="372" t="s">
        <v>133</v>
      </c>
      <c r="V35" s="373">
        <f t="shared" si="7"/>
        <v>2705.078</v>
      </c>
      <c r="W35" s="133"/>
    </row>
    <row r="36" spans="2:23" ht="16.5" customHeight="1">
      <c r="B36" s="345"/>
      <c r="C36" s="211"/>
      <c r="D36" s="442"/>
      <c r="E36" s="442"/>
      <c r="F36" s="190"/>
      <c r="G36" s="179"/>
      <c r="H36" s="217"/>
      <c r="I36" s="366">
        <f t="shared" si="8"/>
        <v>17.396</v>
      </c>
      <c r="J36" s="212"/>
      <c r="K36" s="212"/>
      <c r="L36" s="213">
        <f t="shared" si="0"/>
      </c>
      <c r="M36" s="214">
        <f t="shared" si="1"/>
      </c>
      <c r="N36" s="215"/>
      <c r="O36" s="216">
        <f t="shared" si="9"/>
      </c>
      <c r="P36" s="367">
        <f t="shared" si="2"/>
        <v>20</v>
      </c>
      <c r="Q36" s="368" t="str">
        <f t="shared" si="3"/>
        <v>--</v>
      </c>
      <c r="R36" s="369" t="str">
        <f t="shared" si="4"/>
        <v>--</v>
      </c>
      <c r="S36" s="370" t="str">
        <f t="shared" si="5"/>
        <v>--</v>
      </c>
      <c r="T36" s="371" t="str">
        <f t="shared" si="6"/>
        <v>--</v>
      </c>
      <c r="U36" s="372">
        <f>IF(F36="","","SI")</f>
      </c>
      <c r="V36" s="373">
        <f t="shared" si="7"/>
      </c>
      <c r="W36" s="133"/>
    </row>
    <row r="37" spans="2:23" ht="16.5" customHeight="1">
      <c r="B37" s="345"/>
      <c r="C37" s="211"/>
      <c r="D37" s="442"/>
      <c r="E37" s="442"/>
      <c r="F37" s="190"/>
      <c r="G37" s="179"/>
      <c r="H37" s="217"/>
      <c r="I37" s="366">
        <f t="shared" si="8"/>
        <v>17.396</v>
      </c>
      <c r="J37" s="212"/>
      <c r="K37" s="212"/>
      <c r="L37" s="213">
        <f t="shared" si="0"/>
      </c>
      <c r="M37" s="214">
        <f t="shared" si="1"/>
      </c>
      <c r="N37" s="215"/>
      <c r="O37" s="216">
        <f t="shared" si="9"/>
      </c>
      <c r="P37" s="367">
        <f t="shared" si="2"/>
        <v>20</v>
      </c>
      <c r="Q37" s="368" t="str">
        <f t="shared" si="3"/>
        <v>--</v>
      </c>
      <c r="R37" s="369" t="str">
        <f t="shared" si="4"/>
        <v>--</v>
      </c>
      <c r="S37" s="370" t="str">
        <f t="shared" si="5"/>
        <v>--</v>
      </c>
      <c r="T37" s="371" t="str">
        <f t="shared" si="6"/>
        <v>--</v>
      </c>
      <c r="U37" s="372">
        <f>IF(F37="","","SI")</f>
      </c>
      <c r="V37" s="373">
        <f t="shared" si="7"/>
      </c>
      <c r="W37" s="133"/>
    </row>
    <row r="38" spans="2:23" ht="16.5" customHeight="1">
      <c r="B38" s="345"/>
      <c r="C38" s="211"/>
      <c r="D38" s="442"/>
      <c r="E38" s="442"/>
      <c r="F38" s="190"/>
      <c r="G38" s="179"/>
      <c r="H38" s="217"/>
      <c r="I38" s="366">
        <f t="shared" si="8"/>
        <v>17.396</v>
      </c>
      <c r="J38" s="212"/>
      <c r="K38" s="212"/>
      <c r="L38" s="213">
        <f t="shared" si="0"/>
      </c>
      <c r="M38" s="214">
        <f t="shared" si="1"/>
      </c>
      <c r="N38" s="215"/>
      <c r="O38" s="216">
        <f t="shared" si="9"/>
      </c>
      <c r="P38" s="367">
        <f t="shared" si="2"/>
        <v>20</v>
      </c>
      <c r="Q38" s="368" t="str">
        <f t="shared" si="3"/>
        <v>--</v>
      </c>
      <c r="R38" s="369" t="str">
        <f t="shared" si="4"/>
        <v>--</v>
      </c>
      <c r="S38" s="370" t="str">
        <f t="shared" si="5"/>
        <v>--</v>
      </c>
      <c r="T38" s="371" t="str">
        <f t="shared" si="6"/>
        <v>--</v>
      </c>
      <c r="U38" s="372">
        <f>IF(F38="","","SI")</f>
      </c>
      <c r="V38" s="373">
        <f t="shared" si="7"/>
      </c>
      <c r="W38" s="133"/>
    </row>
    <row r="39" spans="2:23" ht="16.5" customHeight="1">
      <c r="B39" s="345"/>
      <c r="C39" s="211"/>
      <c r="D39" s="442"/>
      <c r="E39" s="442"/>
      <c r="F39" s="190"/>
      <c r="G39" s="179"/>
      <c r="H39" s="217"/>
      <c r="I39" s="366">
        <f t="shared" si="8"/>
        <v>17.396</v>
      </c>
      <c r="J39" s="212"/>
      <c r="K39" s="212"/>
      <c r="L39" s="213">
        <f t="shared" si="0"/>
      </c>
      <c r="M39" s="214">
        <f t="shared" si="1"/>
      </c>
      <c r="N39" s="215"/>
      <c r="O39" s="216">
        <f t="shared" si="9"/>
      </c>
      <c r="P39" s="367">
        <f t="shared" si="2"/>
        <v>20</v>
      </c>
      <c r="Q39" s="368" t="str">
        <f t="shared" si="3"/>
        <v>--</v>
      </c>
      <c r="R39" s="369" t="str">
        <f t="shared" si="4"/>
        <v>--</v>
      </c>
      <c r="S39" s="370" t="str">
        <f t="shared" si="5"/>
        <v>--</v>
      </c>
      <c r="T39" s="371" t="str">
        <f t="shared" si="6"/>
        <v>--</v>
      </c>
      <c r="U39" s="372">
        <f>IF(F39="","","SI")</f>
      </c>
      <c r="V39" s="373">
        <f t="shared" si="7"/>
      </c>
      <c r="W39" s="133"/>
    </row>
    <row r="40" spans="2:23" ht="16.5" customHeight="1">
      <c r="B40" s="345"/>
      <c r="C40" s="211"/>
      <c r="D40" s="442"/>
      <c r="E40" s="442"/>
      <c r="F40" s="190"/>
      <c r="G40" s="179"/>
      <c r="H40" s="217"/>
      <c r="I40" s="366">
        <f t="shared" si="8"/>
        <v>17.396</v>
      </c>
      <c r="J40" s="212"/>
      <c r="K40" s="212"/>
      <c r="L40" s="213">
        <f t="shared" si="0"/>
      </c>
      <c r="M40" s="214">
        <f t="shared" si="1"/>
      </c>
      <c r="N40" s="215"/>
      <c r="O40" s="216">
        <f t="shared" si="9"/>
      </c>
      <c r="P40" s="367">
        <f t="shared" si="2"/>
        <v>20</v>
      </c>
      <c r="Q40" s="368" t="str">
        <f t="shared" si="3"/>
        <v>--</v>
      </c>
      <c r="R40" s="369" t="str">
        <f t="shared" si="4"/>
        <v>--</v>
      </c>
      <c r="S40" s="370" t="str">
        <f t="shared" si="5"/>
        <v>--</v>
      </c>
      <c r="T40" s="371" t="str">
        <f t="shared" si="6"/>
        <v>--</v>
      </c>
      <c r="U40" s="372">
        <f>IF(F40="","","SI")</f>
      </c>
      <c r="V40" s="373">
        <f t="shared" si="7"/>
      </c>
      <c r="W40" s="133"/>
    </row>
    <row r="41" spans="2:23" ht="16.5" customHeight="1" thickBot="1">
      <c r="B41" s="345"/>
      <c r="C41" s="218"/>
      <c r="D41" s="466"/>
      <c r="E41" s="218"/>
      <c r="F41" s="219"/>
      <c r="G41" s="220"/>
      <c r="H41" s="220"/>
      <c r="I41" s="374"/>
      <c r="J41" s="220"/>
      <c r="K41" s="221"/>
      <c r="L41" s="222"/>
      <c r="M41" s="222"/>
      <c r="N41" s="221"/>
      <c r="O41" s="223"/>
      <c r="P41" s="375"/>
      <c r="Q41" s="376"/>
      <c r="R41" s="377"/>
      <c r="S41" s="378"/>
      <c r="T41" s="379"/>
      <c r="U41" s="380"/>
      <c r="V41" s="381"/>
      <c r="W41" s="133"/>
    </row>
    <row r="42" spans="2:23" ht="16.5" customHeight="1" thickBot="1" thickTop="1">
      <c r="B42" s="294"/>
      <c r="C42" s="264" t="s">
        <v>69</v>
      </c>
      <c r="D42" s="465" t="s">
        <v>170</v>
      </c>
      <c r="E42" s="438"/>
      <c r="F42" s="144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382"/>
      <c r="R42" s="383"/>
      <c r="S42" s="383"/>
      <c r="T42" s="383"/>
      <c r="U42" s="384"/>
      <c r="V42" s="322">
        <f>ROUND(SUM(V19:V41),2)</f>
        <v>20503.5</v>
      </c>
      <c r="W42" s="385"/>
    </row>
    <row r="43" spans="2:23" s="152" customFormat="1" ht="9.75" thickTop="1">
      <c r="B43" s="323"/>
      <c r="C43" s="266"/>
      <c r="D43" s="266"/>
      <c r="E43" s="266"/>
      <c r="F43" s="15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86"/>
      <c r="R43" s="386"/>
      <c r="S43" s="386"/>
      <c r="T43" s="386"/>
      <c r="U43" s="386"/>
      <c r="V43" s="325"/>
      <c r="W43" s="155"/>
    </row>
    <row r="44" spans="2:23" ht="16.5" customHeight="1" thickBot="1"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158"/>
    </row>
    <row r="45" ht="13.5" thickTop="1"/>
    <row r="16381" ht="12.75">
      <c r="F16381" s="224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65" zoomScaleNormal="65" zoomScalePageLayoutView="0" workbookViewId="0" topLeftCell="A1">
      <selection activeCell="N3" sqref="N3"/>
    </sheetView>
  </sheetViews>
  <sheetFormatPr defaultColWidth="11.421875" defaultRowHeight="12.75"/>
  <cols>
    <col min="1" max="1" width="9.28125" style="467" customWidth="1"/>
    <col min="2" max="2" width="15.7109375" style="467" customWidth="1"/>
    <col min="3" max="3" width="5.7109375" style="467" customWidth="1"/>
    <col min="4" max="4" width="49.8515625" style="467" customWidth="1"/>
    <col min="5" max="5" width="7.7109375" style="467" customWidth="1"/>
    <col min="6" max="20" width="10.7109375" style="467" customWidth="1"/>
    <col min="21" max="21" width="15.7109375" style="467" customWidth="1"/>
    <col min="22" max="16384" width="11.421875" style="467" customWidth="1"/>
  </cols>
  <sheetData>
    <row r="1" ht="43.5" customHeight="1">
      <c r="U1" s="468"/>
    </row>
    <row r="2" spans="2:21" s="469" customFormat="1" ht="26.25">
      <c r="B2" s="470" t="str">
        <f>'TOT-1215'!B2</f>
        <v>ANEXO III  al  Memorandum D.T.E.E.  N°  687/ 2016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</row>
    <row r="3" spans="1:2" s="471" customFormat="1" ht="10.5">
      <c r="A3" s="575" t="s">
        <v>2</v>
      </c>
      <c r="B3" s="575"/>
    </row>
    <row r="4" spans="1:4" s="471" customFormat="1" ht="11.25">
      <c r="A4" s="472" t="s">
        <v>3</v>
      </c>
      <c r="B4" s="473"/>
      <c r="D4" s="474"/>
    </row>
    <row r="5" spans="1:4" ht="18.75" customHeight="1">
      <c r="A5" s="475"/>
      <c r="D5" s="476"/>
    </row>
    <row r="6" spans="1:21" ht="26.25">
      <c r="A6" s="475"/>
      <c r="B6" s="477" t="s">
        <v>173</v>
      </c>
      <c r="C6" s="478"/>
      <c r="D6" s="476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</row>
    <row r="7" spans="1:4" ht="18.75" customHeight="1">
      <c r="A7" s="475"/>
      <c r="B7" s="477"/>
      <c r="D7" s="476"/>
    </row>
    <row r="8" spans="1:21" ht="26.25">
      <c r="A8" s="475"/>
      <c r="B8" s="477" t="s">
        <v>174</v>
      </c>
      <c r="C8" s="478"/>
      <c r="D8" s="476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</row>
    <row r="9" spans="1:4" ht="18.75" customHeight="1">
      <c r="A9" s="475"/>
      <c r="D9" s="476"/>
    </row>
    <row r="10" spans="1:21" ht="26.25">
      <c r="A10" s="475"/>
      <c r="B10" s="477" t="s">
        <v>175</v>
      </c>
      <c r="C10" s="478"/>
      <c r="D10" s="476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</row>
    <row r="11" ht="18.75" customHeight="1" thickBot="1"/>
    <row r="12" spans="2:21" ht="18.75" customHeight="1" thickTop="1">
      <c r="B12" s="479"/>
      <c r="C12" s="480"/>
      <c r="D12" s="481"/>
      <c r="E12" s="481"/>
      <c r="F12" s="481"/>
      <c r="G12" s="481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2"/>
    </row>
    <row r="13" spans="2:21" ht="19.5">
      <c r="B13" s="483" t="s">
        <v>183</v>
      </c>
      <c r="C13" s="478"/>
      <c r="D13" s="484"/>
      <c r="E13" s="484"/>
      <c r="F13" s="484"/>
      <c r="G13" s="484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6"/>
    </row>
    <row r="14" spans="2:21" ht="18.75" customHeight="1" thickBot="1">
      <c r="B14" s="487"/>
      <c r="C14" s="488"/>
      <c r="D14" s="489"/>
      <c r="E14" s="489"/>
      <c r="F14" s="490"/>
      <c r="G14" s="490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2"/>
    </row>
    <row r="15" spans="1:21" s="502" customFormat="1" ht="34.5" customHeight="1" thickBot="1" thickTop="1">
      <c r="A15" s="493"/>
      <c r="B15" s="494"/>
      <c r="C15" s="495"/>
      <c r="D15" s="496" t="s">
        <v>1</v>
      </c>
      <c r="E15" s="497" t="s">
        <v>176</v>
      </c>
      <c r="F15" s="498" t="s">
        <v>17</v>
      </c>
      <c r="G15" s="499" t="s">
        <v>177</v>
      </c>
      <c r="H15" s="500">
        <f>'[1]TASA DE FALLA'!DM15</f>
        <v>41974</v>
      </c>
      <c r="I15" s="500">
        <f>'[1]TASA DE FALLA'!DN15</f>
        <v>42005</v>
      </c>
      <c r="J15" s="500">
        <f>'[1]TASA DE FALLA'!DO15</f>
        <v>42036</v>
      </c>
      <c r="K15" s="500">
        <f>'[1]TASA DE FALLA'!DP15</f>
        <v>42064</v>
      </c>
      <c r="L15" s="500">
        <f>'[1]TASA DE FALLA'!DQ15</f>
        <v>42095</v>
      </c>
      <c r="M15" s="500">
        <f>'[1]TASA DE FALLA'!DR15</f>
        <v>42125</v>
      </c>
      <c r="N15" s="500">
        <f>'[1]TASA DE FALLA'!DS15</f>
        <v>42156</v>
      </c>
      <c r="O15" s="500">
        <f>'[1]TASA DE FALLA'!DT15</f>
        <v>42186</v>
      </c>
      <c r="P15" s="500">
        <f>'[1]TASA DE FALLA'!DU15</f>
        <v>42217</v>
      </c>
      <c r="Q15" s="500">
        <f>'[1]TASA DE FALLA'!DV15</f>
        <v>42248</v>
      </c>
      <c r="R15" s="500">
        <f>'[1]TASA DE FALLA'!DW15</f>
        <v>42278</v>
      </c>
      <c r="S15" s="500">
        <f>'[1]TASA DE FALLA'!DX15</f>
        <v>42309</v>
      </c>
      <c r="T15" s="500">
        <f>'[1]TASA DE FALLA'!DY15</f>
        <v>42339</v>
      </c>
      <c r="U15" s="501"/>
    </row>
    <row r="16" spans="1:21" s="502" customFormat="1" ht="34.5" customHeight="1" hidden="1">
      <c r="A16" s="493"/>
      <c r="B16" s="494"/>
      <c r="C16" s="503"/>
      <c r="D16" s="504"/>
      <c r="E16" s="505"/>
      <c r="F16" s="506"/>
      <c r="G16" s="507"/>
      <c r="H16" s="509"/>
      <c r="I16" s="508"/>
      <c r="J16" s="509"/>
      <c r="K16" s="508"/>
      <c r="L16" s="509"/>
      <c r="M16" s="508"/>
      <c r="N16" s="509"/>
      <c r="O16" s="508"/>
      <c r="P16" s="509"/>
      <c r="Q16" s="508"/>
      <c r="R16" s="509"/>
      <c r="S16" s="508"/>
      <c r="T16" s="509"/>
      <c r="U16" s="501"/>
    </row>
    <row r="17" spans="1:21" s="502" customFormat="1" ht="34.5" customHeight="1" hidden="1">
      <c r="A17" s="493"/>
      <c r="B17" s="494"/>
      <c r="C17" s="503"/>
      <c r="D17" s="504"/>
      <c r="E17" s="505"/>
      <c r="F17" s="506"/>
      <c r="G17" s="507"/>
      <c r="H17" s="509"/>
      <c r="I17" s="508"/>
      <c r="J17" s="509"/>
      <c r="K17" s="508"/>
      <c r="L17" s="509"/>
      <c r="M17" s="508"/>
      <c r="N17" s="509"/>
      <c r="O17" s="508"/>
      <c r="P17" s="509"/>
      <c r="Q17" s="508"/>
      <c r="R17" s="509"/>
      <c r="S17" s="508"/>
      <c r="T17" s="509"/>
      <c r="U17" s="501"/>
    </row>
    <row r="18" spans="2:21" ht="15" customHeight="1" thickTop="1">
      <c r="B18" s="487"/>
      <c r="C18" s="510"/>
      <c r="D18" s="511"/>
      <c r="E18" s="511"/>
      <c r="F18" s="512"/>
      <c r="G18" s="513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5"/>
      <c r="U18" s="492"/>
    </row>
    <row r="19" spans="2:21" ht="15" customHeight="1">
      <c r="B19" s="487"/>
      <c r="C19" s="516">
        <f>'[1]TASA DE FALLA'!C19</f>
        <v>1</v>
      </c>
      <c r="D19" s="516" t="str">
        <f>'[1]TASA DE FALLA'!D19</f>
        <v>ARROYITO - CHARROYITO 1</v>
      </c>
      <c r="E19" s="516">
        <f>'[1]TASA DE FALLA'!E19</f>
        <v>132</v>
      </c>
      <c r="F19" s="516">
        <f>'[1]TASA DE FALLA'!F19</f>
        <v>1</v>
      </c>
      <c r="G19" s="516" t="str">
        <f>'[1]TASA DE FALLA'!G19</f>
        <v>L</v>
      </c>
      <c r="H19" s="517">
        <f>+IF('[1]TASA DE FALLA'!DM19=0,"",'[1]TASA DE FALLA'!DM19)</f>
      </c>
      <c r="I19" s="517">
        <f>+IF('[1]TASA DE FALLA'!DN19=0,"",'[1]TASA DE FALLA'!DN19)</f>
      </c>
      <c r="J19" s="517">
        <f>+IF('[1]TASA DE FALLA'!DO19=0,"",'[1]TASA DE FALLA'!DO19)</f>
      </c>
      <c r="K19" s="517">
        <f>+IF('[1]TASA DE FALLA'!DP19=0,"",'[1]TASA DE FALLA'!DP19)</f>
      </c>
      <c r="L19" s="517">
        <f>+IF('[1]TASA DE FALLA'!DQ19=0,"",'[1]TASA DE FALLA'!DQ19)</f>
      </c>
      <c r="M19" s="517">
        <f>+IF('[1]TASA DE FALLA'!DR19=0,"",'[1]TASA DE FALLA'!DR19)</f>
      </c>
      <c r="N19" s="517">
        <f>+IF('[1]TASA DE FALLA'!DS19=0,"",'[1]TASA DE FALLA'!DS19)</f>
      </c>
      <c r="O19" s="517">
        <f>+IF('[1]TASA DE FALLA'!DT19=0,"",'[1]TASA DE FALLA'!DT19)</f>
      </c>
      <c r="P19" s="517">
        <f>+IF('[1]TASA DE FALLA'!DU19=0,"",'[1]TASA DE FALLA'!DU19)</f>
      </c>
      <c r="Q19" s="517">
        <f>+IF('[1]TASA DE FALLA'!DV19=0,"",'[1]TASA DE FALLA'!DV19)</f>
      </c>
      <c r="R19" s="517">
        <f>+IF('[1]TASA DE FALLA'!DW19=0,"",'[1]TASA DE FALLA'!DW19)</f>
      </c>
      <c r="S19" s="517">
        <f>+IF('[1]TASA DE FALLA'!DX19=0,"",'[1]TASA DE FALLA'!DX19)</f>
      </c>
      <c r="T19" s="515"/>
      <c r="U19" s="492"/>
    </row>
    <row r="20" spans="2:21" ht="15" customHeight="1">
      <c r="B20" s="487"/>
      <c r="C20" s="516">
        <f>'[1]TASA DE FALLA'!C20</f>
        <v>2</v>
      </c>
      <c r="D20" s="516" t="str">
        <f>'[1]TASA DE FALLA'!D20</f>
        <v>ARROYITO - CHARROYITO 2</v>
      </c>
      <c r="E20" s="516">
        <f>'[1]TASA DE FALLA'!E20</f>
        <v>132</v>
      </c>
      <c r="F20" s="516">
        <f>'[1]TASA DE FALLA'!F20</f>
        <v>1</v>
      </c>
      <c r="G20" s="516" t="str">
        <f>'[1]TASA DE FALLA'!G20</f>
        <v>L</v>
      </c>
      <c r="H20" s="517">
        <f>+IF('[1]TASA DE FALLA'!DM20=0,"",'[1]TASA DE FALLA'!DM20)</f>
      </c>
      <c r="I20" s="517">
        <f>+IF('[1]TASA DE FALLA'!DN20=0,"",'[1]TASA DE FALLA'!DN20)</f>
      </c>
      <c r="J20" s="517">
        <f>+IF('[1]TASA DE FALLA'!DO20=0,"",'[1]TASA DE FALLA'!DO20)</f>
      </c>
      <c r="K20" s="517">
        <f>+IF('[1]TASA DE FALLA'!DP20=0,"",'[1]TASA DE FALLA'!DP20)</f>
      </c>
      <c r="L20" s="517">
        <f>+IF('[1]TASA DE FALLA'!DQ20=0,"",'[1]TASA DE FALLA'!DQ20)</f>
      </c>
      <c r="M20" s="517">
        <f>+IF('[1]TASA DE FALLA'!DR20=0,"",'[1]TASA DE FALLA'!DR20)</f>
      </c>
      <c r="N20" s="517">
        <f>+IF('[1]TASA DE FALLA'!DS20=0,"",'[1]TASA DE FALLA'!DS20)</f>
      </c>
      <c r="O20" s="517">
        <f>+IF('[1]TASA DE FALLA'!DT20=0,"",'[1]TASA DE FALLA'!DT20)</f>
      </c>
      <c r="P20" s="517">
        <f>+IF('[1]TASA DE FALLA'!DU20=0,"",'[1]TASA DE FALLA'!DU20)</f>
      </c>
      <c r="Q20" s="517">
        <f>+IF('[1]TASA DE FALLA'!DV20=0,"",'[1]TASA DE FALLA'!DV20)</f>
      </c>
      <c r="R20" s="517">
        <f>+IF('[1]TASA DE FALLA'!DW20=0,"",'[1]TASA DE FALLA'!DW20)</f>
      </c>
      <c r="S20" s="517">
        <f>+IF('[1]TASA DE FALLA'!DX20=0,"",'[1]TASA DE FALLA'!DX20)</f>
      </c>
      <c r="T20" s="515"/>
      <c r="U20" s="492"/>
    </row>
    <row r="21" spans="2:21" ht="15" customHeight="1">
      <c r="B21" s="487"/>
      <c r="C21" s="516">
        <f>'[1]TASA DE FALLA'!C21</f>
        <v>3</v>
      </c>
      <c r="D21" s="516" t="str">
        <f>'[1]TASA DE FALLA'!D21</f>
        <v>ARROYITO - CHARROYITO 3</v>
      </c>
      <c r="E21" s="516">
        <f>'[1]TASA DE FALLA'!E21</f>
        <v>132</v>
      </c>
      <c r="F21" s="516">
        <f>'[1]TASA DE FALLA'!F21</f>
        <v>1</v>
      </c>
      <c r="G21" s="516" t="str">
        <f>'[1]TASA DE FALLA'!G21</f>
        <v>L</v>
      </c>
      <c r="H21" s="517">
        <f>+IF('[1]TASA DE FALLA'!DM21=0,"",'[1]TASA DE FALLA'!DM21)</f>
      </c>
      <c r="I21" s="517">
        <f>+IF('[1]TASA DE FALLA'!DN21=0,"",'[1]TASA DE FALLA'!DN21)</f>
      </c>
      <c r="J21" s="517">
        <f>+IF('[1]TASA DE FALLA'!DO21=0,"",'[1]TASA DE FALLA'!DO21)</f>
      </c>
      <c r="K21" s="517">
        <f>+IF('[1]TASA DE FALLA'!DP21=0,"",'[1]TASA DE FALLA'!DP21)</f>
      </c>
      <c r="L21" s="517">
        <f>+IF('[1]TASA DE FALLA'!DQ21=0,"",'[1]TASA DE FALLA'!DQ21)</f>
      </c>
      <c r="M21" s="517">
        <f>+IF('[1]TASA DE FALLA'!DR21=0,"",'[1]TASA DE FALLA'!DR21)</f>
      </c>
      <c r="N21" s="517">
        <f>+IF('[1]TASA DE FALLA'!DS21=0,"",'[1]TASA DE FALLA'!DS21)</f>
      </c>
      <c r="O21" s="517">
        <f>+IF('[1]TASA DE FALLA'!DT21=0,"",'[1]TASA DE FALLA'!DT21)</f>
      </c>
      <c r="P21" s="517">
        <f>+IF('[1]TASA DE FALLA'!DU21=0,"",'[1]TASA DE FALLA'!DU21)</f>
      </c>
      <c r="Q21" s="517">
        <f>+IF('[1]TASA DE FALLA'!DV21=0,"",'[1]TASA DE FALLA'!DV21)</f>
        <v>1</v>
      </c>
      <c r="R21" s="517">
        <f>+IF('[1]TASA DE FALLA'!DW21=0,"",'[1]TASA DE FALLA'!DW21)</f>
      </c>
      <c r="S21" s="517">
        <f>+IF('[1]TASA DE FALLA'!DX21=0,"",'[1]TASA DE FALLA'!DX21)</f>
      </c>
      <c r="T21" s="515"/>
      <c r="U21" s="492"/>
    </row>
    <row r="22" spans="2:21" ht="15" customHeight="1">
      <c r="B22" s="487"/>
      <c r="C22" s="516">
        <f>'[1]TASA DE FALLA'!C22</f>
        <v>4</v>
      </c>
      <c r="D22" s="516" t="str">
        <f>'[1]TASA DE FALLA'!D22</f>
        <v>ARROYITO - CHOCON 1</v>
      </c>
      <c r="E22" s="516">
        <f>'[1]TASA DE FALLA'!E22</f>
        <v>132</v>
      </c>
      <c r="F22" s="516">
        <f>'[1]TASA DE FALLA'!F22</f>
        <v>25</v>
      </c>
      <c r="G22" s="516" t="str">
        <f>'[1]TASA DE FALLA'!G22</f>
        <v>L</v>
      </c>
      <c r="H22" s="517">
        <f>+IF('[1]TASA DE FALLA'!DM22=0,"",'[1]TASA DE FALLA'!DM22)</f>
      </c>
      <c r="I22" s="517">
        <f>+IF('[1]TASA DE FALLA'!DN22=0,"",'[1]TASA DE FALLA'!DN22)</f>
        <v>1</v>
      </c>
      <c r="J22" s="517">
        <f>+IF('[1]TASA DE FALLA'!DO22=0,"",'[1]TASA DE FALLA'!DO22)</f>
      </c>
      <c r="K22" s="517">
        <f>+IF('[1]TASA DE FALLA'!DP22=0,"",'[1]TASA DE FALLA'!DP22)</f>
      </c>
      <c r="L22" s="517">
        <f>+IF('[1]TASA DE FALLA'!DQ22=0,"",'[1]TASA DE FALLA'!DQ22)</f>
      </c>
      <c r="M22" s="517">
        <f>+IF('[1]TASA DE FALLA'!DR22=0,"",'[1]TASA DE FALLA'!DR22)</f>
      </c>
      <c r="N22" s="517">
        <f>+IF('[1]TASA DE FALLA'!DS22=0,"",'[1]TASA DE FALLA'!DS22)</f>
      </c>
      <c r="O22" s="517">
        <f>+IF('[1]TASA DE FALLA'!DT22=0,"",'[1]TASA DE FALLA'!DT22)</f>
      </c>
      <c r="P22" s="517">
        <f>+IF('[1]TASA DE FALLA'!DU22=0,"",'[1]TASA DE FALLA'!DU22)</f>
      </c>
      <c r="Q22" s="517">
        <f>+IF('[1]TASA DE FALLA'!DV22=0,"",'[1]TASA DE FALLA'!DV22)</f>
      </c>
      <c r="R22" s="517">
        <f>+IF('[1]TASA DE FALLA'!DW22=0,"",'[1]TASA DE FALLA'!DW22)</f>
      </c>
      <c r="S22" s="517">
        <f>+IF('[1]TASA DE FALLA'!DX22=0,"",'[1]TASA DE FALLA'!DX22)</f>
      </c>
      <c r="T22" s="515"/>
      <c r="U22" s="492"/>
    </row>
    <row r="23" spans="2:21" ht="15" customHeight="1">
      <c r="B23" s="487"/>
      <c r="C23" s="516">
        <f>'[1]TASA DE FALLA'!C23</f>
        <v>5</v>
      </c>
      <c r="D23" s="516" t="str">
        <f>'[1]TASA DE FALLA'!D23</f>
        <v>ARROYITO - CHOCON 2</v>
      </c>
      <c r="E23" s="516">
        <f>'[1]TASA DE FALLA'!E23</f>
        <v>132</v>
      </c>
      <c r="F23" s="516">
        <f>'[1]TASA DE FALLA'!F23</f>
        <v>25</v>
      </c>
      <c r="G23" s="516" t="str">
        <f>'[1]TASA DE FALLA'!G23</f>
        <v>L</v>
      </c>
      <c r="H23" s="517">
        <f>+IF('[1]TASA DE FALLA'!DM23=0,"",'[1]TASA DE FALLA'!DM23)</f>
      </c>
      <c r="I23" s="517">
        <f>+IF('[1]TASA DE FALLA'!DN23=0,"",'[1]TASA DE FALLA'!DN23)</f>
      </c>
      <c r="J23" s="517">
        <f>+IF('[1]TASA DE FALLA'!DO23=0,"",'[1]TASA DE FALLA'!DO23)</f>
      </c>
      <c r="K23" s="517">
        <f>+IF('[1]TASA DE FALLA'!DP23=0,"",'[1]TASA DE FALLA'!DP23)</f>
      </c>
      <c r="L23" s="517">
        <f>+IF('[1]TASA DE FALLA'!DQ23=0,"",'[1]TASA DE FALLA'!DQ23)</f>
      </c>
      <c r="M23" s="517">
        <f>+IF('[1]TASA DE FALLA'!DR23=0,"",'[1]TASA DE FALLA'!DR23)</f>
      </c>
      <c r="N23" s="517">
        <f>+IF('[1]TASA DE FALLA'!DS23=0,"",'[1]TASA DE FALLA'!DS23)</f>
      </c>
      <c r="O23" s="517">
        <f>+IF('[1]TASA DE FALLA'!DT23=0,"",'[1]TASA DE FALLA'!DT23)</f>
      </c>
      <c r="P23" s="517">
        <f>+IF('[1]TASA DE FALLA'!DU23=0,"",'[1]TASA DE FALLA'!DU23)</f>
      </c>
      <c r="Q23" s="517">
        <f>+IF('[1]TASA DE FALLA'!DV23=0,"",'[1]TASA DE FALLA'!DV23)</f>
      </c>
      <c r="R23" s="517">
        <f>+IF('[1]TASA DE FALLA'!DW23=0,"",'[1]TASA DE FALLA'!DW23)</f>
      </c>
      <c r="S23" s="517">
        <f>+IF('[1]TASA DE FALLA'!DX23=0,"",'[1]TASA DE FALLA'!DX23)</f>
      </c>
      <c r="T23" s="515"/>
      <c r="U23" s="492"/>
    </row>
    <row r="24" spans="2:21" ht="15" customHeight="1">
      <c r="B24" s="487"/>
      <c r="C24" s="516">
        <f>'[1]TASA DE FALLA'!C24</f>
        <v>6</v>
      </c>
      <c r="D24" s="516" t="str">
        <f>'[1]TASA DE FALLA'!D24</f>
        <v>ARROYITO - PIAP 1</v>
      </c>
      <c r="E24" s="516">
        <f>'[1]TASA DE FALLA'!E24</f>
        <v>132</v>
      </c>
      <c r="F24" s="516">
        <f>'[1]TASA DE FALLA'!F24</f>
        <v>2</v>
      </c>
      <c r="G24" s="516" t="str">
        <f>'[1]TASA DE FALLA'!G24</f>
        <v>L</v>
      </c>
      <c r="H24" s="517">
        <f>+IF('[1]TASA DE FALLA'!DM24=0,"",'[1]TASA DE FALLA'!DM24)</f>
      </c>
      <c r="I24" s="517">
        <f>+IF('[1]TASA DE FALLA'!DN24=0,"",'[1]TASA DE FALLA'!DN24)</f>
      </c>
      <c r="J24" s="517">
        <f>+IF('[1]TASA DE FALLA'!DO24=0,"",'[1]TASA DE FALLA'!DO24)</f>
      </c>
      <c r="K24" s="517">
        <f>+IF('[1]TASA DE FALLA'!DP24=0,"",'[1]TASA DE FALLA'!DP24)</f>
      </c>
      <c r="L24" s="517">
        <f>+IF('[1]TASA DE FALLA'!DQ24=0,"",'[1]TASA DE FALLA'!DQ24)</f>
      </c>
      <c r="M24" s="517">
        <f>+IF('[1]TASA DE FALLA'!DR24=0,"",'[1]TASA DE FALLA'!DR24)</f>
      </c>
      <c r="N24" s="517">
        <f>+IF('[1]TASA DE FALLA'!DS24=0,"",'[1]TASA DE FALLA'!DS24)</f>
      </c>
      <c r="O24" s="517">
        <f>+IF('[1]TASA DE FALLA'!DT24=0,"",'[1]TASA DE FALLA'!DT24)</f>
      </c>
      <c r="P24" s="517">
        <f>+IF('[1]TASA DE FALLA'!DU24=0,"",'[1]TASA DE FALLA'!DU24)</f>
      </c>
      <c r="Q24" s="517">
        <f>+IF('[1]TASA DE FALLA'!DV24=0,"",'[1]TASA DE FALLA'!DV24)</f>
      </c>
      <c r="R24" s="517">
        <f>+IF('[1]TASA DE FALLA'!DW24=0,"",'[1]TASA DE FALLA'!DW24)</f>
      </c>
      <c r="S24" s="517">
        <f>+IF('[1]TASA DE FALLA'!DX24=0,"",'[1]TASA DE FALLA'!DX24)</f>
      </c>
      <c r="T24" s="515"/>
      <c r="U24" s="492"/>
    </row>
    <row r="25" spans="2:21" ht="15" customHeight="1">
      <c r="B25" s="487"/>
      <c r="C25" s="516">
        <f>'[1]TASA DE FALLA'!C25</f>
        <v>7</v>
      </c>
      <c r="D25" s="516" t="str">
        <f>'[1]TASA DE FALLA'!D25</f>
        <v>ARROYITO - PIAP 2</v>
      </c>
      <c r="E25" s="516">
        <f>'[1]TASA DE FALLA'!E25</f>
        <v>132</v>
      </c>
      <c r="F25" s="516">
        <f>'[1]TASA DE FALLA'!F25</f>
        <v>2</v>
      </c>
      <c r="G25" s="516" t="str">
        <f>'[1]TASA DE FALLA'!G25</f>
        <v>L</v>
      </c>
      <c r="H25" s="517">
        <f>+IF('[1]TASA DE FALLA'!DM25=0,"",'[1]TASA DE FALLA'!DM25)</f>
      </c>
      <c r="I25" s="517">
        <f>+IF('[1]TASA DE FALLA'!DN25=0,"",'[1]TASA DE FALLA'!DN25)</f>
      </c>
      <c r="J25" s="517">
        <f>+IF('[1]TASA DE FALLA'!DO25=0,"",'[1]TASA DE FALLA'!DO25)</f>
      </c>
      <c r="K25" s="517">
        <f>+IF('[1]TASA DE FALLA'!DP25=0,"",'[1]TASA DE FALLA'!DP25)</f>
      </c>
      <c r="L25" s="517">
        <f>+IF('[1]TASA DE FALLA'!DQ25=0,"",'[1]TASA DE FALLA'!DQ25)</f>
      </c>
      <c r="M25" s="517">
        <f>+IF('[1]TASA DE FALLA'!DR25=0,"",'[1]TASA DE FALLA'!DR25)</f>
      </c>
      <c r="N25" s="517">
        <f>+IF('[1]TASA DE FALLA'!DS25=0,"",'[1]TASA DE FALLA'!DS25)</f>
      </c>
      <c r="O25" s="517">
        <f>+IF('[1]TASA DE FALLA'!DT25=0,"",'[1]TASA DE FALLA'!DT25)</f>
      </c>
      <c r="P25" s="517">
        <f>+IF('[1]TASA DE FALLA'!DU25=0,"",'[1]TASA DE FALLA'!DU25)</f>
      </c>
      <c r="Q25" s="517">
        <f>+IF('[1]TASA DE FALLA'!DV25=0,"",'[1]TASA DE FALLA'!DV25)</f>
      </c>
      <c r="R25" s="517">
        <f>+IF('[1]TASA DE FALLA'!DW25=0,"",'[1]TASA DE FALLA'!DW25)</f>
      </c>
      <c r="S25" s="517">
        <f>+IF('[1]TASA DE FALLA'!DX25=0,"",'[1]TASA DE FALLA'!DX25)</f>
      </c>
      <c r="T25" s="515"/>
      <c r="U25" s="492"/>
    </row>
    <row r="26" spans="2:21" ht="15" customHeight="1">
      <c r="B26" s="487"/>
      <c r="C26" s="516">
        <f>'[1]TASA DE FALLA'!C26</f>
        <v>8</v>
      </c>
      <c r="D26" s="516" t="str">
        <f>'[1]TASA DE FALLA'!D26</f>
        <v>ALTO VALLE - CENTENARIO</v>
      </c>
      <c r="E26" s="516">
        <f>'[1]TASA DE FALLA'!E26</f>
        <v>132</v>
      </c>
      <c r="F26" s="516">
        <f>'[1]TASA DE FALLA'!F26</f>
        <v>17</v>
      </c>
      <c r="G26" s="516" t="str">
        <f>'[1]TASA DE FALLA'!G26</f>
        <v>L</v>
      </c>
      <c r="H26" s="517">
        <f>+IF('[1]TASA DE FALLA'!DM26=0,"",'[1]TASA DE FALLA'!DM26)</f>
      </c>
      <c r="I26" s="517">
        <f>+IF('[1]TASA DE FALLA'!DN26=0,"",'[1]TASA DE FALLA'!DN26)</f>
      </c>
      <c r="J26" s="517">
        <f>+IF('[1]TASA DE FALLA'!DO26=0,"",'[1]TASA DE FALLA'!DO26)</f>
      </c>
      <c r="K26" s="517">
        <f>+IF('[1]TASA DE FALLA'!DP26=0,"",'[1]TASA DE FALLA'!DP26)</f>
      </c>
      <c r="L26" s="517">
        <f>+IF('[1]TASA DE FALLA'!DQ26=0,"",'[1]TASA DE FALLA'!DQ26)</f>
      </c>
      <c r="M26" s="517">
        <f>+IF('[1]TASA DE FALLA'!DR26=0,"",'[1]TASA DE FALLA'!DR26)</f>
      </c>
      <c r="N26" s="517">
        <f>+IF('[1]TASA DE FALLA'!DS26=0,"",'[1]TASA DE FALLA'!DS26)</f>
      </c>
      <c r="O26" s="517">
        <f>+IF('[1]TASA DE FALLA'!DT26=0,"",'[1]TASA DE FALLA'!DT26)</f>
      </c>
      <c r="P26" s="517">
        <f>+IF('[1]TASA DE FALLA'!DU26=0,"",'[1]TASA DE FALLA'!DU26)</f>
        <v>1</v>
      </c>
      <c r="Q26" s="517">
        <f>+IF('[1]TASA DE FALLA'!DV26=0,"",'[1]TASA DE FALLA'!DV26)</f>
      </c>
      <c r="R26" s="517">
        <f>+IF('[1]TASA DE FALLA'!DW26=0,"",'[1]TASA DE FALLA'!DW26)</f>
      </c>
      <c r="S26" s="517">
        <f>+IF('[1]TASA DE FALLA'!DX26=0,"",'[1]TASA DE FALLA'!DX26)</f>
      </c>
      <c r="T26" s="515"/>
      <c r="U26" s="492"/>
    </row>
    <row r="27" spans="2:21" ht="15" customHeight="1">
      <c r="B27" s="487"/>
      <c r="C27" s="516">
        <f>'[1]TASA DE FALLA'!C27</f>
        <v>10</v>
      </c>
      <c r="D27" s="516" t="str">
        <f>'[1]TASA DE FALLA'!D27</f>
        <v>ALTO VALLE - COLONIA VALENTINA - ARROYITO</v>
      </c>
      <c r="E27" s="516">
        <f>'[1]TASA DE FALLA'!E27</f>
        <v>132</v>
      </c>
      <c r="F27" s="516">
        <f>'[1]TASA DE FALLA'!F27</f>
        <v>58.9</v>
      </c>
      <c r="G27" s="516" t="str">
        <f>'[1]TASA DE FALLA'!G27</f>
        <v>L</v>
      </c>
      <c r="H27" s="517">
        <f>+IF('[1]TASA DE FALLA'!DM27=0,"",'[1]TASA DE FALLA'!DM27)</f>
      </c>
      <c r="I27" s="517">
        <f>+IF('[1]TASA DE FALLA'!DN27=0,"",'[1]TASA DE FALLA'!DN27)</f>
      </c>
      <c r="J27" s="517">
        <f>+IF('[1]TASA DE FALLA'!DO27=0,"",'[1]TASA DE FALLA'!DO27)</f>
      </c>
      <c r="K27" s="517">
        <f>+IF('[1]TASA DE FALLA'!DP27=0,"",'[1]TASA DE FALLA'!DP27)</f>
      </c>
      <c r="L27" s="517">
        <f>+IF('[1]TASA DE FALLA'!DQ27=0,"",'[1]TASA DE FALLA'!DQ27)</f>
      </c>
      <c r="M27" s="517">
        <f>+IF('[1]TASA DE FALLA'!DR27=0,"",'[1]TASA DE FALLA'!DR27)</f>
      </c>
      <c r="N27" s="517">
        <f>+IF('[1]TASA DE FALLA'!DS27=0,"",'[1]TASA DE FALLA'!DS27)</f>
      </c>
      <c r="O27" s="517">
        <f>+IF('[1]TASA DE FALLA'!DT27=0,"",'[1]TASA DE FALLA'!DT27)</f>
      </c>
      <c r="P27" s="517">
        <f>+IF('[1]TASA DE FALLA'!DU27=0,"",'[1]TASA DE FALLA'!DU27)</f>
      </c>
      <c r="Q27" s="517">
        <f>+IF('[1]TASA DE FALLA'!DV27=0,"",'[1]TASA DE FALLA'!DV27)</f>
      </c>
      <c r="R27" s="517">
        <f>+IF('[1]TASA DE FALLA'!DW27=0,"",'[1]TASA DE FALLA'!DW27)</f>
      </c>
      <c r="S27" s="517">
        <f>+IF('[1]TASA DE FALLA'!DX27=0,"",'[1]TASA DE FALLA'!DX27)</f>
      </c>
      <c r="T27" s="515"/>
      <c r="U27" s="492"/>
    </row>
    <row r="28" spans="2:21" ht="15" customHeight="1">
      <c r="B28" s="487"/>
      <c r="C28" s="516">
        <f>'[1]TASA DE FALLA'!C28</f>
        <v>11</v>
      </c>
      <c r="D28" s="516" t="str">
        <f>'[1]TASA DE FALLA'!D28</f>
        <v>CHOCON OESTE - CHOCON</v>
      </c>
      <c r="E28" s="516">
        <f>'[1]TASA DE FALLA'!E28</f>
        <v>132</v>
      </c>
      <c r="F28" s="516">
        <f>'[1]TASA DE FALLA'!F28</f>
        <v>3.5</v>
      </c>
      <c r="G28" s="516" t="str">
        <f>'[1]TASA DE FALLA'!G28</f>
        <v>L</v>
      </c>
      <c r="H28" s="517">
        <f>+IF('[1]TASA DE FALLA'!DM28=0,"",'[1]TASA DE FALLA'!DM28)</f>
      </c>
      <c r="I28" s="517">
        <f>+IF('[1]TASA DE FALLA'!DN28=0,"",'[1]TASA DE FALLA'!DN28)</f>
      </c>
      <c r="J28" s="517">
        <f>+IF('[1]TASA DE FALLA'!DO28=0,"",'[1]TASA DE FALLA'!DO28)</f>
      </c>
      <c r="K28" s="517">
        <f>+IF('[1]TASA DE FALLA'!DP28=0,"",'[1]TASA DE FALLA'!DP28)</f>
      </c>
      <c r="L28" s="517">
        <f>+IF('[1]TASA DE FALLA'!DQ28=0,"",'[1]TASA DE FALLA'!DQ28)</f>
      </c>
      <c r="M28" s="517">
        <f>+IF('[1]TASA DE FALLA'!DR28=0,"",'[1]TASA DE FALLA'!DR28)</f>
      </c>
      <c r="N28" s="517">
        <f>+IF('[1]TASA DE FALLA'!DS28=0,"",'[1]TASA DE FALLA'!DS28)</f>
      </c>
      <c r="O28" s="517">
        <f>+IF('[1]TASA DE FALLA'!DT28=0,"",'[1]TASA DE FALLA'!DT28)</f>
      </c>
      <c r="P28" s="517">
        <f>+IF('[1]TASA DE FALLA'!DU28=0,"",'[1]TASA DE FALLA'!DU28)</f>
      </c>
      <c r="Q28" s="517">
        <f>+IF('[1]TASA DE FALLA'!DV28=0,"",'[1]TASA DE FALLA'!DV28)</f>
      </c>
      <c r="R28" s="517">
        <f>+IF('[1]TASA DE FALLA'!DW28=0,"",'[1]TASA DE FALLA'!DW28)</f>
      </c>
      <c r="S28" s="517">
        <f>+IF('[1]TASA DE FALLA'!DX28=0,"",'[1]TASA DE FALLA'!DX28)</f>
      </c>
      <c r="T28" s="515"/>
      <c r="U28" s="492"/>
    </row>
    <row r="29" spans="2:21" ht="15" customHeight="1">
      <c r="B29" s="487"/>
      <c r="C29" s="516">
        <f>'[1]TASA DE FALLA'!C29</f>
        <v>18</v>
      </c>
      <c r="D29" s="516" t="str">
        <f>'[1]TASA DE FALLA'!D29</f>
        <v>MEDANITOS - PTO. SECCIONAMIENTO</v>
      </c>
      <c r="E29" s="516">
        <f>'[1]TASA DE FALLA'!E29</f>
        <v>132</v>
      </c>
      <c r="F29" s="516">
        <f>'[1]TASA DE FALLA'!F29</f>
        <v>41</v>
      </c>
      <c r="G29" s="516" t="str">
        <f>'[1]TASA DE FALLA'!G29</f>
        <v>L</v>
      </c>
      <c r="H29" s="517">
        <f>+IF('[1]TASA DE FALLA'!DM29=0,"",'[1]TASA DE FALLA'!DM29)</f>
      </c>
      <c r="I29" s="517">
        <f>+IF('[1]TASA DE FALLA'!DN29=0,"",'[1]TASA DE FALLA'!DN29)</f>
      </c>
      <c r="J29" s="517">
        <f>+IF('[1]TASA DE FALLA'!DO29=0,"",'[1]TASA DE FALLA'!DO29)</f>
      </c>
      <c r="K29" s="517">
        <f>+IF('[1]TASA DE FALLA'!DP29=0,"",'[1]TASA DE FALLA'!DP29)</f>
      </c>
      <c r="L29" s="517">
        <f>+IF('[1]TASA DE FALLA'!DQ29=0,"",'[1]TASA DE FALLA'!DQ29)</f>
      </c>
      <c r="M29" s="517">
        <f>+IF('[1]TASA DE FALLA'!DR29=0,"",'[1]TASA DE FALLA'!DR29)</f>
      </c>
      <c r="N29" s="517">
        <f>+IF('[1]TASA DE FALLA'!DS29=0,"",'[1]TASA DE FALLA'!DS29)</f>
      </c>
      <c r="O29" s="517">
        <f>+IF('[1]TASA DE FALLA'!DT29=0,"",'[1]TASA DE FALLA'!DT29)</f>
      </c>
      <c r="P29" s="517">
        <f>+IF('[1]TASA DE FALLA'!DU29=0,"",'[1]TASA DE FALLA'!DU29)</f>
      </c>
      <c r="Q29" s="517">
        <f>+IF('[1]TASA DE FALLA'!DV29=0,"",'[1]TASA DE FALLA'!DV29)</f>
      </c>
      <c r="R29" s="517">
        <f>+IF('[1]TASA DE FALLA'!DW29=0,"",'[1]TASA DE FALLA'!DW29)</f>
      </c>
      <c r="S29" s="517">
        <f>+IF('[1]TASA DE FALLA'!DX29=0,"",'[1]TASA DE FALLA'!DX29)</f>
      </c>
      <c r="T29" s="515"/>
      <c r="U29" s="492"/>
    </row>
    <row r="30" spans="2:21" ht="15" customHeight="1">
      <c r="B30" s="487"/>
      <c r="C30" s="516">
        <f>'[1]TASA DE FALLA'!C30</f>
        <v>19</v>
      </c>
      <c r="D30" s="516" t="str">
        <f>'[1]TASA DE FALLA'!D30</f>
        <v>PIEDRA DEL AGUILA - EL CHOCON</v>
      </c>
      <c r="E30" s="516">
        <f>'[1]TASA DE FALLA'!E30</f>
        <v>132</v>
      </c>
      <c r="F30" s="516">
        <f>'[1]TASA DE FALLA'!F30</f>
        <v>170</v>
      </c>
      <c r="G30" s="516" t="str">
        <f>'[1]TASA DE FALLA'!G30</f>
        <v>L</v>
      </c>
      <c r="H30" s="517">
        <f>+IF('[1]TASA DE FALLA'!DM30=0,"",'[1]TASA DE FALLA'!DM30)</f>
      </c>
      <c r="I30" s="517">
        <f>+IF('[1]TASA DE FALLA'!DN30=0,"",'[1]TASA DE FALLA'!DN30)</f>
      </c>
      <c r="J30" s="517">
        <f>+IF('[1]TASA DE FALLA'!DO30=0,"",'[1]TASA DE FALLA'!DO30)</f>
      </c>
      <c r="K30" s="517">
        <f>+IF('[1]TASA DE FALLA'!DP30=0,"",'[1]TASA DE FALLA'!DP30)</f>
      </c>
      <c r="L30" s="517">
        <f>+IF('[1]TASA DE FALLA'!DQ30=0,"",'[1]TASA DE FALLA'!DQ30)</f>
      </c>
      <c r="M30" s="517">
        <f>+IF('[1]TASA DE FALLA'!DR30=0,"",'[1]TASA DE FALLA'!DR30)</f>
      </c>
      <c r="N30" s="517">
        <f>+IF('[1]TASA DE FALLA'!DS30=0,"",'[1]TASA DE FALLA'!DS30)</f>
      </c>
      <c r="O30" s="517">
        <f>+IF('[1]TASA DE FALLA'!DT30=0,"",'[1]TASA DE FALLA'!DT30)</f>
      </c>
      <c r="P30" s="517">
        <f>+IF('[1]TASA DE FALLA'!DU30=0,"",'[1]TASA DE FALLA'!DU30)</f>
      </c>
      <c r="Q30" s="517">
        <f>+IF('[1]TASA DE FALLA'!DV30=0,"",'[1]TASA DE FALLA'!DV30)</f>
      </c>
      <c r="R30" s="517">
        <f>+IF('[1]TASA DE FALLA'!DW30=0,"",'[1]TASA DE FALLA'!DW30)</f>
      </c>
      <c r="S30" s="517">
        <f>+IF('[1]TASA DE FALLA'!DX30=0,"",'[1]TASA DE FALLA'!DX30)</f>
      </c>
      <c r="T30" s="515"/>
      <c r="U30" s="492"/>
    </row>
    <row r="31" spans="2:21" ht="15" customHeight="1">
      <c r="B31" s="487"/>
      <c r="C31" s="516">
        <f>'[1]TASA DE FALLA'!C31</f>
        <v>20</v>
      </c>
      <c r="D31" s="516" t="str">
        <f>'[1]TASA DE FALLA'!D31</f>
        <v>PLAYA PLANICIE BANDERITA - PCIE. BANDERITA</v>
      </c>
      <c r="E31" s="516">
        <f>'[1]TASA DE FALLA'!E31</f>
        <v>132</v>
      </c>
      <c r="F31" s="516">
        <f>'[1]TASA DE FALLA'!F31</f>
        <v>1.5</v>
      </c>
      <c r="G31" s="516" t="str">
        <f>'[1]TASA DE FALLA'!G31</f>
        <v>L</v>
      </c>
      <c r="H31" s="517">
        <f>+IF('[1]TASA DE FALLA'!DM31=0,"",'[1]TASA DE FALLA'!DM31)</f>
      </c>
      <c r="I31" s="517">
        <f>+IF('[1]TASA DE FALLA'!DN31=0,"",'[1]TASA DE FALLA'!DN31)</f>
      </c>
      <c r="J31" s="517">
        <f>+IF('[1]TASA DE FALLA'!DO31=0,"",'[1]TASA DE FALLA'!DO31)</f>
      </c>
      <c r="K31" s="517">
        <f>+IF('[1]TASA DE FALLA'!DP31=0,"",'[1]TASA DE FALLA'!DP31)</f>
      </c>
      <c r="L31" s="517">
        <f>+IF('[1]TASA DE FALLA'!DQ31=0,"",'[1]TASA DE FALLA'!DQ31)</f>
      </c>
      <c r="M31" s="517">
        <f>+IF('[1]TASA DE FALLA'!DR31=0,"",'[1]TASA DE FALLA'!DR31)</f>
      </c>
      <c r="N31" s="517">
        <f>+IF('[1]TASA DE FALLA'!DS31=0,"",'[1]TASA DE FALLA'!DS31)</f>
      </c>
      <c r="O31" s="517">
        <f>+IF('[1]TASA DE FALLA'!DT31=0,"",'[1]TASA DE FALLA'!DT31)</f>
      </c>
      <c r="P31" s="517">
        <f>+IF('[1]TASA DE FALLA'!DU31=0,"",'[1]TASA DE FALLA'!DU31)</f>
      </c>
      <c r="Q31" s="517">
        <f>+IF('[1]TASA DE FALLA'!DV31=0,"",'[1]TASA DE FALLA'!DV31)</f>
      </c>
      <c r="R31" s="517">
        <f>+IF('[1]TASA DE FALLA'!DW31=0,"",'[1]TASA DE FALLA'!DW31)</f>
      </c>
      <c r="S31" s="517">
        <f>+IF('[1]TASA DE FALLA'!DX31=0,"",'[1]TASA DE FALLA'!DX31)</f>
      </c>
      <c r="T31" s="515"/>
      <c r="U31" s="492"/>
    </row>
    <row r="32" spans="2:21" ht="15" customHeight="1">
      <c r="B32" s="487"/>
      <c r="C32" s="516">
        <f>'[1]TASA DE FALLA'!C32</f>
        <v>21</v>
      </c>
      <c r="D32" s="516" t="str">
        <f>'[1]TASA DE FALLA'!D32</f>
        <v>PTO. SECCIONAMIENTO - PTO. HERNANDEZ</v>
      </c>
      <c r="E32" s="516">
        <f>'[1]TASA DE FALLA'!E32</f>
        <v>132</v>
      </c>
      <c r="F32" s="516">
        <f>'[1]TASA DE FALLA'!F32</f>
        <v>89</v>
      </c>
      <c r="G32" s="516" t="str">
        <f>'[1]TASA DE FALLA'!G32</f>
        <v>L</v>
      </c>
      <c r="H32" s="517" t="str">
        <f>+IF('[1]TASA DE FALLA'!DM32=0,"",'[1]TASA DE FALLA'!DM32)</f>
        <v>XXXX</v>
      </c>
      <c r="I32" s="517" t="str">
        <f>+IF('[1]TASA DE FALLA'!DN32=0,"",'[1]TASA DE FALLA'!DN32)</f>
        <v>XXXX</v>
      </c>
      <c r="J32" s="517" t="str">
        <f>+IF('[1]TASA DE FALLA'!DO32=0,"",'[1]TASA DE FALLA'!DO32)</f>
        <v>XXXX</v>
      </c>
      <c r="K32" s="517" t="str">
        <f>+IF('[1]TASA DE FALLA'!DP32=0,"",'[1]TASA DE FALLA'!DP32)</f>
        <v>XXXX</v>
      </c>
      <c r="L32" s="517" t="str">
        <f>+IF('[1]TASA DE FALLA'!DQ32=0,"",'[1]TASA DE FALLA'!DQ32)</f>
        <v>XXXX</v>
      </c>
      <c r="M32" s="517" t="str">
        <f>+IF('[1]TASA DE FALLA'!DR32=0,"",'[1]TASA DE FALLA'!DR32)</f>
        <v>XXXX</v>
      </c>
      <c r="N32" s="517" t="str">
        <f>+IF('[1]TASA DE FALLA'!DS32=0,"",'[1]TASA DE FALLA'!DS32)</f>
        <v>XXXX</v>
      </c>
      <c r="O32" s="517" t="str">
        <f>+IF('[1]TASA DE FALLA'!DT32=0,"",'[1]TASA DE FALLA'!DT32)</f>
        <v>XXXX</v>
      </c>
      <c r="P32" s="517" t="str">
        <f>+IF('[1]TASA DE FALLA'!DU32=0,"",'[1]TASA DE FALLA'!DU32)</f>
        <v>XXXX</v>
      </c>
      <c r="Q32" s="517" t="str">
        <f>+IF('[1]TASA DE FALLA'!DV32=0,"",'[1]TASA DE FALLA'!DV32)</f>
        <v>XXXX</v>
      </c>
      <c r="R32" s="517" t="str">
        <f>+IF('[1]TASA DE FALLA'!DW32=0,"",'[1]TASA DE FALLA'!DW32)</f>
        <v>XXXX</v>
      </c>
      <c r="S32" s="517" t="str">
        <f>+IF('[1]TASA DE FALLA'!DX32=0,"",'[1]TASA DE FALLA'!DX32)</f>
        <v>XXXX</v>
      </c>
      <c r="T32" s="515"/>
      <c r="U32" s="492"/>
    </row>
    <row r="33" spans="2:21" ht="15" customHeight="1">
      <c r="B33" s="487"/>
      <c r="C33" s="516">
        <f>'[1]TASA DE FALLA'!C33</f>
        <v>22</v>
      </c>
      <c r="D33" s="516" t="str">
        <f>'[1]TASA DE FALLA'!D33</f>
        <v>PTO. SECCIONAMIENTO - SEÑAL PICADA</v>
      </c>
      <c r="E33" s="516">
        <f>'[1]TASA DE FALLA'!E33</f>
        <v>132</v>
      </c>
      <c r="F33" s="516">
        <f>'[1]TASA DE FALLA'!F33</f>
        <v>18</v>
      </c>
      <c r="G33" s="516" t="str">
        <f>'[1]TASA DE FALLA'!G33</f>
        <v>L</v>
      </c>
      <c r="H33" s="517">
        <f>+IF('[1]TASA DE FALLA'!DM33=0,"",'[1]TASA DE FALLA'!DM33)</f>
      </c>
      <c r="I33" s="517">
        <f>+IF('[1]TASA DE FALLA'!DN33=0,"",'[1]TASA DE FALLA'!DN33)</f>
      </c>
      <c r="J33" s="517">
        <f>+IF('[1]TASA DE FALLA'!DO33=0,"",'[1]TASA DE FALLA'!DO33)</f>
      </c>
      <c r="K33" s="517">
        <f>+IF('[1]TASA DE FALLA'!DP33=0,"",'[1]TASA DE FALLA'!DP33)</f>
      </c>
      <c r="L33" s="517">
        <f>+IF('[1]TASA DE FALLA'!DQ33=0,"",'[1]TASA DE FALLA'!DQ33)</f>
      </c>
      <c r="M33" s="517">
        <f>+IF('[1]TASA DE FALLA'!DR33=0,"",'[1]TASA DE FALLA'!DR33)</f>
      </c>
      <c r="N33" s="517">
        <f>+IF('[1]TASA DE FALLA'!DS33=0,"",'[1]TASA DE FALLA'!DS33)</f>
      </c>
      <c r="O33" s="517">
        <f>+IF('[1]TASA DE FALLA'!DT33=0,"",'[1]TASA DE FALLA'!DT33)</f>
      </c>
      <c r="P33" s="517">
        <f>+IF('[1]TASA DE FALLA'!DU33=0,"",'[1]TASA DE FALLA'!DU33)</f>
      </c>
      <c r="Q33" s="517">
        <f>+IF('[1]TASA DE FALLA'!DV33=0,"",'[1]TASA DE FALLA'!DV33)</f>
      </c>
      <c r="R33" s="517">
        <f>+IF('[1]TASA DE FALLA'!DW33=0,"",'[1]TASA DE FALLA'!DW33)</f>
      </c>
      <c r="S33" s="517">
        <f>+IF('[1]TASA DE FALLA'!DX33=0,"",'[1]TASA DE FALLA'!DX33)</f>
      </c>
      <c r="T33" s="515"/>
      <c r="U33" s="492"/>
    </row>
    <row r="34" spans="2:21" ht="15" customHeight="1">
      <c r="B34" s="487"/>
      <c r="C34" s="516">
        <f>'[1]TASA DE FALLA'!C34</f>
        <v>29</v>
      </c>
      <c r="D34" s="516" t="str">
        <f>'[1]TASA DE FALLA'!D34</f>
        <v>PUESTO HERNANDEZ - CHIUHIDO II</v>
      </c>
      <c r="E34" s="516">
        <f>'[1]TASA DE FALLA'!E34</f>
        <v>132</v>
      </c>
      <c r="F34" s="516">
        <f>'[1]TASA DE FALLA'!F34</f>
        <v>19.5</v>
      </c>
      <c r="G34" s="516" t="str">
        <f>'[1]TASA DE FALLA'!G34</f>
        <v>L</v>
      </c>
      <c r="H34" s="517">
        <f>+IF('[1]TASA DE FALLA'!DM34=0,"",'[1]TASA DE FALLA'!DM34)</f>
      </c>
      <c r="I34" s="517">
        <f>+IF('[1]TASA DE FALLA'!DN34=0,"",'[1]TASA DE FALLA'!DN34)</f>
      </c>
      <c r="J34" s="517">
        <f>+IF('[1]TASA DE FALLA'!DO34=0,"",'[1]TASA DE FALLA'!DO34)</f>
      </c>
      <c r="K34" s="517">
        <f>+IF('[1]TASA DE FALLA'!DP34=0,"",'[1]TASA DE FALLA'!DP34)</f>
      </c>
      <c r="L34" s="517">
        <f>+IF('[1]TASA DE FALLA'!DQ34=0,"",'[1]TASA DE FALLA'!DQ34)</f>
      </c>
      <c r="M34" s="517">
        <f>+IF('[1]TASA DE FALLA'!DR34=0,"",'[1]TASA DE FALLA'!DR34)</f>
      </c>
      <c r="N34" s="517">
        <f>+IF('[1]TASA DE FALLA'!DS34=0,"",'[1]TASA DE FALLA'!DS34)</f>
      </c>
      <c r="O34" s="517">
        <f>+IF('[1]TASA DE FALLA'!DT34=0,"",'[1]TASA DE FALLA'!DT34)</f>
      </c>
      <c r="P34" s="517">
        <f>+IF('[1]TASA DE FALLA'!DU34=0,"",'[1]TASA DE FALLA'!DU34)</f>
      </c>
      <c r="Q34" s="517">
        <f>+IF('[1]TASA DE FALLA'!DV34=0,"",'[1]TASA DE FALLA'!DV34)</f>
      </c>
      <c r="R34" s="517">
        <f>+IF('[1]TASA DE FALLA'!DW34=0,"",'[1]TASA DE FALLA'!DW34)</f>
      </c>
      <c r="S34" s="517">
        <f>+IF('[1]TASA DE FALLA'!DX34=0,"",'[1]TASA DE FALLA'!DX34)</f>
      </c>
      <c r="T34" s="515"/>
      <c r="U34" s="492"/>
    </row>
    <row r="35" spans="2:21" ht="15" customHeight="1">
      <c r="B35" s="487"/>
      <c r="C35" s="516">
        <f>'[1]TASA DE FALLA'!C35</f>
        <v>30</v>
      </c>
      <c r="D35" s="516" t="str">
        <f>'[1]TASA DE FALLA'!D35</f>
        <v>CHIUHIDO II - EL TRAPIAL</v>
      </c>
      <c r="E35" s="516">
        <f>'[1]TASA DE FALLA'!E35</f>
        <v>132</v>
      </c>
      <c r="F35" s="516">
        <f>'[1]TASA DE FALLA'!F35</f>
        <v>4.9</v>
      </c>
      <c r="G35" s="516" t="str">
        <f>'[1]TASA DE FALLA'!G35</f>
        <v>L</v>
      </c>
      <c r="H35" s="517">
        <f>+IF('[1]TASA DE FALLA'!DM35=0,"",'[1]TASA DE FALLA'!DM35)</f>
      </c>
      <c r="I35" s="517">
        <f>+IF('[1]TASA DE FALLA'!DN35=0,"",'[1]TASA DE FALLA'!DN35)</f>
      </c>
      <c r="J35" s="517">
        <f>+IF('[1]TASA DE FALLA'!DO35=0,"",'[1]TASA DE FALLA'!DO35)</f>
      </c>
      <c r="K35" s="517">
        <f>+IF('[1]TASA DE FALLA'!DP35=0,"",'[1]TASA DE FALLA'!DP35)</f>
      </c>
      <c r="L35" s="517">
        <f>+IF('[1]TASA DE FALLA'!DQ35=0,"",'[1]TASA DE FALLA'!DQ35)</f>
      </c>
      <c r="M35" s="517">
        <f>+IF('[1]TASA DE FALLA'!DR35=0,"",'[1]TASA DE FALLA'!DR35)</f>
      </c>
      <c r="N35" s="517">
        <f>+IF('[1]TASA DE FALLA'!DS35=0,"",'[1]TASA DE FALLA'!DS35)</f>
      </c>
      <c r="O35" s="517">
        <f>+IF('[1]TASA DE FALLA'!DT35=0,"",'[1]TASA DE FALLA'!DT35)</f>
      </c>
      <c r="P35" s="517">
        <f>+IF('[1]TASA DE FALLA'!DU35=0,"",'[1]TASA DE FALLA'!DU35)</f>
      </c>
      <c r="Q35" s="517">
        <f>+IF('[1]TASA DE FALLA'!DV35=0,"",'[1]TASA DE FALLA'!DV35)</f>
      </c>
      <c r="R35" s="517">
        <f>+IF('[1]TASA DE FALLA'!DW35=0,"",'[1]TASA DE FALLA'!DW35)</f>
      </c>
      <c r="S35" s="517">
        <f>+IF('[1]TASA DE FALLA'!DX35=0,"",'[1]TASA DE FALLA'!DX35)</f>
      </c>
      <c r="T35" s="515"/>
      <c r="U35" s="492"/>
    </row>
    <row r="36" spans="2:21" ht="15" customHeight="1">
      <c r="B36" s="487"/>
      <c r="C36" s="516">
        <f>'[1]TASA DE FALLA'!C36</f>
        <v>31</v>
      </c>
      <c r="D36" s="516" t="str">
        <f>'[1]TASA DE FALLA'!D36</f>
        <v>EL TRAPIAL - LOMA DE LA LATA 1</v>
      </c>
      <c r="E36" s="516">
        <f>'[1]TASA DE FALLA'!E36</f>
        <v>132</v>
      </c>
      <c r="F36" s="516">
        <f>'[1]TASA DE FALLA'!F36</f>
        <v>142</v>
      </c>
      <c r="G36" s="516" t="str">
        <f>'[1]TASA DE FALLA'!G36</f>
        <v>L</v>
      </c>
      <c r="H36" s="517">
        <f>+IF('[1]TASA DE FALLA'!DM36=0,"",'[1]TASA DE FALLA'!DM36)</f>
      </c>
      <c r="I36" s="517">
        <f>+IF('[1]TASA DE FALLA'!DN36=0,"",'[1]TASA DE FALLA'!DN36)</f>
      </c>
      <c r="J36" s="517">
        <f>+IF('[1]TASA DE FALLA'!DO36=0,"",'[1]TASA DE FALLA'!DO36)</f>
      </c>
      <c r="K36" s="517">
        <f>+IF('[1]TASA DE FALLA'!DP36=0,"",'[1]TASA DE FALLA'!DP36)</f>
      </c>
      <c r="L36" s="517">
        <f>+IF('[1]TASA DE FALLA'!DQ36=0,"",'[1]TASA DE FALLA'!DQ36)</f>
      </c>
      <c r="M36" s="517">
        <f>+IF('[1]TASA DE FALLA'!DR36=0,"",'[1]TASA DE FALLA'!DR36)</f>
      </c>
      <c r="N36" s="517">
        <f>+IF('[1]TASA DE FALLA'!DS36=0,"",'[1]TASA DE FALLA'!DS36)</f>
      </c>
      <c r="O36" s="517">
        <f>+IF('[1]TASA DE FALLA'!DT36=0,"",'[1]TASA DE FALLA'!DT36)</f>
      </c>
      <c r="P36" s="517">
        <f>+IF('[1]TASA DE FALLA'!DU36=0,"",'[1]TASA DE FALLA'!DU36)</f>
      </c>
      <c r="Q36" s="517">
        <f>+IF('[1]TASA DE FALLA'!DV36=0,"",'[1]TASA DE FALLA'!DV36)</f>
      </c>
      <c r="R36" s="517">
        <f>+IF('[1]TASA DE FALLA'!DW36=0,"",'[1]TASA DE FALLA'!DW36)</f>
      </c>
      <c r="S36" s="517">
        <f>+IF('[1]TASA DE FALLA'!DX36=0,"",'[1]TASA DE FALLA'!DX36)</f>
      </c>
      <c r="T36" s="515"/>
      <c r="U36" s="492"/>
    </row>
    <row r="37" spans="2:21" ht="15" customHeight="1">
      <c r="B37" s="487"/>
      <c r="C37" s="516">
        <f>'[1]TASA DE FALLA'!C37</f>
        <v>32</v>
      </c>
      <c r="D37" s="516" t="str">
        <f>'[1]TASA DE FALLA'!D37</f>
        <v>EL TRAPIAL - LOMA DE LA LATA 2</v>
      </c>
      <c r="E37" s="516">
        <f>'[1]TASA DE FALLA'!E37</f>
        <v>132</v>
      </c>
      <c r="F37" s="516">
        <f>'[1]TASA DE FALLA'!F37</f>
        <v>142</v>
      </c>
      <c r="G37" s="516" t="str">
        <f>'[1]TASA DE FALLA'!G37</f>
        <v>L</v>
      </c>
      <c r="H37" s="517">
        <f>+IF('[1]TASA DE FALLA'!DM37=0,"",'[1]TASA DE FALLA'!DM37)</f>
      </c>
      <c r="I37" s="517">
        <f>+IF('[1]TASA DE FALLA'!DN37=0,"",'[1]TASA DE FALLA'!DN37)</f>
      </c>
      <c r="J37" s="517">
        <f>+IF('[1]TASA DE FALLA'!DO37=0,"",'[1]TASA DE FALLA'!DO37)</f>
      </c>
      <c r="K37" s="517">
        <f>+IF('[1]TASA DE FALLA'!DP37=0,"",'[1]TASA DE FALLA'!DP37)</f>
      </c>
      <c r="L37" s="517">
        <f>+IF('[1]TASA DE FALLA'!DQ37=0,"",'[1]TASA DE FALLA'!DQ37)</f>
      </c>
      <c r="M37" s="517">
        <f>+IF('[1]TASA DE FALLA'!DR37=0,"",'[1]TASA DE FALLA'!DR37)</f>
      </c>
      <c r="N37" s="517">
        <f>+IF('[1]TASA DE FALLA'!DS37=0,"",'[1]TASA DE FALLA'!DS37)</f>
      </c>
      <c r="O37" s="517">
        <f>+IF('[1]TASA DE FALLA'!DT37=0,"",'[1]TASA DE FALLA'!DT37)</f>
      </c>
      <c r="P37" s="517">
        <f>+IF('[1]TASA DE FALLA'!DU37=0,"",'[1]TASA DE FALLA'!DU37)</f>
      </c>
      <c r="Q37" s="517">
        <f>+IF('[1]TASA DE FALLA'!DV37=0,"",'[1]TASA DE FALLA'!DV37)</f>
      </c>
      <c r="R37" s="517">
        <f>+IF('[1]TASA DE FALLA'!DW37=0,"",'[1]TASA DE FALLA'!DW37)</f>
      </c>
      <c r="S37" s="517">
        <f>+IF('[1]TASA DE FALLA'!DX37=0,"",'[1]TASA DE FALLA'!DX37)</f>
      </c>
      <c r="T37" s="515"/>
      <c r="U37" s="492"/>
    </row>
    <row r="38" spans="2:21" ht="15" customHeight="1">
      <c r="B38" s="487"/>
      <c r="C38" s="516">
        <f>'[1]TASA DE FALLA'!C38</f>
        <v>33</v>
      </c>
      <c r="D38" s="516" t="str">
        <f>'[1]TASA DE FALLA'!D38</f>
        <v>PTO. SECCIONAMIENTO - RINCON DE LOS SAUCES</v>
      </c>
      <c r="E38" s="516">
        <f>'[1]TASA DE FALLA'!E38</f>
        <v>132</v>
      </c>
      <c r="F38" s="516">
        <f>'[1]TASA DE FALLA'!F38</f>
        <v>67.705</v>
      </c>
      <c r="G38" s="516" t="str">
        <f>'[1]TASA DE FALLA'!G38</f>
        <v>L</v>
      </c>
      <c r="H38" s="517">
        <f>+IF('[1]TASA DE FALLA'!DM38=0,"",'[1]TASA DE FALLA'!DM38)</f>
      </c>
      <c r="I38" s="517">
        <f>+IF('[1]TASA DE FALLA'!DN38=0,"",'[1]TASA DE FALLA'!DN38)</f>
      </c>
      <c r="J38" s="517">
        <f>+IF('[1]TASA DE FALLA'!DO38=0,"",'[1]TASA DE FALLA'!DO38)</f>
      </c>
      <c r="K38" s="517">
        <f>+IF('[1]TASA DE FALLA'!DP38=0,"",'[1]TASA DE FALLA'!DP38)</f>
      </c>
      <c r="L38" s="517">
        <f>+IF('[1]TASA DE FALLA'!DQ38=0,"",'[1]TASA DE FALLA'!DQ38)</f>
      </c>
      <c r="M38" s="517">
        <f>+IF('[1]TASA DE FALLA'!DR38=0,"",'[1]TASA DE FALLA'!DR38)</f>
      </c>
      <c r="N38" s="517">
        <f>+IF('[1]TASA DE FALLA'!DS38=0,"",'[1]TASA DE FALLA'!DS38)</f>
      </c>
      <c r="O38" s="517">
        <f>+IF('[1]TASA DE FALLA'!DT38=0,"",'[1]TASA DE FALLA'!DT38)</f>
      </c>
      <c r="P38" s="517">
        <f>+IF('[1]TASA DE FALLA'!DU38=0,"",'[1]TASA DE FALLA'!DU38)</f>
      </c>
      <c r="Q38" s="517">
        <f>+IF('[1]TASA DE FALLA'!DV38=0,"",'[1]TASA DE FALLA'!DV38)</f>
      </c>
      <c r="R38" s="517">
        <f>+IF('[1]TASA DE FALLA'!DW38=0,"",'[1]TASA DE FALLA'!DW38)</f>
      </c>
      <c r="S38" s="517">
        <f>+IF('[1]TASA DE FALLA'!DX38=0,"",'[1]TASA DE FALLA'!DX38)</f>
      </c>
      <c r="T38" s="515"/>
      <c r="U38" s="492"/>
    </row>
    <row r="39" spans="2:21" ht="15" customHeight="1">
      <c r="B39" s="487"/>
      <c r="C39" s="516">
        <f>'[1]TASA DE FALLA'!C39</f>
        <v>34</v>
      </c>
      <c r="D39" s="516" t="str">
        <f>'[1]TASA DE FALLA'!D39</f>
        <v>PTO. HERNANDEZ - RINCON DE LOS SAUCES</v>
      </c>
      <c r="E39" s="516">
        <f>'[1]TASA DE FALLA'!E39</f>
        <v>132</v>
      </c>
      <c r="F39" s="516">
        <f>'[1]TASA DE FALLA'!F39</f>
        <v>21</v>
      </c>
      <c r="G39" s="516" t="str">
        <f>'[1]TASA DE FALLA'!G39</f>
        <v>L</v>
      </c>
      <c r="H39" s="517">
        <f>+IF('[1]TASA DE FALLA'!DM39=0,"",'[1]TASA DE FALLA'!DM39)</f>
      </c>
      <c r="I39" s="517">
        <f>+IF('[1]TASA DE FALLA'!DN39=0,"",'[1]TASA DE FALLA'!DN39)</f>
      </c>
      <c r="J39" s="517">
        <f>+IF('[1]TASA DE FALLA'!DO39=0,"",'[1]TASA DE FALLA'!DO39)</f>
        <v>1</v>
      </c>
      <c r="K39" s="517">
        <f>+IF('[1]TASA DE FALLA'!DP39=0,"",'[1]TASA DE FALLA'!DP39)</f>
      </c>
      <c r="L39" s="517">
        <f>+IF('[1]TASA DE FALLA'!DQ39=0,"",'[1]TASA DE FALLA'!DQ39)</f>
      </c>
      <c r="M39" s="517">
        <f>+IF('[1]TASA DE FALLA'!DR39=0,"",'[1]TASA DE FALLA'!DR39)</f>
      </c>
      <c r="N39" s="517">
        <f>+IF('[1]TASA DE FALLA'!DS39=0,"",'[1]TASA DE FALLA'!DS39)</f>
      </c>
      <c r="O39" s="517">
        <f>+IF('[1]TASA DE FALLA'!DT39=0,"",'[1]TASA DE FALLA'!DT39)</f>
      </c>
      <c r="P39" s="517">
        <f>+IF('[1]TASA DE FALLA'!DU39=0,"",'[1]TASA DE FALLA'!DU39)</f>
      </c>
      <c r="Q39" s="517">
        <f>+IF('[1]TASA DE FALLA'!DV39=0,"",'[1]TASA DE FALLA'!DV39)</f>
      </c>
      <c r="R39" s="517">
        <f>+IF('[1]TASA DE FALLA'!DW39=0,"",'[1]TASA DE FALLA'!DW39)</f>
      </c>
      <c r="S39" s="517">
        <f>+IF('[1]TASA DE FALLA'!DX39=0,"",'[1]TASA DE FALLA'!DX39)</f>
      </c>
      <c r="T39" s="515"/>
      <c r="U39" s="492"/>
    </row>
    <row r="40" spans="2:21" ht="15" customHeight="1" thickBot="1">
      <c r="B40" s="487"/>
      <c r="C40" s="518"/>
      <c r="D40" s="519"/>
      <c r="E40" s="519"/>
      <c r="F40" s="520"/>
      <c r="G40" s="521"/>
      <c r="H40" s="517">
        <f>+IF('[1]TASA DE FALLA'!DM40=0,"",'[1]TASA DE FALLA'!DM40)</f>
      </c>
      <c r="I40" s="517">
        <f>+IF('[1]TASA DE FALLA'!DN40=0,"",'[1]TASA DE FALLA'!DN40)</f>
      </c>
      <c r="J40" s="517">
        <f>+IF('[1]TASA DE FALLA'!DO40=0,"",'[1]TASA DE FALLA'!DO40)</f>
      </c>
      <c r="K40" s="517">
        <f>+IF('[1]TASA DE FALLA'!DP40=0,"",'[1]TASA DE FALLA'!DP40)</f>
      </c>
      <c r="L40" s="517">
        <f>+IF('[1]TASA DE FALLA'!DQ40=0,"",'[1]TASA DE FALLA'!DQ40)</f>
      </c>
      <c r="M40" s="517">
        <f>+IF('[1]TASA DE FALLA'!DR40=0,"",'[1]TASA DE FALLA'!DR40)</f>
      </c>
      <c r="N40" s="517">
        <f>+IF('[1]TASA DE FALLA'!DS40=0,"",'[1]TASA DE FALLA'!DS40)</f>
      </c>
      <c r="O40" s="517">
        <f>+IF('[1]TASA DE FALLA'!DT40=0,"",'[1]TASA DE FALLA'!DT40)</f>
      </c>
      <c r="P40" s="517">
        <f>+IF('[1]TASA DE FALLA'!DU40=0,"",'[1]TASA DE FALLA'!DU40)</f>
      </c>
      <c r="Q40" s="517">
        <f>+IF('[1]TASA DE FALLA'!DV40=0,"",'[1]TASA DE FALLA'!DV40)</f>
      </c>
      <c r="R40" s="517">
        <f>+IF('[1]TASA DE FALLA'!DW40=0,"",'[1]TASA DE FALLA'!DW40)</f>
      </c>
      <c r="S40" s="517">
        <f>+IF('[1]TASA DE FALLA'!DX40=0,"",'[1]TASA DE FALLA'!DX40)</f>
      </c>
      <c r="T40" s="515"/>
      <c r="U40" s="492"/>
    </row>
    <row r="41" spans="2:21" ht="15" customHeight="1" thickBot="1" thickTop="1">
      <c r="B41" s="487"/>
      <c r="C41" s="522"/>
      <c r="D41" s="523"/>
      <c r="E41" s="524" t="s">
        <v>178</v>
      </c>
      <c r="F41" s="525">
        <f>SUM(F19:F40)-F32</f>
        <v>764.005</v>
      </c>
      <c r="G41" s="526"/>
      <c r="H41" s="528"/>
      <c r="I41" s="527"/>
      <c r="J41" s="528"/>
      <c r="K41" s="527"/>
      <c r="L41" s="528"/>
      <c r="M41" s="527"/>
      <c r="N41" s="528"/>
      <c r="O41" s="527"/>
      <c r="P41" s="528"/>
      <c r="Q41" s="527"/>
      <c r="R41" s="528"/>
      <c r="S41" s="527"/>
      <c r="T41" s="515"/>
      <c r="U41" s="492"/>
    </row>
    <row r="42" spans="2:21" ht="15" customHeight="1" thickBot="1" thickTop="1">
      <c r="B42" s="487"/>
      <c r="C42" s="529"/>
      <c r="D42" s="530"/>
      <c r="E42" s="531"/>
      <c r="F42" s="491"/>
      <c r="G42" s="532" t="s">
        <v>179</v>
      </c>
      <c r="H42" s="533">
        <f>SUM(H19:H40)</f>
        <v>0</v>
      </c>
      <c r="I42" s="533">
        <f>SUM(I19:I40)</f>
        <v>1</v>
      </c>
      <c r="J42" s="533">
        <f aca="true" t="shared" si="0" ref="J42:S42">SUM(J19:J40)</f>
        <v>1</v>
      </c>
      <c r="K42" s="533">
        <f t="shared" si="0"/>
        <v>0</v>
      </c>
      <c r="L42" s="533">
        <f t="shared" si="0"/>
        <v>0</v>
      </c>
      <c r="M42" s="533">
        <f t="shared" si="0"/>
        <v>0</v>
      </c>
      <c r="N42" s="533">
        <f t="shared" si="0"/>
        <v>0</v>
      </c>
      <c r="O42" s="533">
        <f t="shared" si="0"/>
        <v>0</v>
      </c>
      <c r="P42" s="533">
        <f t="shared" si="0"/>
        <v>1</v>
      </c>
      <c r="Q42" s="533">
        <f t="shared" si="0"/>
        <v>1</v>
      </c>
      <c r="R42" s="533">
        <f t="shared" si="0"/>
        <v>0</v>
      </c>
      <c r="S42" s="533">
        <f t="shared" si="0"/>
        <v>0</v>
      </c>
      <c r="T42" s="534"/>
      <c r="U42" s="492"/>
    </row>
    <row r="43" spans="2:21" ht="17.25" thickBot="1" thickTop="1">
      <c r="B43" s="487"/>
      <c r="C43" s="529"/>
      <c r="D43" s="529"/>
      <c r="E43" s="529"/>
      <c r="G43" s="535" t="s">
        <v>180</v>
      </c>
      <c r="H43" s="536">
        <f>'[1]TASA DE FALLA'!DM43</f>
        <v>2.36</v>
      </c>
      <c r="I43" s="536">
        <f>'[1]TASA DE FALLA'!DN43</f>
        <v>2.36</v>
      </c>
      <c r="J43" s="536">
        <f>'[1]TASA DE FALLA'!DO43</f>
        <v>1.96</v>
      </c>
      <c r="K43" s="536">
        <f>'[1]TASA DE FALLA'!DP43</f>
        <v>1.83</v>
      </c>
      <c r="L43" s="536">
        <f>'[1]TASA DE FALLA'!DQ43</f>
        <v>1.57</v>
      </c>
      <c r="M43" s="536">
        <f>'[1]TASA DE FALLA'!DR43</f>
        <v>1.44</v>
      </c>
      <c r="N43" s="536">
        <f>'[1]TASA DE FALLA'!DS43</f>
        <v>1.05</v>
      </c>
      <c r="O43" s="536">
        <f>'[1]TASA DE FALLA'!DT43</f>
        <v>1.05</v>
      </c>
      <c r="P43" s="536">
        <f>'[1]TASA DE FALLA'!DU43</f>
        <v>1.05</v>
      </c>
      <c r="Q43" s="536">
        <f>'[1]TASA DE FALLA'!DV43</f>
        <v>1.05</v>
      </c>
      <c r="R43" s="536">
        <f>'[1]TASA DE FALLA'!DW43</f>
        <v>1.05</v>
      </c>
      <c r="S43" s="536">
        <f>'[1]TASA DE FALLA'!DX43</f>
        <v>0.52</v>
      </c>
      <c r="T43" s="536">
        <f>'[1]TASA DE FALLA'!DY43</f>
        <v>0.52</v>
      </c>
      <c r="U43" s="492"/>
    </row>
    <row r="44" spans="2:22" ht="18.75" customHeight="1" thickBot="1" thickTop="1">
      <c r="B44" s="487"/>
      <c r="C44" s="537"/>
      <c r="D44" s="537"/>
      <c r="E44" s="538"/>
      <c r="F44" s="539"/>
      <c r="G44" s="540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2"/>
      <c r="V44" s="543"/>
    </row>
    <row r="45" spans="2:23" s="547" customFormat="1" ht="21.75" thickBot="1" thickTop="1">
      <c r="B45" s="544"/>
      <c r="C45" s="545"/>
      <c r="D45" s="545"/>
      <c r="E45" s="546"/>
      <c r="H45" s="548" t="s">
        <v>181</v>
      </c>
      <c r="I45" s="549"/>
      <c r="J45" s="550">
        <f>+T43</f>
        <v>0.52</v>
      </c>
      <c r="K45" s="549"/>
      <c r="L45" s="551" t="s">
        <v>182</v>
      </c>
      <c r="M45" s="552"/>
      <c r="T45" s="553"/>
      <c r="U45" s="554"/>
      <c r="V45" s="553"/>
      <c r="W45" s="553"/>
    </row>
    <row r="46" spans="2:21" ht="18.75" customHeight="1" thickBot="1" thickTop="1">
      <c r="B46" s="555"/>
      <c r="C46" s="556"/>
      <c r="D46" s="557"/>
      <c r="E46" s="557"/>
      <c r="F46" s="558"/>
      <c r="G46" s="559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60"/>
    </row>
    <row r="47" spans="2:22" ht="15" customHeight="1" thickTop="1">
      <c r="B47" s="561"/>
      <c r="C47" s="491"/>
      <c r="D47" s="491"/>
      <c r="E47" s="491"/>
      <c r="F47" s="562"/>
      <c r="G47" s="562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</row>
    <row r="48" spans="2:22" ht="22.5" customHeight="1">
      <c r="B48" s="563"/>
      <c r="C48" s="564"/>
      <c r="D48" s="491"/>
      <c r="E48" s="491"/>
      <c r="F48" s="565"/>
      <c r="G48" s="562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</row>
    <row r="49" spans="2:22" ht="22.5" customHeight="1">
      <c r="B49" s="564"/>
      <c r="C49" s="564"/>
      <c r="D49" s="566"/>
      <c r="E49" s="491"/>
      <c r="F49" s="567"/>
      <c r="G49" s="562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</row>
    <row r="50" spans="2:22" ht="22.5" customHeight="1">
      <c r="B50" s="491"/>
      <c r="D50" s="491"/>
      <c r="E50" s="491"/>
      <c r="F50" s="491"/>
      <c r="G50" s="568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</row>
    <row r="51" spans="2:22" ht="22.5" customHeight="1">
      <c r="B51" s="491"/>
      <c r="C51" s="491"/>
      <c r="D51" s="569"/>
      <c r="E51" s="569"/>
      <c r="F51" s="489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</row>
    <row r="52" spans="2:22" ht="22.5" customHeight="1">
      <c r="B52" s="491"/>
      <c r="C52" s="491"/>
      <c r="D52" s="569"/>
      <c r="E52" s="569"/>
      <c r="F52" s="571"/>
      <c r="G52" s="568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</row>
    <row r="53" spans="2:22" ht="22.5" customHeight="1">
      <c r="B53" s="491"/>
      <c r="C53" s="491"/>
      <c r="D53" s="490"/>
      <c r="E53" s="490"/>
      <c r="F53" s="490"/>
      <c r="G53" s="568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</row>
    <row r="54" spans="2:22" ht="22.5" customHeight="1">
      <c r="B54" s="491"/>
      <c r="C54" s="491"/>
      <c r="D54" s="569"/>
      <c r="E54" s="569"/>
      <c r="F54" s="490"/>
      <c r="G54" s="572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</row>
    <row r="55" ht="22.5" customHeight="1">
      <c r="G55" s="573"/>
    </row>
    <row r="56" ht="22.5" customHeight="1">
      <c r="G56" s="573"/>
    </row>
    <row r="57" ht="22.5" customHeight="1">
      <c r="G57" s="574"/>
    </row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1">
    <mergeCell ref="A3:B3"/>
  </mergeCells>
  <printOptions/>
  <pageMargins left="0.7" right="0.7" top="0.75" bottom="0.75" header="0.3" footer="0.3"/>
  <pageSetup fitToHeight="1" fitToWidth="1" horizontalDpi="600" verticalDpi="600" orientation="landscape" scale="47" r:id="rId2"/>
  <headerFooter alignWithMargins="0">
    <oddFooter>&amp;L&amp;8&amp;Z&amp;F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F28" sqref="F28"/>
    </sheetView>
  </sheetViews>
  <sheetFormatPr defaultColWidth="11.421875" defaultRowHeight="12.75"/>
  <cols>
    <col min="1" max="1" width="21.7109375" style="445" customWidth="1"/>
    <col min="2" max="2" width="9.28125" style="445" customWidth="1"/>
    <col min="3" max="3" width="11.8515625" style="445" bestFit="1" customWidth="1"/>
    <col min="4" max="4" width="9.57421875" style="445" bestFit="1" customWidth="1"/>
    <col min="5" max="5" width="14.8515625" style="445" bestFit="1" customWidth="1"/>
    <col min="6" max="6" width="64.00390625" style="445" bestFit="1" customWidth="1"/>
    <col min="7" max="16384" width="11.421875" style="445" customWidth="1"/>
  </cols>
  <sheetData>
    <row r="1" spans="1:6" ht="12.75">
      <c r="A1" s="444" t="s">
        <v>76</v>
      </c>
      <c r="B1" s="444" t="s">
        <v>76</v>
      </c>
      <c r="C1" s="444" t="s">
        <v>77</v>
      </c>
      <c r="D1" s="444" t="s">
        <v>78</v>
      </c>
      <c r="F1" s="445" t="s">
        <v>172</v>
      </c>
    </row>
    <row r="2" spans="1:4" ht="12.75">
      <c r="A2" s="446" t="s">
        <v>56</v>
      </c>
      <c r="B2" s="447" t="s">
        <v>79</v>
      </c>
      <c r="C2" s="446">
        <v>31</v>
      </c>
      <c r="D2" s="446">
        <v>2006</v>
      </c>
    </row>
    <row r="3" spans="1:4" ht="12.75">
      <c r="A3" s="446" t="s">
        <v>57</v>
      </c>
      <c r="B3" s="447" t="s">
        <v>80</v>
      </c>
      <c r="C3" s="446">
        <f>IF(MOD(E14,4)=0,29,28)</f>
        <v>28</v>
      </c>
      <c r="D3" s="446">
        <f>+D2+1</f>
        <v>2007</v>
      </c>
    </row>
    <row r="4" spans="1:4" ht="12.75">
      <c r="A4" s="446" t="s">
        <v>58</v>
      </c>
      <c r="B4" s="447" t="s">
        <v>81</v>
      </c>
      <c r="C4" s="446">
        <v>31</v>
      </c>
      <c r="D4" s="446">
        <v>2008</v>
      </c>
    </row>
    <row r="5" spans="1:4" ht="12.75">
      <c r="A5" s="446" t="s">
        <v>59</v>
      </c>
      <c r="B5" s="447" t="s">
        <v>82</v>
      </c>
      <c r="C5" s="446">
        <v>30</v>
      </c>
      <c r="D5" s="446">
        <v>2009</v>
      </c>
    </row>
    <row r="6" spans="1:4" ht="12.75">
      <c r="A6" s="446" t="s">
        <v>60</v>
      </c>
      <c r="B6" s="447" t="s">
        <v>83</v>
      </c>
      <c r="C6" s="446">
        <v>31</v>
      </c>
      <c r="D6" s="446">
        <v>2010</v>
      </c>
    </row>
    <row r="7" spans="1:4" ht="12.75">
      <c r="A7" s="446" t="s">
        <v>61</v>
      </c>
      <c r="B7" s="447" t="s">
        <v>84</v>
      </c>
      <c r="C7" s="446">
        <v>30</v>
      </c>
      <c r="D7" s="446">
        <v>2011</v>
      </c>
    </row>
    <row r="8" spans="1:4" ht="12.75">
      <c r="A8" s="446" t="s">
        <v>62</v>
      </c>
      <c r="B8" s="447" t="s">
        <v>85</v>
      </c>
      <c r="C8" s="446">
        <v>31</v>
      </c>
      <c r="D8" s="446">
        <v>2012</v>
      </c>
    </row>
    <row r="9" spans="1:4" ht="12.75">
      <c r="A9" s="446" t="s">
        <v>63</v>
      </c>
      <c r="B9" s="447" t="s">
        <v>86</v>
      </c>
      <c r="C9" s="446">
        <v>31</v>
      </c>
      <c r="D9" s="446">
        <v>2013</v>
      </c>
    </row>
    <row r="10" spans="1:4" ht="12.75">
      <c r="A10" s="446" t="s">
        <v>64</v>
      </c>
      <c r="B10" s="447" t="s">
        <v>87</v>
      </c>
      <c r="C10" s="446">
        <v>30</v>
      </c>
      <c r="D10" s="446">
        <v>2014</v>
      </c>
    </row>
    <row r="11" spans="1:4" ht="12.75">
      <c r="A11" s="446" t="s">
        <v>65</v>
      </c>
      <c r="B11" s="447" t="s">
        <v>88</v>
      </c>
      <c r="C11" s="446">
        <v>31</v>
      </c>
      <c r="D11" s="446">
        <v>2015</v>
      </c>
    </row>
    <row r="12" spans="1:4" ht="12.75">
      <c r="A12" s="446" t="s">
        <v>66</v>
      </c>
      <c r="B12" s="447" t="s">
        <v>89</v>
      </c>
      <c r="C12" s="446">
        <v>30</v>
      </c>
      <c r="D12" s="446"/>
    </row>
    <row r="13" spans="1:9" ht="12.75">
      <c r="A13" s="446" t="s">
        <v>67</v>
      </c>
      <c r="B13" s="447" t="s">
        <v>90</v>
      </c>
      <c r="C13" s="446">
        <v>31</v>
      </c>
      <c r="D13" s="446"/>
      <c r="I13" s="448" t="s">
        <v>91</v>
      </c>
    </row>
    <row r="14" spans="1:9" ht="12.75">
      <c r="A14" s="449">
        <v>10</v>
      </c>
      <c r="B14" s="450">
        <v>12</v>
      </c>
      <c r="C14" s="449" t="str">
        <f ca="1">CELL("CONTENIDO",OFFSET(A1,B14,0))</f>
        <v>diciembre</v>
      </c>
      <c r="D14" s="449">
        <f ca="1">CELL("CONTENIDO",OFFSET(C1,B14,0))</f>
        <v>31</v>
      </c>
      <c r="E14" s="449">
        <f ca="1">CELL("CONTENIDO",OFFSET(D1,A14,0))</f>
        <v>2015</v>
      </c>
      <c r="F14" s="449" t="str">
        <f>"Desde el 01 al "&amp;D14&amp;" de "&amp;C14&amp;" de "&amp;E14</f>
        <v>Desde el 01 al 31 de diciembre de 2015</v>
      </c>
      <c r="G14" s="449" t="str">
        <f ca="1">CELL("CONTENIDO",OFFSET(B1,B14,0))</f>
        <v>12</v>
      </c>
      <c r="H14" s="449" t="str">
        <f>RIGHT(E14,2)</f>
        <v>15</v>
      </c>
      <c r="I14" s="451" t="s">
        <v>92</v>
      </c>
    </row>
    <row r="15" spans="1:8" ht="12.75">
      <c r="A15" s="449"/>
      <c r="B15" s="452" t="str">
        <f>"\\rugor\files\Transporte\Transporte\AA PROCESO AUT ARCHIVOS J\EPEN_TRONCAL\"&amp;E14</f>
        <v>\\rugor\files\Transporte\Transporte\AA PROCESO AUT ARCHIVOS J\EPEN_TRONCAL\2015</v>
      </c>
      <c r="C15" s="449"/>
      <c r="D15" s="449"/>
      <c r="E15" s="449"/>
      <c r="F15" s="449"/>
      <c r="G15" s="449" t="str">
        <f>"J"&amp;G14&amp;H14&amp;"PEN"</f>
        <v>J1215PEN</v>
      </c>
      <c r="H15" s="449"/>
    </row>
    <row r="16" spans="1:8" ht="12.75">
      <c r="A16" s="449"/>
      <c r="B16" s="452" t="str">
        <f>"\\rugor\files\Transporte\transporte\AA PROCESO AUT\INTERCAMBIO\"&amp;H14&amp;G14</f>
        <v>\\rugor\files\Transporte\transporte\AA PROCESO AUT\INTERCAMBIO\1512</v>
      </c>
      <c r="C16" s="449"/>
      <c r="D16" s="449"/>
      <c r="E16" s="449"/>
      <c r="F16" s="449"/>
      <c r="G16" s="449"/>
      <c r="H16" s="449"/>
    </row>
    <row r="17" spans="1:29" s="453" customFormat="1" ht="12.75">
      <c r="A17" s="444" t="s">
        <v>93</v>
      </c>
      <c r="B17" s="444" t="s">
        <v>94</v>
      </c>
      <c r="C17" s="444" t="s">
        <v>95</v>
      </c>
      <c r="D17" s="444" t="s">
        <v>96</v>
      </c>
      <c r="E17" s="444" t="s">
        <v>97</v>
      </c>
      <c r="F17" s="444" t="s">
        <v>98</v>
      </c>
      <c r="G17" s="444" t="s">
        <v>99</v>
      </c>
      <c r="H17" s="444" t="s">
        <v>100</v>
      </c>
      <c r="I17" s="444" t="s">
        <v>101</v>
      </c>
      <c r="J17" s="444" t="s">
        <v>102</v>
      </c>
      <c r="K17" s="444" t="s">
        <v>103</v>
      </c>
      <c r="L17" s="444" t="s">
        <v>104</v>
      </c>
      <c r="M17" s="444" t="s">
        <v>105</v>
      </c>
      <c r="N17" s="444" t="s">
        <v>106</v>
      </c>
      <c r="O17" s="444" t="s">
        <v>107</v>
      </c>
      <c r="P17" s="444" t="s">
        <v>108</v>
      </c>
      <c r="Q17" s="444" t="s">
        <v>109</v>
      </c>
      <c r="R17" s="444" t="s">
        <v>110</v>
      </c>
      <c r="S17" s="444" t="s">
        <v>111</v>
      </c>
      <c r="T17" s="444" t="s">
        <v>112</v>
      </c>
      <c r="U17" s="444" t="s">
        <v>113</v>
      </c>
      <c r="V17" s="444" t="s">
        <v>114</v>
      </c>
      <c r="W17" s="444" t="s">
        <v>115</v>
      </c>
      <c r="X17" s="444" t="s">
        <v>116</v>
      </c>
      <c r="Y17" s="444" t="s">
        <v>117</v>
      </c>
      <c r="Z17" s="444" t="s">
        <v>118</v>
      </c>
      <c r="AA17" s="444" t="s">
        <v>119</v>
      </c>
      <c r="AB17" s="444" t="s">
        <v>120</v>
      </c>
      <c r="AC17" s="444" t="s">
        <v>121</v>
      </c>
    </row>
    <row r="18" spans="1:29" ht="12.75">
      <c r="A18" s="454" t="s">
        <v>122</v>
      </c>
      <c r="B18" s="454">
        <v>19</v>
      </c>
      <c r="C18" s="454">
        <v>19</v>
      </c>
      <c r="D18" s="454">
        <v>12</v>
      </c>
      <c r="E18" s="454" t="str">
        <f>"LI-"&amp;$G$14</f>
        <v>LI-12</v>
      </c>
      <c r="F18" s="454" t="s">
        <v>127</v>
      </c>
      <c r="G18" s="454">
        <v>3</v>
      </c>
      <c r="H18" s="455">
        <v>5</v>
      </c>
      <c r="I18" s="455">
        <v>4</v>
      </c>
      <c r="J18" s="454">
        <v>6</v>
      </c>
      <c r="K18" s="454">
        <v>7</v>
      </c>
      <c r="L18" s="454">
        <v>8</v>
      </c>
      <c r="M18" s="454">
        <v>0</v>
      </c>
      <c r="N18" s="454">
        <v>10</v>
      </c>
      <c r="O18" s="454">
        <v>11</v>
      </c>
      <c r="P18" s="454">
        <v>14</v>
      </c>
      <c r="Q18" s="454">
        <v>16</v>
      </c>
      <c r="R18" s="454">
        <v>27</v>
      </c>
      <c r="S18" s="454">
        <v>15</v>
      </c>
      <c r="T18" s="454">
        <v>0</v>
      </c>
      <c r="U18" s="454">
        <v>0</v>
      </c>
      <c r="V18" s="454">
        <v>0</v>
      </c>
      <c r="W18" s="454">
        <v>18</v>
      </c>
      <c r="X18" s="454">
        <v>9</v>
      </c>
      <c r="Y18" s="454">
        <v>40</v>
      </c>
      <c r="Z18" s="454">
        <v>28</v>
      </c>
      <c r="AA18" s="454">
        <v>17</v>
      </c>
      <c r="AB18" s="454">
        <v>28</v>
      </c>
      <c r="AC18" s="454">
        <v>14</v>
      </c>
    </row>
    <row r="19" spans="1:29" ht="12.75">
      <c r="A19" s="456" t="s">
        <v>123</v>
      </c>
      <c r="B19" s="456">
        <v>22</v>
      </c>
      <c r="C19" s="456">
        <v>19</v>
      </c>
      <c r="D19" s="456">
        <v>13</v>
      </c>
      <c r="E19" s="456" t="str">
        <f>"T-"&amp;$G$14</f>
        <v>T-12</v>
      </c>
      <c r="F19" s="456" t="s">
        <v>128</v>
      </c>
      <c r="G19" s="454">
        <v>3</v>
      </c>
      <c r="H19" s="455">
        <v>5</v>
      </c>
      <c r="I19" s="455">
        <v>4</v>
      </c>
      <c r="J19" s="456">
        <v>6</v>
      </c>
      <c r="K19" s="456">
        <v>7</v>
      </c>
      <c r="L19" s="456">
        <v>8</v>
      </c>
      <c r="M19" s="456">
        <v>9</v>
      </c>
      <c r="N19" s="456">
        <v>11</v>
      </c>
      <c r="O19" s="456">
        <v>12</v>
      </c>
      <c r="P19" s="456">
        <v>15</v>
      </c>
      <c r="Q19" s="456">
        <v>16</v>
      </c>
      <c r="R19" s="456">
        <v>18</v>
      </c>
      <c r="S19" s="456">
        <v>28</v>
      </c>
      <c r="T19" s="456">
        <v>17</v>
      </c>
      <c r="U19" s="456">
        <v>0</v>
      </c>
      <c r="V19" s="456">
        <v>0</v>
      </c>
      <c r="W19" s="456">
        <v>22</v>
      </c>
      <c r="X19" s="454">
        <v>9</v>
      </c>
      <c r="Y19" s="456">
        <v>43</v>
      </c>
      <c r="Z19" s="456">
        <v>29</v>
      </c>
      <c r="AA19" s="456">
        <v>20</v>
      </c>
      <c r="AB19" s="456">
        <v>29</v>
      </c>
      <c r="AC19" s="456">
        <v>15</v>
      </c>
    </row>
    <row r="20" spans="1:29" ht="12.75">
      <c r="A20" s="454" t="s">
        <v>124</v>
      </c>
      <c r="B20" s="454">
        <v>21</v>
      </c>
      <c r="C20" s="454">
        <v>19</v>
      </c>
      <c r="D20" s="454">
        <v>10</v>
      </c>
      <c r="E20" s="454" t="str">
        <f>"SA-"&amp;$G$14</f>
        <v>SA-12</v>
      </c>
      <c r="F20" s="454" t="s">
        <v>129</v>
      </c>
      <c r="G20" s="454">
        <v>3</v>
      </c>
      <c r="H20" s="455">
        <v>5</v>
      </c>
      <c r="I20" s="455">
        <v>4</v>
      </c>
      <c r="J20" s="454">
        <v>6</v>
      </c>
      <c r="K20" s="454">
        <v>7</v>
      </c>
      <c r="L20" s="454">
        <v>8</v>
      </c>
      <c r="M20" s="454">
        <v>10</v>
      </c>
      <c r="N20" s="454">
        <v>11</v>
      </c>
      <c r="O20" s="454">
        <v>14</v>
      </c>
      <c r="P20" s="454">
        <v>15</v>
      </c>
      <c r="Q20" s="454">
        <v>21</v>
      </c>
      <c r="R20" s="454">
        <v>0</v>
      </c>
      <c r="S20" s="454">
        <v>0</v>
      </c>
      <c r="T20" s="454">
        <v>0</v>
      </c>
      <c r="U20" s="454">
        <v>0</v>
      </c>
      <c r="V20" s="454">
        <v>0</v>
      </c>
      <c r="W20" s="454">
        <v>24</v>
      </c>
      <c r="X20" s="454">
        <v>9</v>
      </c>
      <c r="Y20" s="454">
        <v>42</v>
      </c>
      <c r="Z20" s="454">
        <v>22</v>
      </c>
      <c r="AA20" s="454">
        <v>19</v>
      </c>
      <c r="AB20" s="454">
        <v>22</v>
      </c>
      <c r="AC20" s="454">
        <v>14</v>
      </c>
    </row>
    <row r="21" spans="1:29" s="453" customFormat="1" ht="12.75">
      <c r="A21" s="457" t="s">
        <v>125</v>
      </c>
      <c r="B21" s="457">
        <v>19</v>
      </c>
      <c r="C21" s="457">
        <v>24</v>
      </c>
      <c r="D21" s="458">
        <v>4</v>
      </c>
      <c r="E21" s="457" t="str">
        <f>"CAUSAS-VST-"&amp;$G$14</f>
        <v>CAUSAS-VST-12</v>
      </c>
      <c r="F21" s="457" t="s">
        <v>126</v>
      </c>
      <c r="G21" s="457">
        <v>3</v>
      </c>
      <c r="H21" s="457">
        <v>4</v>
      </c>
      <c r="I21" s="457">
        <v>5</v>
      </c>
      <c r="J21" s="457">
        <v>6</v>
      </c>
      <c r="K21" s="457">
        <v>7</v>
      </c>
      <c r="L21" s="457">
        <v>0</v>
      </c>
      <c r="M21" s="457">
        <v>0</v>
      </c>
      <c r="N21" s="457">
        <v>0</v>
      </c>
      <c r="O21" s="457">
        <v>0</v>
      </c>
      <c r="P21" s="457">
        <v>0</v>
      </c>
      <c r="Q21" s="457">
        <v>0</v>
      </c>
      <c r="R21" s="457">
        <v>0</v>
      </c>
      <c r="S21" s="457">
        <v>0</v>
      </c>
      <c r="T21" s="457">
        <v>0</v>
      </c>
      <c r="U21" s="457">
        <v>0</v>
      </c>
      <c r="V21" s="457">
        <v>0</v>
      </c>
      <c r="W21" s="457">
        <v>999</v>
      </c>
      <c r="X21" s="457">
        <v>999</v>
      </c>
      <c r="Y21" s="457">
        <v>0</v>
      </c>
      <c r="Z21" s="457">
        <v>0</v>
      </c>
      <c r="AA21" s="457">
        <v>0</v>
      </c>
      <c r="AB21" s="457">
        <v>0</v>
      </c>
      <c r="AC21" s="457">
        <v>0</v>
      </c>
    </row>
  </sheetData>
  <sheetProtection/>
  <hyperlinks>
    <hyperlink ref="D5" r:id="rId1" display="\\fileserver\files\Transporte\transporte\AA PROCESO AUT\DISTROCUYO\FABIAN"/>
    <hyperlink ref="D7" r:id="rId2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portrait" paperSize="9" r:id="rId3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aperez</cp:lastModifiedBy>
  <cp:lastPrinted>2017-01-09T13:26:37Z</cp:lastPrinted>
  <dcterms:created xsi:type="dcterms:W3CDTF">1998-09-02T19:31:06Z</dcterms:created>
  <dcterms:modified xsi:type="dcterms:W3CDTF">2017-01-09T13:30:56Z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