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415" sheetId="1" r:id="rId1"/>
    <sheet name="LI-04 (1)" sheetId="2" r:id="rId2"/>
    <sheet name="LI-04 (2)" sheetId="3" r:id="rId3"/>
    <sheet name="LI-04 (3)" sheetId="4" r:id="rId4"/>
    <sheet name="LI-04 (4)" sheetId="5" r:id="rId5"/>
    <sheet name="T-04 (1)" sheetId="6" r:id="rId6"/>
    <sheet name="T-04 (2)" sheetId="7" r:id="rId7"/>
    <sheet name="T-04 (3)" sheetId="8" r:id="rId8"/>
    <sheet name="T-04 (4)" sheetId="9" r:id="rId9"/>
    <sheet name="SA-04 (1)" sheetId="10" r:id="rId10"/>
    <sheet name="SA-04 (2)" sheetId="11" r:id="rId11"/>
    <sheet name="SA-04 (3)" sheetId="12" r:id="rId12"/>
    <sheet name="RE-04 (1)" sheetId="13" r:id="rId13"/>
  </sheets>
  <definedNames/>
  <calcPr fullCalcOnLoad="1"/>
</workbook>
</file>

<file path=xl/sharedStrings.xml><?xml version="1.0" encoding="utf-8"?>
<sst xmlns="http://schemas.openxmlformats.org/spreadsheetml/2006/main" count="1420" uniqueCount="230">
  <si>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</si>
  <si>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</si>
  <si>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</si>
  <si>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</si>
  <si>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</si>
  <si>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</si>
  <si>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</si>
  <si>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</si>
  <si>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</si>
  <si>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</si>
  <si>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</si>
  <si>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</si>
  <si>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</si>
  <si>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</si>
  <si>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</si>
  <si>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</si>
  <si>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</si>
  <si>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</si>
  <si>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</si>
  <si>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</si>
  <si>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</si>
  <si>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</si>
  <si>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</si>
  <si>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</si>
  <si>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</si>
  <si>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</si>
  <si>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</si>
  <si>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</si>
  <si>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</si>
  <si>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</si>
  <si>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</si>
  <si>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</si>
  <si>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</si>
  <si>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</si>
  <si>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</si>
  <si>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</si>
  <si>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</si>
  <si>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</si>
  <si>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</si>
  <si>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</si>
  <si>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</si>
  <si>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</si>
  <si>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</si>
  <si>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</si>
  <si>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</si>
  <si>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</si>
  <si>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</si>
  <si>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</si>
  <si>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</si>
  <si>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</si>
  <si>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</si>
  <si>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</si>
  <si>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</si>
  <si>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</si>
  <si>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</si>
  <si>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</si>
  <si>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</si>
  <si>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</si>
  <si>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</si>
  <si>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</si>
  <si>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</si>
  <si>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</si>
  <si>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</si>
  <si>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</si>
  <si>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</si>
  <si>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</si>
  <si>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</si>
  <si>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</si>
  <si>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</si>
  <si>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</si>
  <si>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</si>
  <si>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</si>
  <si>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</si>
  <si>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Desde el 01 al 30 de abril de 2015</t>
  </si>
  <si>
    <t>PIGUE - GUATRACHE</t>
  </si>
  <si>
    <t>C</t>
  </si>
  <si>
    <t>P</t>
  </si>
  <si>
    <t>SI</t>
  </si>
  <si>
    <t>0,000</t>
  </si>
  <si>
    <t>URBANA SAN NICOLAS - SAN NICOLAS</t>
  </si>
  <si>
    <t>BAHIA BLANCA - PETROQ. BAHIA BLANCA 3</t>
  </si>
  <si>
    <t>SAN CLEMENTE - DOLORES</t>
  </si>
  <si>
    <t>LOMA NEGRA - C. AVELLANEDA</t>
  </si>
  <si>
    <t>CHASCOMUS - VERONICA</t>
  </si>
  <si>
    <t>B</t>
  </si>
  <si>
    <t>F</t>
  </si>
  <si>
    <t>HENDERSON - CNEL. SUAREZ</t>
  </si>
  <si>
    <t>OLAVARRIA VIEJA - OLAVARRIA</t>
  </si>
  <si>
    <t>MIRAMAR - NECOCHEA</t>
  </si>
  <si>
    <t>A</t>
  </si>
  <si>
    <t>GONZALEZ CHAVEZ - NECOCHEA</t>
  </si>
  <si>
    <t>ARRECIFES - CAP. SARMIENTO</t>
  </si>
  <si>
    <t>SALADILLO - LAS FLORES</t>
  </si>
  <si>
    <t>TANDIL - NECOCHEA</t>
  </si>
  <si>
    <t>LAS ARMAS - TANDIL</t>
  </si>
  <si>
    <t>SAN NICOLÁS - VILLA CONSTITUCIÓN RES.</t>
  </si>
  <si>
    <t>FICTICIO PICO - T. LAUQUEN</t>
  </si>
  <si>
    <t>LAPRIDA - LA PAMPITA</t>
  </si>
  <si>
    <t>ZARATE - MATHEU</t>
  </si>
  <si>
    <t>LAPRIDA - PRINGLES</t>
  </si>
  <si>
    <t>MERCEDES B.A. - LUJAN</t>
  </si>
  <si>
    <t>MONTE - ROSAS</t>
  </si>
  <si>
    <t>PERGAMINO - ARRECIFES</t>
  </si>
  <si>
    <t>ZARATE - CAMPANA III    1</t>
  </si>
  <si>
    <t>INDIO RICO - PRINGLES</t>
  </si>
  <si>
    <t>BAHIA BLANCA - P. LURO</t>
  </si>
  <si>
    <t>BAHIA BLANCA - PETROQ. BAHIA BLANCA 1</t>
  </si>
  <si>
    <t>BRAGADO - CHIVILCOY</t>
  </si>
  <si>
    <t>LINCOLN - BRAGADO</t>
  </si>
  <si>
    <t>BAHIA BLANCA - PRINGLES</t>
  </si>
  <si>
    <t>C. AVELLANEDA - OLAVARRIA VIEJA</t>
  </si>
  <si>
    <t>BAHIA BLANCA - PETROQ. BAHIA BLANCA 2</t>
  </si>
  <si>
    <t>VILLA LIA "T" - NUEVA CAMPANA</t>
  </si>
  <si>
    <t>S. A. ARECO - LUJAN</t>
  </si>
  <si>
    <t>PIGUE</t>
  </si>
  <si>
    <t>Trafo 1</t>
  </si>
  <si>
    <t>132/33/13,2</t>
  </si>
  <si>
    <t>LINCOLN</t>
  </si>
  <si>
    <t>Trafo 2</t>
  </si>
  <si>
    <t>MAR DEL TUYU</t>
  </si>
  <si>
    <t>C. SARMIENTO</t>
  </si>
  <si>
    <t>66/33/13,2</t>
  </si>
  <si>
    <t>CAMPANA III</t>
  </si>
  <si>
    <t>TRAFO 1</t>
  </si>
  <si>
    <t>SAN PEDRO</t>
  </si>
  <si>
    <t>LAS TONINAS</t>
  </si>
  <si>
    <t>ARRECIFES</t>
  </si>
  <si>
    <t>Trafo 3</t>
  </si>
  <si>
    <t>LAPRIDA</t>
  </si>
  <si>
    <t xml:space="preserve">Trafo 2 </t>
  </si>
  <si>
    <t>BRAGADO</t>
  </si>
  <si>
    <t>AutoTrafo 1</t>
  </si>
  <si>
    <t>LUJAN II</t>
  </si>
  <si>
    <t>TANDIL</t>
  </si>
  <si>
    <t>T1TD</t>
  </si>
  <si>
    <t>SAN NICOLAS</t>
  </si>
  <si>
    <t>Trafo</t>
  </si>
  <si>
    <t>RP</t>
  </si>
  <si>
    <t>CHASCOMUS</t>
  </si>
  <si>
    <t>Trafo 6</t>
  </si>
  <si>
    <t>S. NIC. URBANA</t>
  </si>
  <si>
    <t>TRAFO 2</t>
  </si>
  <si>
    <t>R</t>
  </si>
  <si>
    <t>G. MADARIAGA</t>
  </si>
  <si>
    <t>33/13,2</t>
  </si>
  <si>
    <t>T4BG</t>
  </si>
  <si>
    <t>132/66/13,2</t>
  </si>
  <si>
    <t>PATAGONES</t>
  </si>
  <si>
    <t>OLAVARRIA VIEJA</t>
  </si>
  <si>
    <t>T2OA</t>
  </si>
  <si>
    <t>T2TD</t>
  </si>
  <si>
    <t>T3BG</t>
  </si>
  <si>
    <t>BARKER</t>
  </si>
  <si>
    <t>LAS FLORES</t>
  </si>
  <si>
    <t>HENDERSON</t>
  </si>
  <si>
    <t>Trafo 5</t>
  </si>
  <si>
    <t>G. CHAVES</t>
  </si>
  <si>
    <t>TORNQUIST</t>
  </si>
  <si>
    <t>PUNTA ALTA</t>
  </si>
  <si>
    <t>T. LAUQUEN</t>
  </si>
  <si>
    <t>Alimentador 3 a T. LAUQUEN</t>
  </si>
  <si>
    <t>Alimentador a ESPARTILLAR</t>
  </si>
  <si>
    <t>Alimentador a A.CORTO-Coop</t>
  </si>
  <si>
    <t>Alimentador 2 PAPEL TORNQUIST</t>
  </si>
  <si>
    <t>Alimentador 1 PAPEL TORNQUIST</t>
  </si>
  <si>
    <t>Alimentador a PUAN</t>
  </si>
  <si>
    <t>JUNIN</t>
  </si>
  <si>
    <t>ALIMENTADOR 1 A C.T. JUNIN</t>
  </si>
  <si>
    <t>Alimentador 1 a JUNIN</t>
  </si>
  <si>
    <t>Alimentador a P.S. GRUNBEIN 1</t>
  </si>
  <si>
    <t>Alimentador a RAMALLO</t>
  </si>
  <si>
    <t>CAMPANA</t>
  </si>
  <si>
    <t>Alimentador a SIDERCA</t>
  </si>
  <si>
    <t>Alimentador a MADARIAGA 2</t>
  </si>
  <si>
    <t>Alimentador 4 a T. LAUQUEN</t>
  </si>
  <si>
    <t>MONTE</t>
  </si>
  <si>
    <t>Alimentador a LOBOS</t>
  </si>
  <si>
    <t>Alimentador a MADARIAGA</t>
  </si>
  <si>
    <t>Alimentador a MADARIAGA 1</t>
  </si>
  <si>
    <t>AZUL</t>
  </si>
  <si>
    <t>Alimentador 8 a CACHARI</t>
  </si>
  <si>
    <t>Alimentador a Coop. PUNTA ALTA 5</t>
  </si>
  <si>
    <t>ALIMENT. A C.T. LINCOLN</t>
  </si>
  <si>
    <t>Alimentador 1 a LINCOLN</t>
  </si>
  <si>
    <t>CHIVILCOY</t>
  </si>
  <si>
    <t>Alimentador 3 a CHIVILCOY</t>
  </si>
  <si>
    <t>Alimentador 5 a LINCOLN</t>
  </si>
  <si>
    <t>Alimentador 4 a LINCOLN</t>
  </si>
  <si>
    <t>Alimentador 2 a CHIVILCOY</t>
  </si>
  <si>
    <t>Alimentador 6 a LINCOLN</t>
  </si>
  <si>
    <t>Alimentador 7 a CHIVILCOY</t>
  </si>
  <si>
    <t>Alimentador a VEDIA</t>
  </si>
  <si>
    <t>Alimentador a ARENAZA</t>
  </si>
  <si>
    <t>LUJAN</t>
  </si>
  <si>
    <t>Alimentador 7 a Coop. LUJAN</t>
  </si>
  <si>
    <t>Alimentador a VILLA DEL SUR-GANDARA</t>
  </si>
  <si>
    <t>ALIMENTADOR A VILLA DEL SUR CAS</t>
  </si>
  <si>
    <t>K1JU</t>
  </si>
  <si>
    <t>CHACABUCO</t>
  </si>
  <si>
    <t>K3CB</t>
  </si>
  <si>
    <t>K1CB</t>
  </si>
  <si>
    <t>K1C1</t>
  </si>
  <si>
    <t>K2C1</t>
  </si>
  <si>
    <t>MERCEDES</t>
  </si>
  <si>
    <t>CAP K3MD</t>
  </si>
  <si>
    <t>K3JU</t>
  </si>
  <si>
    <t>LUJAN - LUJAN II</t>
  </si>
  <si>
    <t>LUJAN II - MALVINAS</t>
  </si>
  <si>
    <t>SAN NICOLAS - SIDERAR</t>
  </si>
  <si>
    <t>PIGUE - TORNQUIST</t>
  </si>
  <si>
    <t>P - PROGRAMADA  ; F - FORZADA</t>
  </si>
  <si>
    <t>287030b</t>
  </si>
  <si>
    <t>:</t>
  </si>
  <si>
    <t>NO</t>
  </si>
  <si>
    <t>220/132/13,2</t>
  </si>
  <si>
    <t>TRAFO 4</t>
  </si>
  <si>
    <t>132/66</t>
  </si>
  <si>
    <t>P - PROGRAMADA  ; R - REDUCCION FORZADA  ; RP - REDUCCION PROGRAMADA</t>
  </si>
  <si>
    <t>SALIDA C.T. JUNIN</t>
  </si>
  <si>
    <t>P - PROGRAMADA</t>
  </si>
  <si>
    <t>Valores remuneratorios según Convenio de renovación - Nota ENRE Nº 116149</t>
  </si>
  <si>
    <t>TOTAL DE PENALIZACIONES A APLICAR</t>
  </si>
  <si>
    <t>*</t>
  </si>
  <si>
    <t>Terceros / Límites</t>
  </si>
  <si>
    <t>RF</t>
  </si>
  <si>
    <t>124B</t>
  </si>
  <si>
    <t>24*</t>
  </si>
  <si>
    <t>23*</t>
  </si>
  <si>
    <t>102*</t>
  </si>
  <si>
    <t>ANEXO V al Memorándum D.T.E.E. N° 814   / 2015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</si>
</sst>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</numFmts>
  <fonts count="97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Arial"/>
      <family val="0"/>
    </font>
    <font>
      <sz val="20"/>
      <name val="MS Sans Serif"/>
      <family val="0"/>
    </font>
    <font>
      <sz val="1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8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1" fillId="21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7" fillId="0" borderId="8" applyNumberFormat="0" applyFill="0" applyAlignment="0" applyProtection="0"/>
    <xf numFmtId="0" fontId="96" fillId="0" borderId="9" applyNumberFormat="0" applyFill="0" applyAlignment="0" applyProtection="0"/>
  </cellStyleXfs>
  <cellXfs count="454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Fill="1" applyBorder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1" fillId="0" borderId="0" xfId="57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 applyBorder="1">
      <alignment/>
      <protection/>
    </xf>
    <xf numFmtId="0" fontId="4" fillId="0" borderId="0" xfId="57" applyFont="1" applyFill="1" applyBorder="1" applyAlignment="1" applyProtection="1">
      <alignment horizontal="centerContinuous"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3" fillId="0" borderId="10" xfId="57" applyFont="1" applyBorder="1" applyAlignment="1">
      <alignment horizontal="centerContinuous"/>
      <protection/>
    </xf>
    <xf numFmtId="0" fontId="13" fillId="0" borderId="0" xfId="57" applyFont="1" applyBorder="1" applyAlignment="1">
      <alignment horizontal="centerContinuous"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9" fillId="0" borderId="0" xfId="57" applyFont="1" applyAlignment="1" applyProtection="1">
      <alignment horizontal="centerContinuous"/>
      <protection locked="0"/>
    </xf>
    <xf numFmtId="0" fontId="12" fillId="0" borderId="0" xfId="57" applyFont="1" applyAlignment="1" applyProtection="1">
      <alignment horizontal="centerContinuous"/>
      <protection locked="0"/>
    </xf>
    <xf numFmtId="0" fontId="4" fillId="0" borderId="0" xfId="57" applyFont="1" applyBorder="1" applyAlignment="1" applyProtection="1">
      <alignment horizontal="centerContinuous"/>
      <protection/>
    </xf>
    <xf numFmtId="0" fontId="6" fillId="0" borderId="12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15" fillId="0" borderId="0" xfId="57" applyFont="1">
      <alignment/>
      <protection/>
    </xf>
    <xf numFmtId="0" fontId="15" fillId="0" borderId="10" xfId="57" applyFont="1" applyBorder="1">
      <alignment/>
      <protection/>
    </xf>
    <xf numFmtId="0" fontId="16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15" fillId="0" borderId="11" xfId="57" applyFont="1" applyBorder="1">
      <alignment/>
      <protection/>
    </xf>
    <xf numFmtId="0" fontId="3" fillId="0" borderId="0" xfId="57" applyFont="1" applyBorder="1">
      <alignment/>
      <protection/>
    </xf>
    <xf numFmtId="0" fontId="13" fillId="0" borderId="0" xfId="57" applyFont="1" applyFill="1" applyBorder="1" applyAlignment="1" applyProtection="1">
      <alignment horizontal="centerContinuous"/>
      <protection locked="0"/>
    </xf>
    <xf numFmtId="0" fontId="13" fillId="0" borderId="0" xfId="57" applyFont="1" applyAlignment="1">
      <alignment horizontal="centerContinuous"/>
      <protection/>
    </xf>
    <xf numFmtId="0" fontId="13" fillId="0" borderId="0" xfId="57" applyFont="1" applyBorder="1" applyAlignment="1" applyProtection="1">
      <alignment horizontal="centerContinuous"/>
      <protection/>
    </xf>
    <xf numFmtId="0" fontId="13" fillId="0" borderId="11" xfId="57" applyFont="1" applyBorder="1" applyAlignment="1">
      <alignment horizontal="centerContinuous"/>
      <protection/>
    </xf>
    <xf numFmtId="0" fontId="12" fillId="0" borderId="0" xfId="57" applyFont="1" applyBorder="1">
      <alignment/>
      <protection/>
    </xf>
    <xf numFmtId="0" fontId="3" fillId="0" borderId="0" xfId="57" applyFont="1" applyBorder="1" applyProtection="1">
      <alignment/>
      <protection/>
    </xf>
    <xf numFmtId="0" fontId="6" fillId="0" borderId="0" xfId="57" applyFont="1" applyBorder="1" applyProtection="1">
      <alignment/>
      <protection/>
    </xf>
    <xf numFmtId="0" fontId="1" fillId="0" borderId="15" xfId="57" applyFont="1" applyBorder="1" applyAlignment="1" applyProtection="1">
      <alignment horizontal="center"/>
      <protection/>
    </xf>
    <xf numFmtId="175" fontId="1" fillId="0" borderId="15" xfId="57" applyNumberFormat="1" applyFont="1" applyBorder="1" applyAlignment="1">
      <alignment horizontal="centerContinuous"/>
      <protection/>
    </xf>
    <xf numFmtId="0" fontId="3" fillId="0" borderId="16" xfId="57" applyFont="1" applyBorder="1" applyAlignment="1" applyProtection="1">
      <alignment horizontal="centerContinuous"/>
      <protection/>
    </xf>
    <xf numFmtId="0" fontId="3" fillId="0" borderId="0" xfId="57" applyFont="1" applyBorder="1" applyAlignment="1" applyProtection="1">
      <alignment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/>
    </xf>
    <xf numFmtId="171" fontId="6" fillId="0" borderId="16" xfId="57" applyNumberFormat="1" applyFont="1" applyBorder="1" applyAlignment="1">
      <alignment horizontal="centerContinuous"/>
      <protection/>
    </xf>
    <xf numFmtId="171" fontId="6" fillId="0" borderId="0" xfId="57" applyNumberFormat="1" applyFont="1" applyBorder="1" applyAlignment="1">
      <alignment/>
      <protection/>
    </xf>
    <xf numFmtId="0" fontId="1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17" fillId="0" borderId="17" xfId="57" applyFont="1" applyBorder="1" applyAlignment="1" applyProtection="1">
      <alignment horizontal="center" vertical="center"/>
      <protection/>
    </xf>
    <xf numFmtId="0" fontId="17" fillId="0" borderId="17" xfId="57" applyFont="1" applyBorder="1" applyAlignment="1" applyProtection="1">
      <alignment horizontal="center" vertical="center" wrapText="1"/>
      <protection/>
    </xf>
    <xf numFmtId="0" fontId="18" fillId="33" borderId="17" xfId="57" applyFont="1" applyFill="1" applyBorder="1" applyAlignment="1" applyProtection="1">
      <alignment horizontal="center" vertical="center"/>
      <protection/>
    </xf>
    <xf numFmtId="0" fontId="20" fillId="34" borderId="17" xfId="57" applyFont="1" applyFill="1" applyBorder="1" applyAlignment="1" applyProtection="1">
      <alignment horizontal="center" vertical="center" wrapText="1"/>
      <protection/>
    </xf>
    <xf numFmtId="0" fontId="21" fillId="35" borderId="17" xfId="57" applyFont="1" applyFill="1" applyBorder="1" applyAlignment="1">
      <alignment horizontal="center" vertical="center" wrapText="1"/>
      <protection/>
    </xf>
    <xf numFmtId="0" fontId="22" fillId="36" borderId="17" xfId="57" applyFont="1" applyFill="1" applyBorder="1" applyAlignment="1">
      <alignment horizontal="center" vertical="center" wrapText="1"/>
      <protection/>
    </xf>
    <xf numFmtId="0" fontId="23" fillId="33" borderId="15" xfId="57" applyFont="1" applyFill="1" applyBorder="1" applyAlignment="1" applyProtection="1">
      <alignment horizontal="centerContinuous" vertical="center" wrapText="1"/>
      <protection/>
    </xf>
    <xf numFmtId="0" fontId="24" fillId="33" borderId="18" xfId="57" applyFont="1" applyFill="1" applyBorder="1" applyAlignment="1">
      <alignment horizontal="centerContinuous"/>
      <protection/>
    </xf>
    <xf numFmtId="0" fontId="23" fillId="33" borderId="16" xfId="57" applyFont="1" applyFill="1" applyBorder="1" applyAlignment="1">
      <alignment horizontal="centerContinuous" vertical="center"/>
      <protection/>
    </xf>
    <xf numFmtId="0" fontId="21" fillId="37" borderId="15" xfId="57" applyFont="1" applyFill="1" applyBorder="1" applyAlignment="1" applyProtection="1">
      <alignment horizontal="centerContinuous" vertical="center" wrapText="1"/>
      <protection/>
    </xf>
    <xf numFmtId="0" fontId="21" fillId="37" borderId="18" xfId="57" applyFont="1" applyFill="1" applyBorder="1" applyAlignment="1">
      <alignment horizontal="centerContinuous" vertical="center"/>
      <protection/>
    </xf>
    <xf numFmtId="0" fontId="21" fillId="37" borderId="16" xfId="57" applyFont="1" applyFill="1" applyBorder="1" applyAlignment="1">
      <alignment horizontal="centerContinuous" vertical="center"/>
      <protection/>
    </xf>
    <xf numFmtId="0" fontId="25" fillId="38" borderId="17" xfId="57" applyFont="1" applyFill="1" applyBorder="1" applyAlignment="1">
      <alignment horizontal="center" vertical="center" wrapText="1"/>
      <protection/>
    </xf>
    <xf numFmtId="0" fontId="26" fillId="39" borderId="17" xfId="57" applyFont="1" applyFill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Protection="1">
      <alignment/>
      <protection locked="0"/>
    </xf>
    <xf numFmtId="0" fontId="6" fillId="0" borderId="19" xfId="57" applyFont="1" applyBorder="1" applyAlignment="1" applyProtection="1">
      <alignment horizontal="center"/>
      <protection locked="0"/>
    </xf>
    <xf numFmtId="0" fontId="27" fillId="33" borderId="19" xfId="57" applyFont="1" applyFill="1" applyBorder="1" applyProtection="1">
      <alignment/>
      <protection locked="0"/>
    </xf>
    <xf numFmtId="0" fontId="6" fillId="0" borderId="19" xfId="57" applyFont="1" applyBorder="1" applyAlignment="1">
      <alignment horizontal="center"/>
      <protection/>
    </xf>
    <xf numFmtId="0" fontId="28" fillId="34" borderId="19" xfId="57" applyFont="1" applyFill="1" applyBorder="1" applyProtection="1">
      <alignment/>
      <protection locked="0"/>
    </xf>
    <xf numFmtId="0" fontId="29" fillId="35" borderId="19" xfId="57" applyFont="1" applyFill="1" applyBorder="1" applyProtection="1">
      <alignment/>
      <protection locked="0"/>
    </xf>
    <xf numFmtId="0" fontId="30" fillId="36" borderId="19" xfId="57" applyFont="1" applyFill="1" applyBorder="1" applyProtection="1">
      <alignment/>
      <protection locked="0"/>
    </xf>
    <xf numFmtId="0" fontId="31" fillId="33" borderId="19" xfId="57" applyFont="1" applyFill="1" applyBorder="1" applyAlignment="1" applyProtection="1">
      <alignment horizontal="center"/>
      <protection locked="0"/>
    </xf>
    <xf numFmtId="0" fontId="31" fillId="33" borderId="19" xfId="57" applyFont="1" applyFill="1" applyBorder="1" applyProtection="1">
      <alignment/>
      <protection locked="0"/>
    </xf>
    <xf numFmtId="0" fontId="29" fillId="37" borderId="19" xfId="57" applyFont="1" applyFill="1" applyBorder="1" applyProtection="1">
      <alignment/>
      <protection locked="0"/>
    </xf>
    <xf numFmtId="0" fontId="32" fillId="38" borderId="19" xfId="57" applyFont="1" applyFill="1" applyBorder="1" applyProtection="1">
      <alignment/>
      <protection locked="0"/>
    </xf>
    <xf numFmtId="0" fontId="33" fillId="39" borderId="19" xfId="57" applyFont="1" applyFill="1" applyBorder="1" applyProtection="1">
      <alignment/>
      <protection locked="0"/>
    </xf>
    <xf numFmtId="176" fontId="34" fillId="0" borderId="19" xfId="57" applyNumberFormat="1" applyFont="1" applyBorder="1" applyAlignment="1">
      <alignment horizontal="right"/>
      <protection/>
    </xf>
    <xf numFmtId="0" fontId="6" fillId="0" borderId="20" xfId="57" applyFont="1" applyBorder="1" applyProtection="1">
      <alignment/>
      <protection locked="0"/>
    </xf>
    <xf numFmtId="0" fontId="6" fillId="0" borderId="21" xfId="57" applyFont="1" applyBorder="1" applyAlignment="1" applyProtection="1">
      <alignment horizontal="center"/>
      <protection locked="0"/>
    </xf>
    <xf numFmtId="0" fontId="27" fillId="33" borderId="20" xfId="57" applyFont="1" applyFill="1" applyBorder="1" applyProtection="1">
      <alignment/>
      <protection locked="0"/>
    </xf>
    <xf numFmtId="0" fontId="6" fillId="0" borderId="20" xfId="57" applyFont="1" applyBorder="1" applyAlignment="1" applyProtection="1">
      <alignment horizontal="center"/>
      <protection locked="0"/>
    </xf>
    <xf numFmtId="0" fontId="6" fillId="0" borderId="20" xfId="57" applyFont="1" applyBorder="1" applyAlignment="1">
      <alignment horizontal="center"/>
      <protection/>
    </xf>
    <xf numFmtId="0" fontId="28" fillId="34" borderId="20" xfId="57" applyFont="1" applyFill="1" applyBorder="1" applyProtection="1">
      <alignment/>
      <protection locked="0"/>
    </xf>
    <xf numFmtId="0" fontId="29" fillId="35" borderId="20" xfId="57" applyFont="1" applyFill="1" applyBorder="1" applyProtection="1">
      <alignment/>
      <protection locked="0"/>
    </xf>
    <xf numFmtId="0" fontId="30" fillId="36" borderId="20" xfId="57" applyFont="1" applyFill="1" applyBorder="1" applyProtection="1">
      <alignment/>
      <protection locked="0"/>
    </xf>
    <xf numFmtId="0" fontId="31" fillId="33" borderId="20" xfId="57" applyFont="1" applyFill="1" applyBorder="1" applyAlignment="1" applyProtection="1">
      <alignment horizontal="center"/>
      <protection locked="0"/>
    </xf>
    <xf numFmtId="0" fontId="31" fillId="33" borderId="20" xfId="57" applyFont="1" applyFill="1" applyBorder="1" applyProtection="1">
      <alignment/>
      <protection locked="0"/>
    </xf>
    <xf numFmtId="0" fontId="29" fillId="37" borderId="20" xfId="57" applyFont="1" applyFill="1" applyBorder="1" applyProtection="1">
      <alignment/>
      <protection locked="0"/>
    </xf>
    <xf numFmtId="0" fontId="32" fillId="38" borderId="20" xfId="57" applyFont="1" applyFill="1" applyBorder="1" applyProtection="1">
      <alignment/>
      <protection locked="0"/>
    </xf>
    <xf numFmtId="0" fontId="33" fillId="39" borderId="20" xfId="57" applyFont="1" applyFill="1" applyBorder="1" applyProtection="1">
      <alignment/>
      <protection locked="0"/>
    </xf>
    <xf numFmtId="0" fontId="34" fillId="0" borderId="20" xfId="57" applyFont="1" applyBorder="1" applyAlignment="1">
      <alignment horizontal="center"/>
      <protection/>
    </xf>
    <xf numFmtId="2" fontId="6" fillId="0" borderId="21" xfId="57" applyNumberFormat="1" applyFont="1" applyBorder="1" applyAlignment="1" applyProtection="1">
      <alignment horizontal="center"/>
      <protection locked="0"/>
    </xf>
    <xf numFmtId="2" fontId="6" fillId="0" borderId="20" xfId="57" applyNumberFormat="1" applyFont="1" applyBorder="1" applyAlignment="1" applyProtection="1">
      <alignment horizontal="center"/>
      <protection locked="0"/>
    </xf>
    <xf numFmtId="172" fontId="27" fillId="33" borderId="20" xfId="57" applyNumberFormat="1" applyFont="1" applyFill="1" applyBorder="1" applyAlignment="1" applyProtection="1">
      <alignment horizontal="center"/>
      <protection locked="0"/>
    </xf>
    <xf numFmtId="22" fontId="6" fillId="0" borderId="20" xfId="57" applyNumberFormat="1" applyFont="1" applyBorder="1" applyAlignment="1" applyProtection="1">
      <alignment horizontal="center"/>
      <protection locked="0"/>
    </xf>
    <xf numFmtId="2" fontId="6" fillId="0" borderId="20" xfId="57" applyNumberFormat="1" applyFont="1" applyBorder="1" applyAlignment="1" applyProtection="1">
      <alignment horizontal="center"/>
      <protection/>
    </xf>
    <xf numFmtId="1" fontId="6" fillId="0" borderId="20" xfId="57" applyNumberFormat="1" applyFont="1" applyBorder="1" applyAlignment="1" applyProtection="1">
      <alignment horizontal="center"/>
      <protection/>
    </xf>
    <xf numFmtId="172" fontId="6" fillId="0" borderId="20" xfId="57" applyNumberFormat="1" applyFont="1" applyBorder="1" applyAlignment="1" applyProtection="1">
      <alignment horizontal="center"/>
      <protection locked="0"/>
    </xf>
    <xf numFmtId="172" fontId="28" fillId="34" borderId="20" xfId="57" applyNumberFormat="1" applyFont="1" applyFill="1" applyBorder="1" applyAlignment="1" applyProtection="1" quotePrefix="1">
      <alignment horizontal="center"/>
      <protection locked="0"/>
    </xf>
    <xf numFmtId="2" fontId="29" fillId="35" borderId="20" xfId="57" applyNumberFormat="1" applyFont="1" applyFill="1" applyBorder="1" applyAlignment="1" applyProtection="1">
      <alignment horizontal="center"/>
      <protection locked="0"/>
    </xf>
    <xf numFmtId="2" fontId="30" fillId="36" borderId="20" xfId="57" applyNumberFormat="1" applyFont="1" applyFill="1" applyBorder="1" applyAlignment="1" applyProtection="1">
      <alignment horizontal="center"/>
      <protection locked="0"/>
    </xf>
    <xf numFmtId="172" fontId="31" fillId="33" borderId="20" xfId="57" applyNumberFormat="1" applyFont="1" applyFill="1" applyBorder="1" applyAlignment="1" applyProtection="1" quotePrefix="1">
      <alignment horizontal="center"/>
      <protection locked="0"/>
    </xf>
    <xf numFmtId="4" fontId="31" fillId="33" borderId="20" xfId="57" applyNumberFormat="1" applyFont="1" applyFill="1" applyBorder="1" applyAlignment="1" applyProtection="1">
      <alignment horizontal="center"/>
      <protection locked="0"/>
    </xf>
    <xf numFmtId="172" fontId="29" fillId="37" borderId="20" xfId="57" applyNumberFormat="1" applyFont="1" applyFill="1" applyBorder="1" applyAlignment="1" applyProtection="1" quotePrefix="1">
      <alignment horizontal="center"/>
      <protection locked="0"/>
    </xf>
    <xf numFmtId="4" fontId="29" fillId="37" borderId="20" xfId="57" applyNumberFormat="1" applyFont="1" applyFill="1" applyBorder="1" applyAlignment="1" applyProtection="1">
      <alignment horizontal="center"/>
      <protection locked="0"/>
    </xf>
    <xf numFmtId="4" fontId="32" fillId="38" borderId="20" xfId="57" applyNumberFormat="1" applyFont="1" applyFill="1" applyBorder="1" applyAlignment="1" applyProtection="1">
      <alignment horizontal="center"/>
      <protection locked="0"/>
    </xf>
    <xf numFmtId="4" fontId="33" fillId="39" borderId="20" xfId="57" applyNumberFormat="1" applyFont="1" applyFill="1" applyBorder="1" applyAlignment="1" applyProtection="1">
      <alignment horizontal="center"/>
      <protection locked="0"/>
    </xf>
    <xf numFmtId="4" fontId="34" fillId="0" borderId="20" xfId="57" applyNumberFormat="1" applyFont="1" applyBorder="1" applyAlignment="1">
      <alignment horizontal="right"/>
      <protection/>
    </xf>
    <xf numFmtId="2" fontId="6" fillId="0" borderId="11" xfId="57" applyNumberFormat="1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22" xfId="57" applyFont="1" applyBorder="1" applyAlignment="1" applyProtection="1">
      <alignment horizontal="center"/>
      <protection locked="0"/>
    </xf>
    <xf numFmtId="172" fontId="6" fillId="0" borderId="22" xfId="57" applyNumberFormat="1" applyFont="1" applyBorder="1" applyAlignment="1" applyProtection="1">
      <alignment horizontal="center"/>
      <protection/>
    </xf>
    <xf numFmtId="172" fontId="27" fillId="33" borderId="22" xfId="57" applyNumberFormat="1" applyFont="1" applyFill="1" applyBorder="1" applyAlignment="1" applyProtection="1">
      <alignment horizontal="center"/>
      <protection/>
    </xf>
    <xf numFmtId="7" fontId="34" fillId="0" borderId="23" xfId="57" applyNumberFormat="1" applyFont="1" applyBorder="1" applyAlignment="1">
      <alignment horizontal="center"/>
      <protection/>
    </xf>
    <xf numFmtId="0" fontId="36" fillId="0" borderId="24" xfId="57" applyFont="1" applyBorder="1" applyAlignment="1">
      <alignment horizontal="center"/>
      <protection/>
    </xf>
    <xf numFmtId="0" fontId="37" fillId="0" borderId="0" xfId="57" applyFont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 horizontal="center"/>
      <protection/>
    </xf>
    <xf numFmtId="2" fontId="6" fillId="0" borderId="0" xfId="57" applyNumberFormat="1" applyFont="1" applyBorder="1" applyAlignment="1" applyProtection="1">
      <alignment horizontal="center"/>
      <protection/>
    </xf>
    <xf numFmtId="172" fontId="6" fillId="0" borderId="0" xfId="57" applyNumberFormat="1" applyFont="1" applyBorder="1" applyAlignment="1" applyProtection="1">
      <alignment horizontal="center"/>
      <protection/>
    </xf>
    <xf numFmtId="172" fontId="6" fillId="0" borderId="0" xfId="57" applyNumberFormat="1" applyFont="1" applyBorder="1" applyAlignment="1" applyProtection="1" quotePrefix="1">
      <alignment horizontal="center"/>
      <protection/>
    </xf>
    <xf numFmtId="2" fontId="29" fillId="35" borderId="17" xfId="57" applyNumberFormat="1" applyFont="1" applyFill="1" applyBorder="1" applyAlignment="1">
      <alignment horizontal="center"/>
      <protection/>
    </xf>
    <xf numFmtId="2" fontId="30" fillId="36" borderId="17" xfId="57" applyNumberFormat="1" applyFont="1" applyFill="1" applyBorder="1" applyAlignment="1">
      <alignment horizontal="center"/>
      <protection/>
    </xf>
    <xf numFmtId="172" fontId="31" fillId="33" borderId="17" xfId="57" applyNumberFormat="1" applyFont="1" applyFill="1" applyBorder="1" applyAlignment="1" applyProtection="1" quotePrefix="1">
      <alignment horizontal="center"/>
      <protection/>
    </xf>
    <xf numFmtId="172" fontId="29" fillId="37" borderId="17" xfId="57" applyNumberFormat="1" applyFont="1" applyFill="1" applyBorder="1" applyAlignment="1" applyProtection="1" quotePrefix="1">
      <alignment horizontal="center"/>
      <protection/>
    </xf>
    <xf numFmtId="172" fontId="32" fillId="38" borderId="17" xfId="57" applyNumberFormat="1" applyFont="1" applyFill="1" applyBorder="1" applyAlignment="1" applyProtection="1" quotePrefix="1">
      <alignment horizontal="center"/>
      <protection/>
    </xf>
    <xf numFmtId="172" fontId="33" fillId="39" borderId="17" xfId="57" applyNumberFormat="1" applyFont="1" applyFill="1" applyBorder="1" applyAlignment="1" applyProtection="1" quotePrefix="1">
      <alignment horizontal="center"/>
      <protection/>
    </xf>
    <xf numFmtId="4" fontId="7" fillId="0" borderId="0" xfId="57" applyNumberFormat="1" applyFont="1" applyBorder="1" applyAlignment="1">
      <alignment horizontal="center"/>
      <protection/>
    </xf>
    <xf numFmtId="2" fontId="6" fillId="0" borderId="11" xfId="57" applyNumberFormat="1" applyFont="1" applyBorder="1" applyAlignment="1">
      <alignment horizontal="center"/>
      <protection/>
    </xf>
    <xf numFmtId="0" fontId="36" fillId="0" borderId="0" xfId="57" applyFont="1">
      <alignment/>
      <protection/>
    </xf>
    <xf numFmtId="0" fontId="36" fillId="0" borderId="10" xfId="57" applyFont="1" applyBorder="1">
      <alignment/>
      <protection/>
    </xf>
    <xf numFmtId="0" fontId="36" fillId="0" borderId="0" xfId="57" applyFont="1" applyBorder="1" applyAlignment="1">
      <alignment horizontal="center"/>
      <protection/>
    </xf>
    <xf numFmtId="0" fontId="37" fillId="0" borderId="0" xfId="57" applyFont="1" applyBorder="1" applyAlignment="1" applyProtection="1">
      <alignment horizontal="left" vertical="top"/>
      <protection/>
    </xf>
    <xf numFmtId="0" fontId="36" fillId="0" borderId="0" xfId="57" applyFont="1" applyBorder="1" applyAlignment="1" applyProtection="1">
      <alignment horizontal="center"/>
      <protection/>
    </xf>
    <xf numFmtId="2" fontId="36" fillId="0" borderId="0" xfId="57" applyNumberFormat="1" applyFont="1" applyBorder="1" applyAlignment="1" applyProtection="1">
      <alignment horizontal="center"/>
      <protection/>
    </xf>
    <xf numFmtId="172" fontId="36" fillId="0" borderId="0" xfId="57" applyNumberFormat="1" applyFont="1" applyBorder="1" applyAlignment="1" applyProtection="1">
      <alignment horizontal="center"/>
      <protection/>
    </xf>
    <xf numFmtId="172" fontId="36" fillId="0" borderId="0" xfId="57" applyNumberFormat="1" applyFont="1" applyBorder="1" applyAlignment="1" applyProtection="1" quotePrefix="1">
      <alignment horizontal="center"/>
      <protection/>
    </xf>
    <xf numFmtId="2" fontId="38" fillId="0" borderId="0" xfId="57" applyNumberFormat="1" applyFont="1" applyBorder="1" applyAlignment="1">
      <alignment horizontal="center"/>
      <protection/>
    </xf>
    <xf numFmtId="172" fontId="39" fillId="0" borderId="0" xfId="57" applyNumberFormat="1" applyFont="1" applyBorder="1" applyAlignment="1" applyProtection="1" quotePrefix="1">
      <alignment horizontal="center"/>
      <protection/>
    </xf>
    <xf numFmtId="4" fontId="39" fillId="0" borderId="0" xfId="57" applyNumberFormat="1" applyFont="1" applyBorder="1" applyAlignment="1">
      <alignment horizontal="center"/>
      <protection/>
    </xf>
    <xf numFmtId="8" fontId="40" fillId="0" borderId="0" xfId="57" applyNumberFormat="1" applyFont="1" applyBorder="1" applyAlignment="1" applyProtection="1">
      <alignment horizontal="right"/>
      <protection locked="0"/>
    </xf>
    <xf numFmtId="2" fontId="36" fillId="0" borderId="11" xfId="57" applyNumberFormat="1" applyFont="1" applyBorder="1" applyAlignment="1">
      <alignment horizontal="center"/>
      <protection/>
    </xf>
    <xf numFmtId="0" fontId="6" fillId="0" borderId="25" xfId="57" applyFont="1" applyBorder="1">
      <alignment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0" fontId="1" fillId="0" borderId="0" xfId="57" applyBorder="1">
      <alignment/>
      <protection/>
    </xf>
    <xf numFmtId="0" fontId="8" fillId="0" borderId="0" xfId="57" applyFont="1" applyFill="1">
      <alignment/>
      <protection/>
    </xf>
    <xf numFmtId="0" fontId="8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/>
      <protection/>
    </xf>
    <xf numFmtId="0" fontId="10" fillId="0" borderId="0" xfId="57" applyFont="1" applyFill="1" applyAlignment="1">
      <alignment horizontal="centerContinuous"/>
      <protection/>
    </xf>
    <xf numFmtId="0" fontId="10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0" borderId="12" xfId="57" applyFont="1" applyFill="1" applyBorder="1">
      <alignment/>
      <protection/>
    </xf>
    <xf numFmtId="0" fontId="6" fillId="0" borderId="13" xfId="57" applyFont="1" applyFill="1" applyBorder="1">
      <alignment/>
      <protection/>
    </xf>
    <xf numFmtId="0" fontId="6" fillId="0" borderId="14" xfId="57" applyFont="1" applyFill="1" applyBorder="1">
      <alignment/>
      <protection/>
    </xf>
    <xf numFmtId="0" fontId="15" fillId="0" borderId="1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0" fontId="15" fillId="0" borderId="0" xfId="57" applyFont="1" applyFill="1">
      <alignment/>
      <protection/>
    </xf>
    <xf numFmtId="0" fontId="15" fillId="0" borderId="11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1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16" fillId="0" borderId="0" xfId="57" applyFont="1" applyFill="1">
      <alignment/>
      <protection/>
    </xf>
    <xf numFmtId="0" fontId="15" fillId="0" borderId="0" xfId="57" applyFont="1" applyFill="1" applyBorder="1" applyProtection="1">
      <alignment/>
      <protection/>
    </xf>
    <xf numFmtId="0" fontId="6" fillId="0" borderId="0" xfId="57" applyFont="1" applyFill="1" applyBorder="1" applyAlignment="1" applyProtection="1">
      <alignment horizontal="left"/>
      <protection/>
    </xf>
    <xf numFmtId="168" fontId="6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13" fillId="0" borderId="10" xfId="57" applyFont="1" applyFill="1" applyBorder="1" applyAlignment="1">
      <alignment horizontal="centerContinuous"/>
      <protection/>
    </xf>
    <xf numFmtId="0" fontId="13" fillId="0" borderId="0" xfId="57" applyFont="1" applyFill="1" applyBorder="1" applyAlignment="1">
      <alignment horizontal="centerContinuous"/>
      <protection/>
    </xf>
    <xf numFmtId="0" fontId="13" fillId="0" borderId="11" xfId="57" applyFont="1" applyFill="1" applyBorder="1" applyAlignment="1">
      <alignment horizontal="centerContinuous"/>
      <protection/>
    </xf>
    <xf numFmtId="0" fontId="6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left"/>
      <protection/>
    </xf>
    <xf numFmtId="0" fontId="1" fillId="0" borderId="15" xfId="57" applyFont="1" applyFill="1" applyBorder="1" applyAlignment="1" applyProtection="1">
      <alignment horizontal="left"/>
      <protection/>
    </xf>
    <xf numFmtId="0" fontId="1" fillId="0" borderId="24" xfId="57" applyFont="1" applyFill="1" applyBorder="1" applyAlignment="1" applyProtection="1">
      <alignment horizontal="center"/>
      <protection/>
    </xf>
    <xf numFmtId="0" fontId="1" fillId="0" borderId="24" xfId="57" applyFont="1" applyFill="1" applyBorder="1">
      <alignment/>
      <protection/>
    </xf>
    <xf numFmtId="0" fontId="1" fillId="0" borderId="15" xfId="57" applyFont="1" applyFill="1" applyBorder="1" applyAlignment="1" applyProtection="1" quotePrefix="1">
      <alignment horizontal="left"/>
      <protection/>
    </xf>
    <xf numFmtId="0" fontId="1" fillId="0" borderId="18" xfId="57" applyFont="1" applyFill="1" applyBorder="1" applyAlignment="1" applyProtection="1">
      <alignment horizontal="center"/>
      <protection/>
    </xf>
    <xf numFmtId="168" fontId="1" fillId="0" borderId="17" xfId="57" applyNumberFormat="1" applyFont="1" applyFill="1" applyBorder="1" applyAlignment="1" applyProtection="1">
      <alignment horizontal="center"/>
      <protection/>
    </xf>
    <xf numFmtId="0" fontId="6" fillId="0" borderId="0" xfId="57" applyFont="1" applyAlignment="1" applyProtection="1">
      <alignment/>
      <protection/>
    </xf>
    <xf numFmtId="22" fontId="6" fillId="0" borderId="0" xfId="57" applyNumberFormat="1" applyFont="1" applyFill="1" applyBorder="1">
      <alignment/>
      <protection/>
    </xf>
    <xf numFmtId="0" fontId="6" fillId="0" borderId="0" xfId="57" applyFont="1" applyAlignment="1">
      <alignment vertical="center"/>
      <protection/>
    </xf>
    <xf numFmtId="0" fontId="6" fillId="0" borderId="10" xfId="57" applyFont="1" applyFill="1" applyBorder="1" applyAlignment="1">
      <alignment vertical="center"/>
      <protection/>
    </xf>
    <xf numFmtId="0" fontId="17" fillId="0" borderId="17" xfId="57" applyFont="1" applyFill="1" applyBorder="1" applyAlignment="1" applyProtection="1">
      <alignment horizontal="center" vertical="center" wrapText="1"/>
      <protection/>
    </xf>
    <xf numFmtId="0" fontId="17" fillId="0" borderId="17" xfId="57" applyFont="1" applyFill="1" applyBorder="1" applyAlignment="1" applyProtection="1">
      <alignment horizontal="center" vertical="center"/>
      <protection/>
    </xf>
    <xf numFmtId="0" fontId="17" fillId="0" borderId="17" xfId="57" applyFont="1" applyFill="1" applyBorder="1" applyAlignment="1" applyProtection="1" quotePrefix="1">
      <alignment horizontal="center" vertical="center" wrapText="1"/>
      <protection/>
    </xf>
    <xf numFmtId="0" fontId="17" fillId="0" borderId="17" xfId="57" applyFont="1" applyFill="1" applyBorder="1" applyAlignment="1">
      <alignment horizontal="center" vertical="center" wrapText="1"/>
      <protection/>
    </xf>
    <xf numFmtId="0" fontId="18" fillId="33" borderId="17" xfId="57" applyFont="1" applyFill="1" applyBorder="1" applyAlignment="1" applyProtection="1">
      <alignment horizontal="center" vertical="center"/>
      <protection/>
    </xf>
    <xf numFmtId="0" fontId="26" fillId="39" borderId="17" xfId="57" applyFont="1" applyFill="1" applyBorder="1" applyAlignment="1" applyProtection="1">
      <alignment horizontal="center" vertical="center"/>
      <protection/>
    </xf>
    <xf numFmtId="0" fontId="21" fillId="37" borderId="17" xfId="57" applyFont="1" applyFill="1" applyBorder="1" applyAlignment="1">
      <alignment horizontal="center" vertical="center" wrapText="1"/>
      <protection/>
    </xf>
    <xf numFmtId="0" fontId="20" fillId="40" borderId="17" xfId="57" applyFont="1" applyFill="1" applyBorder="1" applyAlignment="1">
      <alignment horizontal="center" vertical="center" wrapText="1"/>
      <protection/>
    </xf>
    <xf numFmtId="0" fontId="20" fillId="34" borderId="15" xfId="57" applyFont="1" applyFill="1" applyBorder="1" applyAlignment="1" applyProtection="1">
      <alignment horizontal="centerContinuous" vertical="center" wrapText="1"/>
      <protection/>
    </xf>
    <xf numFmtId="0" fontId="20" fillId="34" borderId="16" xfId="57" applyFont="1" applyFill="1" applyBorder="1" applyAlignment="1">
      <alignment horizontal="centerContinuous" vertical="center"/>
      <protection/>
    </xf>
    <xf numFmtId="0" fontId="41" fillId="41" borderId="15" xfId="57" applyFont="1" applyFill="1" applyBorder="1" applyAlignment="1" applyProtection="1">
      <alignment horizontal="centerContinuous" vertical="center" wrapText="1"/>
      <protection/>
    </xf>
    <xf numFmtId="0" fontId="41" fillId="41" borderId="16" xfId="57" applyFont="1" applyFill="1" applyBorder="1" applyAlignment="1">
      <alignment horizontal="centerContinuous" vertical="center"/>
      <protection/>
    </xf>
    <xf numFmtId="0" fontId="25" fillId="42" borderId="17" xfId="57" applyFont="1" applyFill="1" applyBorder="1" applyAlignment="1">
      <alignment horizontal="center" vertical="center" wrapText="1"/>
      <protection/>
    </xf>
    <xf numFmtId="0" fontId="20" fillId="43" borderId="17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vertical="center"/>
      <protection/>
    </xf>
    <xf numFmtId="0" fontId="6" fillId="0" borderId="28" xfId="57" applyFont="1" applyFill="1" applyBorder="1" applyAlignment="1" applyProtection="1">
      <alignment horizontal="center"/>
      <protection locked="0"/>
    </xf>
    <xf numFmtId="0" fontId="6" fillId="0" borderId="19" xfId="57" applyFont="1" applyFill="1" applyBorder="1" applyAlignment="1" applyProtection="1">
      <alignment horizontal="center"/>
      <protection locked="0"/>
    </xf>
    <xf numFmtId="0" fontId="6" fillId="0" borderId="19" xfId="57" applyFont="1" applyFill="1" applyBorder="1" applyProtection="1">
      <alignment/>
      <protection locked="0"/>
    </xf>
    <xf numFmtId="0" fontId="42" fillId="33" borderId="19" xfId="57" applyFont="1" applyFill="1" applyBorder="1" applyProtection="1">
      <alignment/>
      <protection locked="0"/>
    </xf>
    <xf numFmtId="0" fontId="6" fillId="0" borderId="19" xfId="57" applyFont="1" applyFill="1" applyBorder="1" applyAlignment="1">
      <alignment horizontal="center"/>
      <protection/>
    </xf>
    <xf numFmtId="0" fontId="5" fillId="40" borderId="19" xfId="57" applyFont="1" applyFill="1" applyBorder="1" applyProtection="1">
      <alignment/>
      <protection locked="0"/>
    </xf>
    <xf numFmtId="0" fontId="5" fillId="34" borderId="29" xfId="57" applyFont="1" applyFill="1" applyBorder="1" applyAlignment="1" applyProtection="1">
      <alignment horizontal="center"/>
      <protection locked="0"/>
    </xf>
    <xf numFmtId="0" fontId="5" fillId="34" borderId="30" xfId="57" applyFont="1" applyFill="1" applyBorder="1" applyProtection="1">
      <alignment/>
      <protection locked="0"/>
    </xf>
    <xf numFmtId="0" fontId="43" fillId="41" borderId="29" xfId="57" applyFont="1" applyFill="1" applyBorder="1" applyAlignment="1" applyProtection="1">
      <alignment horizontal="center"/>
      <protection locked="0"/>
    </xf>
    <xf numFmtId="0" fontId="43" fillId="41" borderId="30" xfId="57" applyFont="1" applyFill="1" applyBorder="1" applyProtection="1">
      <alignment/>
      <protection locked="0"/>
    </xf>
    <xf numFmtId="0" fontId="32" fillId="42" borderId="19" xfId="57" applyFont="1" applyFill="1" applyBorder="1" applyProtection="1">
      <alignment/>
      <protection locked="0"/>
    </xf>
    <xf numFmtId="0" fontId="5" fillId="43" borderId="19" xfId="57" applyFont="1" applyFill="1" applyBorder="1" applyProtection="1">
      <alignment/>
      <protection locked="0"/>
    </xf>
    <xf numFmtId="176" fontId="34" fillId="0" borderId="19" xfId="57" applyNumberFormat="1" applyFont="1" applyFill="1" applyBorder="1" applyAlignment="1">
      <alignment horizontal="right"/>
      <protection/>
    </xf>
    <xf numFmtId="0" fontId="6" fillId="0" borderId="31" xfId="57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Protection="1">
      <alignment/>
      <protection locked="0"/>
    </xf>
    <xf numFmtId="0" fontId="42" fillId="33" borderId="20" xfId="57" applyFont="1" applyFill="1" applyBorder="1" applyProtection="1">
      <alignment/>
      <protection locked="0"/>
    </xf>
    <xf numFmtId="0" fontId="6" fillId="0" borderId="20" xfId="57" applyFont="1" applyFill="1" applyBorder="1" applyAlignment="1">
      <alignment horizontal="center"/>
      <protection/>
    </xf>
    <xf numFmtId="0" fontId="5" fillId="40" borderId="20" xfId="57" applyFont="1" applyFill="1" applyBorder="1" applyProtection="1">
      <alignment/>
      <protection locked="0"/>
    </xf>
    <xf numFmtId="0" fontId="5" fillId="34" borderId="32" xfId="57" applyFont="1" applyFill="1" applyBorder="1" applyAlignment="1" applyProtection="1">
      <alignment horizontal="center"/>
      <protection locked="0"/>
    </xf>
    <xf numFmtId="0" fontId="5" fillId="34" borderId="33" xfId="57" applyFont="1" applyFill="1" applyBorder="1" applyProtection="1">
      <alignment/>
      <protection locked="0"/>
    </xf>
    <xf numFmtId="0" fontId="43" fillId="41" borderId="32" xfId="57" applyFont="1" applyFill="1" applyBorder="1" applyAlignment="1" applyProtection="1">
      <alignment horizontal="center"/>
      <protection locked="0"/>
    </xf>
    <xf numFmtId="0" fontId="43" fillId="41" borderId="33" xfId="57" applyFont="1" applyFill="1" applyBorder="1" applyProtection="1">
      <alignment/>
      <protection locked="0"/>
    </xf>
    <xf numFmtId="0" fontId="32" fillId="42" borderId="20" xfId="57" applyFont="1" applyFill="1" applyBorder="1" applyProtection="1">
      <alignment/>
      <protection locked="0"/>
    </xf>
    <xf numFmtId="0" fontId="5" fillId="43" borderId="20" xfId="57" applyFont="1" applyFill="1" applyBorder="1" applyProtection="1">
      <alignment/>
      <protection locked="0"/>
    </xf>
    <xf numFmtId="0" fontId="34" fillId="0" borderId="33" xfId="57" applyFont="1" applyFill="1" applyBorder="1" applyAlignment="1">
      <alignment horizontal="right"/>
      <protection/>
    </xf>
    <xf numFmtId="169" fontId="6" fillId="0" borderId="21" xfId="57" applyNumberFormat="1" applyFont="1" applyBorder="1" applyAlignment="1" applyProtection="1" quotePrefix="1">
      <alignment horizontal="center"/>
      <protection locked="0"/>
    </xf>
    <xf numFmtId="2" fontId="6" fillId="0" borderId="21" xfId="57" applyNumberFormat="1" applyFont="1" applyBorder="1" applyAlignment="1" applyProtection="1" quotePrefix="1">
      <alignment horizontal="center"/>
      <protection locked="0"/>
    </xf>
    <xf numFmtId="172" fontId="42" fillId="33" borderId="20" xfId="57" applyNumberFormat="1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/>
    </xf>
    <xf numFmtId="3" fontId="6" fillId="0" borderId="20" xfId="57" applyNumberFormat="1" applyFont="1" applyFill="1" applyBorder="1" applyAlignment="1" applyProtection="1">
      <alignment horizontal="center"/>
      <protection/>
    </xf>
    <xf numFmtId="172" fontId="6" fillId="0" borderId="20" xfId="57" applyNumberFormat="1" applyFont="1" applyFill="1" applyBorder="1" applyAlignment="1" applyProtection="1">
      <alignment horizontal="center"/>
      <protection locked="0"/>
    </xf>
    <xf numFmtId="172" fontId="6" fillId="0" borderId="20" xfId="57" applyNumberFormat="1" applyFont="1" applyFill="1" applyBorder="1" applyAlignment="1" applyProtection="1" quotePrefix="1">
      <alignment horizontal="center"/>
      <protection locked="0"/>
    </xf>
    <xf numFmtId="2" fontId="29" fillId="37" borderId="20" xfId="57" applyNumberFormat="1" applyFont="1" applyFill="1" applyBorder="1" applyAlignment="1" applyProtection="1">
      <alignment horizontal="center"/>
      <protection locked="0"/>
    </xf>
    <xf numFmtId="2" fontId="5" fillId="40" borderId="20" xfId="57" applyNumberFormat="1" applyFont="1" applyFill="1" applyBorder="1" applyAlignment="1" applyProtection="1">
      <alignment horizontal="center"/>
      <protection locked="0"/>
    </xf>
    <xf numFmtId="172" fontId="5" fillId="34" borderId="32" xfId="57" applyNumberFormat="1" applyFont="1" applyFill="1" applyBorder="1" applyAlignment="1" applyProtection="1" quotePrefix="1">
      <alignment horizontal="center"/>
      <protection locked="0"/>
    </xf>
    <xf numFmtId="172" fontId="5" fillId="34" borderId="34" xfId="57" applyNumberFormat="1" applyFont="1" applyFill="1" applyBorder="1" applyAlignment="1" applyProtection="1" quotePrefix="1">
      <alignment horizontal="center"/>
      <protection locked="0"/>
    </xf>
    <xf numFmtId="172" fontId="43" fillId="41" borderId="32" xfId="57" applyNumberFormat="1" applyFont="1" applyFill="1" applyBorder="1" applyAlignment="1" applyProtection="1" quotePrefix="1">
      <alignment horizontal="center"/>
      <protection locked="0"/>
    </xf>
    <xf numFmtId="172" fontId="43" fillId="41" borderId="34" xfId="57" applyNumberFormat="1" applyFont="1" applyFill="1" applyBorder="1" applyAlignment="1" applyProtection="1" quotePrefix="1">
      <alignment horizontal="center"/>
      <protection locked="0"/>
    </xf>
    <xf numFmtId="172" fontId="32" fillId="42" borderId="20" xfId="57" applyNumberFormat="1" applyFont="1" applyFill="1" applyBorder="1" applyAlignment="1" applyProtection="1" quotePrefix="1">
      <alignment horizontal="center"/>
      <protection locked="0"/>
    </xf>
    <xf numFmtId="172" fontId="5" fillId="43" borderId="21" xfId="57" applyNumberFormat="1" applyFont="1" applyFill="1" applyBorder="1" applyAlignment="1" applyProtection="1" quotePrefix="1">
      <alignment horizontal="center"/>
      <protection locked="0"/>
    </xf>
    <xf numFmtId="172" fontId="34" fillId="0" borderId="33" xfId="57" applyNumberFormat="1" applyFont="1" applyFill="1" applyBorder="1" applyAlignment="1">
      <alignment horizontal="right"/>
      <protection/>
    </xf>
    <xf numFmtId="2" fontId="6" fillId="0" borderId="11" xfId="57" applyNumberFormat="1" applyFont="1" applyFill="1" applyBorder="1">
      <alignment/>
      <protection/>
    </xf>
    <xf numFmtId="0" fontId="6" fillId="0" borderId="22" xfId="57" applyFont="1" applyFill="1" applyBorder="1">
      <alignment/>
      <protection/>
    </xf>
    <xf numFmtId="0" fontId="42" fillId="33" borderId="22" xfId="57" applyFont="1" applyFill="1" applyBorder="1">
      <alignment/>
      <protection/>
    </xf>
    <xf numFmtId="0" fontId="34" fillId="0" borderId="35" xfId="57" applyFont="1" applyFill="1" applyBorder="1" applyAlignment="1">
      <alignment horizontal="right"/>
      <protection/>
    </xf>
    <xf numFmtId="7" fontId="29" fillId="37" borderId="17" xfId="57" applyNumberFormat="1" applyFont="1" applyFill="1" applyBorder="1" applyAlignment="1">
      <alignment horizontal="center"/>
      <protection/>
    </xf>
    <xf numFmtId="7" fontId="5" fillId="40" borderId="17" xfId="57" applyNumberFormat="1" applyFont="1" applyFill="1" applyBorder="1" applyAlignment="1">
      <alignment horizontal="center"/>
      <protection/>
    </xf>
    <xf numFmtId="7" fontId="5" fillId="34" borderId="17" xfId="57" applyNumberFormat="1" applyFont="1" applyFill="1" applyBorder="1" applyAlignment="1">
      <alignment horizontal="center"/>
      <protection/>
    </xf>
    <xf numFmtId="7" fontId="5" fillId="34" borderId="36" xfId="57" applyNumberFormat="1" applyFont="1" applyFill="1" applyBorder="1" applyAlignment="1">
      <alignment horizontal="center"/>
      <protection/>
    </xf>
    <xf numFmtId="7" fontId="43" fillId="41" borderId="17" xfId="57" applyNumberFormat="1" applyFont="1" applyFill="1" applyBorder="1" applyAlignment="1">
      <alignment horizontal="center"/>
      <protection/>
    </xf>
    <xf numFmtId="7" fontId="32" fillId="42" borderId="17" xfId="57" applyNumberFormat="1" applyFont="1" applyFill="1" applyBorder="1" applyAlignment="1">
      <alignment horizontal="center"/>
      <protection/>
    </xf>
    <xf numFmtId="7" fontId="5" fillId="43" borderId="17" xfId="57" applyNumberFormat="1" applyFont="1" applyFill="1" applyBorder="1" applyAlignment="1">
      <alignment horizontal="center"/>
      <protection/>
    </xf>
    <xf numFmtId="0" fontId="6" fillId="0" borderId="37" xfId="57" applyFont="1" applyFill="1" applyBorder="1">
      <alignment/>
      <protection/>
    </xf>
    <xf numFmtId="0" fontId="36" fillId="0" borderId="10" xfId="57" applyFont="1" applyFill="1" applyBorder="1">
      <alignment/>
      <protection/>
    </xf>
    <xf numFmtId="0" fontId="36" fillId="0" borderId="0" xfId="57" applyFont="1" applyFill="1" applyBorder="1">
      <alignment/>
      <protection/>
    </xf>
    <xf numFmtId="7" fontId="36" fillId="0" borderId="0" xfId="57" applyNumberFormat="1" applyFont="1" applyFill="1" applyBorder="1" applyAlignment="1">
      <alignment horizontal="center"/>
      <protection/>
    </xf>
    <xf numFmtId="7" fontId="36" fillId="0" borderId="0" xfId="57" applyNumberFormat="1" applyFont="1" applyFill="1" applyBorder="1" applyAlignment="1" applyProtection="1">
      <alignment horizontal="right"/>
      <protection locked="0"/>
    </xf>
    <xf numFmtId="0" fontId="36" fillId="0" borderId="11" xfId="57" applyFont="1" applyFill="1" applyBorder="1">
      <alignment/>
      <protection/>
    </xf>
    <xf numFmtId="0" fontId="6" fillId="0" borderId="25" xfId="57" applyFont="1" applyFill="1" applyBorder="1">
      <alignment/>
      <protection/>
    </xf>
    <xf numFmtId="0" fontId="6" fillId="0" borderId="26" xfId="57" applyFont="1" applyFill="1" applyBorder="1">
      <alignment/>
      <protection/>
    </xf>
    <xf numFmtId="0" fontId="6" fillId="0" borderId="27" xfId="57" applyFont="1" applyFill="1" applyBorder="1">
      <alignment/>
      <protection/>
    </xf>
    <xf numFmtId="0" fontId="1" fillId="0" borderId="0" xfId="57" applyFill="1" applyBorder="1">
      <alignment/>
      <protection/>
    </xf>
    <xf numFmtId="0" fontId="0" fillId="0" borderId="0" xfId="57" applyFont="1" applyFill="1" applyBorder="1">
      <alignment/>
      <protection/>
    </xf>
    <xf numFmtId="0" fontId="8" fillId="0" borderId="0" xfId="57" applyFont="1" applyAlignment="1">
      <alignment horizontal="centerContinuous" vertical="center"/>
      <protection/>
    </xf>
    <xf numFmtId="0" fontId="6" fillId="0" borderId="0" xfId="57" applyFont="1" applyAlignment="1">
      <alignment horizontal="centerContinuous" vertical="center"/>
      <protection/>
    </xf>
    <xf numFmtId="0" fontId="10" fillId="0" borderId="0" xfId="57" applyFont="1" applyAlignment="1">
      <alignment horizontal="centerContinuous"/>
      <protection/>
    </xf>
    <xf numFmtId="0" fontId="44" fillId="0" borderId="0" xfId="57" applyFont="1" applyBorder="1">
      <alignment/>
      <protection/>
    </xf>
    <xf numFmtId="0" fontId="13" fillId="0" borderId="0" xfId="57" applyFont="1" applyFill="1" applyBorder="1" applyAlignment="1" applyProtection="1" quotePrefix="1">
      <alignment horizontal="centerContinuous"/>
      <protection locked="0"/>
    </xf>
    <xf numFmtId="0" fontId="1" fillId="0" borderId="15" xfId="57" applyFont="1" applyBorder="1" applyAlignment="1" applyProtection="1">
      <alignment horizontal="left"/>
      <protection/>
    </xf>
    <xf numFmtId="173" fontId="1" fillId="0" borderId="36" xfId="57" applyNumberFormat="1" applyFont="1" applyBorder="1" applyAlignment="1" applyProtection="1">
      <alignment horizontal="center"/>
      <protection/>
    </xf>
    <xf numFmtId="0" fontId="1" fillId="0" borderId="17" xfId="57" applyFont="1" applyBorder="1" applyAlignment="1">
      <alignment horizontal="center"/>
      <protection/>
    </xf>
    <xf numFmtId="22" fontId="6" fillId="0" borderId="0" xfId="57" applyNumberFormat="1" applyFont="1" applyBorder="1">
      <alignment/>
      <protection/>
    </xf>
    <xf numFmtId="0" fontId="1" fillId="0" borderId="15" xfId="57" applyFont="1" applyBorder="1">
      <alignment/>
      <protection/>
    </xf>
    <xf numFmtId="173" fontId="45" fillId="0" borderId="36" xfId="57" applyNumberFormat="1" applyFont="1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173" fontId="6" fillId="0" borderId="0" xfId="57" applyNumberFormat="1" applyFont="1" applyBorder="1">
      <alignment/>
      <protection/>
    </xf>
    <xf numFmtId="0" fontId="6" fillId="0" borderId="0" xfId="57" applyFont="1" applyBorder="1" applyAlignment="1" quotePrefix="1">
      <alignment horizontal="center"/>
      <protection/>
    </xf>
    <xf numFmtId="0" fontId="1" fillId="0" borderId="15" xfId="57" applyFont="1" applyBorder="1" applyAlignment="1">
      <alignment horizontal="left"/>
      <protection/>
    </xf>
    <xf numFmtId="1" fontId="1" fillId="0" borderId="22" xfId="57" applyNumberFormat="1" applyFont="1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10" xfId="57" applyFont="1" applyBorder="1">
      <alignment/>
      <protection/>
    </xf>
    <xf numFmtId="0" fontId="20" fillId="43" borderId="17" xfId="57" applyFont="1" applyFill="1" applyBorder="1" applyAlignment="1" applyProtection="1">
      <alignment horizontal="center" vertical="center"/>
      <protection/>
    </xf>
    <xf numFmtId="0" fontId="46" fillId="42" borderId="17" xfId="57" applyFont="1" applyFill="1" applyBorder="1" applyAlignment="1">
      <alignment horizontal="center" vertical="center" wrapText="1"/>
      <protection/>
    </xf>
    <xf numFmtId="0" fontId="20" fillId="41" borderId="15" xfId="57" applyFont="1" applyFill="1" applyBorder="1" applyAlignment="1" applyProtection="1">
      <alignment horizontal="centerContinuous" vertical="center" wrapText="1"/>
      <protection/>
    </xf>
    <xf numFmtId="0" fontId="20" fillId="41" borderId="16" xfId="57" applyFont="1" applyFill="1" applyBorder="1" applyAlignment="1">
      <alignment horizontal="centerContinuous" vertical="center"/>
      <protection/>
    </xf>
    <xf numFmtId="0" fontId="21" fillId="44" borderId="17" xfId="57" applyFont="1" applyFill="1" applyBorder="1" applyAlignment="1">
      <alignment horizontal="center" vertical="center" wrapText="1"/>
      <protection/>
    </xf>
    <xf numFmtId="0" fontId="17" fillId="0" borderId="11" xfId="57" applyFont="1" applyFill="1" applyBorder="1">
      <alignment/>
      <protection/>
    </xf>
    <xf numFmtId="168" fontId="6" fillId="0" borderId="19" xfId="57" applyNumberFormat="1" applyFont="1" applyFill="1" applyBorder="1" applyAlignment="1" applyProtection="1">
      <alignment horizontal="center"/>
      <protection locked="0"/>
    </xf>
    <xf numFmtId="0" fontId="27" fillId="33" borderId="19" xfId="57" applyFont="1" applyFill="1" applyBorder="1" applyAlignment="1" applyProtection="1">
      <alignment horizontal="center"/>
      <protection locked="0"/>
    </xf>
    <xf numFmtId="0" fontId="28" fillId="43" borderId="19" xfId="57" applyFont="1" applyFill="1" applyBorder="1" applyAlignment="1" applyProtection="1">
      <alignment horizontal="center"/>
      <protection locked="0"/>
    </xf>
    <xf numFmtId="0" fontId="47" fillId="42" borderId="19" xfId="57" applyFont="1" applyFill="1" applyBorder="1" applyAlignment="1" applyProtection="1">
      <alignment horizontal="center"/>
      <protection locked="0"/>
    </xf>
    <xf numFmtId="172" fontId="5" fillId="41" borderId="29" xfId="57" applyNumberFormat="1" applyFont="1" applyFill="1" applyBorder="1" applyAlignment="1" applyProtection="1" quotePrefix="1">
      <alignment horizontal="center"/>
      <protection locked="0"/>
    </xf>
    <xf numFmtId="172" fontId="5" fillId="41" borderId="38" xfId="57" applyNumberFormat="1" applyFont="1" applyFill="1" applyBorder="1" applyAlignment="1" applyProtection="1" quotePrefix="1">
      <alignment horizontal="center"/>
      <protection locked="0"/>
    </xf>
    <xf numFmtId="172" fontId="29" fillId="44" borderId="19" xfId="57" applyNumberFormat="1" applyFont="1" applyFill="1" applyBorder="1" applyAlignment="1" applyProtection="1" quotePrefix="1">
      <alignment horizontal="center"/>
      <protection locked="0"/>
    </xf>
    <xf numFmtId="0" fontId="6" fillId="0" borderId="28" xfId="57" applyFont="1" applyFill="1" applyBorder="1" applyAlignment="1" applyProtection="1">
      <alignment horizontal="left"/>
      <protection locked="0"/>
    </xf>
    <xf numFmtId="0" fontId="48" fillId="0" borderId="31" xfId="57" applyFont="1" applyFill="1" applyBorder="1" applyAlignment="1" applyProtection="1">
      <alignment horizontal="center"/>
      <protection locked="0"/>
    </xf>
    <xf numFmtId="174" fontId="7" fillId="0" borderId="20" xfId="57" applyNumberFormat="1" applyFont="1" applyFill="1" applyBorder="1" applyAlignment="1" applyProtection="1">
      <alignment horizontal="center"/>
      <protection locked="0"/>
    </xf>
    <xf numFmtId="173" fontId="27" fillId="33" borderId="20" xfId="57" applyNumberFormat="1" applyFont="1" applyFill="1" applyBorder="1" applyAlignment="1" applyProtection="1">
      <alignment horizontal="center"/>
      <protection locked="0"/>
    </xf>
    <xf numFmtId="168" fontId="6" fillId="0" borderId="20" xfId="57" applyNumberFormat="1" applyFont="1" applyFill="1" applyBorder="1" applyAlignment="1" applyProtection="1" quotePrefix="1">
      <alignment horizontal="center"/>
      <protection/>
    </xf>
    <xf numFmtId="168" fontId="28" fillId="43" borderId="20" xfId="57" applyNumberFormat="1" applyFont="1" applyFill="1" applyBorder="1" applyAlignment="1" applyProtection="1">
      <alignment horizontal="center"/>
      <protection locked="0"/>
    </xf>
    <xf numFmtId="2" fontId="47" fillId="42" borderId="20" xfId="57" applyNumberFormat="1" applyFont="1" applyFill="1" applyBorder="1" applyAlignment="1" applyProtection="1">
      <alignment horizontal="center"/>
      <protection locked="0"/>
    </xf>
    <xf numFmtId="172" fontId="5" fillId="41" borderId="32" xfId="57" applyNumberFormat="1" applyFont="1" applyFill="1" applyBorder="1" applyAlignment="1" applyProtection="1" quotePrefix="1">
      <alignment horizontal="center"/>
      <protection locked="0"/>
    </xf>
    <xf numFmtId="172" fontId="5" fillId="41" borderId="34" xfId="57" applyNumberFormat="1" applyFont="1" applyFill="1" applyBorder="1" applyAlignment="1" applyProtection="1" quotePrefix="1">
      <alignment horizontal="center"/>
      <protection locked="0"/>
    </xf>
    <xf numFmtId="172" fontId="29" fillId="44" borderId="20" xfId="57" applyNumberFormat="1" applyFont="1" applyFill="1" applyBorder="1" applyAlignment="1" applyProtection="1" quotePrefix="1">
      <alignment horizontal="center"/>
      <protection locked="0"/>
    </xf>
    <xf numFmtId="172" fontId="6" fillId="0" borderId="31" xfId="57" applyNumberFormat="1" applyFont="1" applyFill="1" applyBorder="1" applyAlignment="1" applyProtection="1">
      <alignment horizontal="center"/>
      <protection locked="0"/>
    </xf>
    <xf numFmtId="172" fontId="34" fillId="0" borderId="20" xfId="57" applyNumberFormat="1" applyFont="1" applyFill="1" applyBorder="1" applyAlignment="1">
      <alignment horizontal="center"/>
      <protection/>
    </xf>
    <xf numFmtId="174" fontId="7" fillId="0" borderId="20" xfId="57" applyNumberFormat="1" applyFont="1" applyFill="1" applyBorder="1" applyAlignment="1" applyProtection="1" quotePrefix="1">
      <alignment horizontal="center"/>
      <protection locked="0"/>
    </xf>
    <xf numFmtId="172" fontId="34" fillId="0" borderId="20" xfId="57" applyNumberFormat="1" applyFont="1" applyFill="1" applyBorder="1" applyAlignment="1">
      <alignment horizontal="right"/>
      <protection/>
    </xf>
    <xf numFmtId="0" fontId="27" fillId="33" borderId="22" xfId="57" applyFont="1" applyFill="1" applyBorder="1">
      <alignment/>
      <protection/>
    </xf>
    <xf numFmtId="0" fontId="34" fillId="0" borderId="35" xfId="57" applyFont="1" applyFill="1" applyBorder="1">
      <alignment/>
      <protection/>
    </xf>
    <xf numFmtId="2" fontId="47" fillId="42" borderId="17" xfId="57" applyNumberFormat="1" applyFont="1" applyFill="1" applyBorder="1" applyAlignment="1">
      <alignment horizontal="center"/>
      <protection/>
    </xf>
    <xf numFmtId="2" fontId="5" fillId="41" borderId="17" xfId="57" applyNumberFormat="1" applyFont="1" applyFill="1" applyBorder="1" applyAlignment="1">
      <alignment horizontal="center"/>
      <protection/>
    </xf>
    <xf numFmtId="2" fontId="29" fillId="44" borderId="17" xfId="57" applyNumberFormat="1" applyFont="1" applyFill="1" applyBorder="1" applyAlignment="1">
      <alignment horizontal="center"/>
      <protection/>
    </xf>
    <xf numFmtId="7" fontId="6" fillId="0" borderId="0" xfId="57" applyNumberFormat="1" applyFont="1" applyFill="1" applyBorder="1" applyAlignment="1">
      <alignment horizontal="center"/>
      <protection/>
    </xf>
    <xf numFmtId="7" fontId="40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>
      <alignment/>
      <protection/>
    </xf>
    <xf numFmtId="0" fontId="49" fillId="0" borderId="0" xfId="57" applyFont="1" applyAlignment="1">
      <alignment horizontal="right" vertical="top"/>
      <protection/>
    </xf>
    <xf numFmtId="0" fontId="49" fillId="0" borderId="0" xfId="57" applyFont="1" applyFill="1" applyAlignment="1">
      <alignment horizontal="right" vertical="top"/>
      <protection/>
    </xf>
    <xf numFmtId="175" fontId="1" fillId="0" borderId="17" xfId="57" applyNumberFormat="1" applyFont="1" applyFill="1" applyBorder="1" applyAlignment="1">
      <alignment horizontal="center"/>
      <protection/>
    </xf>
    <xf numFmtId="173" fontId="1" fillId="0" borderId="36" xfId="57" applyNumberFormat="1" applyFont="1" applyFill="1" applyBorder="1" applyAlignment="1" applyProtection="1">
      <alignment horizontal="center"/>
      <protection/>
    </xf>
    <xf numFmtId="0" fontId="6" fillId="0" borderId="22" xfId="57" applyFont="1" applyFill="1" applyBorder="1" applyProtection="1">
      <alignment/>
      <protection locked="0"/>
    </xf>
    <xf numFmtId="0" fontId="33" fillId="39" borderId="22" xfId="57" applyFont="1" applyFill="1" applyBorder="1" applyProtection="1">
      <alignment/>
      <protection locked="0"/>
    </xf>
    <xf numFmtId="0" fontId="29" fillId="37" borderId="22" xfId="57" applyFont="1" applyFill="1" applyBorder="1" applyProtection="1">
      <alignment/>
      <protection locked="0"/>
    </xf>
    <xf numFmtId="0" fontId="5" fillId="40" borderId="22" xfId="57" applyFont="1" applyFill="1" applyBorder="1" applyProtection="1">
      <alignment/>
      <protection locked="0"/>
    </xf>
    <xf numFmtId="0" fontId="5" fillId="34" borderId="39" xfId="57" applyFont="1" applyFill="1" applyBorder="1" applyProtection="1">
      <alignment/>
      <protection locked="0"/>
    </xf>
    <xf numFmtId="0" fontId="5" fillId="34" borderId="40" xfId="57" applyFont="1" applyFill="1" applyBorder="1" applyProtection="1">
      <alignment/>
      <protection locked="0"/>
    </xf>
    <xf numFmtId="0" fontId="43" fillId="41" borderId="39" xfId="57" applyFont="1" applyFill="1" applyBorder="1" applyProtection="1">
      <alignment/>
      <protection locked="0"/>
    </xf>
    <xf numFmtId="0" fontId="43" fillId="41" borderId="40" xfId="57" applyFont="1" applyFill="1" applyBorder="1" applyProtection="1">
      <alignment/>
      <protection locked="0"/>
    </xf>
    <xf numFmtId="0" fontId="32" fillId="42" borderId="22" xfId="57" applyFont="1" applyFill="1" applyBorder="1" applyProtection="1">
      <alignment/>
      <protection locked="0"/>
    </xf>
    <xf numFmtId="0" fontId="5" fillId="43" borderId="22" xfId="57" applyFont="1" applyFill="1" applyBorder="1" applyProtection="1">
      <alignment/>
      <protection locked="0"/>
    </xf>
    <xf numFmtId="0" fontId="28" fillId="43" borderId="22" xfId="57" applyFont="1" applyFill="1" applyBorder="1" applyProtection="1">
      <alignment/>
      <protection locked="0"/>
    </xf>
    <xf numFmtId="0" fontId="47" fillId="42" borderId="22" xfId="57" applyFont="1" applyFill="1" applyBorder="1" applyProtection="1">
      <alignment/>
      <protection locked="0"/>
    </xf>
    <xf numFmtId="0" fontId="5" fillId="41" borderId="39" xfId="57" applyFont="1" applyFill="1" applyBorder="1" applyProtection="1">
      <alignment/>
      <protection locked="0"/>
    </xf>
    <xf numFmtId="0" fontId="5" fillId="41" borderId="40" xfId="57" applyFont="1" applyFill="1" applyBorder="1" applyProtection="1">
      <alignment/>
      <protection locked="0"/>
    </xf>
    <xf numFmtId="0" fontId="29" fillId="44" borderId="22" xfId="57" applyFont="1" applyFill="1" applyBorder="1" applyProtection="1">
      <alignment/>
      <protection locked="0"/>
    </xf>
    <xf numFmtId="0" fontId="6" fillId="0" borderId="41" xfId="57" applyFont="1" applyBorder="1" applyAlignment="1" applyProtection="1">
      <alignment horizontal="center"/>
      <protection locked="0"/>
    </xf>
    <xf numFmtId="2" fontId="6" fillId="0" borderId="41" xfId="57" applyNumberFormat="1" applyFont="1" applyBorder="1" applyAlignment="1" applyProtection="1">
      <alignment horizontal="center"/>
      <protection locked="0"/>
    </xf>
    <xf numFmtId="172" fontId="6" fillId="0" borderId="22" xfId="57" applyNumberFormat="1" applyFont="1" applyBorder="1" applyAlignment="1" applyProtection="1">
      <alignment horizontal="center"/>
      <protection locked="0"/>
    </xf>
    <xf numFmtId="22" fontId="6" fillId="0" borderId="22" xfId="57" applyNumberFormat="1" applyFont="1" applyBorder="1" applyAlignment="1" applyProtection="1">
      <alignment horizontal="center"/>
      <protection locked="0"/>
    </xf>
    <xf numFmtId="22" fontId="28" fillId="34" borderId="22" xfId="57" applyNumberFormat="1" applyFont="1" applyFill="1" applyBorder="1" applyAlignment="1" applyProtection="1">
      <alignment horizontal="center"/>
      <protection locked="0"/>
    </xf>
    <xf numFmtId="172" fontId="29" fillId="35" borderId="22" xfId="57" applyNumberFormat="1" applyFont="1" applyFill="1" applyBorder="1" applyAlignment="1" applyProtection="1" quotePrefix="1">
      <alignment horizontal="center"/>
      <protection locked="0"/>
    </xf>
    <xf numFmtId="172" fontId="30" fillId="36" borderId="22" xfId="57" applyNumberFormat="1" applyFont="1" applyFill="1" applyBorder="1" applyAlignment="1" applyProtection="1" quotePrefix="1">
      <alignment horizontal="center"/>
      <protection locked="0"/>
    </xf>
    <xf numFmtId="172" fontId="31" fillId="33" borderId="22" xfId="57" applyNumberFormat="1" applyFont="1" applyFill="1" applyBorder="1" applyAlignment="1" applyProtection="1" quotePrefix="1">
      <alignment horizontal="center"/>
      <protection locked="0"/>
    </xf>
    <xf numFmtId="4" fontId="31" fillId="33" borderId="22" xfId="57" applyNumberFormat="1" applyFont="1" applyFill="1" applyBorder="1" applyAlignment="1" applyProtection="1">
      <alignment horizontal="center"/>
      <protection locked="0"/>
    </xf>
    <xf numFmtId="4" fontId="29" fillId="37" borderId="22" xfId="57" applyNumberFormat="1" applyFont="1" applyFill="1" applyBorder="1" applyAlignment="1" applyProtection="1">
      <alignment horizontal="center"/>
      <protection locked="0"/>
    </xf>
    <xf numFmtId="4" fontId="32" fillId="38" borderId="22" xfId="57" applyNumberFormat="1" applyFont="1" applyFill="1" applyBorder="1" applyAlignment="1" applyProtection="1">
      <alignment horizontal="center"/>
      <protection locked="0"/>
    </xf>
    <xf numFmtId="4" fontId="33" fillId="39" borderId="22" xfId="57" applyNumberFormat="1" applyFont="1" applyFill="1" applyBorder="1" applyAlignment="1" applyProtection="1">
      <alignment horizontal="center"/>
      <protection locked="0"/>
    </xf>
    <xf numFmtId="4" fontId="6" fillId="0" borderId="22" xfId="57" applyNumberFormat="1" applyFont="1" applyBorder="1" applyAlignment="1" applyProtection="1">
      <alignment horizontal="center"/>
      <protection locked="0"/>
    </xf>
    <xf numFmtId="0" fontId="8" fillId="0" borderId="0" xfId="56" applyFont="1">
      <alignment/>
      <protection/>
    </xf>
    <xf numFmtId="0" fontId="9" fillId="0" borderId="0" xfId="56" applyFont="1" applyAlignment="1">
      <alignment horizontal="centerContinuous"/>
      <protection/>
    </xf>
    <xf numFmtId="0" fontId="49" fillId="0" borderId="0" xfId="56" applyFont="1" applyAlignment="1">
      <alignment horizontal="right" vertical="top"/>
      <protection/>
    </xf>
    <xf numFmtId="0" fontId="8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" fillId="0" borderId="0" xfId="56">
      <alignment/>
      <protection/>
    </xf>
    <xf numFmtId="0" fontId="6" fillId="0" borderId="0" xfId="56" applyFont="1" applyAlignment="1">
      <alignment horizontal="centerContinuous"/>
      <protection/>
    </xf>
    <xf numFmtId="0" fontId="10" fillId="0" borderId="0" xfId="56" applyFont="1">
      <alignment/>
      <protection/>
    </xf>
    <xf numFmtId="0" fontId="10" fillId="0" borderId="0" xfId="56" applyFont="1" applyBorder="1">
      <alignment/>
      <protection/>
    </xf>
    <xf numFmtId="0" fontId="50" fillId="0" borderId="0" xfId="56" applyFont="1" applyFill="1" applyBorder="1" applyAlignment="1" applyProtection="1">
      <alignment horizontal="left"/>
      <protection/>
    </xf>
    <xf numFmtId="0" fontId="8" fillId="0" borderId="0" xfId="56" applyFont="1" applyBorder="1">
      <alignment/>
      <protection/>
    </xf>
    <xf numFmtId="0" fontId="15" fillId="0" borderId="0" xfId="56" applyFont="1">
      <alignment/>
      <protection/>
    </xf>
    <xf numFmtId="0" fontId="51" fillId="0" borderId="0" xfId="56" applyFont="1" applyBorder="1" applyAlignment="1">
      <alignment horizontal="centerContinuous"/>
      <protection/>
    </xf>
    <xf numFmtId="0" fontId="15" fillId="0" borderId="0" xfId="56" applyFont="1" applyAlignment="1">
      <alignment horizontal="centerContinuous"/>
      <protection/>
    </xf>
    <xf numFmtId="0" fontId="15" fillId="0" borderId="0" xfId="56" applyFont="1" applyBorder="1" applyAlignment="1">
      <alignment horizontal="centerContinuous"/>
      <protection/>
    </xf>
    <xf numFmtId="0" fontId="15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12" fillId="0" borderId="0" xfId="56" applyFont="1">
      <alignment/>
      <protection/>
    </xf>
    <xf numFmtId="0" fontId="16" fillId="0" borderId="0" xfId="56" applyFont="1" applyAlignment="1">
      <alignment horizontal="centerContinuous"/>
      <protection/>
    </xf>
    <xf numFmtId="0" fontId="52" fillId="0" borderId="0" xfId="56" applyFont="1">
      <alignment/>
      <protection/>
    </xf>
    <xf numFmtId="0" fontId="53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4" fillId="0" borderId="12" xfId="56" applyFont="1" applyBorder="1">
      <alignment/>
      <protection/>
    </xf>
    <xf numFmtId="0" fontId="54" fillId="0" borderId="13" xfId="54" applyFont="1" applyBorder="1">
      <alignment/>
      <protection/>
    </xf>
    <xf numFmtId="0" fontId="52" fillId="0" borderId="13" xfId="56" applyFont="1" applyBorder="1">
      <alignment/>
      <protection/>
    </xf>
    <xf numFmtId="0" fontId="52" fillId="0" borderId="14" xfId="56" applyFont="1" applyBorder="1">
      <alignment/>
      <protection/>
    </xf>
    <xf numFmtId="0" fontId="11" fillId="0" borderId="0" xfId="56" applyFont="1">
      <alignment/>
      <protection/>
    </xf>
    <xf numFmtId="0" fontId="13" fillId="0" borderId="10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11" fillId="0" borderId="0" xfId="56" applyNumberFormat="1" applyFont="1" applyAlignment="1">
      <alignment horizontal="centerContinuous"/>
      <protection/>
    </xf>
    <xf numFmtId="0" fontId="13" fillId="0" borderId="0" xfId="56" applyFont="1" applyBorder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11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11" fillId="0" borderId="10" xfId="56" applyFont="1" applyBorder="1">
      <alignment/>
      <protection/>
    </xf>
    <xf numFmtId="0" fontId="55" fillId="0" borderId="0" xfId="56" applyNumberFormat="1" applyFont="1" applyBorder="1" applyAlignment="1">
      <alignment horizontal="right"/>
      <protection/>
    </xf>
    <xf numFmtId="0" fontId="13" fillId="0" borderId="0" xfId="56" applyFont="1" applyBorder="1">
      <alignment/>
      <protection/>
    </xf>
    <xf numFmtId="0" fontId="11" fillId="0" borderId="11" xfId="56" applyFont="1" applyBorder="1">
      <alignment/>
      <protection/>
    </xf>
    <xf numFmtId="0" fontId="55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55" fillId="0" borderId="0" xfId="56" applyNumberFormat="1" applyFont="1" applyBorder="1" applyAlignment="1">
      <alignment horizontal="right"/>
      <protection/>
    </xf>
    <xf numFmtId="0" fontId="55" fillId="0" borderId="0" xfId="56" applyNumberFormat="1" applyFont="1" applyBorder="1" applyAlignment="1">
      <alignment/>
      <protection/>
    </xf>
    <xf numFmtId="0" fontId="6" fillId="0" borderId="10" xfId="56" applyFont="1" applyBorder="1">
      <alignment/>
      <protection/>
    </xf>
    <xf numFmtId="0" fontId="3" fillId="0" borderId="0" xfId="56" applyNumberFormat="1" applyFont="1" applyBorder="1" applyAlignment="1">
      <alignment horizontal="right"/>
      <protection/>
    </xf>
    <xf numFmtId="0" fontId="3" fillId="0" borderId="0" xfId="56" applyNumberFormat="1" applyFont="1" applyBorder="1" applyAlignment="1">
      <alignment/>
      <protection/>
    </xf>
    <xf numFmtId="0" fontId="14" fillId="0" borderId="0" xfId="56" applyFont="1" applyBorder="1">
      <alignment/>
      <protection/>
    </xf>
    <xf numFmtId="0" fontId="6" fillId="0" borderId="11" xfId="56" applyFont="1" applyBorder="1">
      <alignment/>
      <protection/>
    </xf>
    <xf numFmtId="0" fontId="55" fillId="0" borderId="0" xfId="56" applyFont="1" applyBorder="1">
      <alignment/>
      <protection/>
    </xf>
    <xf numFmtId="0" fontId="55" fillId="0" borderId="15" xfId="56" applyFont="1" applyBorder="1" applyAlignment="1">
      <alignment horizontal="center"/>
      <protection/>
    </xf>
    <xf numFmtId="7" fontId="55" fillId="0" borderId="16" xfId="56" applyNumberFormat="1" applyFont="1" applyBorder="1" applyAlignment="1">
      <alignment horizontal="center"/>
      <protection/>
    </xf>
    <xf numFmtId="0" fontId="55" fillId="0" borderId="0" xfId="56" applyFont="1" applyBorder="1" applyAlignment="1">
      <alignment horizontal="center"/>
      <protection/>
    </xf>
    <xf numFmtId="7" fontId="55" fillId="0" borderId="0" xfId="56" applyNumberFormat="1" applyFont="1" applyBorder="1" applyAlignment="1">
      <alignment horizontal="center"/>
      <protection/>
    </xf>
    <xf numFmtId="0" fontId="56" fillId="0" borderId="0" xfId="56" applyNumberFormat="1" applyFont="1" applyBorder="1" applyAlignment="1">
      <alignment horizontal="left"/>
      <protection/>
    </xf>
    <xf numFmtId="0" fontId="52" fillId="0" borderId="25" xfId="56" applyFont="1" applyBorder="1">
      <alignment/>
      <protection/>
    </xf>
    <xf numFmtId="0" fontId="52" fillId="0" borderId="26" xfId="56" applyFont="1" applyBorder="1">
      <alignment/>
      <protection/>
    </xf>
    <xf numFmtId="0" fontId="52" fillId="0" borderId="27" xfId="56" applyFont="1" applyBorder="1">
      <alignment/>
      <protection/>
    </xf>
    <xf numFmtId="49" fontId="6" fillId="0" borderId="19" xfId="57" applyNumberFormat="1" applyFont="1" applyFill="1" applyBorder="1" applyAlignment="1" applyProtection="1">
      <alignment horizontal="center"/>
      <protection locked="0"/>
    </xf>
    <xf numFmtId="49" fontId="6" fillId="0" borderId="19" xfId="57" applyNumberFormat="1" applyFont="1" applyFill="1" applyBorder="1" applyProtection="1">
      <alignment/>
      <protection locked="0"/>
    </xf>
    <xf numFmtId="49" fontId="6" fillId="0" borderId="22" xfId="57" applyNumberFormat="1" applyFont="1" applyFill="1" applyBorder="1" applyProtection="1">
      <alignment/>
      <protection locked="0"/>
    </xf>
    <xf numFmtId="49" fontId="6" fillId="0" borderId="30" xfId="57" applyNumberFormat="1" applyFont="1" applyFill="1" applyBorder="1" applyAlignment="1" applyProtection="1">
      <alignment horizontal="center"/>
      <protection locked="0"/>
    </xf>
    <xf numFmtId="7" fontId="55" fillId="0" borderId="0" xfId="56" applyNumberFormat="1" applyFont="1" applyBorder="1">
      <alignment/>
      <protection/>
    </xf>
    <xf numFmtId="0" fontId="16" fillId="0" borderId="0" xfId="55" applyFont="1" applyBorder="1">
      <alignment/>
      <protection/>
    </xf>
    <xf numFmtId="178" fontId="6" fillId="0" borderId="19" xfId="57" applyNumberFormat="1" applyFont="1" applyFill="1" applyBorder="1" applyProtection="1">
      <alignment/>
      <protection locked="0"/>
    </xf>
    <xf numFmtId="178" fontId="6" fillId="0" borderId="21" xfId="57" applyNumberFormat="1" applyFont="1" applyBorder="1" applyAlignment="1" applyProtection="1" quotePrefix="1">
      <alignment horizontal="center"/>
      <protection locked="0"/>
    </xf>
    <xf numFmtId="7" fontId="2" fillId="0" borderId="42" xfId="57" applyNumberFormat="1" applyFont="1" applyFill="1" applyBorder="1" applyAlignment="1" applyProtection="1">
      <alignment horizontal="right"/>
      <protection locked="0"/>
    </xf>
    <xf numFmtId="0" fontId="6" fillId="0" borderId="43" xfId="57" applyFont="1" applyFill="1" applyBorder="1" applyAlignment="1" applyProtection="1">
      <alignment horizontal="center"/>
      <protection locked="0"/>
    </xf>
    <xf numFmtId="172" fontId="42" fillId="33" borderId="21" xfId="57" applyNumberFormat="1" applyFont="1" applyFill="1" applyBorder="1" applyAlignment="1" applyProtection="1">
      <alignment horizontal="center"/>
      <protection locked="0"/>
    </xf>
    <xf numFmtId="8" fontId="2" fillId="0" borderId="17" xfId="57" applyNumberFormat="1" applyFont="1" applyBorder="1" applyAlignment="1" applyProtection="1">
      <alignment horizontal="right"/>
      <protection/>
    </xf>
    <xf numFmtId="7" fontId="2" fillId="0" borderId="17" xfId="57" applyNumberFormat="1" applyFont="1" applyFill="1" applyBorder="1" applyAlignment="1" applyProtection="1">
      <alignment horizontal="right"/>
      <protection/>
    </xf>
    <xf numFmtId="7" fontId="2" fillId="0" borderId="17" xfId="57" applyNumberFormat="1" applyFont="1" applyFill="1" applyBorder="1" applyAlignment="1" applyProtection="1">
      <alignment horizontal="right"/>
      <protection/>
    </xf>
    <xf numFmtId="0" fontId="6" fillId="0" borderId="28" xfId="57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28" fillId="0" borderId="0" xfId="57" applyFont="1" applyBorder="1">
      <alignment/>
      <protection/>
    </xf>
    <xf numFmtId="0" fontId="28" fillId="0" borderId="0" xfId="57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177" fontId="6" fillId="0" borderId="33" xfId="0" applyNumberFormat="1" applyFont="1" applyBorder="1" applyAlignment="1" applyProtection="1" quotePrefix="1">
      <alignment horizontal="center"/>
      <protection/>
    </xf>
    <xf numFmtId="22" fontId="6" fillId="0" borderId="20" xfId="57" applyNumberFormat="1" applyFont="1" applyFill="1" applyBorder="1" applyAlignment="1" applyProtection="1">
      <alignment horizontal="center"/>
      <protection locked="0"/>
    </xf>
    <xf numFmtId="22" fontId="6" fillId="0" borderId="20" xfId="57" applyNumberFormat="1" applyFont="1" applyFill="1" applyBorder="1" applyProtection="1">
      <alignment/>
      <protection locked="0"/>
    </xf>
    <xf numFmtId="22" fontId="6" fillId="0" borderId="21" xfId="57" applyNumberFormat="1" applyFont="1" applyFill="1" applyBorder="1" applyAlignment="1" applyProtection="1">
      <alignment horizontal="center"/>
      <protection locked="0"/>
    </xf>
    <xf numFmtId="22" fontId="6" fillId="0" borderId="34" xfId="57" applyNumberFormat="1" applyFont="1" applyFill="1" applyBorder="1" applyAlignment="1" applyProtection="1">
      <alignment horizontal="center"/>
      <protection locked="0"/>
    </xf>
    <xf numFmtId="169" fontId="6" fillId="0" borderId="21" xfId="57" applyNumberFormat="1" applyFont="1" applyBorder="1" applyAlignment="1" applyProtection="1">
      <alignment horizontal="center"/>
      <protection locked="0"/>
    </xf>
    <xf numFmtId="2" fontId="6" fillId="0" borderId="22" xfId="57" applyNumberFormat="1" applyFont="1" applyBorder="1" applyAlignment="1" applyProtection="1">
      <alignment horizontal="center"/>
      <protection locked="0"/>
    </xf>
    <xf numFmtId="7" fontId="34" fillId="0" borderId="35" xfId="57" applyNumberFormat="1" applyFont="1" applyBorder="1" applyAlignment="1">
      <alignment horizontal="center"/>
      <protection/>
    </xf>
    <xf numFmtId="172" fontId="27" fillId="33" borderId="21" xfId="57" applyNumberFormat="1" applyFont="1" applyFill="1" applyBorder="1" applyAlignment="1" applyProtection="1">
      <alignment horizontal="center"/>
      <protection locked="0"/>
    </xf>
    <xf numFmtId="2" fontId="6" fillId="0" borderId="21" xfId="57" applyNumberFormat="1" applyFont="1" applyBorder="1" applyAlignment="1" applyProtection="1">
      <alignment horizontal="center"/>
      <protection/>
    </xf>
    <xf numFmtId="1" fontId="6" fillId="0" borderId="21" xfId="57" applyNumberFormat="1" applyFont="1" applyBorder="1" applyAlignment="1" applyProtection="1">
      <alignment horizontal="center"/>
      <protection/>
    </xf>
    <xf numFmtId="22" fontId="6" fillId="0" borderId="21" xfId="57" applyNumberFormat="1" applyFont="1" applyBorder="1" applyAlignment="1" applyProtection="1">
      <alignment horizontal="center"/>
      <protection locked="0"/>
    </xf>
    <xf numFmtId="172" fontId="28" fillId="34" borderId="21" xfId="57" applyNumberFormat="1" applyFont="1" applyFill="1" applyBorder="1" applyAlignment="1" applyProtection="1" quotePrefix="1">
      <alignment horizontal="center"/>
      <protection locked="0"/>
    </xf>
    <xf numFmtId="2" fontId="29" fillId="35" borderId="21" xfId="57" applyNumberFormat="1" applyFont="1" applyFill="1" applyBorder="1" applyAlignment="1" applyProtection="1">
      <alignment horizontal="center"/>
      <protection locked="0"/>
    </xf>
    <xf numFmtId="2" fontId="30" fillId="36" borderId="21" xfId="57" applyNumberFormat="1" applyFont="1" applyFill="1" applyBorder="1" applyAlignment="1" applyProtection="1">
      <alignment horizontal="center"/>
      <protection locked="0"/>
    </xf>
    <xf numFmtId="172" fontId="31" fillId="33" borderId="21" xfId="57" applyNumberFormat="1" applyFont="1" applyFill="1" applyBorder="1" applyAlignment="1" applyProtection="1" quotePrefix="1">
      <alignment horizontal="center"/>
      <protection locked="0"/>
    </xf>
    <xf numFmtId="4" fontId="31" fillId="33" borderId="21" xfId="57" applyNumberFormat="1" applyFont="1" applyFill="1" applyBorder="1" applyAlignment="1" applyProtection="1">
      <alignment horizontal="center"/>
      <protection locked="0"/>
    </xf>
    <xf numFmtId="172" fontId="29" fillId="37" borderId="21" xfId="57" applyNumberFormat="1" applyFont="1" applyFill="1" applyBorder="1" applyAlignment="1" applyProtection="1" quotePrefix="1">
      <alignment horizontal="center"/>
      <protection locked="0"/>
    </xf>
    <xf numFmtId="4" fontId="29" fillId="37" borderId="21" xfId="57" applyNumberFormat="1" applyFont="1" applyFill="1" applyBorder="1" applyAlignment="1" applyProtection="1">
      <alignment horizontal="center"/>
      <protection locked="0"/>
    </xf>
    <xf numFmtId="4" fontId="32" fillId="38" borderId="21" xfId="57" applyNumberFormat="1" applyFont="1" applyFill="1" applyBorder="1" applyAlignment="1" applyProtection="1">
      <alignment horizontal="center"/>
      <protection locked="0"/>
    </xf>
    <xf numFmtId="4" fontId="33" fillId="39" borderId="21" xfId="57" applyNumberFormat="1" applyFont="1" applyFill="1" applyBorder="1" applyAlignment="1" applyProtection="1">
      <alignment horizontal="center"/>
      <protection locked="0"/>
    </xf>
    <xf numFmtId="4" fontId="6" fillId="0" borderId="21" xfId="0" applyNumberFormat="1" applyFont="1" applyBorder="1" applyAlignment="1" applyProtection="1">
      <alignment horizontal="center"/>
      <protection/>
    </xf>
    <xf numFmtId="0" fontId="59" fillId="0" borderId="0" xfId="57" applyFont="1" applyBorder="1" applyAlignment="1">
      <alignment horizontal="left"/>
      <protection/>
    </xf>
    <xf numFmtId="0" fontId="6" fillId="0" borderId="21" xfId="57" applyNumberFormat="1" applyFont="1" applyBorder="1" applyAlignment="1" applyProtection="1">
      <alignment horizontal="center"/>
      <protection locked="0"/>
    </xf>
    <xf numFmtId="0" fontId="61" fillId="0" borderId="0" xfId="56" applyFont="1" applyAlignment="1">
      <alignment horizontal="centerContinuous"/>
      <protection/>
    </xf>
    <xf numFmtId="0" fontId="62" fillId="0" borderId="0" xfId="56" applyFont="1" applyAlignment="1">
      <alignment horizontal="centerContinuous"/>
      <protection/>
    </xf>
    <xf numFmtId="0" fontId="4" fillId="0" borderId="0" xfId="56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F0407NER" xfId="55"/>
    <cellStyle name="Normal_PAFTT Anexo 28" xfId="56"/>
    <cellStyle name="Normal_TRANSB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0</xdr:rowOff>
    </xdr:from>
    <xdr:to>
      <xdr:col>0</xdr:col>
      <xdr:colOff>1333500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971550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971550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1009650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1000125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990600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981075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1019175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28575</xdr:rowOff>
    </xdr:from>
    <xdr:to>
      <xdr:col>0</xdr:col>
      <xdr:colOff>981075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19050</xdr:rowOff>
    </xdr:from>
    <xdr:to>
      <xdr:col>0</xdr:col>
      <xdr:colOff>942975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971550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1028700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PageLayoutView="0" workbookViewId="0" topLeftCell="A1">
      <selection activeCell="K7" sqref="K7"/>
    </sheetView>
  </sheetViews>
  <sheetFormatPr defaultColWidth="11.421875" defaultRowHeight="12.75"/>
  <cols>
    <col min="1" max="1" width="25.7109375" style="350" customWidth="1"/>
    <col min="2" max="2" width="7.7109375" style="350" customWidth="1"/>
    <col min="3" max="3" width="10.8515625" style="350" customWidth="1"/>
    <col min="4" max="4" width="6.7109375" style="350" customWidth="1"/>
    <col min="5" max="5" width="17.8515625" style="350" customWidth="1"/>
    <col min="6" max="7" width="16.7109375" style="350" customWidth="1"/>
    <col min="8" max="8" width="6.28125" style="350" customWidth="1"/>
    <col min="9" max="9" width="19.8515625" style="350" customWidth="1"/>
    <col min="10" max="10" width="14.28125" style="350" customWidth="1"/>
    <col min="11" max="11" width="15.7109375" style="350" customWidth="1"/>
    <col min="12" max="16384" width="11.421875" style="350" customWidth="1"/>
  </cols>
  <sheetData>
    <row r="1" spans="2:11" s="346" customFormat="1" ht="26.25">
      <c r="B1" s="347"/>
      <c r="K1" s="348"/>
    </row>
    <row r="2" spans="2:10" s="346" customFormat="1" ht="26.25">
      <c r="B2" s="347" t="s">
        <v>229</v>
      </c>
      <c r="C2" s="451"/>
      <c r="D2" s="349"/>
      <c r="E2" s="349"/>
      <c r="F2" s="349"/>
      <c r="G2" s="349"/>
      <c r="H2" s="349"/>
      <c r="I2" s="349"/>
      <c r="J2" s="349"/>
    </row>
    <row r="3" spans="3:10" ht="12.75">
      <c r="C3" s="351"/>
      <c r="D3" s="352"/>
      <c r="E3" s="352"/>
      <c r="F3" s="352"/>
      <c r="G3" s="352"/>
      <c r="H3" s="352"/>
      <c r="I3" s="352"/>
      <c r="J3" s="352"/>
    </row>
    <row r="4" spans="1:11" s="353" customFormat="1" ht="11.25">
      <c r="A4" s="453" t="s">
        <v>3</v>
      </c>
      <c r="B4" s="453"/>
      <c r="D4" s="354"/>
      <c r="E4" s="354"/>
      <c r="F4" s="354"/>
      <c r="G4" s="354"/>
      <c r="H4" s="354"/>
      <c r="I4" s="354"/>
      <c r="J4" s="354"/>
      <c r="K4" s="354"/>
    </row>
    <row r="5" spans="1:11" s="353" customFormat="1" ht="11.25">
      <c r="A5" s="453" t="s">
        <v>4</v>
      </c>
      <c r="B5" s="453"/>
      <c r="D5" s="354"/>
      <c r="E5" s="354"/>
      <c r="F5" s="354"/>
      <c r="G5" s="354"/>
      <c r="H5" s="354"/>
      <c r="I5" s="354"/>
      <c r="J5" s="354"/>
      <c r="K5" s="354"/>
    </row>
    <row r="6" spans="2:11" s="346" customFormat="1" ht="11.25" customHeight="1">
      <c r="B6" s="355"/>
      <c r="D6" s="356"/>
      <c r="E6" s="356"/>
      <c r="F6" s="356"/>
      <c r="G6" s="356"/>
      <c r="H6" s="356"/>
      <c r="I6" s="356"/>
      <c r="J6" s="356"/>
      <c r="K6" s="356"/>
    </row>
    <row r="7" spans="2:11" s="357" customFormat="1" ht="20.25">
      <c r="B7" s="358" t="s">
        <v>56</v>
      </c>
      <c r="C7" s="452"/>
      <c r="D7" s="359"/>
      <c r="E7" s="359"/>
      <c r="F7" s="359"/>
      <c r="G7" s="360"/>
      <c r="H7" s="360"/>
      <c r="I7" s="360"/>
      <c r="J7" s="360"/>
      <c r="K7" s="361"/>
    </row>
    <row r="8" spans="9:11" ht="12.75">
      <c r="I8" s="362"/>
      <c r="J8" s="362"/>
      <c r="K8" s="362"/>
    </row>
    <row r="9" spans="2:11" s="357" customFormat="1" ht="20.25">
      <c r="B9" s="358" t="s">
        <v>0</v>
      </c>
      <c r="C9" s="452"/>
      <c r="D9" s="359"/>
      <c r="E9" s="359"/>
      <c r="F9" s="359"/>
      <c r="G9" s="359"/>
      <c r="H9" s="359"/>
      <c r="I9" s="360"/>
      <c r="J9" s="360"/>
      <c r="K9" s="361"/>
    </row>
    <row r="10" spans="4:11" ht="12.75">
      <c r="D10" s="363"/>
      <c r="E10" s="363"/>
      <c r="F10" s="363"/>
      <c r="I10" s="362"/>
      <c r="J10" s="362"/>
      <c r="K10" s="362"/>
    </row>
    <row r="11" spans="2:11" s="357" customFormat="1" ht="20.25">
      <c r="B11" s="358" t="s">
        <v>221</v>
      </c>
      <c r="C11" s="364"/>
      <c r="D11" s="364"/>
      <c r="E11" s="364"/>
      <c r="F11" s="364"/>
      <c r="G11" s="359"/>
      <c r="H11" s="359"/>
      <c r="I11" s="360"/>
      <c r="J11" s="360"/>
      <c r="K11" s="361"/>
    </row>
    <row r="12" spans="4:11" s="365" customFormat="1" ht="16.5" thickBot="1">
      <c r="D12" s="366"/>
      <c r="E12" s="366"/>
      <c r="F12" s="366"/>
      <c r="I12" s="367"/>
      <c r="J12" s="367"/>
      <c r="K12" s="367"/>
    </row>
    <row r="13" spans="2:11" s="365" customFormat="1" ht="16.5" thickTop="1">
      <c r="B13" s="368">
        <v>1</v>
      </c>
      <c r="C13" s="369" t="b">
        <v>0</v>
      </c>
      <c r="D13" s="370"/>
      <c r="E13" s="370"/>
      <c r="F13" s="370"/>
      <c r="G13" s="370"/>
      <c r="H13" s="370"/>
      <c r="I13" s="370"/>
      <c r="J13" s="371"/>
      <c r="K13" s="367"/>
    </row>
    <row r="14" spans="2:11" s="372" customFormat="1" ht="19.5">
      <c r="B14" s="373" t="s">
        <v>73</v>
      </c>
      <c r="C14" s="374"/>
      <c r="D14" s="375"/>
      <c r="E14" s="376"/>
      <c r="F14" s="376"/>
      <c r="G14" s="376"/>
      <c r="H14" s="376"/>
      <c r="I14" s="377"/>
      <c r="J14" s="378"/>
      <c r="K14" s="379"/>
    </row>
    <row r="15" spans="2:11" s="372" customFormat="1" ht="19.5" hidden="1">
      <c r="B15" s="380"/>
      <c r="C15" s="381"/>
      <c r="D15" s="381"/>
      <c r="E15" s="379"/>
      <c r="F15" s="379"/>
      <c r="G15" s="382"/>
      <c r="H15" s="382"/>
      <c r="I15" s="379"/>
      <c r="J15" s="383"/>
      <c r="K15" s="379"/>
    </row>
    <row r="16" spans="2:11" s="372" customFormat="1" ht="19.5" hidden="1">
      <c r="B16" s="373" t="s">
        <v>57</v>
      </c>
      <c r="C16" s="384"/>
      <c r="D16" s="384"/>
      <c r="E16" s="377"/>
      <c r="F16" s="376"/>
      <c r="G16" s="376"/>
      <c r="H16" s="377"/>
      <c r="I16" s="385"/>
      <c r="J16" s="378"/>
      <c r="K16" s="379"/>
    </row>
    <row r="17" spans="2:11" s="372" customFormat="1" ht="19.5">
      <c r="B17" s="380"/>
      <c r="C17" s="381"/>
      <c r="D17" s="381"/>
      <c r="E17" s="379"/>
      <c r="F17" s="382"/>
      <c r="G17" s="382"/>
      <c r="H17" s="379"/>
      <c r="I17" s="351"/>
      <c r="J17" s="383"/>
      <c r="K17" s="379"/>
    </row>
    <row r="18" spans="2:11" s="372" customFormat="1" ht="19.5">
      <c r="B18" s="380"/>
      <c r="C18" s="386" t="s">
        <v>58</v>
      </c>
      <c r="D18" s="387" t="s">
        <v>1</v>
      </c>
      <c r="E18" s="379"/>
      <c r="F18" s="379"/>
      <c r="G18" s="382"/>
      <c r="I18" s="406">
        <f>'LI-04 (4)'!AC43</f>
        <v>205381.94</v>
      </c>
      <c r="J18" s="383"/>
      <c r="K18" s="379"/>
    </row>
    <row r="19" spans="2:11" ht="18.75">
      <c r="B19" s="388"/>
      <c r="C19" s="389"/>
      <c r="D19" s="390"/>
      <c r="E19" s="362"/>
      <c r="F19" s="362"/>
      <c r="G19" s="391"/>
      <c r="H19" s="391"/>
      <c r="I19" s="406"/>
      <c r="J19" s="392"/>
      <c r="K19" s="362"/>
    </row>
    <row r="20" spans="2:11" s="372" customFormat="1" ht="19.5">
      <c r="B20" s="380"/>
      <c r="C20" s="386" t="s">
        <v>59</v>
      </c>
      <c r="D20" s="387" t="s">
        <v>60</v>
      </c>
      <c r="E20" s="379"/>
      <c r="F20" s="379"/>
      <c r="G20" s="382"/>
      <c r="H20" s="382"/>
      <c r="I20" s="406"/>
      <c r="J20" s="383"/>
      <c r="K20" s="379"/>
    </row>
    <row r="21" spans="2:11" ht="18.75">
      <c r="B21" s="388"/>
      <c r="C21" s="389"/>
      <c r="D21" s="389"/>
      <c r="E21" s="362"/>
      <c r="F21" s="362"/>
      <c r="G21" s="391"/>
      <c r="H21" s="391"/>
      <c r="I21" s="406"/>
      <c r="J21" s="392"/>
      <c r="K21" s="362"/>
    </row>
    <row r="22" spans="2:11" s="372" customFormat="1" ht="19.5">
      <c r="B22" s="380"/>
      <c r="C22" s="386"/>
      <c r="D22" s="386" t="s">
        <v>61</v>
      </c>
      <c r="E22" s="393" t="s">
        <v>62</v>
      </c>
      <c r="F22" s="393"/>
      <c r="G22" s="382"/>
      <c r="I22" s="406">
        <f>'T-04 (4)'!AC43</f>
        <v>11651.9</v>
      </c>
      <c r="J22" s="383"/>
      <c r="K22" s="379"/>
    </row>
    <row r="23" spans="2:11" ht="18.75">
      <c r="B23" s="388"/>
      <c r="C23" s="389"/>
      <c r="D23" s="389"/>
      <c r="E23" s="362"/>
      <c r="F23" s="362"/>
      <c r="G23" s="391"/>
      <c r="H23" s="391"/>
      <c r="I23" s="406"/>
      <c r="J23" s="392"/>
      <c r="K23" s="362"/>
    </row>
    <row r="24" spans="2:11" s="372" customFormat="1" ht="19.5">
      <c r="B24" s="380"/>
      <c r="C24" s="386"/>
      <c r="D24" s="386" t="s">
        <v>63</v>
      </c>
      <c r="E24" s="393" t="s">
        <v>64</v>
      </c>
      <c r="F24" s="393"/>
      <c r="G24" s="382"/>
      <c r="H24" s="382"/>
      <c r="I24" s="406">
        <f>'SA-04 (3)'!V43</f>
        <v>16093.93</v>
      </c>
      <c r="J24" s="383"/>
      <c r="K24" s="379"/>
    </row>
    <row r="25" spans="2:11" s="372" customFormat="1" ht="19.5">
      <c r="B25" s="380"/>
      <c r="C25" s="381"/>
      <c r="D25" s="381"/>
      <c r="E25" s="393"/>
      <c r="F25" s="393"/>
      <c r="G25" s="382"/>
      <c r="H25" s="382"/>
      <c r="I25" s="406"/>
      <c r="J25" s="383"/>
      <c r="K25" s="379"/>
    </row>
    <row r="26" spans="2:11" s="372" customFormat="1" ht="19.5">
      <c r="B26" s="380"/>
      <c r="C26" s="386" t="s">
        <v>69</v>
      </c>
      <c r="D26" s="387" t="s">
        <v>70</v>
      </c>
      <c r="E26" s="379"/>
      <c r="F26" s="379"/>
      <c r="G26" s="382"/>
      <c r="H26" s="382"/>
      <c r="I26" s="406">
        <f>'RE-04 (1)'!AD43</f>
        <v>144.87</v>
      </c>
      <c r="J26" s="383"/>
      <c r="K26" s="379"/>
    </row>
    <row r="27" spans="2:11" s="372" customFormat="1" ht="20.25" thickBot="1">
      <c r="B27" s="380"/>
      <c r="C27" s="381"/>
      <c r="D27" s="381"/>
      <c r="E27" s="379"/>
      <c r="F27" s="379"/>
      <c r="G27" s="382"/>
      <c r="H27" s="382"/>
      <c r="I27" s="379"/>
      <c r="J27" s="383"/>
      <c r="K27" s="379"/>
    </row>
    <row r="28" spans="2:11" s="372" customFormat="1" ht="20.25" thickBot="1" thickTop="1">
      <c r="B28" s="380"/>
      <c r="C28" s="386"/>
      <c r="D28" s="386"/>
      <c r="E28" s="351"/>
      <c r="F28" s="394" t="s">
        <v>65</v>
      </c>
      <c r="G28" s="395">
        <f>ROUND(SUM(I18:I26),2)</f>
        <v>233272.64</v>
      </c>
      <c r="H28" s="351"/>
      <c r="J28" s="383"/>
      <c r="K28" s="379"/>
    </row>
    <row r="29" spans="2:11" s="372" customFormat="1" ht="9" customHeight="1" thickTop="1">
      <c r="B29" s="380"/>
      <c r="C29" s="386"/>
      <c r="D29" s="386"/>
      <c r="E29" s="351"/>
      <c r="F29" s="396"/>
      <c r="G29" s="397"/>
      <c r="H29" s="351"/>
      <c r="J29" s="383"/>
      <c r="K29" s="379"/>
    </row>
    <row r="30" spans="2:11" s="372" customFormat="1" ht="18.75">
      <c r="B30" s="380"/>
      <c r="C30" s="398" t="s">
        <v>220</v>
      </c>
      <c r="D30" s="386"/>
      <c r="E30" s="351"/>
      <c r="F30" s="396"/>
      <c r="G30" s="397"/>
      <c r="H30" s="351"/>
      <c r="J30" s="383"/>
      <c r="K30" s="379"/>
    </row>
    <row r="31" spans="2:11" s="365" customFormat="1" ht="9" customHeight="1" thickBot="1">
      <c r="B31" s="399"/>
      <c r="C31" s="400"/>
      <c r="D31" s="400"/>
      <c r="E31" s="400"/>
      <c r="F31" s="400"/>
      <c r="G31" s="400"/>
      <c r="H31" s="400"/>
      <c r="I31" s="400"/>
      <c r="J31" s="401"/>
      <c r="K31" s="367"/>
    </row>
    <row r="32" ht="13.5" thickTop="1"/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zoomScalePageLayoutView="0" workbookViewId="0" topLeftCell="A1">
      <selection activeCell="J23" sqref="J23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28125" style="5" customWidth="1"/>
    <col min="11" max="11" width="16.4218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'TOT-0415'!B14</f>
        <v>Desde el 01 al 30 de abril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29.82</v>
      </c>
      <c r="H14" s="267">
        <f>60*'TOT-0415'!B13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14.911</v>
      </c>
      <c r="H15" s="267">
        <f>50*'TOT-0415'!B13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11.181</v>
      </c>
      <c r="H16" s="271">
        <f>50*'TOT-0415'!B13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11.181</v>
      </c>
      <c r="H17" s="276">
        <f>40*'TOT-0415'!B13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18">
        <v>3</v>
      </c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14"/>
    </row>
    <row r="19" spans="2:23" s="277" customFormat="1" ht="34.5" customHeight="1" thickBot="1" thickTop="1">
      <c r="B19" s="278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16"/>
      <c r="E20" s="416"/>
      <c r="F20" s="196"/>
      <c r="G20" s="196"/>
      <c r="H20" s="285"/>
      <c r="I20" s="286"/>
      <c r="J20" s="402"/>
      <c r="K20" s="405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/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0"/>
      <c r="K21" s="431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144</v>
      </c>
      <c r="D22" s="209">
        <v>287015</v>
      </c>
      <c r="E22" s="209">
        <v>2275</v>
      </c>
      <c r="F22" s="293" t="s">
        <v>159</v>
      </c>
      <c r="G22" s="293" t="s">
        <v>160</v>
      </c>
      <c r="H22" s="294">
        <v>13.199999809265137</v>
      </c>
      <c r="I22" s="295">
        <f aca="true" t="shared" si="0" ref="I22:I40">IF(H22=220,$G$14,IF(AND(H22&lt;=132,H22&gt;=66),$G$15,IF(AND(H22&lt;66,H22&gt;=33),$G$16,$G$17)))</f>
        <v>11.181</v>
      </c>
      <c r="J22" s="430">
        <v>42095</v>
      </c>
      <c r="K22" s="431">
        <v>42095.645833333336</v>
      </c>
      <c r="L22" s="225">
        <f aca="true" t="shared" si="1" ref="L22:L40">IF(F22="","",(K22-J22)*24)</f>
        <v>15.500000000058208</v>
      </c>
      <c r="M22" s="296">
        <f aca="true" t="shared" si="2" ref="M22:M40">IF(F22="","",ROUND((K22-J22)*24*60,0))</f>
        <v>930</v>
      </c>
      <c r="N22" s="227" t="s">
        <v>76</v>
      </c>
      <c r="O22" s="424" t="str">
        <f aca="true" t="shared" si="3" ref="O22:O40">IF(F22="","",IF(OR(N22="P",N22="RP"),"--","NO"))</f>
        <v>--</v>
      </c>
      <c r="P22" s="297">
        <f aca="true" t="shared" si="4" ref="P22:P40">IF(H22=220,$H$14,IF(AND(H22&lt;=132,H22&gt;=66),$H$15,IF(AND(H22&lt;66,H22&gt;13.2),$H$16,$H$17)))</f>
        <v>40</v>
      </c>
      <c r="Q22" s="298">
        <f aca="true" t="shared" si="5" ref="Q22:Q40">IF(N22="P",I22*P22*ROUND(M22/60,2)*0.1,"--")</f>
        <v>693.222</v>
      </c>
      <c r="R22" s="299" t="str">
        <f aca="true" t="shared" si="6" ref="R22:R40">IF(AND(N22="F",O22="NO"),I22*P22,"--")</f>
        <v>--</v>
      </c>
      <c r="S22" s="300" t="str">
        <f aca="true" t="shared" si="7" ref="S22:S40">IF(N22="F",I22*P22*ROUND(M22/60,2),"--")</f>
        <v>--</v>
      </c>
      <c r="T22" s="301" t="str">
        <f aca="true" t="shared" si="8" ref="T22:T40">IF(N22="RF",I22*P22*ROUND(M22/60,2),"--")</f>
        <v>--</v>
      </c>
      <c r="U22" s="425" t="s">
        <v>77</v>
      </c>
      <c r="V22" s="305">
        <f aca="true" t="shared" si="9" ref="V22:V40">IF(F22="","",SUM(Q22:T22)*IF(U22="SI",1,2)*IF(H22="500/220",0,1))</f>
        <v>693.222</v>
      </c>
      <c r="W22" s="238"/>
    </row>
    <row r="23" spans="2:23" s="1" customFormat="1" ht="16.5" customHeight="1">
      <c r="B23" s="13"/>
      <c r="C23" s="210">
        <v>145</v>
      </c>
      <c r="D23" s="209">
        <v>287027</v>
      </c>
      <c r="E23" s="209">
        <v>2541</v>
      </c>
      <c r="F23" s="293" t="s">
        <v>114</v>
      </c>
      <c r="G23" s="293" t="s">
        <v>161</v>
      </c>
      <c r="H23" s="294">
        <v>33</v>
      </c>
      <c r="I23" s="295">
        <f t="shared" si="0"/>
        <v>11.181</v>
      </c>
      <c r="J23" s="430">
        <v>42095.384722222225</v>
      </c>
      <c r="K23" s="431">
        <v>42095.393055555556</v>
      </c>
      <c r="L23" s="225">
        <f t="shared" si="1"/>
        <v>0.19999999995343387</v>
      </c>
      <c r="M23" s="296">
        <f t="shared" si="2"/>
        <v>12</v>
      </c>
      <c r="N23" s="227" t="s">
        <v>85</v>
      </c>
      <c r="O23" s="424" t="str">
        <f t="shared" si="3"/>
        <v>NO</v>
      </c>
      <c r="P23" s="297">
        <f t="shared" si="4"/>
        <v>50</v>
      </c>
      <c r="Q23" s="298" t="str">
        <f t="shared" si="5"/>
        <v>--</v>
      </c>
      <c r="R23" s="299">
        <f t="shared" si="6"/>
        <v>559.05</v>
      </c>
      <c r="S23" s="300">
        <f t="shared" si="7"/>
        <v>111.81</v>
      </c>
      <c r="T23" s="301" t="str">
        <f t="shared" si="8"/>
        <v>--</v>
      </c>
      <c r="U23" s="425" t="s">
        <v>77</v>
      </c>
      <c r="V23" s="305">
        <f t="shared" si="9"/>
        <v>670.8599999999999</v>
      </c>
      <c r="W23" s="238"/>
    </row>
    <row r="24" spans="2:23" s="1" customFormat="1" ht="16.5" customHeight="1">
      <c r="B24" s="13"/>
      <c r="C24" s="210">
        <v>146</v>
      </c>
      <c r="D24" s="209">
        <v>287028</v>
      </c>
      <c r="E24" s="209">
        <v>2540</v>
      </c>
      <c r="F24" s="293" t="s">
        <v>114</v>
      </c>
      <c r="G24" s="293" t="s">
        <v>162</v>
      </c>
      <c r="H24" s="294">
        <v>33</v>
      </c>
      <c r="I24" s="295">
        <f t="shared" si="0"/>
        <v>11.181</v>
      </c>
      <c r="J24" s="430">
        <v>42095.384722222225</v>
      </c>
      <c r="K24" s="431">
        <v>42095.393055555556</v>
      </c>
      <c r="L24" s="225">
        <f t="shared" si="1"/>
        <v>0.19999999995343387</v>
      </c>
      <c r="M24" s="296">
        <f t="shared" si="2"/>
        <v>12</v>
      </c>
      <c r="N24" s="227" t="s">
        <v>85</v>
      </c>
      <c r="O24" s="424" t="str">
        <f t="shared" si="3"/>
        <v>NO</v>
      </c>
      <c r="P24" s="297">
        <f t="shared" si="4"/>
        <v>50</v>
      </c>
      <c r="Q24" s="298" t="str">
        <f t="shared" si="5"/>
        <v>--</v>
      </c>
      <c r="R24" s="299">
        <f t="shared" si="6"/>
        <v>559.05</v>
      </c>
      <c r="S24" s="300">
        <f t="shared" si="7"/>
        <v>111.81</v>
      </c>
      <c r="T24" s="301" t="str">
        <f t="shared" si="8"/>
        <v>--</v>
      </c>
      <c r="U24" s="425" t="s">
        <v>77</v>
      </c>
      <c r="V24" s="305">
        <f t="shared" si="9"/>
        <v>670.8599999999999</v>
      </c>
      <c r="W24" s="238"/>
    </row>
    <row r="25" spans="2:23" s="1" customFormat="1" ht="16.5" customHeight="1">
      <c r="B25" s="13"/>
      <c r="C25" s="210">
        <v>147</v>
      </c>
      <c r="D25" s="209">
        <v>287034</v>
      </c>
      <c r="E25" s="209">
        <v>2655</v>
      </c>
      <c r="F25" s="293" t="s">
        <v>157</v>
      </c>
      <c r="G25" s="293" t="s">
        <v>163</v>
      </c>
      <c r="H25" s="294">
        <v>13.199999809265137</v>
      </c>
      <c r="I25" s="295">
        <f t="shared" si="0"/>
        <v>11.181</v>
      </c>
      <c r="J25" s="430">
        <v>42098.84166666667</v>
      </c>
      <c r="K25" s="431">
        <v>42099.05625</v>
      </c>
      <c r="L25" s="225">
        <f t="shared" si="1"/>
        <v>5.150000000023283</v>
      </c>
      <c r="M25" s="296">
        <f t="shared" si="2"/>
        <v>309</v>
      </c>
      <c r="N25" s="227" t="s">
        <v>85</v>
      </c>
      <c r="O25" s="424" t="str">
        <f t="shared" si="3"/>
        <v>NO</v>
      </c>
      <c r="P25" s="297">
        <f t="shared" si="4"/>
        <v>40</v>
      </c>
      <c r="Q25" s="298" t="str">
        <f t="shared" si="5"/>
        <v>--</v>
      </c>
      <c r="R25" s="299">
        <f t="shared" si="6"/>
        <v>447.23999999999995</v>
      </c>
      <c r="S25" s="300">
        <f t="shared" si="7"/>
        <v>2303.286</v>
      </c>
      <c r="T25" s="301" t="str">
        <f t="shared" si="8"/>
        <v>--</v>
      </c>
      <c r="U25" s="425" t="s">
        <v>77</v>
      </c>
      <c r="V25" s="305">
        <f t="shared" si="9"/>
        <v>2750.526</v>
      </c>
      <c r="W25" s="238"/>
    </row>
    <row r="26" spans="2:23" s="1" customFormat="1" ht="16.5" customHeight="1">
      <c r="B26" s="13"/>
      <c r="C26" s="210">
        <v>148</v>
      </c>
      <c r="D26" s="209">
        <v>287035</v>
      </c>
      <c r="E26" s="209">
        <v>2654</v>
      </c>
      <c r="F26" s="293" t="s">
        <v>157</v>
      </c>
      <c r="G26" s="293" t="s">
        <v>164</v>
      </c>
      <c r="H26" s="294">
        <v>13.199999809265137</v>
      </c>
      <c r="I26" s="295">
        <f t="shared" si="0"/>
        <v>11.181</v>
      </c>
      <c r="J26" s="430">
        <v>42099.035416666666</v>
      </c>
      <c r="K26" s="431">
        <v>42099.04583333333</v>
      </c>
      <c r="L26" s="225">
        <f t="shared" si="1"/>
        <v>0.24999999994179234</v>
      </c>
      <c r="M26" s="296">
        <f t="shared" si="2"/>
        <v>15</v>
      </c>
      <c r="N26" s="227" t="s">
        <v>85</v>
      </c>
      <c r="O26" s="424" t="str">
        <f t="shared" si="3"/>
        <v>NO</v>
      </c>
      <c r="P26" s="297">
        <f t="shared" si="4"/>
        <v>40</v>
      </c>
      <c r="Q26" s="298" t="str">
        <f t="shared" si="5"/>
        <v>--</v>
      </c>
      <c r="R26" s="299">
        <f t="shared" si="6"/>
        <v>447.23999999999995</v>
      </c>
      <c r="S26" s="300">
        <f t="shared" si="7"/>
        <v>111.80999999999999</v>
      </c>
      <c r="T26" s="301" t="str">
        <f t="shared" si="8"/>
        <v>--</v>
      </c>
      <c r="U26" s="425" t="s">
        <v>77</v>
      </c>
      <c r="V26" s="305">
        <f t="shared" si="9"/>
        <v>559.05</v>
      </c>
      <c r="W26" s="238"/>
    </row>
    <row r="27" spans="2:23" s="1" customFormat="1" ht="16.5" customHeight="1">
      <c r="B27" s="13"/>
      <c r="C27" s="210">
        <v>149</v>
      </c>
      <c r="D27" s="209">
        <v>287349</v>
      </c>
      <c r="E27" s="209">
        <v>4742</v>
      </c>
      <c r="F27" s="293" t="s">
        <v>166</v>
      </c>
      <c r="G27" s="293" t="s">
        <v>218</v>
      </c>
      <c r="H27" s="294">
        <v>13.2</v>
      </c>
      <c r="I27" s="295">
        <f t="shared" si="0"/>
        <v>11.181</v>
      </c>
      <c r="J27" s="430">
        <v>42100.35555555556</v>
      </c>
      <c r="K27" s="431">
        <v>42100.625</v>
      </c>
      <c r="L27" s="225">
        <f t="shared" si="1"/>
        <v>6.46666666661622</v>
      </c>
      <c r="M27" s="296">
        <f t="shared" si="2"/>
        <v>388</v>
      </c>
      <c r="N27" s="227" t="s">
        <v>76</v>
      </c>
      <c r="O27" s="424" t="str">
        <f t="shared" si="3"/>
        <v>--</v>
      </c>
      <c r="P27" s="297">
        <f t="shared" si="4"/>
        <v>40</v>
      </c>
      <c r="Q27" s="298">
        <f t="shared" si="5"/>
        <v>289.36427999999995</v>
      </c>
      <c r="R27" s="299" t="str">
        <f t="shared" si="6"/>
        <v>--</v>
      </c>
      <c r="S27" s="300" t="str">
        <f t="shared" si="7"/>
        <v>--</v>
      </c>
      <c r="T27" s="301" t="str">
        <f t="shared" si="8"/>
        <v>--</v>
      </c>
      <c r="U27" s="425" t="s">
        <v>77</v>
      </c>
      <c r="V27" s="305">
        <f t="shared" si="9"/>
        <v>289.36427999999995</v>
      </c>
      <c r="W27" s="238"/>
    </row>
    <row r="28" spans="2:23" s="1" customFormat="1" ht="16.5" customHeight="1">
      <c r="B28" s="13"/>
      <c r="C28" s="210">
        <v>150</v>
      </c>
      <c r="D28" s="209">
        <v>287353</v>
      </c>
      <c r="E28" s="209">
        <v>2540</v>
      </c>
      <c r="F28" s="293" t="s">
        <v>114</v>
      </c>
      <c r="G28" s="293" t="s">
        <v>162</v>
      </c>
      <c r="H28" s="294">
        <v>33</v>
      </c>
      <c r="I28" s="295">
        <f t="shared" si="0"/>
        <v>11.181</v>
      </c>
      <c r="J28" s="430">
        <v>42100.425</v>
      </c>
      <c r="K28" s="431">
        <v>42100.64375</v>
      </c>
      <c r="L28" s="225">
        <f t="shared" si="1"/>
        <v>5.25</v>
      </c>
      <c r="M28" s="296">
        <f t="shared" si="2"/>
        <v>315</v>
      </c>
      <c r="N28" s="227" t="s">
        <v>76</v>
      </c>
      <c r="O28" s="424" t="str">
        <f t="shared" si="3"/>
        <v>--</v>
      </c>
      <c r="P28" s="297">
        <f t="shared" si="4"/>
        <v>50</v>
      </c>
      <c r="Q28" s="298">
        <f t="shared" si="5"/>
        <v>293.50124999999997</v>
      </c>
      <c r="R28" s="299" t="str">
        <f t="shared" si="6"/>
        <v>--</v>
      </c>
      <c r="S28" s="300" t="str">
        <f t="shared" si="7"/>
        <v>--</v>
      </c>
      <c r="T28" s="301" t="str">
        <f t="shared" si="8"/>
        <v>--</v>
      </c>
      <c r="U28" s="425" t="s">
        <v>77</v>
      </c>
      <c r="V28" s="305">
        <f t="shared" si="9"/>
        <v>293.50124999999997</v>
      </c>
      <c r="W28" s="238"/>
    </row>
    <row r="29" spans="2:23" s="1" customFormat="1" ht="16.5" customHeight="1">
      <c r="B29" s="13"/>
      <c r="C29" s="210">
        <v>151</v>
      </c>
      <c r="D29" s="209">
        <v>287360</v>
      </c>
      <c r="E29" s="209">
        <v>2540</v>
      </c>
      <c r="F29" s="293" t="s">
        <v>114</v>
      </c>
      <c r="G29" s="293" t="s">
        <v>162</v>
      </c>
      <c r="H29" s="294">
        <v>33</v>
      </c>
      <c r="I29" s="295">
        <f t="shared" si="0"/>
        <v>11.181</v>
      </c>
      <c r="J29" s="430">
        <v>42101.36597222222</v>
      </c>
      <c r="K29" s="431">
        <v>42101.71388888889</v>
      </c>
      <c r="L29" s="225">
        <f t="shared" si="1"/>
        <v>8.349999999976717</v>
      </c>
      <c r="M29" s="296">
        <f t="shared" si="2"/>
        <v>501</v>
      </c>
      <c r="N29" s="227" t="s">
        <v>76</v>
      </c>
      <c r="O29" s="424" t="str">
        <f t="shared" si="3"/>
        <v>--</v>
      </c>
      <c r="P29" s="297">
        <f t="shared" si="4"/>
        <v>50</v>
      </c>
      <c r="Q29" s="298">
        <f t="shared" si="5"/>
        <v>466.80674999999997</v>
      </c>
      <c r="R29" s="299" t="str">
        <f t="shared" si="6"/>
        <v>--</v>
      </c>
      <c r="S29" s="300" t="str">
        <f t="shared" si="7"/>
        <v>--</v>
      </c>
      <c r="T29" s="301" t="str">
        <f t="shared" si="8"/>
        <v>--</v>
      </c>
      <c r="U29" s="425" t="s">
        <v>77</v>
      </c>
      <c r="V29" s="305">
        <f t="shared" si="9"/>
        <v>466.80674999999997</v>
      </c>
      <c r="W29" s="238"/>
    </row>
    <row r="30" spans="2:23" s="1" customFormat="1" ht="16.5" customHeight="1">
      <c r="B30" s="13"/>
      <c r="C30" s="210">
        <v>152</v>
      </c>
      <c r="D30" s="209">
        <v>287368</v>
      </c>
      <c r="E30" s="209">
        <v>2542</v>
      </c>
      <c r="F30" s="293" t="s">
        <v>114</v>
      </c>
      <c r="G30" s="293" t="s">
        <v>165</v>
      </c>
      <c r="H30" s="294">
        <v>33</v>
      </c>
      <c r="I30" s="295">
        <f t="shared" si="0"/>
        <v>11.181</v>
      </c>
      <c r="J30" s="430">
        <v>42103.333333333336</v>
      </c>
      <c r="K30" s="431">
        <v>42103.646527777775</v>
      </c>
      <c r="L30" s="225">
        <f t="shared" si="1"/>
        <v>7.516666666546371</v>
      </c>
      <c r="M30" s="296">
        <f t="shared" si="2"/>
        <v>451</v>
      </c>
      <c r="N30" s="227" t="s">
        <v>76</v>
      </c>
      <c r="O30" s="424" t="str">
        <f t="shared" si="3"/>
        <v>--</v>
      </c>
      <c r="P30" s="297">
        <f t="shared" si="4"/>
        <v>50</v>
      </c>
      <c r="Q30" s="298">
        <f t="shared" si="5"/>
        <v>420.4056</v>
      </c>
      <c r="R30" s="299" t="str">
        <f t="shared" si="6"/>
        <v>--</v>
      </c>
      <c r="S30" s="300" t="str">
        <f t="shared" si="7"/>
        <v>--</v>
      </c>
      <c r="T30" s="301" t="str">
        <f t="shared" si="8"/>
        <v>--</v>
      </c>
      <c r="U30" s="425" t="s">
        <v>77</v>
      </c>
      <c r="V30" s="305">
        <f t="shared" si="9"/>
        <v>420.4056</v>
      </c>
      <c r="W30" s="238"/>
    </row>
    <row r="31" spans="2:23" s="1" customFormat="1" ht="16.5" customHeight="1">
      <c r="B31" s="13"/>
      <c r="C31" s="210">
        <v>153</v>
      </c>
      <c r="D31" s="209">
        <v>287385</v>
      </c>
      <c r="E31" s="209">
        <v>2542</v>
      </c>
      <c r="F31" s="293" t="s">
        <v>114</v>
      </c>
      <c r="G31" s="293" t="s">
        <v>165</v>
      </c>
      <c r="H31" s="294">
        <v>33</v>
      </c>
      <c r="I31" s="295">
        <f t="shared" si="0"/>
        <v>11.181</v>
      </c>
      <c r="J31" s="430">
        <v>42104.35208333333</v>
      </c>
      <c r="K31" s="431">
        <v>42104.629166666666</v>
      </c>
      <c r="L31" s="225">
        <f t="shared" si="1"/>
        <v>6.650000000023283</v>
      </c>
      <c r="M31" s="296">
        <f t="shared" si="2"/>
        <v>399</v>
      </c>
      <c r="N31" s="227" t="s">
        <v>76</v>
      </c>
      <c r="O31" s="424" t="str">
        <f t="shared" si="3"/>
        <v>--</v>
      </c>
      <c r="P31" s="297">
        <f t="shared" si="4"/>
        <v>50</v>
      </c>
      <c r="Q31" s="298">
        <f t="shared" si="5"/>
        <v>371.76825</v>
      </c>
      <c r="R31" s="299" t="str">
        <f t="shared" si="6"/>
        <v>--</v>
      </c>
      <c r="S31" s="300" t="str">
        <f t="shared" si="7"/>
        <v>--</v>
      </c>
      <c r="T31" s="301" t="str">
        <f t="shared" si="8"/>
        <v>--</v>
      </c>
      <c r="U31" s="425" t="s">
        <v>77</v>
      </c>
      <c r="V31" s="305">
        <f t="shared" si="9"/>
        <v>371.76825</v>
      </c>
      <c r="W31" s="238"/>
    </row>
    <row r="32" spans="2:23" s="1" customFormat="1" ht="16.5" customHeight="1">
      <c r="B32" s="13"/>
      <c r="C32" s="210">
        <v>154</v>
      </c>
      <c r="D32" s="209">
        <v>287388</v>
      </c>
      <c r="E32" s="209">
        <v>4741</v>
      </c>
      <c r="F32" s="293" t="s">
        <v>166</v>
      </c>
      <c r="G32" s="293" t="s">
        <v>167</v>
      </c>
      <c r="H32" s="294">
        <v>13.199999809265137</v>
      </c>
      <c r="I32" s="295">
        <f t="shared" si="0"/>
        <v>11.181</v>
      </c>
      <c r="J32" s="430">
        <v>42104.36597222222</v>
      </c>
      <c r="K32" s="431">
        <v>42104.592361111114</v>
      </c>
      <c r="L32" s="225">
        <f t="shared" si="1"/>
        <v>5.433333333407063</v>
      </c>
      <c r="M32" s="296">
        <f t="shared" si="2"/>
        <v>326</v>
      </c>
      <c r="N32" s="227" t="s">
        <v>76</v>
      </c>
      <c r="O32" s="424" t="str">
        <f t="shared" si="3"/>
        <v>--</v>
      </c>
      <c r="P32" s="297">
        <f t="shared" si="4"/>
        <v>40</v>
      </c>
      <c r="Q32" s="298">
        <f t="shared" si="5"/>
        <v>242.85131999999996</v>
      </c>
      <c r="R32" s="299" t="str">
        <f t="shared" si="6"/>
        <v>--</v>
      </c>
      <c r="S32" s="300" t="str">
        <f t="shared" si="7"/>
        <v>--</v>
      </c>
      <c r="T32" s="301" t="str">
        <f t="shared" si="8"/>
        <v>--</v>
      </c>
      <c r="U32" s="425" t="s">
        <v>77</v>
      </c>
      <c r="V32" s="305">
        <f t="shared" si="9"/>
        <v>242.85131999999996</v>
      </c>
      <c r="W32" s="238"/>
    </row>
    <row r="33" spans="2:23" s="1" customFormat="1" ht="16.5" customHeight="1">
      <c r="B33" s="13"/>
      <c r="C33" s="210">
        <v>155</v>
      </c>
      <c r="D33" s="209">
        <v>287389</v>
      </c>
      <c r="E33" s="209">
        <v>2159</v>
      </c>
      <c r="F33" s="293" t="s">
        <v>166</v>
      </c>
      <c r="G33" s="293" t="s">
        <v>168</v>
      </c>
      <c r="H33" s="294">
        <v>13.199999809265137</v>
      </c>
      <c r="I33" s="295">
        <f t="shared" si="0"/>
        <v>11.181</v>
      </c>
      <c r="J33" s="430">
        <v>42104.37013888889</v>
      </c>
      <c r="K33" s="431">
        <v>42104.52361111111</v>
      </c>
      <c r="L33" s="225">
        <f t="shared" si="1"/>
        <v>3.6833333332906477</v>
      </c>
      <c r="M33" s="296">
        <f t="shared" si="2"/>
        <v>221</v>
      </c>
      <c r="N33" s="227" t="s">
        <v>76</v>
      </c>
      <c r="O33" s="424" t="str">
        <f t="shared" si="3"/>
        <v>--</v>
      </c>
      <c r="P33" s="297">
        <f t="shared" si="4"/>
        <v>40</v>
      </c>
      <c r="Q33" s="298">
        <f t="shared" si="5"/>
        <v>164.58432</v>
      </c>
      <c r="R33" s="299" t="str">
        <f t="shared" si="6"/>
        <v>--</v>
      </c>
      <c r="S33" s="300" t="str">
        <f t="shared" si="7"/>
        <v>--</v>
      </c>
      <c r="T33" s="301" t="str">
        <f t="shared" si="8"/>
        <v>--</v>
      </c>
      <c r="U33" s="425" t="s">
        <v>77</v>
      </c>
      <c r="V33" s="305">
        <f t="shared" si="9"/>
        <v>164.58432</v>
      </c>
      <c r="W33" s="238"/>
    </row>
    <row r="34" spans="2:23" s="1" customFormat="1" ht="16.5" customHeight="1">
      <c r="B34" s="13"/>
      <c r="C34" s="210">
        <v>156</v>
      </c>
      <c r="D34" s="209">
        <v>287608</v>
      </c>
      <c r="E34" s="209">
        <v>2502</v>
      </c>
      <c r="F34" s="293" t="s">
        <v>158</v>
      </c>
      <c r="G34" s="293" t="s">
        <v>169</v>
      </c>
      <c r="H34" s="294">
        <v>33</v>
      </c>
      <c r="I34" s="295">
        <f t="shared" si="0"/>
        <v>11.181</v>
      </c>
      <c r="J34" s="430">
        <v>42107.316666666666</v>
      </c>
      <c r="K34" s="431">
        <v>42107.70972222222</v>
      </c>
      <c r="L34" s="225">
        <f t="shared" si="1"/>
        <v>9.433333333348855</v>
      </c>
      <c r="M34" s="296">
        <f t="shared" si="2"/>
        <v>566</v>
      </c>
      <c r="N34" s="227" t="s">
        <v>76</v>
      </c>
      <c r="O34" s="424" t="str">
        <f t="shared" si="3"/>
        <v>--</v>
      </c>
      <c r="P34" s="297">
        <f t="shared" si="4"/>
        <v>50</v>
      </c>
      <c r="Q34" s="298">
        <f t="shared" si="5"/>
        <v>527.1841499999999</v>
      </c>
      <c r="R34" s="299" t="str">
        <f t="shared" si="6"/>
        <v>--</v>
      </c>
      <c r="S34" s="300" t="str">
        <f t="shared" si="7"/>
        <v>--</v>
      </c>
      <c r="T34" s="301" t="str">
        <f t="shared" si="8"/>
        <v>--</v>
      </c>
      <c r="U34" s="425" t="s">
        <v>77</v>
      </c>
      <c r="V34" s="305">
        <f t="shared" si="9"/>
        <v>527.1841499999999</v>
      </c>
      <c r="W34" s="238"/>
    </row>
    <row r="35" spans="2:23" s="1" customFormat="1" ht="16.5" customHeight="1">
      <c r="B35" s="13"/>
      <c r="C35" s="210">
        <v>157</v>
      </c>
      <c r="D35" s="209">
        <v>287614</v>
      </c>
      <c r="E35" s="209">
        <v>2275</v>
      </c>
      <c r="F35" s="293" t="s">
        <v>159</v>
      </c>
      <c r="G35" s="293" t="s">
        <v>160</v>
      </c>
      <c r="H35" s="294">
        <v>13.199999809265137</v>
      </c>
      <c r="I35" s="295">
        <f t="shared" si="0"/>
        <v>11.181</v>
      </c>
      <c r="J35" s="430">
        <v>42108.35486111111</v>
      </c>
      <c r="K35" s="431">
        <v>42108.68819444445</v>
      </c>
      <c r="L35" s="225">
        <f t="shared" si="1"/>
        <v>8.000000000058208</v>
      </c>
      <c r="M35" s="296">
        <f t="shared" si="2"/>
        <v>480</v>
      </c>
      <c r="N35" s="227" t="s">
        <v>76</v>
      </c>
      <c r="O35" s="424" t="str">
        <f t="shared" si="3"/>
        <v>--</v>
      </c>
      <c r="P35" s="297">
        <f t="shared" si="4"/>
        <v>40</v>
      </c>
      <c r="Q35" s="298">
        <f t="shared" si="5"/>
        <v>357.792</v>
      </c>
      <c r="R35" s="299" t="str">
        <f t="shared" si="6"/>
        <v>--</v>
      </c>
      <c r="S35" s="300" t="str">
        <f t="shared" si="7"/>
        <v>--</v>
      </c>
      <c r="T35" s="301" t="str">
        <f t="shared" si="8"/>
        <v>--</v>
      </c>
      <c r="U35" s="425" t="s">
        <v>77</v>
      </c>
      <c r="V35" s="305">
        <f t="shared" si="9"/>
        <v>357.792</v>
      </c>
      <c r="W35" s="238"/>
    </row>
    <row r="36" spans="2:23" s="1" customFormat="1" ht="16.5" customHeight="1">
      <c r="B36" s="13"/>
      <c r="C36" s="210">
        <v>158</v>
      </c>
      <c r="D36" s="209">
        <v>287617</v>
      </c>
      <c r="E36" s="209">
        <v>2769</v>
      </c>
      <c r="F36" s="293" t="s">
        <v>135</v>
      </c>
      <c r="G36" s="293" t="s">
        <v>170</v>
      </c>
      <c r="H36" s="294">
        <v>132</v>
      </c>
      <c r="I36" s="295">
        <f t="shared" si="0"/>
        <v>14.911</v>
      </c>
      <c r="J36" s="430">
        <v>42108.38125</v>
      </c>
      <c r="K36" s="431">
        <v>42108.472916666666</v>
      </c>
      <c r="L36" s="225">
        <f t="shared" si="1"/>
        <v>2.2000000000116415</v>
      </c>
      <c r="M36" s="296">
        <f t="shared" si="2"/>
        <v>132</v>
      </c>
      <c r="N36" s="227" t="s">
        <v>76</v>
      </c>
      <c r="O36" s="424" t="str">
        <f t="shared" si="3"/>
        <v>--</v>
      </c>
      <c r="P36" s="297">
        <f t="shared" si="4"/>
        <v>50</v>
      </c>
      <c r="Q36" s="298">
        <f t="shared" si="5"/>
        <v>164.02100000000002</v>
      </c>
      <c r="R36" s="299" t="str">
        <f t="shared" si="6"/>
        <v>--</v>
      </c>
      <c r="S36" s="300" t="str">
        <f t="shared" si="7"/>
        <v>--</v>
      </c>
      <c r="T36" s="301" t="str">
        <f t="shared" si="8"/>
        <v>--</v>
      </c>
      <c r="U36" s="425" t="s">
        <v>77</v>
      </c>
      <c r="V36" s="305">
        <f t="shared" si="9"/>
        <v>164.02100000000002</v>
      </c>
      <c r="W36" s="238"/>
    </row>
    <row r="37" spans="2:23" s="1" customFormat="1" ht="16.5" customHeight="1">
      <c r="B37" s="13"/>
      <c r="C37" s="210">
        <v>159</v>
      </c>
      <c r="D37" s="209">
        <v>287618</v>
      </c>
      <c r="E37" s="209">
        <v>2049</v>
      </c>
      <c r="F37" s="293" t="s">
        <v>171</v>
      </c>
      <c r="G37" s="293" t="s">
        <v>172</v>
      </c>
      <c r="H37" s="294">
        <v>13.199999809265137</v>
      </c>
      <c r="I37" s="295">
        <f t="shared" si="0"/>
        <v>11.181</v>
      </c>
      <c r="J37" s="430">
        <v>42108.395833333336</v>
      </c>
      <c r="K37" s="431">
        <v>42108.520833333336</v>
      </c>
      <c r="L37" s="225">
        <f t="shared" si="1"/>
        <v>3</v>
      </c>
      <c r="M37" s="296">
        <f t="shared" si="2"/>
        <v>180</v>
      </c>
      <c r="N37" s="227" t="s">
        <v>76</v>
      </c>
      <c r="O37" s="424" t="str">
        <f t="shared" si="3"/>
        <v>--</v>
      </c>
      <c r="P37" s="297">
        <f t="shared" si="4"/>
        <v>40</v>
      </c>
      <c r="Q37" s="298">
        <f t="shared" si="5"/>
        <v>134.172</v>
      </c>
      <c r="R37" s="299" t="str">
        <f t="shared" si="6"/>
        <v>--</v>
      </c>
      <c r="S37" s="300" t="str">
        <f t="shared" si="7"/>
        <v>--</v>
      </c>
      <c r="T37" s="301" t="str">
        <f t="shared" si="8"/>
        <v>--</v>
      </c>
      <c r="U37" s="425" t="s">
        <v>77</v>
      </c>
      <c r="V37" s="305">
        <f t="shared" si="9"/>
        <v>134.172</v>
      </c>
      <c r="W37" s="238"/>
    </row>
    <row r="38" spans="2:23" s="1" customFormat="1" ht="16.5" customHeight="1">
      <c r="B38" s="13"/>
      <c r="C38" s="210">
        <v>160</v>
      </c>
      <c r="D38" s="209">
        <v>287624</v>
      </c>
      <c r="E38" s="209">
        <v>3570</v>
      </c>
      <c r="F38" s="293" t="s">
        <v>143</v>
      </c>
      <c r="G38" s="293" t="s">
        <v>173</v>
      </c>
      <c r="H38" s="294">
        <v>13.199999809265137</v>
      </c>
      <c r="I38" s="295">
        <f t="shared" si="0"/>
        <v>11.181</v>
      </c>
      <c r="J38" s="430">
        <v>42109.30625</v>
      </c>
      <c r="K38" s="431">
        <v>42109.72986111111</v>
      </c>
      <c r="L38" s="225">
        <f t="shared" si="1"/>
        <v>10.166666666627862</v>
      </c>
      <c r="M38" s="296">
        <f t="shared" si="2"/>
        <v>610</v>
      </c>
      <c r="N38" s="227" t="s">
        <v>76</v>
      </c>
      <c r="O38" s="424" t="str">
        <f t="shared" si="3"/>
        <v>--</v>
      </c>
      <c r="P38" s="297">
        <f t="shared" si="4"/>
        <v>40</v>
      </c>
      <c r="Q38" s="298">
        <f t="shared" si="5"/>
        <v>454.84307999999993</v>
      </c>
      <c r="R38" s="299" t="str">
        <f t="shared" si="6"/>
        <v>--</v>
      </c>
      <c r="S38" s="300" t="str">
        <f t="shared" si="7"/>
        <v>--</v>
      </c>
      <c r="T38" s="301" t="str">
        <f t="shared" si="8"/>
        <v>--</v>
      </c>
      <c r="U38" s="425" t="s">
        <v>77</v>
      </c>
      <c r="V38" s="305">
        <f t="shared" si="9"/>
        <v>454.84307999999993</v>
      </c>
      <c r="W38" s="238"/>
    </row>
    <row r="39" spans="2:23" s="1" customFormat="1" ht="16.5" customHeight="1">
      <c r="B39" s="13"/>
      <c r="C39" s="210">
        <v>161</v>
      </c>
      <c r="D39" s="209">
        <v>287626</v>
      </c>
      <c r="E39" s="209">
        <v>2276</v>
      </c>
      <c r="F39" s="293" t="s">
        <v>159</v>
      </c>
      <c r="G39" s="293" t="s">
        <v>174</v>
      </c>
      <c r="H39" s="294">
        <v>13.199999809265137</v>
      </c>
      <c r="I39" s="295">
        <f t="shared" si="0"/>
        <v>11.181</v>
      </c>
      <c r="J39" s="430">
        <v>42109.339583333334</v>
      </c>
      <c r="K39" s="431">
        <v>42109.71319444444</v>
      </c>
      <c r="L39" s="225">
        <f t="shared" si="1"/>
        <v>8.966666666558012</v>
      </c>
      <c r="M39" s="296">
        <f t="shared" si="2"/>
        <v>538</v>
      </c>
      <c r="N39" s="227" t="s">
        <v>76</v>
      </c>
      <c r="O39" s="424" t="str">
        <f t="shared" si="3"/>
        <v>--</v>
      </c>
      <c r="P39" s="297">
        <f t="shared" si="4"/>
        <v>40</v>
      </c>
      <c r="Q39" s="298">
        <f t="shared" si="5"/>
        <v>401.17428</v>
      </c>
      <c r="R39" s="299" t="str">
        <f t="shared" si="6"/>
        <v>--</v>
      </c>
      <c r="S39" s="300" t="str">
        <f t="shared" si="7"/>
        <v>--</v>
      </c>
      <c r="T39" s="301" t="str">
        <f t="shared" si="8"/>
        <v>--</v>
      </c>
      <c r="U39" s="425" t="s">
        <v>77</v>
      </c>
      <c r="V39" s="305">
        <f t="shared" si="9"/>
        <v>401.17428</v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11.181</v>
      </c>
      <c r="J40" s="430"/>
      <c r="K40" s="431"/>
      <c r="L40" s="225">
        <f t="shared" si="1"/>
      </c>
      <c r="M40" s="296">
        <f t="shared" si="2"/>
      </c>
      <c r="N40" s="227"/>
      <c r="O40" s="424">
        <f t="shared" si="3"/>
      </c>
      <c r="P40" s="297">
        <f t="shared" si="4"/>
        <v>40</v>
      </c>
      <c r="Q40" s="298" t="str">
        <f t="shared" si="5"/>
        <v>--</v>
      </c>
      <c r="R40" s="299" t="str">
        <f t="shared" si="6"/>
        <v>--</v>
      </c>
      <c r="S40" s="300" t="str">
        <f t="shared" si="7"/>
        <v>--</v>
      </c>
      <c r="T40" s="301" t="str">
        <f t="shared" si="8"/>
        <v>--</v>
      </c>
      <c r="U40" s="425">
        <f>IF(F40="","","SI")</f>
      </c>
      <c r="V40" s="305">
        <f t="shared" si="9"/>
      </c>
      <c r="W40" s="238"/>
    </row>
    <row r="41" spans="2:23" s="1" customFormat="1" ht="16.5" customHeight="1" thickBot="1">
      <c r="B41" s="13"/>
      <c r="C41" s="318"/>
      <c r="D41" s="318"/>
      <c r="E41" s="318"/>
      <c r="F41" s="318"/>
      <c r="G41" s="318"/>
      <c r="H41" s="318"/>
      <c r="I41" s="306"/>
      <c r="J41" s="404"/>
      <c r="K41" s="404"/>
      <c r="L41" s="239"/>
      <c r="M41" s="239"/>
      <c r="N41" s="318"/>
      <c r="O41" s="318"/>
      <c r="P41" s="328"/>
      <c r="Q41" s="329"/>
      <c r="R41" s="330"/>
      <c r="S41" s="331"/>
      <c r="T41" s="332"/>
      <c r="U41" s="318"/>
      <c r="V41" s="307"/>
      <c r="W41" s="238"/>
    </row>
    <row r="42" spans="2:23" s="1" customFormat="1" ht="16.5" customHeight="1" thickBot="1" thickTop="1">
      <c r="B42" s="13"/>
      <c r="C42" s="113" t="s">
        <v>55</v>
      </c>
      <c r="D42" s="449" t="s">
        <v>210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8">
        <f>SUM(Q20:Q41)</f>
        <v>4981.69028</v>
      </c>
      <c r="R42" s="309">
        <f>SUM(R20:R41)</f>
        <v>2012.58</v>
      </c>
      <c r="S42" s="309">
        <f>SUM(S20:S41)</f>
        <v>2638.716</v>
      </c>
      <c r="T42" s="310">
        <f>SUM(T20:T41)</f>
        <v>0</v>
      </c>
      <c r="U42" s="311"/>
      <c r="V42" s="415">
        <f>ROUND(SUM(V20:V41),2)</f>
        <v>9632.99</v>
      </c>
      <c r="W42" s="238"/>
    </row>
    <row r="43" spans="2:23" s="127" customFormat="1" ht="9.75" thickTop="1">
      <c r="B43" s="128"/>
      <c r="C43" s="129"/>
      <c r="D43" s="129"/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312"/>
      <c r="W43" s="254"/>
    </row>
    <row r="44" spans="2:23" s="1" customFormat="1" ht="16.5" customHeight="1" thickBot="1">
      <c r="B44" s="140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</row>
    <row r="45" spans="2:23" ht="16.5" customHeight="1" thickTop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</row>
    <row r="46" spans="3:6" ht="16.5" customHeight="1">
      <c r="C46" s="313"/>
      <c r="D46" s="313"/>
      <c r="E46" s="313"/>
      <c r="F46" s="31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9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28125" style="5" customWidth="1"/>
    <col min="11" max="11" width="16.4218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'TOT-0415'!B14</f>
        <v>Desde el 01 al 30 de abril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29.82</v>
      </c>
      <c r="H14" s="267">
        <f>60*'TOT-0415'!B13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14.911</v>
      </c>
      <c r="H15" s="267">
        <f>50*'TOT-0415'!B13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11.181</v>
      </c>
      <c r="H16" s="271">
        <f>50*'TOT-0415'!B13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11.181</v>
      </c>
      <c r="H17" s="276">
        <f>40*'TOT-0415'!B13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18">
        <v>3</v>
      </c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14"/>
    </row>
    <row r="19" spans="2:23" s="277" customFormat="1" ht="34.5" customHeight="1" thickBot="1" thickTop="1">
      <c r="B19" s="278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16"/>
      <c r="E20" s="416"/>
      <c r="F20" s="196"/>
      <c r="G20" s="196"/>
      <c r="H20" s="285"/>
      <c r="I20" s="286"/>
      <c r="J20" s="402"/>
      <c r="K20" s="405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'SA-04 (1)'!V42</f>
        <v>9632.99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0"/>
      <c r="K21" s="431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162</v>
      </c>
      <c r="D22" s="209">
        <v>287631</v>
      </c>
      <c r="E22" s="209">
        <v>2490</v>
      </c>
      <c r="F22" s="293" t="s">
        <v>175</v>
      </c>
      <c r="G22" s="293" t="s">
        <v>176</v>
      </c>
      <c r="H22" s="304">
        <v>33</v>
      </c>
      <c r="I22" s="295">
        <f aca="true" t="shared" si="0" ref="I22:I41">IF(H22=220,$G$14,IF(AND(H22&lt;=132,H22&gt;=66),$G$15,IF(AND(H22&lt;66,H22&gt;=33),$G$16,$G$17)))</f>
        <v>11.181</v>
      </c>
      <c r="J22" s="430">
        <v>42109.39513888889</v>
      </c>
      <c r="K22" s="431">
        <v>42109.71944444445</v>
      </c>
      <c r="L22" s="225">
        <f aca="true" t="shared" si="1" ref="L22:L41">IF(F22="","",(K22-J22)*24)</f>
        <v>7.78333333338378</v>
      </c>
      <c r="M22" s="296">
        <f aca="true" t="shared" si="2" ref="M22:M41">IF(F22="","",ROUND((K22-J22)*24*60,0))</f>
        <v>467</v>
      </c>
      <c r="N22" s="227" t="s">
        <v>76</v>
      </c>
      <c r="O22" s="424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50</v>
      </c>
      <c r="Q22" s="298">
        <f aca="true" t="shared" si="4" ref="Q22:Q41">IF(N22="P",I22*P22*ROUND(M22/60,2)*0.1,"--")</f>
        <v>434.9409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5" t="s">
        <v>77</v>
      </c>
      <c r="V22" s="305">
        <f aca="true" t="shared" si="8" ref="V22:V41">IF(F22="","",SUM(Q22:T22)*IF(U22="SI",1,2)*IF(H22="500/220",0,1))</f>
        <v>434.9409</v>
      </c>
      <c r="W22" s="238"/>
    </row>
    <row r="23" spans="2:23" s="1" customFormat="1" ht="16.5" customHeight="1">
      <c r="B23" s="13"/>
      <c r="C23" s="210">
        <v>163</v>
      </c>
      <c r="D23" s="209">
        <v>287633</v>
      </c>
      <c r="E23" s="209">
        <v>2276</v>
      </c>
      <c r="F23" s="293" t="s">
        <v>159</v>
      </c>
      <c r="G23" s="293" t="s">
        <v>174</v>
      </c>
      <c r="H23" s="294">
        <v>13.199999809265137</v>
      </c>
      <c r="I23" s="295">
        <f t="shared" si="0"/>
        <v>11.181</v>
      </c>
      <c r="J23" s="430">
        <v>42110.34097222222</v>
      </c>
      <c r="K23" s="431">
        <v>42110.63958333333</v>
      </c>
      <c r="L23" s="225">
        <f t="shared" si="1"/>
        <v>7.166666666627862</v>
      </c>
      <c r="M23" s="296">
        <f t="shared" si="2"/>
        <v>430</v>
      </c>
      <c r="N23" s="227" t="s">
        <v>76</v>
      </c>
      <c r="O23" s="424" t="str">
        <f aca="true" t="shared" si="9" ref="O23:O41">IF(F23="","",IF(OR(N23="P",N23="RP"),"--","NO"))</f>
        <v>--</v>
      </c>
      <c r="P23" s="297">
        <f t="shared" si="3"/>
        <v>40</v>
      </c>
      <c r="Q23" s="298">
        <f t="shared" si="4"/>
        <v>320.67108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25" t="s">
        <v>77</v>
      </c>
      <c r="V23" s="305">
        <f t="shared" si="8"/>
        <v>320.67108</v>
      </c>
      <c r="W23" s="238"/>
    </row>
    <row r="24" spans="2:23" s="1" customFormat="1" ht="16.5" customHeight="1">
      <c r="B24" s="13"/>
      <c r="C24" s="210">
        <v>164</v>
      </c>
      <c r="D24" s="209">
        <v>287635</v>
      </c>
      <c r="E24" s="209">
        <v>2457</v>
      </c>
      <c r="F24" s="293" t="s">
        <v>143</v>
      </c>
      <c r="G24" s="293" t="s">
        <v>177</v>
      </c>
      <c r="H24" s="294">
        <v>33</v>
      </c>
      <c r="I24" s="295">
        <f t="shared" si="0"/>
        <v>11.181</v>
      </c>
      <c r="J24" s="430">
        <v>42110.354166666664</v>
      </c>
      <c r="K24" s="431">
        <v>42110.72083333333</v>
      </c>
      <c r="L24" s="225">
        <f t="shared" si="1"/>
        <v>8.800000000046566</v>
      </c>
      <c r="M24" s="296">
        <f t="shared" si="2"/>
        <v>528</v>
      </c>
      <c r="N24" s="227" t="s">
        <v>76</v>
      </c>
      <c r="O24" s="424" t="str">
        <f t="shared" si="9"/>
        <v>--</v>
      </c>
      <c r="P24" s="297">
        <f t="shared" si="3"/>
        <v>50</v>
      </c>
      <c r="Q24" s="298">
        <f t="shared" si="4"/>
        <v>491.96400000000006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25" t="s">
        <v>77</v>
      </c>
      <c r="V24" s="305">
        <f t="shared" si="8"/>
        <v>491.96400000000006</v>
      </c>
      <c r="W24" s="238"/>
    </row>
    <row r="25" spans="2:23" s="1" customFormat="1" ht="16.5" customHeight="1">
      <c r="B25" s="13"/>
      <c r="C25" s="210">
        <v>165</v>
      </c>
      <c r="D25" s="209">
        <v>287643</v>
      </c>
      <c r="E25" s="209">
        <v>3569</v>
      </c>
      <c r="F25" s="293" t="s">
        <v>143</v>
      </c>
      <c r="G25" s="293" t="s">
        <v>178</v>
      </c>
      <c r="H25" s="294">
        <v>13.199999809265137</v>
      </c>
      <c r="I25" s="295">
        <f t="shared" si="0"/>
        <v>11.181</v>
      </c>
      <c r="J25" s="430">
        <v>42111.302083333336</v>
      </c>
      <c r="K25" s="431">
        <v>42111.73472222222</v>
      </c>
      <c r="L25" s="225">
        <f t="shared" si="1"/>
        <v>10.38333333330229</v>
      </c>
      <c r="M25" s="296">
        <f t="shared" si="2"/>
        <v>623</v>
      </c>
      <c r="N25" s="227" t="s">
        <v>76</v>
      </c>
      <c r="O25" s="424" t="str">
        <f t="shared" si="9"/>
        <v>--</v>
      </c>
      <c r="P25" s="297">
        <f t="shared" si="3"/>
        <v>40</v>
      </c>
      <c r="Q25" s="298">
        <f t="shared" si="4"/>
        <v>464.23512000000005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25" t="s">
        <v>77</v>
      </c>
      <c r="V25" s="305">
        <f t="shared" si="8"/>
        <v>464.23512000000005</v>
      </c>
      <c r="W25" s="238"/>
    </row>
    <row r="26" spans="2:23" s="1" customFormat="1" ht="16.5" customHeight="1">
      <c r="B26" s="13"/>
      <c r="C26" s="210">
        <v>166</v>
      </c>
      <c r="D26" s="209">
        <v>287659</v>
      </c>
      <c r="E26" s="209">
        <v>2393</v>
      </c>
      <c r="F26" s="293" t="s">
        <v>179</v>
      </c>
      <c r="G26" s="293" t="s">
        <v>180</v>
      </c>
      <c r="H26" s="294">
        <v>33</v>
      </c>
      <c r="I26" s="295">
        <f t="shared" si="0"/>
        <v>11.181</v>
      </c>
      <c r="J26" s="430">
        <v>42113.350694444445</v>
      </c>
      <c r="K26" s="431">
        <v>42113.46597222222</v>
      </c>
      <c r="L26" s="225">
        <f t="shared" si="1"/>
        <v>2.7666666666045785</v>
      </c>
      <c r="M26" s="296">
        <f t="shared" si="2"/>
        <v>166</v>
      </c>
      <c r="N26" s="227" t="s">
        <v>76</v>
      </c>
      <c r="O26" s="424" t="str">
        <f t="shared" si="9"/>
        <v>--</v>
      </c>
      <c r="P26" s="297">
        <f t="shared" si="3"/>
        <v>50</v>
      </c>
      <c r="Q26" s="298">
        <f t="shared" si="4"/>
        <v>154.85685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5" t="s">
        <v>77</v>
      </c>
      <c r="V26" s="305">
        <f t="shared" si="8"/>
        <v>154.85685</v>
      </c>
      <c r="W26" s="238"/>
    </row>
    <row r="27" spans="2:23" s="1" customFormat="1" ht="16.5" customHeight="1">
      <c r="B27" s="13"/>
      <c r="C27" s="210">
        <v>167</v>
      </c>
      <c r="D27" s="209">
        <v>287816</v>
      </c>
      <c r="E27" s="209">
        <v>2541</v>
      </c>
      <c r="F27" s="293" t="s">
        <v>114</v>
      </c>
      <c r="G27" s="293" t="s">
        <v>161</v>
      </c>
      <c r="H27" s="294">
        <v>33</v>
      </c>
      <c r="I27" s="295">
        <f t="shared" si="0"/>
        <v>11.181</v>
      </c>
      <c r="J27" s="430">
        <v>42114.40694444445</v>
      </c>
      <c r="K27" s="431">
        <v>42114.720138888886</v>
      </c>
      <c r="L27" s="225">
        <f t="shared" si="1"/>
        <v>7.516666666546371</v>
      </c>
      <c r="M27" s="296">
        <f t="shared" si="2"/>
        <v>451</v>
      </c>
      <c r="N27" s="227" t="s">
        <v>76</v>
      </c>
      <c r="O27" s="424" t="str">
        <f t="shared" si="9"/>
        <v>--</v>
      </c>
      <c r="P27" s="297">
        <f t="shared" si="3"/>
        <v>50</v>
      </c>
      <c r="Q27" s="298">
        <f t="shared" si="4"/>
        <v>420.4056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5" t="s">
        <v>77</v>
      </c>
      <c r="V27" s="305">
        <f t="shared" si="8"/>
        <v>420.4056</v>
      </c>
      <c r="W27" s="238"/>
    </row>
    <row r="28" spans="2:23" s="1" customFormat="1" ht="16.5" customHeight="1">
      <c r="B28" s="13"/>
      <c r="C28" s="210">
        <v>168</v>
      </c>
      <c r="D28" s="209">
        <v>287819</v>
      </c>
      <c r="E28" s="209">
        <v>2507</v>
      </c>
      <c r="F28" s="293" t="s">
        <v>158</v>
      </c>
      <c r="G28" s="293" t="s">
        <v>181</v>
      </c>
      <c r="H28" s="294">
        <v>33</v>
      </c>
      <c r="I28" s="295">
        <f t="shared" si="0"/>
        <v>11.181</v>
      </c>
      <c r="J28" s="430">
        <v>42114.45</v>
      </c>
      <c r="K28" s="431">
        <v>42114.65694444445</v>
      </c>
      <c r="L28" s="225">
        <f t="shared" si="1"/>
        <v>4.966666666790843</v>
      </c>
      <c r="M28" s="296">
        <f t="shared" si="2"/>
        <v>298</v>
      </c>
      <c r="N28" s="227" t="s">
        <v>76</v>
      </c>
      <c r="O28" s="424" t="str">
        <f t="shared" si="9"/>
        <v>--</v>
      </c>
      <c r="P28" s="297">
        <f t="shared" si="3"/>
        <v>50</v>
      </c>
      <c r="Q28" s="298">
        <f t="shared" si="4"/>
        <v>277.84785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25" t="s">
        <v>77</v>
      </c>
      <c r="V28" s="305">
        <f t="shared" si="8"/>
        <v>277.84785</v>
      </c>
      <c r="W28" s="238"/>
    </row>
    <row r="29" spans="2:23" s="1" customFormat="1" ht="16.5" customHeight="1">
      <c r="B29" s="13"/>
      <c r="C29" s="210">
        <v>169</v>
      </c>
      <c r="D29" s="209">
        <v>287820</v>
      </c>
      <c r="E29" s="209">
        <v>5070</v>
      </c>
      <c r="F29" s="293" t="s">
        <v>117</v>
      </c>
      <c r="G29" s="293" t="s">
        <v>182</v>
      </c>
      <c r="H29" s="294">
        <v>13.199999809265137</v>
      </c>
      <c r="I29" s="295">
        <f t="shared" si="0"/>
        <v>11.181</v>
      </c>
      <c r="J29" s="430">
        <v>42115.350694444445</v>
      </c>
      <c r="K29" s="431">
        <v>42115.46597222222</v>
      </c>
      <c r="L29" s="225">
        <f t="shared" si="1"/>
        <v>2.7666666666045785</v>
      </c>
      <c r="M29" s="296">
        <f t="shared" si="2"/>
        <v>166</v>
      </c>
      <c r="N29" s="227" t="s">
        <v>76</v>
      </c>
      <c r="O29" s="424" t="str">
        <f t="shared" si="9"/>
        <v>--</v>
      </c>
      <c r="P29" s="297">
        <f t="shared" si="3"/>
        <v>40</v>
      </c>
      <c r="Q29" s="298">
        <f t="shared" si="4"/>
        <v>123.88547999999999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5" t="s">
        <v>77</v>
      </c>
      <c r="V29" s="305">
        <f t="shared" si="8"/>
        <v>123.88547999999999</v>
      </c>
      <c r="W29" s="238"/>
    </row>
    <row r="30" spans="2:23" s="1" customFormat="1" ht="16.5" customHeight="1">
      <c r="B30" s="13"/>
      <c r="C30" s="210">
        <v>170</v>
      </c>
      <c r="D30" s="209">
        <v>287824</v>
      </c>
      <c r="E30" s="209">
        <v>2541</v>
      </c>
      <c r="F30" s="293" t="s">
        <v>114</v>
      </c>
      <c r="G30" s="293" t="s">
        <v>161</v>
      </c>
      <c r="H30" s="294">
        <v>33</v>
      </c>
      <c r="I30" s="295">
        <f t="shared" si="0"/>
        <v>11.181</v>
      </c>
      <c r="J30" s="430">
        <v>42115.36944444444</v>
      </c>
      <c r="K30" s="431">
        <v>42115.728472222225</v>
      </c>
      <c r="L30" s="225">
        <f t="shared" si="1"/>
        <v>8.616666666814126</v>
      </c>
      <c r="M30" s="296">
        <f t="shared" si="2"/>
        <v>517</v>
      </c>
      <c r="N30" s="227" t="s">
        <v>76</v>
      </c>
      <c r="O30" s="424" t="str">
        <f t="shared" si="9"/>
        <v>--</v>
      </c>
      <c r="P30" s="297">
        <f t="shared" si="3"/>
        <v>50</v>
      </c>
      <c r="Q30" s="298">
        <f t="shared" si="4"/>
        <v>481.9011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5" t="s">
        <v>77</v>
      </c>
      <c r="V30" s="305">
        <f t="shared" si="8"/>
        <v>481.9011</v>
      </c>
      <c r="W30" s="238"/>
    </row>
    <row r="31" spans="2:23" s="1" customFormat="1" ht="16.5" customHeight="1">
      <c r="B31" s="13"/>
      <c r="C31" s="210">
        <v>171</v>
      </c>
      <c r="D31" s="209">
        <v>287830</v>
      </c>
      <c r="E31" s="209">
        <v>2252</v>
      </c>
      <c r="F31" s="293" t="s">
        <v>117</v>
      </c>
      <c r="G31" s="293" t="s">
        <v>183</v>
      </c>
      <c r="H31" s="294">
        <v>13.199999809265137</v>
      </c>
      <c r="I31" s="295">
        <f t="shared" si="0"/>
        <v>11.181</v>
      </c>
      <c r="J31" s="430">
        <v>42115.53611111111</v>
      </c>
      <c r="K31" s="431">
        <v>42115.64513888889</v>
      </c>
      <c r="L31" s="225">
        <f t="shared" si="1"/>
        <v>2.616666666639503</v>
      </c>
      <c r="M31" s="296">
        <f t="shared" si="2"/>
        <v>157</v>
      </c>
      <c r="N31" s="227" t="s">
        <v>76</v>
      </c>
      <c r="O31" s="424" t="str">
        <f t="shared" si="9"/>
        <v>--</v>
      </c>
      <c r="P31" s="297">
        <f t="shared" si="3"/>
        <v>40</v>
      </c>
      <c r="Q31" s="298">
        <f t="shared" si="4"/>
        <v>117.17687999999998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25" t="s">
        <v>77</v>
      </c>
      <c r="V31" s="305">
        <f t="shared" si="8"/>
        <v>117.17687999999998</v>
      </c>
      <c r="W31" s="238"/>
    </row>
    <row r="32" spans="2:23" s="1" customFormat="1" ht="16.5" customHeight="1">
      <c r="B32" s="13"/>
      <c r="C32" s="210">
        <v>172</v>
      </c>
      <c r="D32" s="209">
        <v>287837</v>
      </c>
      <c r="E32" s="209">
        <v>5158</v>
      </c>
      <c r="F32" s="293" t="s">
        <v>117</v>
      </c>
      <c r="G32" s="293" t="s">
        <v>182</v>
      </c>
      <c r="H32" s="294">
        <v>13.199999809265137</v>
      </c>
      <c r="I32" s="295">
        <f t="shared" si="0"/>
        <v>11.181</v>
      </c>
      <c r="J32" s="430">
        <v>42116.39097222222</v>
      </c>
      <c r="K32" s="431">
        <v>42116.48402777778</v>
      </c>
      <c r="L32" s="225">
        <f t="shared" si="1"/>
        <v>2.233333333279006</v>
      </c>
      <c r="M32" s="296">
        <f t="shared" si="2"/>
        <v>134</v>
      </c>
      <c r="N32" s="227" t="s">
        <v>76</v>
      </c>
      <c r="O32" s="424" t="str">
        <f t="shared" si="9"/>
        <v>--</v>
      </c>
      <c r="P32" s="297">
        <f t="shared" si="3"/>
        <v>40</v>
      </c>
      <c r="Q32" s="298">
        <f t="shared" si="4"/>
        <v>99.73451999999999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5" t="s">
        <v>77</v>
      </c>
      <c r="V32" s="305">
        <f t="shared" si="8"/>
        <v>99.73451999999999</v>
      </c>
      <c r="W32" s="238"/>
    </row>
    <row r="33" spans="2:23" s="1" customFormat="1" ht="16.5" customHeight="1">
      <c r="B33" s="13"/>
      <c r="C33" s="210">
        <v>173</v>
      </c>
      <c r="D33" s="209">
        <v>287838</v>
      </c>
      <c r="E33" s="209">
        <v>2198</v>
      </c>
      <c r="F33" s="293" t="s">
        <v>184</v>
      </c>
      <c r="G33" s="293" t="s">
        <v>185</v>
      </c>
      <c r="H33" s="294">
        <v>13.199999809265137</v>
      </c>
      <c r="I33" s="295">
        <f t="shared" si="0"/>
        <v>11.181</v>
      </c>
      <c r="J33" s="430">
        <v>42116.42569444444</v>
      </c>
      <c r="K33" s="431">
        <v>42116.552083333336</v>
      </c>
      <c r="L33" s="225">
        <f t="shared" si="1"/>
        <v>3.0333333334419876</v>
      </c>
      <c r="M33" s="296">
        <f t="shared" si="2"/>
        <v>182</v>
      </c>
      <c r="N33" s="227" t="s">
        <v>76</v>
      </c>
      <c r="O33" s="424" t="str">
        <f t="shared" si="9"/>
        <v>--</v>
      </c>
      <c r="P33" s="297">
        <f t="shared" si="3"/>
        <v>40</v>
      </c>
      <c r="Q33" s="298">
        <f t="shared" si="4"/>
        <v>135.51371999999998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5" t="s">
        <v>77</v>
      </c>
      <c r="V33" s="305">
        <f t="shared" si="8"/>
        <v>135.51371999999998</v>
      </c>
      <c r="W33" s="238"/>
    </row>
    <row r="34" spans="2:23" s="1" customFormat="1" ht="16.5" customHeight="1">
      <c r="B34" s="13"/>
      <c r="C34" s="210">
        <v>174</v>
      </c>
      <c r="D34" s="209">
        <v>287839</v>
      </c>
      <c r="E34" s="209">
        <v>2256</v>
      </c>
      <c r="F34" s="293" t="s">
        <v>117</v>
      </c>
      <c r="G34" s="293" t="s">
        <v>186</v>
      </c>
      <c r="H34" s="294">
        <v>13.199999809265137</v>
      </c>
      <c r="I34" s="295">
        <f t="shared" si="0"/>
        <v>11.181</v>
      </c>
      <c r="J34" s="430">
        <v>42116.509722222225</v>
      </c>
      <c r="K34" s="431">
        <v>42116.645833333336</v>
      </c>
      <c r="L34" s="225">
        <f t="shared" si="1"/>
        <v>3.266666666662786</v>
      </c>
      <c r="M34" s="296">
        <f t="shared" si="2"/>
        <v>196</v>
      </c>
      <c r="N34" s="227" t="s">
        <v>76</v>
      </c>
      <c r="O34" s="424" t="str">
        <f t="shared" si="9"/>
        <v>--</v>
      </c>
      <c r="P34" s="297">
        <f t="shared" si="3"/>
        <v>40</v>
      </c>
      <c r="Q34" s="298">
        <f t="shared" si="4"/>
        <v>146.24748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25" t="s">
        <v>77</v>
      </c>
      <c r="V34" s="305">
        <f t="shared" si="8"/>
        <v>146.24748</v>
      </c>
      <c r="W34" s="238"/>
    </row>
    <row r="35" spans="2:23" s="1" customFormat="1" ht="16.5" customHeight="1">
      <c r="B35" s="13"/>
      <c r="C35" s="210">
        <v>175</v>
      </c>
      <c r="D35" s="209">
        <v>287848</v>
      </c>
      <c r="E35" s="209">
        <v>2255</v>
      </c>
      <c r="F35" s="293" t="s">
        <v>117</v>
      </c>
      <c r="G35" s="293" t="s">
        <v>187</v>
      </c>
      <c r="H35" s="294">
        <v>13.199999809265137</v>
      </c>
      <c r="I35" s="295">
        <f t="shared" si="0"/>
        <v>11.181</v>
      </c>
      <c r="J35" s="430">
        <v>42117.42222222222</v>
      </c>
      <c r="K35" s="431">
        <v>42117.53888888889</v>
      </c>
      <c r="L35" s="225">
        <f t="shared" si="1"/>
        <v>2.800000000046566</v>
      </c>
      <c r="M35" s="296">
        <f t="shared" si="2"/>
        <v>168</v>
      </c>
      <c r="N35" s="227" t="s">
        <v>76</v>
      </c>
      <c r="O35" s="424" t="str">
        <f t="shared" si="9"/>
        <v>--</v>
      </c>
      <c r="P35" s="297">
        <f t="shared" si="3"/>
        <v>40</v>
      </c>
      <c r="Q35" s="298">
        <f t="shared" si="4"/>
        <v>125.22719999999998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5" t="s">
        <v>77</v>
      </c>
      <c r="V35" s="305">
        <f t="shared" si="8"/>
        <v>125.22719999999998</v>
      </c>
      <c r="W35" s="238"/>
    </row>
    <row r="36" spans="2:23" s="1" customFormat="1" ht="16.5" customHeight="1">
      <c r="B36" s="13"/>
      <c r="C36" s="210">
        <v>176</v>
      </c>
      <c r="D36" s="209">
        <v>287849</v>
      </c>
      <c r="E36" s="209">
        <v>2197</v>
      </c>
      <c r="F36" s="293" t="s">
        <v>184</v>
      </c>
      <c r="G36" s="293" t="s">
        <v>188</v>
      </c>
      <c r="H36" s="294">
        <v>13.199999809265137</v>
      </c>
      <c r="I36" s="295">
        <f t="shared" si="0"/>
        <v>11.181</v>
      </c>
      <c r="J36" s="430">
        <v>42117.436111111114</v>
      </c>
      <c r="K36" s="431">
        <v>42117.54861111111</v>
      </c>
      <c r="L36" s="225">
        <f t="shared" si="1"/>
        <v>2.699999999895226</v>
      </c>
      <c r="M36" s="296">
        <f t="shared" si="2"/>
        <v>162</v>
      </c>
      <c r="N36" s="227" t="s">
        <v>76</v>
      </c>
      <c r="O36" s="424" t="str">
        <f t="shared" si="9"/>
        <v>--</v>
      </c>
      <c r="P36" s="297">
        <f t="shared" si="3"/>
        <v>40</v>
      </c>
      <c r="Q36" s="298">
        <f t="shared" si="4"/>
        <v>120.7548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25" t="s">
        <v>77</v>
      </c>
      <c r="V36" s="305">
        <f t="shared" si="8"/>
        <v>120.7548</v>
      </c>
      <c r="W36" s="238"/>
    </row>
    <row r="37" spans="2:23" s="1" customFormat="1" ht="16.5" customHeight="1">
      <c r="B37" s="13"/>
      <c r="C37" s="210">
        <v>177</v>
      </c>
      <c r="D37" s="209">
        <v>287850</v>
      </c>
      <c r="E37" s="209">
        <v>2257</v>
      </c>
      <c r="F37" s="293" t="s">
        <v>117</v>
      </c>
      <c r="G37" s="293" t="s">
        <v>189</v>
      </c>
      <c r="H37" s="294">
        <v>13.199999809265137</v>
      </c>
      <c r="I37" s="295">
        <f t="shared" si="0"/>
        <v>11.181</v>
      </c>
      <c r="J37" s="430">
        <v>42117.53958333333</v>
      </c>
      <c r="K37" s="431">
        <v>42117.5875</v>
      </c>
      <c r="L37" s="225">
        <f t="shared" si="1"/>
        <v>1.1500000000814907</v>
      </c>
      <c r="M37" s="296">
        <f t="shared" si="2"/>
        <v>69</v>
      </c>
      <c r="N37" s="227" t="s">
        <v>76</v>
      </c>
      <c r="O37" s="424" t="str">
        <f t="shared" si="9"/>
        <v>--</v>
      </c>
      <c r="P37" s="297">
        <f t="shared" si="3"/>
        <v>40</v>
      </c>
      <c r="Q37" s="298">
        <f t="shared" si="4"/>
        <v>51.432599999999994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5" t="s">
        <v>77</v>
      </c>
      <c r="V37" s="305">
        <f t="shared" si="8"/>
        <v>51.432599999999994</v>
      </c>
      <c r="W37" s="238"/>
    </row>
    <row r="38" spans="2:23" s="1" customFormat="1" ht="16.5" customHeight="1">
      <c r="B38" s="13"/>
      <c r="C38" s="210">
        <v>178</v>
      </c>
      <c r="D38" s="209">
        <v>287858</v>
      </c>
      <c r="E38" s="209">
        <v>2202</v>
      </c>
      <c r="F38" s="293" t="s">
        <v>184</v>
      </c>
      <c r="G38" s="293" t="s">
        <v>190</v>
      </c>
      <c r="H38" s="294">
        <v>13.199999809265137</v>
      </c>
      <c r="I38" s="295">
        <f t="shared" si="0"/>
        <v>11.181</v>
      </c>
      <c r="J38" s="430">
        <v>42118.39791666667</v>
      </c>
      <c r="K38" s="431">
        <v>42118.55625</v>
      </c>
      <c r="L38" s="225">
        <f t="shared" si="1"/>
        <v>3.7999999999883585</v>
      </c>
      <c r="M38" s="296">
        <f t="shared" si="2"/>
        <v>228</v>
      </c>
      <c r="N38" s="227" t="s">
        <v>76</v>
      </c>
      <c r="O38" s="424" t="str">
        <f t="shared" si="9"/>
        <v>--</v>
      </c>
      <c r="P38" s="297">
        <f t="shared" si="3"/>
        <v>40</v>
      </c>
      <c r="Q38" s="298">
        <f t="shared" si="4"/>
        <v>169.95119999999997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5" t="s">
        <v>77</v>
      </c>
      <c r="V38" s="305">
        <f t="shared" si="8"/>
        <v>169.95119999999997</v>
      </c>
      <c r="W38" s="238"/>
    </row>
    <row r="39" spans="2:23" s="1" customFormat="1" ht="16.5" customHeight="1">
      <c r="B39" s="13"/>
      <c r="C39" s="210">
        <v>179</v>
      </c>
      <c r="D39" s="209">
        <v>287871</v>
      </c>
      <c r="E39" s="209">
        <v>2250</v>
      </c>
      <c r="F39" s="293" t="s">
        <v>117</v>
      </c>
      <c r="G39" s="293" t="s">
        <v>191</v>
      </c>
      <c r="H39" s="294">
        <v>33</v>
      </c>
      <c r="I39" s="295">
        <f t="shared" si="0"/>
        <v>11.181</v>
      </c>
      <c r="J39" s="430">
        <v>42120.34166666667</v>
      </c>
      <c r="K39" s="431">
        <v>42120.47708333333</v>
      </c>
      <c r="L39" s="225">
        <f t="shared" si="1"/>
        <v>3.2499999999417923</v>
      </c>
      <c r="M39" s="296">
        <f t="shared" si="2"/>
        <v>195</v>
      </c>
      <c r="N39" s="227" t="s">
        <v>76</v>
      </c>
      <c r="O39" s="424" t="str">
        <f t="shared" si="9"/>
        <v>--</v>
      </c>
      <c r="P39" s="297">
        <f t="shared" si="3"/>
        <v>50</v>
      </c>
      <c r="Q39" s="298">
        <f t="shared" si="4"/>
        <v>181.69125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25" t="s">
        <v>77</v>
      </c>
      <c r="V39" s="305">
        <f t="shared" si="8"/>
        <v>181.69125</v>
      </c>
      <c r="W39" s="238"/>
    </row>
    <row r="40" spans="2:23" s="1" customFormat="1" ht="16.5" customHeight="1">
      <c r="B40" s="13"/>
      <c r="C40" s="210">
        <v>180</v>
      </c>
      <c r="D40" s="209">
        <v>287873</v>
      </c>
      <c r="E40" s="209">
        <v>2251</v>
      </c>
      <c r="F40" s="293" t="s">
        <v>117</v>
      </c>
      <c r="G40" s="293" t="s">
        <v>192</v>
      </c>
      <c r="H40" s="294">
        <v>33</v>
      </c>
      <c r="I40" s="295">
        <f t="shared" si="0"/>
        <v>11.181</v>
      </c>
      <c r="J40" s="430">
        <v>42120.48819444444</v>
      </c>
      <c r="K40" s="431">
        <v>42120.58819444444</v>
      </c>
      <c r="L40" s="225">
        <f t="shared" si="1"/>
        <v>2.3999999999650754</v>
      </c>
      <c r="M40" s="296">
        <f t="shared" si="2"/>
        <v>144</v>
      </c>
      <c r="N40" s="227" t="s">
        <v>76</v>
      </c>
      <c r="O40" s="424" t="str">
        <f t="shared" si="9"/>
        <v>--</v>
      </c>
      <c r="P40" s="297">
        <f t="shared" si="3"/>
        <v>50</v>
      </c>
      <c r="Q40" s="298">
        <f t="shared" si="4"/>
        <v>134.172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5" t="s">
        <v>77</v>
      </c>
      <c r="V40" s="305">
        <f t="shared" si="8"/>
        <v>134.172</v>
      </c>
      <c r="W40" s="238"/>
    </row>
    <row r="41" spans="2:23" s="1" customFormat="1" ht="16.5" customHeight="1">
      <c r="B41" s="13"/>
      <c r="C41" s="210">
        <v>181</v>
      </c>
      <c r="D41" s="209">
        <v>288009</v>
      </c>
      <c r="E41" s="209">
        <v>2232</v>
      </c>
      <c r="F41" s="293" t="s">
        <v>193</v>
      </c>
      <c r="G41" s="293" t="s">
        <v>194</v>
      </c>
      <c r="H41" s="294">
        <v>13.199999809265137</v>
      </c>
      <c r="I41" s="295">
        <f t="shared" si="0"/>
        <v>11.181</v>
      </c>
      <c r="J41" s="430">
        <v>42122.32847222222</v>
      </c>
      <c r="K41" s="431">
        <v>42122.600694444445</v>
      </c>
      <c r="L41" s="225">
        <f t="shared" si="1"/>
        <v>6.533333333325572</v>
      </c>
      <c r="M41" s="296">
        <f t="shared" si="2"/>
        <v>392</v>
      </c>
      <c r="N41" s="227" t="s">
        <v>76</v>
      </c>
      <c r="O41" s="424" t="str">
        <f t="shared" si="9"/>
        <v>--</v>
      </c>
      <c r="P41" s="297">
        <f t="shared" si="3"/>
        <v>40</v>
      </c>
      <c r="Q41" s="298">
        <f t="shared" si="4"/>
        <v>292.04771999999997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5" t="s">
        <v>77</v>
      </c>
      <c r="V41" s="305">
        <f t="shared" si="8"/>
        <v>292.04771999999997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4"/>
      <c r="K42" s="404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49" t="s">
        <v>219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4744.6573499999995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15">
        <f>ROUND(SUM(V20:V42),2)</f>
        <v>14377.65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6.281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'TOT-0415'!B14</f>
        <v>Desde el 01 al 30 de abril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29.82</v>
      </c>
      <c r="H14" s="267">
        <f>60*'TOT-0415'!B13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14.911</v>
      </c>
      <c r="H15" s="267">
        <f>50*'TOT-0415'!B13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11.181</v>
      </c>
      <c r="H16" s="271">
        <f>50*'TOT-0415'!B13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11.181</v>
      </c>
      <c r="H17" s="276">
        <f>40*'TOT-0415'!B13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18">
        <v>3</v>
      </c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14"/>
    </row>
    <row r="19" spans="2:23" s="277" customFormat="1" ht="34.5" customHeight="1" thickBot="1" thickTop="1">
      <c r="B19" s="278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16"/>
      <c r="E20" s="416"/>
      <c r="F20" s="196"/>
      <c r="G20" s="196"/>
      <c r="H20" s="285"/>
      <c r="I20" s="286"/>
      <c r="J20" s="402"/>
      <c r="K20" s="405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'SA-04 (2)'!V43</f>
        <v>14377.65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0"/>
      <c r="K21" s="431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182</v>
      </c>
      <c r="D22" s="209">
        <v>288015</v>
      </c>
      <c r="E22" s="209">
        <v>2654</v>
      </c>
      <c r="F22" s="293" t="s">
        <v>157</v>
      </c>
      <c r="G22" s="293" t="s">
        <v>164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11.181</v>
      </c>
      <c r="J22" s="430">
        <v>42122.365277777775</v>
      </c>
      <c r="K22" s="431">
        <v>42122.75069444445</v>
      </c>
      <c r="L22" s="225">
        <f aca="true" t="shared" si="1" ref="L22:L41">IF(F22="","",(K22-J22)*24)</f>
        <v>9.250000000116415</v>
      </c>
      <c r="M22" s="296">
        <f aca="true" t="shared" si="2" ref="M22:M41">IF(F22="","",ROUND((K22-J22)*24*60,0))</f>
        <v>555</v>
      </c>
      <c r="N22" s="227" t="s">
        <v>76</v>
      </c>
      <c r="O22" s="424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413.69699999999995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5" t="s">
        <v>77</v>
      </c>
      <c r="V22" s="305">
        <f aca="true" t="shared" si="8" ref="V22:V41">IF(F22="","",SUM(Q22:T22)*IF(U22="SI",1,2)*IF(H22="500/220",0,1))</f>
        <v>413.69699999999995</v>
      </c>
      <c r="W22" s="238"/>
    </row>
    <row r="23" spans="2:23" s="1" customFormat="1" ht="16.5" customHeight="1">
      <c r="B23" s="13"/>
      <c r="C23" s="210">
        <v>183</v>
      </c>
      <c r="D23" s="209">
        <v>288016</v>
      </c>
      <c r="E23" s="209">
        <v>2655</v>
      </c>
      <c r="F23" s="293" t="s">
        <v>157</v>
      </c>
      <c r="G23" s="293" t="s">
        <v>163</v>
      </c>
      <c r="H23" s="294">
        <v>13.199999809265137</v>
      </c>
      <c r="I23" s="295">
        <f t="shared" si="0"/>
        <v>11.181</v>
      </c>
      <c r="J23" s="430">
        <v>42122.365277777775</v>
      </c>
      <c r="K23" s="431">
        <v>42122.75069444445</v>
      </c>
      <c r="L23" s="225">
        <f t="shared" si="1"/>
        <v>9.250000000116415</v>
      </c>
      <c r="M23" s="296">
        <f t="shared" si="2"/>
        <v>555</v>
      </c>
      <c r="N23" s="227" t="s">
        <v>76</v>
      </c>
      <c r="O23" s="424" t="str">
        <f aca="true" t="shared" si="9" ref="O23:O41">IF(F23="","",IF(OR(N23="P",N23="RP"),"--","NO"))</f>
        <v>--</v>
      </c>
      <c r="P23" s="297">
        <f t="shared" si="3"/>
        <v>40</v>
      </c>
      <c r="Q23" s="298">
        <f t="shared" si="4"/>
        <v>413.69699999999995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25" t="s">
        <v>77</v>
      </c>
      <c r="V23" s="305">
        <f t="shared" si="8"/>
        <v>413.69699999999995</v>
      </c>
      <c r="W23" s="238"/>
    </row>
    <row r="24" spans="2:23" s="1" customFormat="1" ht="16.5" customHeight="1">
      <c r="B24" s="13"/>
      <c r="C24" s="210">
        <v>184</v>
      </c>
      <c r="D24" s="209">
        <v>288019</v>
      </c>
      <c r="E24" s="209">
        <v>2413</v>
      </c>
      <c r="F24" s="293" t="s">
        <v>138</v>
      </c>
      <c r="G24" s="293" t="s">
        <v>195</v>
      </c>
      <c r="H24" s="294">
        <v>33</v>
      </c>
      <c r="I24" s="295">
        <f t="shared" si="0"/>
        <v>11.181</v>
      </c>
      <c r="J24" s="430">
        <v>42122.39722222222</v>
      </c>
      <c r="K24" s="431">
        <v>42122.626388888886</v>
      </c>
      <c r="L24" s="225">
        <f t="shared" si="1"/>
        <v>5.499999999941792</v>
      </c>
      <c r="M24" s="296">
        <f t="shared" si="2"/>
        <v>330</v>
      </c>
      <c r="N24" s="227" t="s">
        <v>76</v>
      </c>
      <c r="O24" s="424" t="str">
        <f t="shared" si="9"/>
        <v>--</v>
      </c>
      <c r="P24" s="297">
        <f t="shared" si="3"/>
        <v>50</v>
      </c>
      <c r="Q24" s="298">
        <f t="shared" si="4"/>
        <v>307.47749999999996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25" t="s">
        <v>77</v>
      </c>
      <c r="V24" s="305">
        <f t="shared" si="8"/>
        <v>307.47749999999996</v>
      </c>
      <c r="W24" s="238"/>
    </row>
    <row r="25" spans="2:23" s="1" customFormat="1" ht="16.5" customHeight="1">
      <c r="B25" s="13"/>
      <c r="C25" s="210">
        <v>185</v>
      </c>
      <c r="D25" s="209">
        <v>288027</v>
      </c>
      <c r="E25" s="209">
        <v>2413</v>
      </c>
      <c r="F25" s="293" t="s">
        <v>138</v>
      </c>
      <c r="G25" s="293" t="s">
        <v>195</v>
      </c>
      <c r="H25" s="294">
        <v>33</v>
      </c>
      <c r="I25" s="295">
        <f t="shared" si="0"/>
        <v>11.181</v>
      </c>
      <c r="J25" s="430">
        <v>42123.39861111111</v>
      </c>
      <c r="K25" s="431">
        <v>42123.55902777778</v>
      </c>
      <c r="L25" s="225">
        <f t="shared" si="1"/>
        <v>3.85000000015134</v>
      </c>
      <c r="M25" s="296">
        <f t="shared" si="2"/>
        <v>231</v>
      </c>
      <c r="N25" s="227" t="s">
        <v>76</v>
      </c>
      <c r="O25" s="424" t="str">
        <f t="shared" si="9"/>
        <v>--</v>
      </c>
      <c r="P25" s="297">
        <f t="shared" si="3"/>
        <v>50</v>
      </c>
      <c r="Q25" s="298">
        <f t="shared" si="4"/>
        <v>215.23424999999997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25" t="s">
        <v>77</v>
      </c>
      <c r="V25" s="305">
        <f t="shared" si="8"/>
        <v>215.23424999999997</v>
      </c>
      <c r="W25" s="238"/>
    </row>
    <row r="26" spans="2:23" s="1" customFormat="1" ht="16.5" customHeight="1">
      <c r="B26" s="13"/>
      <c r="C26" s="210">
        <v>186</v>
      </c>
      <c r="D26" s="209">
        <v>288034</v>
      </c>
      <c r="E26" s="209">
        <v>4871</v>
      </c>
      <c r="F26" s="293" t="s">
        <v>138</v>
      </c>
      <c r="G26" s="293" t="s">
        <v>196</v>
      </c>
      <c r="H26" s="294">
        <v>33</v>
      </c>
      <c r="I26" s="295">
        <f t="shared" si="0"/>
        <v>11.181</v>
      </c>
      <c r="J26" s="430">
        <v>42124.364583333336</v>
      </c>
      <c r="K26" s="431">
        <v>42124.6375</v>
      </c>
      <c r="L26" s="225">
        <f t="shared" si="1"/>
        <v>6.549999999871943</v>
      </c>
      <c r="M26" s="296">
        <f t="shared" si="2"/>
        <v>393</v>
      </c>
      <c r="N26" s="227" t="s">
        <v>76</v>
      </c>
      <c r="O26" s="424" t="str">
        <f t="shared" si="9"/>
        <v>--</v>
      </c>
      <c r="P26" s="297">
        <f t="shared" si="3"/>
        <v>50</v>
      </c>
      <c r="Q26" s="298">
        <f t="shared" si="4"/>
        <v>366.17775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5" t="s">
        <v>77</v>
      </c>
      <c r="V26" s="305">
        <f t="shared" si="8"/>
        <v>366.17775</v>
      </c>
      <c r="W26" s="238"/>
    </row>
    <row r="27" spans="2:23" s="1" customFormat="1" ht="16.5" customHeight="1">
      <c r="B27" s="13"/>
      <c r="C27" s="210"/>
      <c r="D27" s="209"/>
      <c r="E27" s="209"/>
      <c r="F27" s="293"/>
      <c r="G27" s="293"/>
      <c r="H27" s="294"/>
      <c r="I27" s="295">
        <f t="shared" si="0"/>
        <v>11.181</v>
      </c>
      <c r="J27" s="430"/>
      <c r="K27" s="431"/>
      <c r="L27" s="225">
        <f t="shared" si="1"/>
      </c>
      <c r="M27" s="296">
        <f t="shared" si="2"/>
      </c>
      <c r="N27" s="227"/>
      <c r="O27" s="424">
        <f t="shared" si="9"/>
      </c>
      <c r="P27" s="297">
        <f t="shared" si="3"/>
        <v>40</v>
      </c>
      <c r="Q27" s="298" t="str">
        <f t="shared" si="4"/>
        <v>--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5">
        <f aca="true" t="shared" si="10" ref="U27:U41">IF(F27="","","SI")</f>
      </c>
      <c r="V27" s="305">
        <f t="shared" si="8"/>
      </c>
      <c r="W27" s="238"/>
    </row>
    <row r="28" spans="2:23" s="1" customFormat="1" ht="16.5" customHeight="1">
      <c r="B28" s="13"/>
      <c r="C28" s="210"/>
      <c r="D28" s="209"/>
      <c r="E28" s="209"/>
      <c r="F28" s="293"/>
      <c r="G28" s="293"/>
      <c r="H28" s="294"/>
      <c r="I28" s="295">
        <f t="shared" si="0"/>
        <v>11.181</v>
      </c>
      <c r="J28" s="430"/>
      <c r="K28" s="431"/>
      <c r="L28" s="225">
        <f t="shared" si="1"/>
      </c>
      <c r="M28" s="296">
        <f t="shared" si="2"/>
      </c>
      <c r="N28" s="227"/>
      <c r="O28" s="424">
        <f t="shared" si="9"/>
      </c>
      <c r="P28" s="297">
        <f t="shared" si="3"/>
        <v>40</v>
      </c>
      <c r="Q28" s="298" t="str">
        <f t="shared" si="4"/>
        <v>--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25">
        <f t="shared" si="10"/>
      </c>
      <c r="V28" s="305">
        <f t="shared" si="8"/>
      </c>
      <c r="W28" s="238"/>
    </row>
    <row r="29" spans="2:23" s="1" customFormat="1" ht="16.5" customHeight="1">
      <c r="B29" s="13"/>
      <c r="C29" s="210"/>
      <c r="D29" s="209"/>
      <c r="E29" s="209"/>
      <c r="F29" s="293"/>
      <c r="G29" s="293"/>
      <c r="H29" s="294"/>
      <c r="I29" s="295">
        <f t="shared" si="0"/>
        <v>11.181</v>
      </c>
      <c r="J29" s="430"/>
      <c r="K29" s="431"/>
      <c r="L29" s="225">
        <f t="shared" si="1"/>
      </c>
      <c r="M29" s="296">
        <f t="shared" si="2"/>
      </c>
      <c r="N29" s="227"/>
      <c r="O29" s="424">
        <f t="shared" si="9"/>
      </c>
      <c r="P29" s="297">
        <f t="shared" si="3"/>
        <v>40</v>
      </c>
      <c r="Q29" s="298" t="str">
        <f t="shared" si="4"/>
        <v>--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5">
        <f t="shared" si="10"/>
      </c>
      <c r="V29" s="305">
        <f t="shared" si="8"/>
      </c>
      <c r="W29" s="238"/>
    </row>
    <row r="30" spans="2:23" s="1" customFormat="1" ht="16.5" customHeight="1">
      <c r="B30" s="13"/>
      <c r="C30" s="210"/>
      <c r="D30" s="209"/>
      <c r="E30" s="209"/>
      <c r="F30" s="293"/>
      <c r="G30" s="293"/>
      <c r="H30" s="294"/>
      <c r="I30" s="295">
        <f t="shared" si="0"/>
        <v>11.181</v>
      </c>
      <c r="J30" s="430"/>
      <c r="K30" s="431"/>
      <c r="L30" s="225">
        <f t="shared" si="1"/>
      </c>
      <c r="M30" s="296">
        <f t="shared" si="2"/>
      </c>
      <c r="N30" s="227"/>
      <c r="O30" s="424">
        <f t="shared" si="9"/>
      </c>
      <c r="P30" s="297">
        <f t="shared" si="3"/>
        <v>40</v>
      </c>
      <c r="Q30" s="298" t="str">
        <f t="shared" si="4"/>
        <v>--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5">
        <f t="shared" si="10"/>
      </c>
      <c r="V30" s="305">
        <f t="shared" si="8"/>
      </c>
      <c r="W30" s="238"/>
    </row>
    <row r="31" spans="2:23" s="1" customFormat="1" ht="16.5" customHeight="1">
      <c r="B31" s="13"/>
      <c r="C31" s="210"/>
      <c r="D31" s="209"/>
      <c r="E31" s="209"/>
      <c r="F31" s="293"/>
      <c r="G31" s="293"/>
      <c r="H31" s="294"/>
      <c r="I31" s="295">
        <f t="shared" si="0"/>
        <v>11.181</v>
      </c>
      <c r="J31" s="430"/>
      <c r="K31" s="431"/>
      <c r="L31" s="225">
        <f t="shared" si="1"/>
      </c>
      <c r="M31" s="296">
        <f t="shared" si="2"/>
      </c>
      <c r="N31" s="227"/>
      <c r="O31" s="424">
        <f t="shared" si="9"/>
      </c>
      <c r="P31" s="297">
        <f t="shared" si="3"/>
        <v>40</v>
      </c>
      <c r="Q31" s="298" t="str">
        <f t="shared" si="4"/>
        <v>--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25">
        <f t="shared" si="10"/>
      </c>
      <c r="V31" s="305">
        <f t="shared" si="8"/>
      </c>
      <c r="W31" s="238"/>
    </row>
    <row r="32" spans="2:23" s="1" customFormat="1" ht="16.5" customHeight="1">
      <c r="B32" s="13"/>
      <c r="C32" s="210"/>
      <c r="D32" s="209"/>
      <c r="E32" s="209"/>
      <c r="F32" s="293"/>
      <c r="G32" s="293"/>
      <c r="H32" s="294"/>
      <c r="I32" s="295">
        <f t="shared" si="0"/>
        <v>11.181</v>
      </c>
      <c r="J32" s="430"/>
      <c r="K32" s="431"/>
      <c r="L32" s="225">
        <f t="shared" si="1"/>
      </c>
      <c r="M32" s="296">
        <f t="shared" si="2"/>
      </c>
      <c r="N32" s="227"/>
      <c r="O32" s="424">
        <f t="shared" si="9"/>
      </c>
      <c r="P32" s="297">
        <f t="shared" si="3"/>
        <v>40</v>
      </c>
      <c r="Q32" s="298" t="str">
        <f t="shared" si="4"/>
        <v>--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5">
        <f t="shared" si="10"/>
      </c>
      <c r="V32" s="305">
        <f t="shared" si="8"/>
      </c>
      <c r="W32" s="238"/>
    </row>
    <row r="33" spans="2:23" s="1" customFormat="1" ht="16.5" customHeight="1">
      <c r="B33" s="13"/>
      <c r="C33" s="210"/>
      <c r="D33" s="209"/>
      <c r="E33" s="209"/>
      <c r="F33" s="293"/>
      <c r="G33" s="293"/>
      <c r="H33" s="294"/>
      <c r="I33" s="295">
        <f t="shared" si="0"/>
        <v>11.181</v>
      </c>
      <c r="J33" s="430"/>
      <c r="K33" s="431"/>
      <c r="L33" s="225">
        <f t="shared" si="1"/>
      </c>
      <c r="M33" s="296">
        <f t="shared" si="2"/>
      </c>
      <c r="N33" s="227"/>
      <c r="O33" s="424">
        <f t="shared" si="9"/>
      </c>
      <c r="P33" s="297">
        <f t="shared" si="3"/>
        <v>40</v>
      </c>
      <c r="Q33" s="298" t="str">
        <f t="shared" si="4"/>
        <v>--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5">
        <f t="shared" si="10"/>
      </c>
      <c r="V33" s="305">
        <f t="shared" si="8"/>
      </c>
      <c r="W33" s="238"/>
    </row>
    <row r="34" spans="2:23" s="1" customFormat="1" ht="16.5" customHeight="1">
      <c r="B34" s="13"/>
      <c r="C34" s="210"/>
      <c r="D34" s="209"/>
      <c r="E34" s="209"/>
      <c r="F34" s="293"/>
      <c r="G34" s="293"/>
      <c r="H34" s="294"/>
      <c r="I34" s="295">
        <f t="shared" si="0"/>
        <v>11.181</v>
      </c>
      <c r="J34" s="430"/>
      <c r="K34" s="431"/>
      <c r="L34" s="225">
        <f t="shared" si="1"/>
      </c>
      <c r="M34" s="296">
        <f t="shared" si="2"/>
      </c>
      <c r="N34" s="227"/>
      <c r="O34" s="424">
        <f t="shared" si="9"/>
      </c>
      <c r="P34" s="297">
        <f t="shared" si="3"/>
        <v>40</v>
      </c>
      <c r="Q34" s="298" t="str">
        <f t="shared" si="4"/>
        <v>--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25">
        <f t="shared" si="10"/>
      </c>
      <c r="V34" s="305">
        <f t="shared" si="8"/>
      </c>
      <c r="W34" s="238"/>
    </row>
    <row r="35" spans="2:23" s="1" customFormat="1" ht="16.5" customHeight="1">
      <c r="B35" s="13"/>
      <c r="C35" s="210"/>
      <c r="D35" s="209"/>
      <c r="E35" s="209"/>
      <c r="F35" s="293"/>
      <c r="G35" s="293"/>
      <c r="H35" s="294"/>
      <c r="I35" s="295">
        <f t="shared" si="0"/>
        <v>11.181</v>
      </c>
      <c r="J35" s="430"/>
      <c r="K35" s="431"/>
      <c r="L35" s="225">
        <f t="shared" si="1"/>
      </c>
      <c r="M35" s="296">
        <f t="shared" si="2"/>
      </c>
      <c r="N35" s="227"/>
      <c r="O35" s="424">
        <f t="shared" si="9"/>
      </c>
      <c r="P35" s="297">
        <f t="shared" si="3"/>
        <v>40</v>
      </c>
      <c r="Q35" s="298" t="str">
        <f t="shared" si="4"/>
        <v>--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5">
        <f t="shared" si="10"/>
      </c>
      <c r="V35" s="305">
        <f t="shared" si="8"/>
      </c>
      <c r="W35" s="238"/>
    </row>
    <row r="36" spans="2:23" s="1" customFormat="1" ht="16.5" customHeight="1">
      <c r="B36" s="13"/>
      <c r="C36" s="210"/>
      <c r="D36" s="209"/>
      <c r="E36" s="209"/>
      <c r="F36" s="293"/>
      <c r="G36" s="293"/>
      <c r="H36" s="294"/>
      <c r="I36" s="295">
        <f t="shared" si="0"/>
        <v>11.181</v>
      </c>
      <c r="J36" s="430"/>
      <c r="K36" s="431"/>
      <c r="L36" s="225">
        <f t="shared" si="1"/>
      </c>
      <c r="M36" s="296">
        <f t="shared" si="2"/>
      </c>
      <c r="N36" s="227"/>
      <c r="O36" s="424">
        <f t="shared" si="9"/>
      </c>
      <c r="P36" s="297">
        <f t="shared" si="3"/>
        <v>40</v>
      </c>
      <c r="Q36" s="298" t="str">
        <f t="shared" si="4"/>
        <v>--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25">
        <f t="shared" si="10"/>
      </c>
      <c r="V36" s="305">
        <f t="shared" si="8"/>
      </c>
      <c r="W36" s="238"/>
    </row>
    <row r="37" spans="2:23" s="1" customFormat="1" ht="16.5" customHeight="1">
      <c r="B37" s="13"/>
      <c r="C37" s="210"/>
      <c r="D37" s="209"/>
      <c r="E37" s="209"/>
      <c r="F37" s="293"/>
      <c r="G37" s="293"/>
      <c r="H37" s="294"/>
      <c r="I37" s="295">
        <f t="shared" si="0"/>
        <v>11.181</v>
      </c>
      <c r="J37" s="430"/>
      <c r="K37" s="431"/>
      <c r="L37" s="225">
        <f t="shared" si="1"/>
      </c>
      <c r="M37" s="296">
        <f t="shared" si="2"/>
      </c>
      <c r="N37" s="227"/>
      <c r="O37" s="424">
        <f t="shared" si="9"/>
      </c>
      <c r="P37" s="297">
        <f t="shared" si="3"/>
        <v>40</v>
      </c>
      <c r="Q37" s="298" t="str">
        <f t="shared" si="4"/>
        <v>--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5">
        <f t="shared" si="10"/>
      </c>
      <c r="V37" s="305">
        <f t="shared" si="8"/>
      </c>
      <c r="W37" s="238"/>
    </row>
    <row r="38" spans="2:23" s="1" customFormat="1" ht="16.5" customHeight="1">
      <c r="B38" s="13"/>
      <c r="C38" s="210"/>
      <c r="D38" s="209"/>
      <c r="E38" s="209"/>
      <c r="F38" s="293"/>
      <c r="G38" s="293"/>
      <c r="H38" s="294"/>
      <c r="I38" s="295">
        <f t="shared" si="0"/>
        <v>11.181</v>
      </c>
      <c r="J38" s="430"/>
      <c r="K38" s="431"/>
      <c r="L38" s="225">
        <f t="shared" si="1"/>
      </c>
      <c r="M38" s="296">
        <f t="shared" si="2"/>
      </c>
      <c r="N38" s="227"/>
      <c r="O38" s="424">
        <f t="shared" si="9"/>
      </c>
      <c r="P38" s="297">
        <f t="shared" si="3"/>
        <v>40</v>
      </c>
      <c r="Q38" s="298" t="str">
        <f t="shared" si="4"/>
        <v>--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5">
        <f t="shared" si="10"/>
      </c>
      <c r="V38" s="305">
        <f t="shared" si="8"/>
      </c>
      <c r="W38" s="238"/>
    </row>
    <row r="39" spans="2:23" s="1" customFormat="1" ht="16.5" customHeight="1">
      <c r="B39" s="13"/>
      <c r="C39" s="210"/>
      <c r="D39" s="209"/>
      <c r="E39" s="209"/>
      <c r="F39" s="293"/>
      <c r="G39" s="293"/>
      <c r="H39" s="294"/>
      <c r="I39" s="295">
        <f t="shared" si="0"/>
        <v>11.181</v>
      </c>
      <c r="J39" s="430"/>
      <c r="K39" s="431"/>
      <c r="L39" s="225">
        <f t="shared" si="1"/>
      </c>
      <c r="M39" s="296">
        <f t="shared" si="2"/>
      </c>
      <c r="N39" s="227"/>
      <c r="O39" s="424">
        <f t="shared" si="9"/>
      </c>
      <c r="P39" s="297">
        <f t="shared" si="3"/>
        <v>40</v>
      </c>
      <c r="Q39" s="298" t="str">
        <f t="shared" si="4"/>
        <v>--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25">
        <f t="shared" si="10"/>
      </c>
      <c r="V39" s="305">
        <f t="shared" si="8"/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11.181</v>
      </c>
      <c r="J40" s="430"/>
      <c r="K40" s="431"/>
      <c r="L40" s="225">
        <f t="shared" si="1"/>
      </c>
      <c r="M40" s="296">
        <f t="shared" si="2"/>
      </c>
      <c r="N40" s="227"/>
      <c r="O40" s="424">
        <f t="shared" si="9"/>
      </c>
      <c r="P40" s="297">
        <f t="shared" si="3"/>
        <v>40</v>
      </c>
      <c r="Q40" s="298" t="str">
        <f t="shared" si="4"/>
        <v>--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5">
        <f t="shared" si="10"/>
      </c>
      <c r="V40" s="305">
        <f t="shared" si="8"/>
      </c>
      <c r="W40" s="238"/>
    </row>
    <row r="41" spans="2:23" s="1" customFormat="1" ht="16.5" customHeight="1">
      <c r="B41" s="13"/>
      <c r="C41" s="210"/>
      <c r="D41" s="209"/>
      <c r="E41" s="209"/>
      <c r="F41" s="293"/>
      <c r="G41" s="293"/>
      <c r="H41" s="294"/>
      <c r="I41" s="295">
        <f t="shared" si="0"/>
        <v>11.181</v>
      </c>
      <c r="J41" s="430"/>
      <c r="K41" s="431"/>
      <c r="L41" s="225">
        <f t="shared" si="1"/>
      </c>
      <c r="M41" s="296">
        <f t="shared" si="2"/>
      </c>
      <c r="N41" s="227"/>
      <c r="O41" s="424">
        <f t="shared" si="9"/>
      </c>
      <c r="P41" s="297">
        <f t="shared" si="3"/>
        <v>40</v>
      </c>
      <c r="Q41" s="298" t="str">
        <f t="shared" si="4"/>
        <v>--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5">
        <f t="shared" si="10"/>
      </c>
      <c r="V41" s="305">
        <f t="shared" si="8"/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4"/>
      <c r="K42" s="404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49" t="s">
        <v>219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1716.2834999999998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15">
        <f>ROUND(SUM(V20:V42),2)</f>
        <v>16093.93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8.851562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2" width="16.7109375" style="5" customWidth="1"/>
    <col min="13" max="13" width="16.4218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15"/>
    </row>
    <row r="2" spans="2:31" s="3" customFormat="1" ht="26.25">
      <c r="B2" s="16" t="str">
        <f>'TOT-0415'!B2</f>
        <v>ANEXO V al Memorándum D.T.E.E. N° 814   / 2015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2:31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2:31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2:31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</row>
    <row r="8" spans="2:31" s="22" customFormat="1" ht="20.25">
      <c r="B8" s="153"/>
      <c r="C8" s="154"/>
      <c r="D8" s="154"/>
      <c r="E8" s="154"/>
      <c r="F8" s="155" t="s">
        <v>5</v>
      </c>
      <c r="H8" s="154"/>
      <c r="I8" s="154"/>
      <c r="J8" s="156"/>
      <c r="K8" s="156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7"/>
    </row>
    <row r="9" spans="2:31" s="1" customFormat="1" ht="16.5" customHeight="1">
      <c r="B9" s="158"/>
      <c r="C9" s="2"/>
      <c r="D9" s="2"/>
      <c r="E9" s="2"/>
      <c r="F9" s="2"/>
      <c r="G9" s="2"/>
      <c r="H9" s="2"/>
      <c r="I9" s="2"/>
      <c r="J9" s="1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9"/>
    </row>
    <row r="10" spans="2:31" s="22" customFormat="1" ht="20.25">
      <c r="B10" s="153"/>
      <c r="C10" s="154"/>
      <c r="D10" s="154"/>
      <c r="E10" s="154"/>
      <c r="F10" s="155" t="s">
        <v>66</v>
      </c>
      <c r="G10" s="154"/>
      <c r="H10" s="154"/>
      <c r="I10" s="154"/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7"/>
    </row>
    <row r="11" spans="2:31" s="1" customFormat="1" ht="16.5" customHeight="1">
      <c r="B11" s="158"/>
      <c r="C11" s="2"/>
      <c r="D11" s="2"/>
      <c r="E11" s="2"/>
      <c r="F11" s="160"/>
      <c r="G11" s="2"/>
      <c r="H11" s="2"/>
      <c r="I11" s="2"/>
      <c r="J11" s="1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9"/>
    </row>
    <row r="12" spans="2:31" s="22" customFormat="1" ht="20.25">
      <c r="B12" s="153"/>
      <c r="C12" s="154"/>
      <c r="D12" s="154"/>
      <c r="E12" s="154"/>
      <c r="F12" s="407" t="s">
        <v>67</v>
      </c>
      <c r="G12" s="155"/>
      <c r="H12" s="156"/>
      <c r="I12" s="156"/>
      <c r="J12" s="156"/>
      <c r="K12" s="162"/>
      <c r="L12" s="154"/>
      <c r="M12" s="156"/>
      <c r="N12" s="15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7"/>
    </row>
    <row r="13" spans="2:31" s="1" customFormat="1" ht="16.5" customHeight="1">
      <c r="B13" s="158"/>
      <c r="C13" s="2"/>
      <c r="D13" s="2"/>
      <c r="E13" s="2"/>
      <c r="F13" s="163"/>
      <c r="G13" s="163"/>
      <c r="H13" s="163"/>
      <c r="I13" s="163"/>
      <c r="J13" s="164"/>
      <c r="K13" s="16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9"/>
    </row>
    <row r="14" spans="2:31" s="10" customFormat="1" ht="19.5">
      <c r="B14" s="166" t="str">
        <f>'TOT-0415'!B14</f>
        <v>Desde el 01 al 30 de abril de 2015</v>
      </c>
      <c r="C14" s="28"/>
      <c r="D14" s="28"/>
      <c r="E14" s="28"/>
      <c r="F14" s="167"/>
      <c r="G14" s="167"/>
      <c r="H14" s="167"/>
      <c r="I14" s="167"/>
      <c r="J14" s="167"/>
      <c r="K14" s="167"/>
      <c r="L14" s="29"/>
      <c r="M14" s="29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2:31" s="1" customFormat="1" ht="16.5" customHeight="1" thickBot="1">
      <c r="B15" s="158"/>
      <c r="C15" s="2"/>
      <c r="D15" s="2"/>
      <c r="E15" s="2"/>
      <c r="F15" s="2"/>
      <c r="G15" s="2"/>
      <c r="H15" s="2"/>
      <c r="I15" s="2"/>
      <c r="J15" s="169"/>
      <c r="K15" s="2"/>
      <c r="L15" s="17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9"/>
    </row>
    <row r="16" spans="2:31" s="1" customFormat="1" ht="16.5" customHeight="1" thickBot="1" thickTop="1">
      <c r="B16" s="158"/>
      <c r="C16" s="2"/>
      <c r="D16" s="2"/>
      <c r="E16" s="2"/>
      <c r="F16" s="174" t="s">
        <v>34</v>
      </c>
      <c r="G16" s="175"/>
      <c r="H16" s="175"/>
      <c r="I16" s="175"/>
      <c r="J16" s="176">
        <f>60*'TOT-0415'!B13</f>
        <v>60</v>
      </c>
      <c r="K16" s="177"/>
      <c r="L16" s="177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8"/>
      <c r="Y16" s="2"/>
      <c r="Z16" s="178"/>
      <c r="AA16" s="178"/>
      <c r="AB16" s="178"/>
      <c r="AC16" s="178"/>
      <c r="AD16" s="178"/>
      <c r="AE16" s="159"/>
    </row>
    <row r="17" spans="2:31" s="1" customFormat="1" ht="16.5" customHeight="1" thickBot="1" thickTop="1">
      <c r="B17" s="158"/>
      <c r="C17" s="419">
        <v>3</v>
      </c>
      <c r="D17" s="419">
        <v>4</v>
      </c>
      <c r="E17" s="419">
        <v>5</v>
      </c>
      <c r="F17" s="419">
        <v>6</v>
      </c>
      <c r="G17" s="419">
        <v>7</v>
      </c>
      <c r="H17" s="419">
        <v>8</v>
      </c>
      <c r="I17" s="419">
        <v>9</v>
      </c>
      <c r="J17" s="419">
        <v>10</v>
      </c>
      <c r="K17" s="419">
        <v>11</v>
      </c>
      <c r="L17" s="419">
        <v>12</v>
      </c>
      <c r="M17" s="419">
        <v>13</v>
      </c>
      <c r="N17" s="419">
        <v>14</v>
      </c>
      <c r="O17" s="419">
        <v>15</v>
      </c>
      <c r="P17" s="419">
        <v>16</v>
      </c>
      <c r="Q17" s="419">
        <v>17</v>
      </c>
      <c r="R17" s="419">
        <v>18</v>
      </c>
      <c r="S17" s="419">
        <v>19</v>
      </c>
      <c r="T17" s="419">
        <v>20</v>
      </c>
      <c r="U17" s="419">
        <v>21</v>
      </c>
      <c r="V17" s="419">
        <v>22</v>
      </c>
      <c r="W17" s="419">
        <v>23</v>
      </c>
      <c r="X17" s="419">
        <v>24</v>
      </c>
      <c r="Y17" s="419">
        <v>25</v>
      </c>
      <c r="Z17" s="419">
        <v>26</v>
      </c>
      <c r="AA17" s="419">
        <v>27</v>
      </c>
      <c r="AB17" s="419">
        <v>28</v>
      </c>
      <c r="AC17" s="419">
        <v>29</v>
      </c>
      <c r="AD17" s="419">
        <v>30</v>
      </c>
      <c r="AE17" s="159"/>
    </row>
    <row r="18" spans="2:31" s="179" customFormat="1" ht="34.5" customHeight="1" thickBot="1" thickTop="1">
      <c r="B18" s="180"/>
      <c r="C18" s="417" t="s">
        <v>13</v>
      </c>
      <c r="D18" s="417" t="s">
        <v>71</v>
      </c>
      <c r="E18" s="417" t="s">
        <v>72</v>
      </c>
      <c r="F18" s="181" t="s">
        <v>35</v>
      </c>
      <c r="G18" s="182" t="s">
        <v>36</v>
      </c>
      <c r="H18" s="183" t="s">
        <v>37</v>
      </c>
      <c r="I18" s="183" t="s">
        <v>68</v>
      </c>
      <c r="J18" s="184" t="s">
        <v>14</v>
      </c>
      <c r="K18" s="185" t="s">
        <v>16</v>
      </c>
      <c r="L18" s="182" t="s">
        <v>17</v>
      </c>
      <c r="M18" s="182" t="s">
        <v>18</v>
      </c>
      <c r="N18" s="181" t="s">
        <v>38</v>
      </c>
      <c r="O18" s="181" t="s">
        <v>39</v>
      </c>
      <c r="P18" s="48" t="s">
        <v>54</v>
      </c>
      <c r="Q18" s="182" t="s">
        <v>40</v>
      </c>
      <c r="R18" s="181" t="s">
        <v>21</v>
      </c>
      <c r="S18" s="182" t="s">
        <v>41</v>
      </c>
      <c r="T18" s="186" t="s">
        <v>42</v>
      </c>
      <c r="U18" s="187" t="s">
        <v>23</v>
      </c>
      <c r="V18" s="188" t="s">
        <v>24</v>
      </c>
      <c r="W18" s="189" t="s">
        <v>43</v>
      </c>
      <c r="X18" s="190"/>
      <c r="Y18" s="191" t="s">
        <v>44</v>
      </c>
      <c r="Z18" s="192"/>
      <c r="AA18" s="193" t="s">
        <v>27</v>
      </c>
      <c r="AB18" s="194" t="s">
        <v>28</v>
      </c>
      <c r="AC18" s="184" t="s">
        <v>45</v>
      </c>
      <c r="AD18" s="184" t="s">
        <v>30</v>
      </c>
      <c r="AE18" s="195"/>
    </row>
    <row r="19" spans="2:31" s="1" customFormat="1" ht="16.5" customHeight="1" thickTop="1">
      <c r="B19" s="158"/>
      <c r="C19" s="196"/>
      <c r="D19" s="196"/>
      <c r="E19" s="196"/>
      <c r="F19" s="197"/>
      <c r="G19" s="198"/>
      <c r="H19" s="198"/>
      <c r="I19" s="408"/>
      <c r="J19" s="198"/>
      <c r="K19" s="199"/>
      <c r="L19" s="402"/>
      <c r="M19" s="403"/>
      <c r="N19" s="200"/>
      <c r="O19" s="200"/>
      <c r="P19" s="198"/>
      <c r="Q19" s="198"/>
      <c r="R19" s="198"/>
      <c r="S19" s="198"/>
      <c r="T19" s="74"/>
      <c r="U19" s="72"/>
      <c r="V19" s="201"/>
      <c r="W19" s="202"/>
      <c r="X19" s="203"/>
      <c r="Y19" s="204"/>
      <c r="Z19" s="205"/>
      <c r="AA19" s="206"/>
      <c r="AB19" s="207"/>
      <c r="AC19" s="198"/>
      <c r="AD19" s="208"/>
      <c r="AE19" s="159"/>
    </row>
    <row r="20" spans="2:31" s="1" customFormat="1" ht="16.5" customHeight="1">
      <c r="B20" s="158"/>
      <c r="C20" s="209"/>
      <c r="D20" s="209"/>
      <c r="E20" s="209"/>
      <c r="F20" s="77"/>
      <c r="G20" s="79"/>
      <c r="H20" s="222"/>
      <c r="I20" s="409"/>
      <c r="J20" s="223"/>
      <c r="K20" s="224">
        <f>H20*I20</f>
        <v>0</v>
      </c>
      <c r="L20" s="428"/>
      <c r="M20" s="428"/>
      <c r="N20" s="225">
        <f aca="true" t="shared" si="0" ref="N20:N41">IF(F20="","",(M20-L20)*24)</f>
      </c>
      <c r="O20" s="226">
        <f aca="true" t="shared" si="1" ref="O20:O41">IF(F20="","",ROUND((M20-L20)*24*60,0))</f>
      </c>
      <c r="P20" s="227"/>
      <c r="Q20" s="227"/>
      <c r="R20" s="228"/>
      <c r="S20" s="227"/>
      <c r="T20" s="105">
        <f aca="true" t="shared" si="2" ref="T20:T41">$J$16*IF(OR(P20="P",P20="RP"),0.1,1)*IF(S20="SI",1,0.1)</f>
        <v>6</v>
      </c>
      <c r="U20" s="229" t="str">
        <f aca="true" t="shared" si="3" ref="U20:U41">IF(P20="P",K20*T20*ROUND(O20/60,2),"--")</f>
        <v>--</v>
      </c>
      <c r="V20" s="230" t="str">
        <f aca="true" t="shared" si="4" ref="V20:V41">IF(P20="RP",K20*T20*ROUND(O20/60,2)*R20/100,"--")</f>
        <v>--</v>
      </c>
      <c r="W20" s="231" t="str">
        <f aca="true" t="shared" si="5" ref="W20:W41">IF(AND(P20="F",Q20="NO"),K20*T20,"--")</f>
        <v>--</v>
      </c>
      <c r="X20" s="232" t="str">
        <f aca="true" t="shared" si="6" ref="X20:X41">IF(P20="F",K20*T20*ROUND(O20/60,2),"--")</f>
        <v>--</v>
      </c>
      <c r="Y20" s="233" t="str">
        <f aca="true" t="shared" si="7" ref="Y20:Y41">IF(AND(P20="R",Q20="NO"),K20*T20*R20/100,"--")</f>
        <v>--</v>
      </c>
      <c r="Z20" s="234" t="str">
        <f aca="true" t="shared" si="8" ref="Z20:Z41">IF(P20="R",K20*T20*ROUND(O20/60,2)*R20/100,"--")</f>
        <v>--</v>
      </c>
      <c r="AA20" s="235" t="str">
        <f aca="true" t="shared" si="9" ref="AA20:AA41">IF(P20="RF",K20*T20*ROUND(O20/60,2),"--")</f>
        <v>--</v>
      </c>
      <c r="AB20" s="236" t="str">
        <f aca="true" t="shared" si="10" ref="AB20:AB41">IF(P20="RR",K20*T20*ROUND(O20/60,2)*R20/100,"--")</f>
        <v>--</v>
      </c>
      <c r="AC20" s="227"/>
      <c r="AD20" s="237">
        <f aca="true" t="shared" si="11" ref="AD20:AD41">IF(F20="","",SUM(U20:AB20)*IF(AC20="SI",1,2))</f>
      </c>
      <c r="AE20" s="159"/>
    </row>
    <row r="21" spans="2:31" s="1" customFormat="1" ht="16.5" customHeight="1">
      <c r="B21" s="158"/>
      <c r="C21" s="209">
        <v>187</v>
      </c>
      <c r="D21" s="209">
        <v>287359</v>
      </c>
      <c r="E21" s="209">
        <v>4460</v>
      </c>
      <c r="F21" s="77" t="s">
        <v>166</v>
      </c>
      <c r="G21" s="79" t="s">
        <v>197</v>
      </c>
      <c r="H21" s="222">
        <v>1.5</v>
      </c>
      <c r="I21" s="409">
        <v>4.563</v>
      </c>
      <c r="J21" s="223">
        <v>13.199999809265137</v>
      </c>
      <c r="K21" s="224">
        <f>H21*I21</f>
        <v>6.8445</v>
      </c>
      <c r="L21" s="428">
        <v>42101.35555555556</v>
      </c>
      <c r="M21" s="428">
        <v>42101.600694444445</v>
      </c>
      <c r="N21" s="225">
        <f t="shared" si="0"/>
        <v>5.883333333302289</v>
      </c>
      <c r="O21" s="226">
        <f t="shared" si="1"/>
        <v>353</v>
      </c>
      <c r="P21" s="227" t="s">
        <v>76</v>
      </c>
      <c r="Q21" s="426" t="str">
        <f>IF(F21="","",IF(OR(P21="P",P21="RP"),"--","NO"))</f>
        <v>--</v>
      </c>
      <c r="R21" s="427" t="str">
        <f>IF(F21="","","--")</f>
        <v>--</v>
      </c>
      <c r="S21" s="420" t="str">
        <f>IF(F21="","","NO")</f>
        <v>NO</v>
      </c>
      <c r="T21" s="105">
        <f t="shared" si="2"/>
        <v>0.6000000000000001</v>
      </c>
      <c r="U21" s="229">
        <f t="shared" si="3"/>
        <v>24.147396000000004</v>
      </c>
      <c r="V21" s="230" t="str">
        <f t="shared" si="4"/>
        <v>--</v>
      </c>
      <c r="W21" s="231" t="str">
        <f t="shared" si="5"/>
        <v>--</v>
      </c>
      <c r="X21" s="232" t="str">
        <f t="shared" si="6"/>
        <v>--</v>
      </c>
      <c r="Y21" s="233" t="str">
        <f t="shared" si="7"/>
        <v>--</v>
      </c>
      <c r="Z21" s="234" t="str">
        <f t="shared" si="8"/>
        <v>--</v>
      </c>
      <c r="AA21" s="235" t="str">
        <f t="shared" si="9"/>
        <v>--</v>
      </c>
      <c r="AB21" s="236" t="str">
        <f t="shared" si="10"/>
        <v>--</v>
      </c>
      <c r="AC21" s="426" t="s">
        <v>77</v>
      </c>
      <c r="AD21" s="237">
        <f t="shared" si="11"/>
        <v>24.147396000000004</v>
      </c>
      <c r="AE21" s="159"/>
    </row>
    <row r="22" spans="2:31" s="1" customFormat="1" ht="16.5" customHeight="1">
      <c r="B22" s="158"/>
      <c r="C22" s="209">
        <v>188</v>
      </c>
      <c r="D22" s="209">
        <v>287370</v>
      </c>
      <c r="E22" s="209">
        <v>4461</v>
      </c>
      <c r="F22" s="77" t="s">
        <v>166</v>
      </c>
      <c r="G22" s="79" t="s">
        <v>205</v>
      </c>
      <c r="H22" s="432">
        <v>3</v>
      </c>
      <c r="I22" s="409">
        <v>4.563</v>
      </c>
      <c r="J22" s="223">
        <v>13.199999809265137</v>
      </c>
      <c r="K22" s="224">
        <f>H22*I22</f>
        <v>13.689</v>
      </c>
      <c r="L22" s="428">
        <v>42103.347916666666</v>
      </c>
      <c r="M22" s="428">
        <v>42103.654861111114</v>
      </c>
      <c r="N22" s="225">
        <f t="shared" si="0"/>
        <v>7.366666666755918</v>
      </c>
      <c r="O22" s="226">
        <f t="shared" si="1"/>
        <v>442</v>
      </c>
      <c r="P22" s="227" t="s">
        <v>76</v>
      </c>
      <c r="Q22" s="426" t="str">
        <f aca="true" t="shared" si="12" ref="Q22:Q41">IF(F22="","",IF(OR(P22="P",P22="RP"),"--","NO"))</f>
        <v>--</v>
      </c>
      <c r="R22" s="427" t="str">
        <f aca="true" t="shared" si="13" ref="R22:R41">IF(F22="","","--")</f>
        <v>--</v>
      </c>
      <c r="S22" s="420" t="str">
        <f aca="true" t="shared" si="14" ref="S22:S41">IF(F22="","","NO")</f>
        <v>NO</v>
      </c>
      <c r="T22" s="105">
        <f t="shared" si="2"/>
        <v>0.6000000000000001</v>
      </c>
      <c r="U22" s="229">
        <f t="shared" si="3"/>
        <v>60.532758000000015</v>
      </c>
      <c r="V22" s="230" t="str">
        <f t="shared" si="4"/>
        <v>--</v>
      </c>
      <c r="W22" s="231" t="str">
        <f t="shared" si="5"/>
        <v>--</v>
      </c>
      <c r="X22" s="232" t="str">
        <f t="shared" si="6"/>
        <v>--</v>
      </c>
      <c r="Y22" s="233" t="str">
        <f t="shared" si="7"/>
        <v>--</v>
      </c>
      <c r="Z22" s="234" t="str">
        <f t="shared" si="8"/>
        <v>--</v>
      </c>
      <c r="AA22" s="235" t="str">
        <f t="shared" si="9"/>
        <v>--</v>
      </c>
      <c r="AB22" s="236" t="str">
        <f t="shared" si="10"/>
        <v>--</v>
      </c>
      <c r="AC22" s="426" t="s">
        <v>77</v>
      </c>
      <c r="AD22" s="237">
        <f t="shared" si="11"/>
        <v>60.532758000000015</v>
      </c>
      <c r="AE22" s="159"/>
    </row>
    <row r="23" spans="2:31" s="1" customFormat="1" ht="16.5" customHeight="1">
      <c r="B23" s="158"/>
      <c r="C23" s="209">
        <v>189</v>
      </c>
      <c r="D23" s="209">
        <v>287609</v>
      </c>
      <c r="E23" s="209">
        <v>4457</v>
      </c>
      <c r="F23" s="77" t="s">
        <v>198</v>
      </c>
      <c r="G23" s="79" t="s">
        <v>199</v>
      </c>
      <c r="H23" s="222">
        <v>3</v>
      </c>
      <c r="I23" s="409">
        <v>5.866</v>
      </c>
      <c r="J23" s="223">
        <v>13.199999809265137</v>
      </c>
      <c r="K23" s="224">
        <f>H23*I23</f>
        <v>17.598</v>
      </c>
      <c r="L23" s="428">
        <v>42107.347916666666</v>
      </c>
      <c r="M23" s="428">
        <v>42107.58541666667</v>
      </c>
      <c r="N23" s="225">
        <f t="shared" si="0"/>
        <v>5.700000000069849</v>
      </c>
      <c r="O23" s="226">
        <f t="shared" si="1"/>
        <v>342</v>
      </c>
      <c r="P23" s="227" t="s">
        <v>76</v>
      </c>
      <c r="Q23" s="426" t="str">
        <f t="shared" si="12"/>
        <v>--</v>
      </c>
      <c r="R23" s="427" t="str">
        <f t="shared" si="13"/>
        <v>--</v>
      </c>
      <c r="S23" s="420" t="str">
        <f t="shared" si="14"/>
        <v>NO</v>
      </c>
      <c r="T23" s="105">
        <f t="shared" si="2"/>
        <v>0.6000000000000001</v>
      </c>
      <c r="U23" s="229">
        <f t="shared" si="3"/>
        <v>60.18516000000001</v>
      </c>
      <c r="V23" s="230" t="str">
        <f t="shared" si="4"/>
        <v>--</v>
      </c>
      <c r="W23" s="231" t="str">
        <f t="shared" si="5"/>
        <v>--</v>
      </c>
      <c r="X23" s="232" t="str">
        <f t="shared" si="6"/>
        <v>--</v>
      </c>
      <c r="Y23" s="233" t="str">
        <f t="shared" si="7"/>
        <v>--</v>
      </c>
      <c r="Z23" s="234" t="str">
        <f t="shared" si="8"/>
        <v>--</v>
      </c>
      <c r="AA23" s="235" t="str">
        <f t="shared" si="9"/>
        <v>--</v>
      </c>
      <c r="AB23" s="236" t="str">
        <f t="shared" si="10"/>
        <v>--</v>
      </c>
      <c r="AC23" s="426" t="s">
        <v>77</v>
      </c>
      <c r="AD23" s="237">
        <f t="shared" si="11"/>
        <v>60.18516000000001</v>
      </c>
      <c r="AE23" s="159"/>
    </row>
    <row r="24" spans="2:31" s="1" customFormat="1" ht="16.5" customHeight="1">
      <c r="B24" s="158"/>
      <c r="C24" s="209">
        <v>190</v>
      </c>
      <c r="D24" s="209">
        <v>287616</v>
      </c>
      <c r="E24" s="209">
        <v>4456</v>
      </c>
      <c r="F24" s="77" t="s">
        <v>198</v>
      </c>
      <c r="G24" s="79" t="s">
        <v>200</v>
      </c>
      <c r="H24" s="222">
        <v>3</v>
      </c>
      <c r="I24" s="409">
        <v>5.866</v>
      </c>
      <c r="J24" s="223">
        <v>13.199999809265137</v>
      </c>
      <c r="K24" s="224"/>
      <c r="L24" s="428">
        <v>42108.37777777778</v>
      </c>
      <c r="M24" s="428">
        <v>42108.59097222222</v>
      </c>
      <c r="N24" s="225">
        <f t="shared" si="0"/>
        <v>5.116666666581295</v>
      </c>
      <c r="O24" s="226">
        <f t="shared" si="1"/>
        <v>307</v>
      </c>
      <c r="P24" s="227" t="s">
        <v>76</v>
      </c>
      <c r="Q24" s="426" t="str">
        <f t="shared" si="12"/>
        <v>--</v>
      </c>
      <c r="R24" s="427" t="str">
        <f t="shared" si="13"/>
        <v>--</v>
      </c>
      <c r="S24" s="420" t="str">
        <f t="shared" si="14"/>
        <v>NO</v>
      </c>
      <c r="T24" s="105">
        <f t="shared" si="2"/>
        <v>0.6000000000000001</v>
      </c>
      <c r="U24" s="229">
        <f t="shared" si="3"/>
        <v>0</v>
      </c>
      <c r="V24" s="230" t="str">
        <f t="shared" si="4"/>
        <v>--</v>
      </c>
      <c r="W24" s="231" t="str">
        <f t="shared" si="5"/>
        <v>--</v>
      </c>
      <c r="X24" s="232" t="str">
        <f t="shared" si="6"/>
        <v>--</v>
      </c>
      <c r="Y24" s="233" t="str">
        <f t="shared" si="7"/>
        <v>--</v>
      </c>
      <c r="Z24" s="234" t="str">
        <f t="shared" si="8"/>
        <v>--</v>
      </c>
      <c r="AA24" s="235" t="str">
        <f t="shared" si="9"/>
        <v>--</v>
      </c>
      <c r="AB24" s="236" t="str">
        <f t="shared" si="10"/>
        <v>--</v>
      </c>
      <c r="AC24" s="426" t="s">
        <v>77</v>
      </c>
      <c r="AD24" s="237">
        <f t="shared" si="11"/>
        <v>0</v>
      </c>
      <c r="AE24" s="159"/>
    </row>
    <row r="25" spans="2:31" s="1" customFormat="1" ht="16.5" customHeight="1">
      <c r="B25" s="158"/>
      <c r="C25" s="209">
        <v>191</v>
      </c>
      <c r="D25" s="209">
        <v>287827</v>
      </c>
      <c r="E25" s="209">
        <v>4458</v>
      </c>
      <c r="F25" s="77" t="s">
        <v>184</v>
      </c>
      <c r="G25" s="79" t="s">
        <v>201</v>
      </c>
      <c r="H25" s="222">
        <v>1.5</v>
      </c>
      <c r="I25" s="409">
        <v>3.93</v>
      </c>
      <c r="J25" s="223">
        <v>13.199999809265137</v>
      </c>
      <c r="K25" s="224"/>
      <c r="L25" s="428">
        <v>42115.39791666667</v>
      </c>
      <c r="M25" s="428">
        <v>42115.55486111111</v>
      </c>
      <c r="N25" s="225">
        <f t="shared" si="0"/>
        <v>3.766666666546371</v>
      </c>
      <c r="O25" s="226">
        <f t="shared" si="1"/>
        <v>226</v>
      </c>
      <c r="P25" s="227" t="s">
        <v>76</v>
      </c>
      <c r="Q25" s="426" t="str">
        <f t="shared" si="12"/>
        <v>--</v>
      </c>
      <c r="R25" s="427" t="str">
        <f t="shared" si="13"/>
        <v>--</v>
      </c>
      <c r="S25" s="420" t="str">
        <f t="shared" si="14"/>
        <v>NO</v>
      </c>
      <c r="T25" s="105">
        <f t="shared" si="2"/>
        <v>0.6000000000000001</v>
      </c>
      <c r="U25" s="229">
        <f t="shared" si="3"/>
        <v>0</v>
      </c>
      <c r="V25" s="230" t="str">
        <f t="shared" si="4"/>
        <v>--</v>
      </c>
      <c r="W25" s="231" t="str">
        <f t="shared" si="5"/>
        <v>--</v>
      </c>
      <c r="X25" s="232" t="str">
        <f t="shared" si="6"/>
        <v>--</v>
      </c>
      <c r="Y25" s="233" t="str">
        <f t="shared" si="7"/>
        <v>--</v>
      </c>
      <c r="Z25" s="234" t="str">
        <f t="shared" si="8"/>
        <v>--</v>
      </c>
      <c r="AA25" s="235" t="str">
        <f t="shared" si="9"/>
        <v>--</v>
      </c>
      <c r="AB25" s="236" t="str">
        <f t="shared" si="10"/>
        <v>--</v>
      </c>
      <c r="AC25" s="426" t="s">
        <v>77</v>
      </c>
      <c r="AD25" s="237">
        <f t="shared" si="11"/>
        <v>0</v>
      </c>
      <c r="AE25" s="159"/>
    </row>
    <row r="26" spans="2:31" s="1" customFormat="1" ht="16.5" customHeight="1">
      <c r="B26" s="158"/>
      <c r="C26" s="209">
        <v>192</v>
      </c>
      <c r="D26" s="209">
        <v>287828</v>
      </c>
      <c r="E26" s="209">
        <v>4459</v>
      </c>
      <c r="F26" s="77" t="s">
        <v>184</v>
      </c>
      <c r="G26" s="79" t="s">
        <v>202</v>
      </c>
      <c r="H26" s="222">
        <v>3</v>
      </c>
      <c r="I26" s="409">
        <v>3.93</v>
      </c>
      <c r="J26" s="223">
        <v>13.199999809265137</v>
      </c>
      <c r="K26" s="224"/>
      <c r="L26" s="428">
        <v>42115.39791666667</v>
      </c>
      <c r="M26" s="428">
        <v>42115.55486111111</v>
      </c>
      <c r="N26" s="225">
        <f t="shared" si="0"/>
        <v>3.766666666546371</v>
      </c>
      <c r="O26" s="226">
        <f t="shared" si="1"/>
        <v>226</v>
      </c>
      <c r="P26" s="227" t="s">
        <v>76</v>
      </c>
      <c r="Q26" s="426" t="str">
        <f t="shared" si="12"/>
        <v>--</v>
      </c>
      <c r="R26" s="427" t="str">
        <f t="shared" si="13"/>
        <v>--</v>
      </c>
      <c r="S26" s="420" t="str">
        <f t="shared" si="14"/>
        <v>NO</v>
      </c>
      <c r="T26" s="105">
        <f t="shared" si="2"/>
        <v>0.6000000000000001</v>
      </c>
      <c r="U26" s="229">
        <f t="shared" si="3"/>
        <v>0</v>
      </c>
      <c r="V26" s="230" t="str">
        <f t="shared" si="4"/>
        <v>--</v>
      </c>
      <c r="W26" s="231" t="str">
        <f t="shared" si="5"/>
        <v>--</v>
      </c>
      <c r="X26" s="232" t="str">
        <f t="shared" si="6"/>
        <v>--</v>
      </c>
      <c r="Y26" s="233" t="str">
        <f t="shared" si="7"/>
        <v>--</v>
      </c>
      <c r="Z26" s="234" t="str">
        <f t="shared" si="8"/>
        <v>--</v>
      </c>
      <c r="AA26" s="235" t="str">
        <f t="shared" si="9"/>
        <v>--</v>
      </c>
      <c r="AB26" s="236" t="str">
        <f t="shared" si="10"/>
        <v>--</v>
      </c>
      <c r="AC26" s="426" t="s">
        <v>77</v>
      </c>
      <c r="AD26" s="237">
        <f t="shared" si="11"/>
        <v>0</v>
      </c>
      <c r="AE26" s="159"/>
    </row>
    <row r="27" spans="2:31" s="1" customFormat="1" ht="16.5" customHeight="1">
      <c r="B27" s="158"/>
      <c r="C27" s="209">
        <v>193</v>
      </c>
      <c r="D27" s="209">
        <v>288035</v>
      </c>
      <c r="E27" s="209">
        <v>4451</v>
      </c>
      <c r="F27" s="77" t="s">
        <v>203</v>
      </c>
      <c r="G27" s="79" t="s">
        <v>204</v>
      </c>
      <c r="H27" s="222">
        <v>3</v>
      </c>
      <c r="I27" s="409">
        <v>4.563</v>
      </c>
      <c r="J27" s="223">
        <v>13.199999809265137</v>
      </c>
      <c r="K27" s="224"/>
      <c r="L27" s="428">
        <v>42124.36666666667</v>
      </c>
      <c r="M27" s="428">
        <v>42124.53472222222</v>
      </c>
      <c r="N27" s="225">
        <f t="shared" si="0"/>
        <v>4.033333333209157</v>
      </c>
      <c r="O27" s="226">
        <f t="shared" si="1"/>
        <v>242</v>
      </c>
      <c r="P27" s="227" t="s">
        <v>76</v>
      </c>
      <c r="Q27" s="426" t="str">
        <f t="shared" si="12"/>
        <v>--</v>
      </c>
      <c r="R27" s="427" t="str">
        <f t="shared" si="13"/>
        <v>--</v>
      </c>
      <c r="S27" s="420" t="str">
        <f t="shared" si="14"/>
        <v>NO</v>
      </c>
      <c r="T27" s="105">
        <f t="shared" si="2"/>
        <v>0.6000000000000001</v>
      </c>
      <c r="U27" s="229">
        <f t="shared" si="3"/>
        <v>0</v>
      </c>
      <c r="V27" s="230" t="str">
        <f t="shared" si="4"/>
        <v>--</v>
      </c>
      <c r="W27" s="231" t="str">
        <f t="shared" si="5"/>
        <v>--</v>
      </c>
      <c r="X27" s="232" t="str">
        <f t="shared" si="6"/>
        <v>--</v>
      </c>
      <c r="Y27" s="233" t="str">
        <f t="shared" si="7"/>
        <v>--</v>
      </c>
      <c r="Z27" s="234" t="str">
        <f t="shared" si="8"/>
        <v>--</v>
      </c>
      <c r="AA27" s="235" t="str">
        <f t="shared" si="9"/>
        <v>--</v>
      </c>
      <c r="AB27" s="236" t="str">
        <f t="shared" si="10"/>
        <v>--</v>
      </c>
      <c r="AC27" s="426" t="s">
        <v>77</v>
      </c>
      <c r="AD27" s="237">
        <f t="shared" si="11"/>
        <v>0</v>
      </c>
      <c r="AE27" s="159"/>
    </row>
    <row r="28" spans="2:31" s="1" customFormat="1" ht="16.5" customHeight="1">
      <c r="B28" s="158"/>
      <c r="C28" s="209"/>
      <c r="D28" s="209"/>
      <c r="E28" s="209"/>
      <c r="F28" s="77"/>
      <c r="G28" s="79"/>
      <c r="H28" s="222"/>
      <c r="I28" s="409"/>
      <c r="J28" s="223"/>
      <c r="K28" s="224">
        <f>H28*I28</f>
        <v>0</v>
      </c>
      <c r="L28" s="428"/>
      <c r="M28" s="428"/>
      <c r="N28" s="225">
        <f t="shared" si="0"/>
      </c>
      <c r="O28" s="226">
        <f t="shared" si="1"/>
      </c>
      <c r="P28" s="227"/>
      <c r="Q28" s="426">
        <f t="shared" si="12"/>
      </c>
      <c r="R28" s="427">
        <f t="shared" si="13"/>
      </c>
      <c r="S28" s="420">
        <f t="shared" si="14"/>
      </c>
      <c r="T28" s="105">
        <f t="shared" si="2"/>
        <v>6</v>
      </c>
      <c r="U28" s="229" t="str">
        <f t="shared" si="3"/>
        <v>--</v>
      </c>
      <c r="V28" s="230" t="str">
        <f t="shared" si="4"/>
        <v>--</v>
      </c>
      <c r="W28" s="231" t="str">
        <f t="shared" si="5"/>
        <v>--</v>
      </c>
      <c r="X28" s="232" t="str">
        <f t="shared" si="6"/>
        <v>--</v>
      </c>
      <c r="Y28" s="233" t="str">
        <f t="shared" si="7"/>
        <v>--</v>
      </c>
      <c r="Z28" s="234" t="str">
        <f t="shared" si="8"/>
        <v>--</v>
      </c>
      <c r="AA28" s="235" t="str">
        <f t="shared" si="9"/>
        <v>--</v>
      </c>
      <c r="AB28" s="236" t="str">
        <f t="shared" si="10"/>
        <v>--</v>
      </c>
      <c r="AC28" s="426">
        <f aca="true" t="shared" si="15" ref="AC28:AC41">IF(F28="","","SI")</f>
      </c>
      <c r="AD28" s="237">
        <f t="shared" si="11"/>
      </c>
      <c r="AE28" s="159"/>
    </row>
    <row r="29" spans="2:31" s="1" customFormat="1" ht="16.5" customHeight="1">
      <c r="B29" s="158"/>
      <c r="C29" s="209"/>
      <c r="D29" s="209"/>
      <c r="E29" s="209"/>
      <c r="F29" s="77"/>
      <c r="G29" s="79"/>
      <c r="H29" s="222"/>
      <c r="I29" s="409"/>
      <c r="J29" s="223"/>
      <c r="K29" s="224"/>
      <c r="L29" s="428"/>
      <c r="M29" s="428"/>
      <c r="N29" s="225">
        <f t="shared" si="0"/>
      </c>
      <c r="O29" s="226">
        <f t="shared" si="1"/>
      </c>
      <c r="P29" s="227"/>
      <c r="Q29" s="426">
        <f t="shared" si="12"/>
      </c>
      <c r="R29" s="427">
        <f t="shared" si="13"/>
      </c>
      <c r="S29" s="420">
        <f t="shared" si="14"/>
      </c>
      <c r="T29" s="105">
        <f t="shared" si="2"/>
        <v>6</v>
      </c>
      <c r="U29" s="229" t="str">
        <f t="shared" si="3"/>
        <v>--</v>
      </c>
      <c r="V29" s="230" t="str">
        <f t="shared" si="4"/>
        <v>--</v>
      </c>
      <c r="W29" s="231" t="str">
        <f t="shared" si="5"/>
        <v>--</v>
      </c>
      <c r="X29" s="232" t="str">
        <f t="shared" si="6"/>
        <v>--</v>
      </c>
      <c r="Y29" s="233" t="str">
        <f t="shared" si="7"/>
        <v>--</v>
      </c>
      <c r="Z29" s="234" t="str">
        <f t="shared" si="8"/>
        <v>--</v>
      </c>
      <c r="AA29" s="235" t="str">
        <f t="shared" si="9"/>
        <v>--</v>
      </c>
      <c r="AB29" s="236" t="str">
        <f t="shared" si="10"/>
        <v>--</v>
      </c>
      <c r="AC29" s="426">
        <f t="shared" si="15"/>
      </c>
      <c r="AD29" s="237">
        <f t="shared" si="11"/>
      </c>
      <c r="AE29" s="159"/>
    </row>
    <row r="30" spans="2:31" s="1" customFormat="1" ht="16.5" customHeight="1">
      <c r="B30" s="158"/>
      <c r="C30" s="411"/>
      <c r="D30" s="411"/>
      <c r="E30" s="411"/>
      <c r="F30" s="77"/>
      <c r="G30" s="79"/>
      <c r="H30" s="222"/>
      <c r="I30" s="409"/>
      <c r="J30" s="223"/>
      <c r="K30" s="412"/>
      <c r="L30" s="428"/>
      <c r="M30" s="428"/>
      <c r="N30" s="225">
        <f t="shared" si="0"/>
      </c>
      <c r="O30" s="226">
        <f t="shared" si="1"/>
      </c>
      <c r="P30" s="227"/>
      <c r="Q30" s="426">
        <f t="shared" si="12"/>
      </c>
      <c r="R30" s="427">
        <f t="shared" si="13"/>
      </c>
      <c r="S30" s="420">
        <f t="shared" si="14"/>
      </c>
      <c r="T30" s="105">
        <f t="shared" si="2"/>
        <v>6</v>
      </c>
      <c r="U30" s="229" t="str">
        <f t="shared" si="3"/>
        <v>--</v>
      </c>
      <c r="V30" s="230" t="str">
        <f t="shared" si="4"/>
        <v>--</v>
      </c>
      <c r="W30" s="231" t="str">
        <f t="shared" si="5"/>
        <v>--</v>
      </c>
      <c r="X30" s="232" t="str">
        <f t="shared" si="6"/>
        <v>--</v>
      </c>
      <c r="Y30" s="233" t="str">
        <f t="shared" si="7"/>
        <v>--</v>
      </c>
      <c r="Z30" s="234" t="str">
        <f t="shared" si="8"/>
        <v>--</v>
      </c>
      <c r="AA30" s="235" t="str">
        <f t="shared" si="9"/>
        <v>--</v>
      </c>
      <c r="AB30" s="236" t="str">
        <f t="shared" si="10"/>
        <v>--</v>
      </c>
      <c r="AC30" s="426">
        <f t="shared" si="15"/>
      </c>
      <c r="AD30" s="237">
        <f t="shared" si="11"/>
      </c>
      <c r="AE30" s="159"/>
    </row>
    <row r="31" spans="2:31" s="1" customFormat="1" ht="16.5" customHeight="1">
      <c r="B31" s="158"/>
      <c r="C31" s="411"/>
      <c r="D31" s="411"/>
      <c r="E31" s="411"/>
      <c r="F31" s="77"/>
      <c r="G31" s="79"/>
      <c r="H31" s="222"/>
      <c r="I31" s="409"/>
      <c r="J31" s="223"/>
      <c r="K31" s="412"/>
      <c r="L31" s="428"/>
      <c r="M31" s="428"/>
      <c r="N31" s="225">
        <f t="shared" si="0"/>
      </c>
      <c r="O31" s="226">
        <f t="shared" si="1"/>
      </c>
      <c r="P31" s="227"/>
      <c r="Q31" s="426">
        <f t="shared" si="12"/>
      </c>
      <c r="R31" s="427">
        <f t="shared" si="13"/>
      </c>
      <c r="S31" s="420">
        <f t="shared" si="14"/>
      </c>
      <c r="T31" s="105">
        <f t="shared" si="2"/>
        <v>6</v>
      </c>
      <c r="U31" s="229" t="str">
        <f t="shared" si="3"/>
        <v>--</v>
      </c>
      <c r="V31" s="230" t="str">
        <f t="shared" si="4"/>
        <v>--</v>
      </c>
      <c r="W31" s="231" t="str">
        <f t="shared" si="5"/>
        <v>--</v>
      </c>
      <c r="X31" s="232" t="str">
        <f t="shared" si="6"/>
        <v>--</v>
      </c>
      <c r="Y31" s="233" t="str">
        <f t="shared" si="7"/>
        <v>--</v>
      </c>
      <c r="Z31" s="234" t="str">
        <f t="shared" si="8"/>
        <v>--</v>
      </c>
      <c r="AA31" s="235" t="str">
        <f t="shared" si="9"/>
        <v>--</v>
      </c>
      <c r="AB31" s="236" t="str">
        <f t="shared" si="10"/>
        <v>--</v>
      </c>
      <c r="AC31" s="426">
        <f t="shared" si="15"/>
      </c>
      <c r="AD31" s="237">
        <f t="shared" si="11"/>
      </c>
      <c r="AE31" s="159"/>
    </row>
    <row r="32" spans="2:31" s="1" customFormat="1" ht="16.5" customHeight="1">
      <c r="B32" s="158"/>
      <c r="C32" s="411"/>
      <c r="D32" s="411"/>
      <c r="E32" s="411"/>
      <c r="F32" s="77"/>
      <c r="G32" s="79"/>
      <c r="H32" s="222"/>
      <c r="I32" s="409"/>
      <c r="J32" s="223"/>
      <c r="K32" s="412"/>
      <c r="L32" s="428"/>
      <c r="M32" s="428"/>
      <c r="N32" s="225">
        <f t="shared" si="0"/>
      </c>
      <c r="O32" s="226">
        <f t="shared" si="1"/>
      </c>
      <c r="P32" s="227"/>
      <c r="Q32" s="426">
        <f t="shared" si="12"/>
      </c>
      <c r="R32" s="427">
        <f t="shared" si="13"/>
      </c>
      <c r="S32" s="420">
        <f t="shared" si="14"/>
      </c>
      <c r="T32" s="105">
        <f t="shared" si="2"/>
        <v>6</v>
      </c>
      <c r="U32" s="229" t="str">
        <f t="shared" si="3"/>
        <v>--</v>
      </c>
      <c r="V32" s="230" t="str">
        <f t="shared" si="4"/>
        <v>--</v>
      </c>
      <c r="W32" s="231" t="str">
        <f t="shared" si="5"/>
        <v>--</v>
      </c>
      <c r="X32" s="232" t="str">
        <f t="shared" si="6"/>
        <v>--</v>
      </c>
      <c r="Y32" s="233" t="str">
        <f t="shared" si="7"/>
        <v>--</v>
      </c>
      <c r="Z32" s="234" t="str">
        <f t="shared" si="8"/>
        <v>--</v>
      </c>
      <c r="AA32" s="235" t="str">
        <f t="shared" si="9"/>
        <v>--</v>
      </c>
      <c r="AB32" s="236" t="str">
        <f t="shared" si="10"/>
        <v>--</v>
      </c>
      <c r="AC32" s="426">
        <f t="shared" si="15"/>
      </c>
      <c r="AD32" s="237">
        <f t="shared" si="11"/>
      </c>
      <c r="AE32" s="159"/>
    </row>
    <row r="33" spans="2:31" s="1" customFormat="1" ht="16.5" customHeight="1">
      <c r="B33" s="158"/>
      <c r="C33" s="411"/>
      <c r="D33" s="411"/>
      <c r="E33" s="411"/>
      <c r="F33" s="77"/>
      <c r="G33" s="79"/>
      <c r="H33" s="222"/>
      <c r="I33" s="409"/>
      <c r="J33" s="223"/>
      <c r="K33" s="412"/>
      <c r="L33" s="428"/>
      <c r="M33" s="428"/>
      <c r="N33" s="225">
        <f t="shared" si="0"/>
      </c>
      <c r="O33" s="226">
        <f t="shared" si="1"/>
      </c>
      <c r="P33" s="227"/>
      <c r="Q33" s="426">
        <f t="shared" si="12"/>
      </c>
      <c r="R33" s="427">
        <f t="shared" si="13"/>
      </c>
      <c r="S33" s="420">
        <f t="shared" si="14"/>
      </c>
      <c r="T33" s="105">
        <f t="shared" si="2"/>
        <v>6</v>
      </c>
      <c r="U33" s="229" t="str">
        <f t="shared" si="3"/>
        <v>--</v>
      </c>
      <c r="V33" s="230" t="str">
        <f t="shared" si="4"/>
        <v>--</v>
      </c>
      <c r="W33" s="231" t="str">
        <f t="shared" si="5"/>
        <v>--</v>
      </c>
      <c r="X33" s="232" t="str">
        <f t="shared" si="6"/>
        <v>--</v>
      </c>
      <c r="Y33" s="233" t="str">
        <f t="shared" si="7"/>
        <v>--</v>
      </c>
      <c r="Z33" s="234" t="str">
        <f t="shared" si="8"/>
        <v>--</v>
      </c>
      <c r="AA33" s="235" t="str">
        <f t="shared" si="9"/>
        <v>--</v>
      </c>
      <c r="AB33" s="236" t="str">
        <f t="shared" si="10"/>
        <v>--</v>
      </c>
      <c r="AC33" s="426">
        <f t="shared" si="15"/>
      </c>
      <c r="AD33" s="237">
        <f t="shared" si="11"/>
      </c>
      <c r="AE33" s="159"/>
    </row>
    <row r="34" spans="2:31" s="1" customFormat="1" ht="16.5" customHeight="1">
      <c r="B34" s="158"/>
      <c r="C34" s="411"/>
      <c r="D34" s="411"/>
      <c r="E34" s="411"/>
      <c r="F34" s="77"/>
      <c r="G34" s="79"/>
      <c r="H34" s="222"/>
      <c r="I34" s="409"/>
      <c r="J34" s="223"/>
      <c r="K34" s="412"/>
      <c r="L34" s="428"/>
      <c r="M34" s="428"/>
      <c r="N34" s="225">
        <f t="shared" si="0"/>
      </c>
      <c r="O34" s="226">
        <f t="shared" si="1"/>
      </c>
      <c r="P34" s="227"/>
      <c r="Q34" s="426">
        <f t="shared" si="12"/>
      </c>
      <c r="R34" s="427">
        <f t="shared" si="13"/>
      </c>
      <c r="S34" s="420">
        <f t="shared" si="14"/>
      </c>
      <c r="T34" s="105">
        <f t="shared" si="2"/>
        <v>6</v>
      </c>
      <c r="U34" s="229" t="str">
        <f t="shared" si="3"/>
        <v>--</v>
      </c>
      <c r="V34" s="230" t="str">
        <f t="shared" si="4"/>
        <v>--</v>
      </c>
      <c r="W34" s="231" t="str">
        <f t="shared" si="5"/>
        <v>--</v>
      </c>
      <c r="X34" s="232" t="str">
        <f t="shared" si="6"/>
        <v>--</v>
      </c>
      <c r="Y34" s="233" t="str">
        <f t="shared" si="7"/>
        <v>--</v>
      </c>
      <c r="Z34" s="234" t="str">
        <f t="shared" si="8"/>
        <v>--</v>
      </c>
      <c r="AA34" s="235" t="str">
        <f t="shared" si="9"/>
        <v>--</v>
      </c>
      <c r="AB34" s="236" t="str">
        <f t="shared" si="10"/>
        <v>--</v>
      </c>
      <c r="AC34" s="426">
        <f t="shared" si="15"/>
      </c>
      <c r="AD34" s="237">
        <f t="shared" si="11"/>
      </c>
      <c r="AE34" s="159"/>
    </row>
    <row r="35" spans="2:31" s="1" customFormat="1" ht="16.5" customHeight="1">
      <c r="B35" s="158"/>
      <c r="C35" s="411"/>
      <c r="D35" s="411"/>
      <c r="E35" s="411"/>
      <c r="F35" s="77"/>
      <c r="G35" s="79"/>
      <c r="H35" s="222"/>
      <c r="I35" s="409"/>
      <c r="J35" s="223"/>
      <c r="K35" s="412"/>
      <c r="L35" s="428"/>
      <c r="M35" s="428"/>
      <c r="N35" s="225">
        <f t="shared" si="0"/>
      </c>
      <c r="O35" s="226">
        <f t="shared" si="1"/>
      </c>
      <c r="P35" s="227"/>
      <c r="Q35" s="426">
        <f t="shared" si="12"/>
      </c>
      <c r="R35" s="427">
        <f t="shared" si="13"/>
      </c>
      <c r="S35" s="420">
        <f t="shared" si="14"/>
      </c>
      <c r="T35" s="105">
        <f t="shared" si="2"/>
        <v>6</v>
      </c>
      <c r="U35" s="229" t="str">
        <f t="shared" si="3"/>
        <v>--</v>
      </c>
      <c r="V35" s="230" t="str">
        <f t="shared" si="4"/>
        <v>--</v>
      </c>
      <c r="W35" s="231" t="str">
        <f t="shared" si="5"/>
        <v>--</v>
      </c>
      <c r="X35" s="232" t="str">
        <f t="shared" si="6"/>
        <v>--</v>
      </c>
      <c r="Y35" s="233" t="str">
        <f t="shared" si="7"/>
        <v>--</v>
      </c>
      <c r="Z35" s="234" t="str">
        <f t="shared" si="8"/>
        <v>--</v>
      </c>
      <c r="AA35" s="235" t="str">
        <f t="shared" si="9"/>
        <v>--</v>
      </c>
      <c r="AB35" s="236" t="str">
        <f t="shared" si="10"/>
        <v>--</v>
      </c>
      <c r="AC35" s="426">
        <f t="shared" si="15"/>
      </c>
      <c r="AD35" s="237">
        <f t="shared" si="11"/>
      </c>
      <c r="AE35" s="159"/>
    </row>
    <row r="36" spans="2:31" s="1" customFormat="1" ht="16.5" customHeight="1">
      <c r="B36" s="158"/>
      <c r="C36" s="411"/>
      <c r="D36" s="411"/>
      <c r="E36" s="411"/>
      <c r="F36" s="77"/>
      <c r="G36" s="79"/>
      <c r="H36" s="222"/>
      <c r="I36" s="409"/>
      <c r="J36" s="223"/>
      <c r="K36" s="412"/>
      <c r="L36" s="428"/>
      <c r="M36" s="428"/>
      <c r="N36" s="225">
        <f t="shared" si="0"/>
      </c>
      <c r="O36" s="226">
        <f t="shared" si="1"/>
      </c>
      <c r="P36" s="227"/>
      <c r="Q36" s="426">
        <f t="shared" si="12"/>
      </c>
      <c r="R36" s="427">
        <f t="shared" si="13"/>
      </c>
      <c r="S36" s="420">
        <f t="shared" si="14"/>
      </c>
      <c r="T36" s="105">
        <f t="shared" si="2"/>
        <v>6</v>
      </c>
      <c r="U36" s="229" t="str">
        <f t="shared" si="3"/>
        <v>--</v>
      </c>
      <c r="V36" s="230" t="str">
        <f t="shared" si="4"/>
        <v>--</v>
      </c>
      <c r="W36" s="231" t="str">
        <f t="shared" si="5"/>
        <v>--</v>
      </c>
      <c r="X36" s="232" t="str">
        <f t="shared" si="6"/>
        <v>--</v>
      </c>
      <c r="Y36" s="233" t="str">
        <f t="shared" si="7"/>
        <v>--</v>
      </c>
      <c r="Z36" s="234" t="str">
        <f t="shared" si="8"/>
        <v>--</v>
      </c>
      <c r="AA36" s="235" t="str">
        <f t="shared" si="9"/>
        <v>--</v>
      </c>
      <c r="AB36" s="236" t="str">
        <f t="shared" si="10"/>
        <v>--</v>
      </c>
      <c r="AC36" s="426">
        <f t="shared" si="15"/>
      </c>
      <c r="AD36" s="237">
        <f t="shared" si="11"/>
      </c>
      <c r="AE36" s="159"/>
    </row>
    <row r="37" spans="2:31" s="1" customFormat="1" ht="16.5" customHeight="1">
      <c r="B37" s="158"/>
      <c r="C37" s="411"/>
      <c r="D37" s="411"/>
      <c r="E37" s="411"/>
      <c r="F37" s="77"/>
      <c r="G37" s="79"/>
      <c r="H37" s="222"/>
      <c r="I37" s="409"/>
      <c r="J37" s="223"/>
      <c r="K37" s="412"/>
      <c r="L37" s="428"/>
      <c r="M37" s="428"/>
      <c r="N37" s="225">
        <f t="shared" si="0"/>
      </c>
      <c r="O37" s="226">
        <f t="shared" si="1"/>
      </c>
      <c r="P37" s="227"/>
      <c r="Q37" s="426">
        <f t="shared" si="12"/>
      </c>
      <c r="R37" s="427">
        <f t="shared" si="13"/>
      </c>
      <c r="S37" s="420">
        <f t="shared" si="14"/>
      </c>
      <c r="T37" s="105">
        <f t="shared" si="2"/>
        <v>6</v>
      </c>
      <c r="U37" s="229" t="str">
        <f t="shared" si="3"/>
        <v>--</v>
      </c>
      <c r="V37" s="230" t="str">
        <f t="shared" si="4"/>
        <v>--</v>
      </c>
      <c r="W37" s="231" t="str">
        <f t="shared" si="5"/>
        <v>--</v>
      </c>
      <c r="X37" s="232" t="str">
        <f t="shared" si="6"/>
        <v>--</v>
      </c>
      <c r="Y37" s="233" t="str">
        <f t="shared" si="7"/>
        <v>--</v>
      </c>
      <c r="Z37" s="234" t="str">
        <f t="shared" si="8"/>
        <v>--</v>
      </c>
      <c r="AA37" s="235" t="str">
        <f t="shared" si="9"/>
        <v>--</v>
      </c>
      <c r="AB37" s="236" t="str">
        <f t="shared" si="10"/>
        <v>--</v>
      </c>
      <c r="AC37" s="426">
        <f t="shared" si="15"/>
      </c>
      <c r="AD37" s="237">
        <f t="shared" si="11"/>
      </c>
      <c r="AE37" s="159"/>
    </row>
    <row r="38" spans="2:31" s="1" customFormat="1" ht="16.5" customHeight="1">
      <c r="B38" s="158"/>
      <c r="C38" s="411"/>
      <c r="D38" s="411"/>
      <c r="E38" s="411"/>
      <c r="F38" s="77"/>
      <c r="G38" s="79"/>
      <c r="H38" s="222"/>
      <c r="I38" s="409"/>
      <c r="J38" s="223"/>
      <c r="K38" s="412"/>
      <c r="L38" s="428"/>
      <c r="M38" s="428"/>
      <c r="N38" s="225">
        <f t="shared" si="0"/>
      </c>
      <c r="O38" s="226">
        <f t="shared" si="1"/>
      </c>
      <c r="P38" s="227"/>
      <c r="Q38" s="426">
        <f t="shared" si="12"/>
      </c>
      <c r="R38" s="427">
        <f t="shared" si="13"/>
      </c>
      <c r="S38" s="420">
        <f t="shared" si="14"/>
      </c>
      <c r="T38" s="105">
        <f t="shared" si="2"/>
        <v>6</v>
      </c>
      <c r="U38" s="229" t="str">
        <f t="shared" si="3"/>
        <v>--</v>
      </c>
      <c r="V38" s="230" t="str">
        <f t="shared" si="4"/>
        <v>--</v>
      </c>
      <c r="W38" s="231" t="str">
        <f t="shared" si="5"/>
        <v>--</v>
      </c>
      <c r="X38" s="232" t="str">
        <f t="shared" si="6"/>
        <v>--</v>
      </c>
      <c r="Y38" s="233" t="str">
        <f t="shared" si="7"/>
        <v>--</v>
      </c>
      <c r="Z38" s="234" t="str">
        <f t="shared" si="8"/>
        <v>--</v>
      </c>
      <c r="AA38" s="235" t="str">
        <f t="shared" si="9"/>
        <v>--</v>
      </c>
      <c r="AB38" s="236" t="str">
        <f t="shared" si="10"/>
        <v>--</v>
      </c>
      <c r="AC38" s="426">
        <f t="shared" si="15"/>
      </c>
      <c r="AD38" s="237">
        <f t="shared" si="11"/>
      </c>
      <c r="AE38" s="159"/>
    </row>
    <row r="39" spans="2:31" s="1" customFormat="1" ht="16.5" customHeight="1">
      <c r="B39" s="158"/>
      <c r="C39" s="411"/>
      <c r="D39" s="411"/>
      <c r="E39" s="411"/>
      <c r="F39" s="77"/>
      <c r="G39" s="79"/>
      <c r="H39" s="222"/>
      <c r="I39" s="409"/>
      <c r="J39" s="223"/>
      <c r="K39" s="412"/>
      <c r="L39" s="428"/>
      <c r="M39" s="428"/>
      <c r="N39" s="225">
        <f t="shared" si="0"/>
      </c>
      <c r="O39" s="226">
        <f t="shared" si="1"/>
      </c>
      <c r="P39" s="227"/>
      <c r="Q39" s="426">
        <f t="shared" si="12"/>
      </c>
      <c r="R39" s="427">
        <f t="shared" si="13"/>
      </c>
      <c r="S39" s="420">
        <f t="shared" si="14"/>
      </c>
      <c r="T39" s="105">
        <f t="shared" si="2"/>
        <v>6</v>
      </c>
      <c r="U39" s="229" t="str">
        <f t="shared" si="3"/>
        <v>--</v>
      </c>
      <c r="V39" s="230" t="str">
        <f t="shared" si="4"/>
        <v>--</v>
      </c>
      <c r="W39" s="231" t="str">
        <f t="shared" si="5"/>
        <v>--</v>
      </c>
      <c r="X39" s="232" t="str">
        <f t="shared" si="6"/>
        <v>--</v>
      </c>
      <c r="Y39" s="233" t="str">
        <f t="shared" si="7"/>
        <v>--</v>
      </c>
      <c r="Z39" s="234" t="str">
        <f t="shared" si="8"/>
        <v>--</v>
      </c>
      <c r="AA39" s="235" t="str">
        <f t="shared" si="9"/>
        <v>--</v>
      </c>
      <c r="AB39" s="236" t="str">
        <f t="shared" si="10"/>
        <v>--</v>
      </c>
      <c r="AC39" s="426">
        <f t="shared" si="15"/>
      </c>
      <c r="AD39" s="237">
        <f t="shared" si="11"/>
      </c>
      <c r="AE39" s="159"/>
    </row>
    <row r="40" spans="2:31" s="1" customFormat="1" ht="16.5" customHeight="1">
      <c r="B40" s="158"/>
      <c r="C40" s="411"/>
      <c r="D40" s="411"/>
      <c r="E40" s="411"/>
      <c r="F40" s="77"/>
      <c r="G40" s="79"/>
      <c r="H40" s="222"/>
      <c r="I40" s="409"/>
      <c r="J40" s="223"/>
      <c r="K40" s="412"/>
      <c r="L40" s="428"/>
      <c r="M40" s="428"/>
      <c r="N40" s="225">
        <f t="shared" si="0"/>
      </c>
      <c r="O40" s="226">
        <f t="shared" si="1"/>
      </c>
      <c r="P40" s="227"/>
      <c r="Q40" s="426">
        <f t="shared" si="12"/>
      </c>
      <c r="R40" s="427">
        <f t="shared" si="13"/>
      </c>
      <c r="S40" s="420">
        <f t="shared" si="14"/>
      </c>
      <c r="T40" s="105">
        <f t="shared" si="2"/>
        <v>6</v>
      </c>
      <c r="U40" s="229" t="str">
        <f t="shared" si="3"/>
        <v>--</v>
      </c>
      <c r="V40" s="230" t="str">
        <f t="shared" si="4"/>
        <v>--</v>
      </c>
      <c r="W40" s="231" t="str">
        <f t="shared" si="5"/>
        <v>--</v>
      </c>
      <c r="X40" s="232" t="str">
        <f t="shared" si="6"/>
        <v>--</v>
      </c>
      <c r="Y40" s="233" t="str">
        <f t="shared" si="7"/>
        <v>--</v>
      </c>
      <c r="Z40" s="234" t="str">
        <f t="shared" si="8"/>
        <v>--</v>
      </c>
      <c r="AA40" s="235" t="str">
        <f t="shared" si="9"/>
        <v>--</v>
      </c>
      <c r="AB40" s="236" t="str">
        <f t="shared" si="10"/>
        <v>--</v>
      </c>
      <c r="AC40" s="426">
        <f t="shared" si="15"/>
      </c>
      <c r="AD40" s="237">
        <f t="shared" si="11"/>
      </c>
      <c r="AE40" s="159"/>
    </row>
    <row r="41" spans="2:31" s="1" customFormat="1" ht="16.5" customHeight="1">
      <c r="B41" s="158"/>
      <c r="C41" s="411"/>
      <c r="D41" s="411"/>
      <c r="E41" s="411"/>
      <c r="F41" s="77"/>
      <c r="G41" s="79"/>
      <c r="H41" s="222"/>
      <c r="I41" s="409"/>
      <c r="J41" s="223"/>
      <c r="K41" s="412"/>
      <c r="L41" s="428"/>
      <c r="M41" s="428"/>
      <c r="N41" s="225">
        <f t="shared" si="0"/>
      </c>
      <c r="O41" s="226">
        <f t="shared" si="1"/>
      </c>
      <c r="P41" s="227"/>
      <c r="Q41" s="426">
        <f t="shared" si="12"/>
      </c>
      <c r="R41" s="427">
        <f t="shared" si="13"/>
      </c>
      <c r="S41" s="420">
        <f t="shared" si="14"/>
      </c>
      <c r="T41" s="105">
        <f t="shared" si="2"/>
        <v>6</v>
      </c>
      <c r="U41" s="229" t="str">
        <f t="shared" si="3"/>
        <v>--</v>
      </c>
      <c r="V41" s="230" t="str">
        <f t="shared" si="4"/>
        <v>--</v>
      </c>
      <c r="W41" s="231" t="str">
        <f t="shared" si="5"/>
        <v>--</v>
      </c>
      <c r="X41" s="232" t="str">
        <f t="shared" si="6"/>
        <v>--</v>
      </c>
      <c r="Y41" s="233" t="str">
        <f t="shared" si="7"/>
        <v>--</v>
      </c>
      <c r="Z41" s="234" t="str">
        <f t="shared" si="8"/>
        <v>--</v>
      </c>
      <c r="AA41" s="235" t="str">
        <f t="shared" si="9"/>
        <v>--</v>
      </c>
      <c r="AB41" s="236" t="str">
        <f t="shared" si="10"/>
        <v>--</v>
      </c>
      <c r="AC41" s="426">
        <f t="shared" si="15"/>
      </c>
      <c r="AD41" s="237">
        <f t="shared" si="11"/>
      </c>
      <c r="AE41" s="159"/>
    </row>
    <row r="42" spans="2:31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318"/>
      <c r="K42" s="240"/>
      <c r="L42" s="404"/>
      <c r="M42" s="404"/>
      <c r="N42" s="239"/>
      <c r="O42" s="239"/>
      <c r="P42" s="318"/>
      <c r="Q42" s="318"/>
      <c r="R42" s="318"/>
      <c r="S42" s="318"/>
      <c r="T42" s="319"/>
      <c r="U42" s="320"/>
      <c r="V42" s="321"/>
      <c r="W42" s="322"/>
      <c r="X42" s="323"/>
      <c r="Y42" s="324"/>
      <c r="Z42" s="325"/>
      <c r="AA42" s="326"/>
      <c r="AB42" s="327"/>
      <c r="AC42" s="318"/>
      <c r="AD42" s="241"/>
      <c r="AE42" s="159"/>
    </row>
    <row r="43" spans="2:31" s="1" customFormat="1" ht="16.5" customHeight="1" thickBot="1" thickTop="1">
      <c r="B43" s="158"/>
      <c r="C43" s="113" t="s">
        <v>55</v>
      </c>
      <c r="D43" s="449" t="s">
        <v>219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2">
        <f>SUM(U19:U42)</f>
        <v>144.865314</v>
      </c>
      <c r="V43" s="243">
        <f>SUM(V19:V42)</f>
        <v>0</v>
      </c>
      <c r="W43" s="244">
        <f>SUM(W19:W42)</f>
        <v>0</v>
      </c>
      <c r="X43" s="245">
        <f>SUM(X21:X42)</f>
        <v>0</v>
      </c>
      <c r="Y43" s="246">
        <f>SUM(Y19:Y42)</f>
        <v>0</v>
      </c>
      <c r="Z43" s="246">
        <f>SUM(Z21:Z42)</f>
        <v>0</v>
      </c>
      <c r="AA43" s="247">
        <f>SUM(AA19:AA42)</f>
        <v>0</v>
      </c>
      <c r="AB43" s="248">
        <f>SUM(AB21:AB42)</f>
        <v>0</v>
      </c>
      <c r="AC43" s="249"/>
      <c r="AD43" s="410">
        <f>ROUND(SUM(AD19:AD42),2)</f>
        <v>144.87</v>
      </c>
      <c r="AE43" s="159"/>
    </row>
    <row r="44" spans="2:31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52"/>
      <c r="W44" s="252"/>
      <c r="X44" s="252"/>
      <c r="Y44" s="252"/>
      <c r="Z44" s="252"/>
      <c r="AA44" s="252"/>
      <c r="AB44" s="252"/>
      <c r="AC44" s="251"/>
      <c r="AD44" s="253"/>
      <c r="AE44" s="254"/>
    </row>
    <row r="45" spans="2:31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</row>
    <row r="46" spans="2:31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9">
      <selection activeCell="C40" sqref="C40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6.4218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+'TOT-0415'!B14</f>
        <v>Desde el 01 al 30 de abril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335.458</v>
      </c>
      <c r="H14" s="37"/>
      <c r="I14" s="38"/>
      <c r="J14" s="34"/>
      <c r="K14" s="34"/>
      <c r="L14" s="39" t="s">
        <v>8</v>
      </c>
      <c r="M14" s="40">
        <f>150*'TOT-0415'!B13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320.552</v>
      </c>
      <c r="H15" s="42"/>
      <c r="I15" s="43"/>
      <c r="J15" s="7"/>
      <c r="K15" s="44"/>
      <c r="L15" s="39" t="s">
        <v>10</v>
      </c>
      <c r="M15" s="40">
        <f>50*'TOT-0415'!B13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320.552</v>
      </c>
      <c r="H16" s="42"/>
      <c r="I16" s="43"/>
      <c r="J16" s="7"/>
      <c r="K16" s="7"/>
      <c r="L16" s="39" t="s">
        <v>12</v>
      </c>
      <c r="M16" s="40">
        <f>10*'TOT-0415'!B13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8">
        <v>3</v>
      </c>
      <c r="D17" s="418">
        <v>4</v>
      </c>
      <c r="E17" s="418">
        <v>5</v>
      </c>
      <c r="F17" s="418">
        <v>6</v>
      </c>
      <c r="G17" s="418">
        <v>7</v>
      </c>
      <c r="H17" s="418">
        <v>8</v>
      </c>
      <c r="I17" s="418">
        <v>9</v>
      </c>
      <c r="J17" s="418">
        <v>10</v>
      </c>
      <c r="K17" s="418">
        <v>11</v>
      </c>
      <c r="L17" s="418">
        <v>12</v>
      </c>
      <c r="M17" s="418">
        <v>13</v>
      </c>
      <c r="N17" s="418">
        <v>14</v>
      </c>
      <c r="O17" s="418">
        <v>15</v>
      </c>
      <c r="P17" s="418">
        <v>16</v>
      </c>
      <c r="Q17" s="418">
        <v>17</v>
      </c>
      <c r="R17" s="418">
        <v>18</v>
      </c>
      <c r="S17" s="418">
        <v>19</v>
      </c>
      <c r="T17" s="418">
        <v>20</v>
      </c>
      <c r="U17" s="418">
        <v>21</v>
      </c>
      <c r="V17" s="418">
        <v>22</v>
      </c>
      <c r="W17" s="418">
        <v>23</v>
      </c>
      <c r="X17" s="418">
        <v>24</v>
      </c>
      <c r="Y17" s="418">
        <v>25</v>
      </c>
      <c r="Z17" s="418">
        <v>26</v>
      </c>
      <c r="AA17" s="418">
        <v>27</v>
      </c>
      <c r="AB17" s="418">
        <v>28</v>
      </c>
      <c r="AC17" s="418">
        <v>29</v>
      </c>
      <c r="AD17" s="14"/>
    </row>
    <row r="18" spans="2:30" s="45" customFormat="1" ht="34.5" customHeight="1" thickBot="1" thickTop="1">
      <c r="B18" s="46"/>
      <c r="C18" s="417" t="s">
        <v>13</v>
      </c>
      <c r="D18" s="417" t="s">
        <v>71</v>
      </c>
      <c r="E18" s="417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2"/>
      <c r="L19" s="403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8"/>
      <c r="L20" s="429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287021</v>
      </c>
      <c r="E21" s="79">
        <v>2616</v>
      </c>
      <c r="F21" s="77" t="s">
        <v>74</v>
      </c>
      <c r="G21" s="77">
        <v>132</v>
      </c>
      <c r="H21" s="90">
        <v>102</v>
      </c>
      <c r="I21" s="91" t="s">
        <v>75</v>
      </c>
      <c r="J21" s="92">
        <f aca="true" t="shared" si="0" ref="J21:J40">IF(G21=220,$G$14,IF(G21=132,$G$15,$G$16))*IF(H21&gt;25,H21,25)/100</f>
        <v>326.96304000000003</v>
      </c>
      <c r="K21" s="428">
        <v>42095.34375</v>
      </c>
      <c r="L21" s="428">
        <v>42095.72083333333</v>
      </c>
      <c r="M21" s="94">
        <f aca="true" t="shared" si="1" ref="M21:M40">IF(F21="","",(L21-K21)*24)</f>
        <v>9.049999999988358</v>
      </c>
      <c r="N21" s="95">
        <f aca="true" t="shared" si="2" ref="N21:N40">IF(F21="","",ROUND((L21-K21)*24*60,0))</f>
        <v>543</v>
      </c>
      <c r="O21" s="96" t="s">
        <v>76</v>
      </c>
      <c r="P21" s="426" t="s">
        <v>78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295.90155120000003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3" t="s">
        <v>77</v>
      </c>
      <c r="AC21" s="106">
        <f aca="true" t="shared" si="14" ref="AC21:AC40">IF(F21="","",SUM(R21:AA21)*IF(AB21="SI",1,2))</f>
        <v>295.90155120000003</v>
      </c>
      <c r="AD21" s="107"/>
    </row>
    <row r="22" spans="2:30" s="1" customFormat="1" ht="16.5" customHeight="1">
      <c r="B22" s="13"/>
      <c r="C22" s="79">
        <v>2</v>
      </c>
      <c r="D22" s="79">
        <v>287022</v>
      </c>
      <c r="E22" s="79">
        <v>1382</v>
      </c>
      <c r="F22" s="77" t="s">
        <v>79</v>
      </c>
      <c r="G22" s="77">
        <v>132</v>
      </c>
      <c r="H22" s="90">
        <v>6.5</v>
      </c>
      <c r="I22" s="91" t="s">
        <v>75</v>
      </c>
      <c r="J22" s="92">
        <f t="shared" si="0"/>
        <v>80.138</v>
      </c>
      <c r="K22" s="428">
        <v>42095.35902777778</v>
      </c>
      <c r="L22" s="428">
        <v>42095.63125</v>
      </c>
      <c r="M22" s="94">
        <f t="shared" si="1"/>
        <v>6.533333333325572</v>
      </c>
      <c r="N22" s="95">
        <f t="shared" si="2"/>
        <v>392</v>
      </c>
      <c r="O22" s="96" t="s">
        <v>76</v>
      </c>
      <c r="P22" s="426" t="s">
        <v>78</v>
      </c>
      <c r="Q22" s="97">
        <f t="shared" si="3"/>
        <v>10</v>
      </c>
      <c r="R22" s="98">
        <f t="shared" si="4"/>
        <v>52.330114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3" t="s">
        <v>77</v>
      </c>
      <c r="AC22" s="106">
        <f t="shared" si="14"/>
        <v>52.330114</v>
      </c>
      <c r="AD22" s="107"/>
    </row>
    <row r="23" spans="2:30" s="1" customFormat="1" ht="16.5" customHeight="1">
      <c r="B23" s="13"/>
      <c r="C23" s="79">
        <v>3</v>
      </c>
      <c r="D23" s="79">
        <v>287023</v>
      </c>
      <c r="E23" s="79">
        <v>3483</v>
      </c>
      <c r="F23" s="77" t="s">
        <v>80</v>
      </c>
      <c r="G23" s="77">
        <v>132</v>
      </c>
      <c r="H23" s="90">
        <v>29.799999237060547</v>
      </c>
      <c r="I23" s="91" t="s">
        <v>75</v>
      </c>
      <c r="J23" s="92">
        <f t="shared" si="0"/>
        <v>95.52449355438233</v>
      </c>
      <c r="K23" s="428">
        <v>42095.35972222222</v>
      </c>
      <c r="L23" s="428">
        <v>42095.59930555556</v>
      </c>
      <c r="M23" s="94">
        <f t="shared" si="1"/>
        <v>5.750000000058208</v>
      </c>
      <c r="N23" s="95">
        <f t="shared" si="2"/>
        <v>345</v>
      </c>
      <c r="O23" s="96" t="s">
        <v>76</v>
      </c>
      <c r="P23" s="426" t="s">
        <v>78</v>
      </c>
      <c r="Q23" s="97">
        <f t="shared" si="3"/>
        <v>10</v>
      </c>
      <c r="R23" s="98">
        <f t="shared" si="4"/>
        <v>54.926583793769844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3" t="s">
        <v>77</v>
      </c>
      <c r="AC23" s="106">
        <f t="shared" si="14"/>
        <v>54.926583793769844</v>
      </c>
      <c r="AD23" s="107"/>
    </row>
    <row r="24" spans="2:30" s="1" customFormat="1" ht="16.5" customHeight="1">
      <c r="B24" s="13"/>
      <c r="C24" s="79">
        <v>4</v>
      </c>
      <c r="D24" s="79">
        <v>287025</v>
      </c>
      <c r="E24" s="79">
        <v>1439</v>
      </c>
      <c r="F24" s="77" t="s">
        <v>81</v>
      </c>
      <c r="G24" s="77">
        <v>132</v>
      </c>
      <c r="H24" s="90">
        <v>102.5999984741211</v>
      </c>
      <c r="I24" s="91" t="s">
        <v>75</v>
      </c>
      <c r="J24" s="92">
        <f t="shared" si="0"/>
        <v>328.88634710876465</v>
      </c>
      <c r="K24" s="428">
        <v>42095.364583333336</v>
      </c>
      <c r="L24" s="428">
        <v>42095.70763888889</v>
      </c>
      <c r="M24" s="94">
        <f t="shared" si="1"/>
        <v>8.233333333279006</v>
      </c>
      <c r="N24" s="95">
        <f t="shared" si="2"/>
        <v>494</v>
      </c>
      <c r="O24" s="96" t="s">
        <v>76</v>
      </c>
      <c r="P24" s="426" t="s">
        <v>78</v>
      </c>
      <c r="Q24" s="97">
        <f t="shared" si="3"/>
        <v>10</v>
      </c>
      <c r="R24" s="98">
        <f t="shared" si="4"/>
        <v>270.6734636705133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3" t="s">
        <v>77</v>
      </c>
      <c r="AC24" s="106">
        <f t="shared" si="14"/>
        <v>270.6734636705133</v>
      </c>
      <c r="AD24" s="107"/>
    </row>
    <row r="25" spans="2:30" s="1" customFormat="1" ht="16.5" customHeight="1">
      <c r="B25" s="13"/>
      <c r="C25" s="79">
        <v>5</v>
      </c>
      <c r="D25" s="79">
        <v>287026</v>
      </c>
      <c r="E25" s="79">
        <v>1453</v>
      </c>
      <c r="F25" s="77" t="s">
        <v>82</v>
      </c>
      <c r="G25" s="77">
        <v>132</v>
      </c>
      <c r="H25" s="90">
        <v>5.300000190734863</v>
      </c>
      <c r="I25" s="91" t="s">
        <v>75</v>
      </c>
      <c r="J25" s="92">
        <f t="shared" si="0"/>
        <v>80.138</v>
      </c>
      <c r="K25" s="428">
        <v>42095.38263888889</v>
      </c>
      <c r="L25" s="428">
        <v>42095.75625</v>
      </c>
      <c r="M25" s="94">
        <f t="shared" si="1"/>
        <v>8.966666666558012</v>
      </c>
      <c r="N25" s="95">
        <f t="shared" si="2"/>
        <v>538</v>
      </c>
      <c r="O25" s="96" t="s">
        <v>76</v>
      </c>
      <c r="P25" s="426" t="s">
        <v>78</v>
      </c>
      <c r="Q25" s="97">
        <f t="shared" si="3"/>
        <v>10</v>
      </c>
      <c r="R25" s="98">
        <f t="shared" si="4"/>
        <v>71.88378600000001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3" t="s">
        <v>77</v>
      </c>
      <c r="AC25" s="106">
        <f t="shared" si="14"/>
        <v>71.88378600000001</v>
      </c>
      <c r="AD25" s="107"/>
    </row>
    <row r="26" spans="2:30" s="1" customFormat="1" ht="16.5" customHeight="1">
      <c r="B26" s="13"/>
      <c r="C26" s="79">
        <v>6</v>
      </c>
      <c r="D26" s="79">
        <v>287036</v>
      </c>
      <c r="E26" s="79">
        <v>1438</v>
      </c>
      <c r="F26" s="77" t="s">
        <v>83</v>
      </c>
      <c r="G26" s="77">
        <v>132</v>
      </c>
      <c r="H26" s="90">
        <v>70.80000305175781</v>
      </c>
      <c r="I26" s="91" t="s">
        <v>84</v>
      </c>
      <c r="J26" s="92">
        <f t="shared" si="0"/>
        <v>226.9508257824707</v>
      </c>
      <c r="K26" s="428">
        <v>42099.18125</v>
      </c>
      <c r="L26" s="428">
        <v>42099.30763888889</v>
      </c>
      <c r="M26" s="94">
        <f t="shared" si="1"/>
        <v>3.0333333332673647</v>
      </c>
      <c r="N26" s="95">
        <f t="shared" si="2"/>
        <v>182</v>
      </c>
      <c r="O26" s="93" t="s">
        <v>85</v>
      </c>
      <c r="P26" s="426" t="s">
        <v>78</v>
      </c>
      <c r="Q26" s="97">
        <f t="shared" si="3"/>
        <v>50</v>
      </c>
      <c r="R26" s="98" t="str">
        <f t="shared" si="4"/>
        <v>--</v>
      </c>
      <c r="S26" s="99" t="str">
        <f t="shared" si="5"/>
        <v>--</v>
      </c>
      <c r="T26" s="100">
        <f t="shared" si="6"/>
        <v>11347.541289123536</v>
      </c>
      <c r="U26" s="100">
        <f t="shared" si="7"/>
        <v>34042.62386737061</v>
      </c>
      <c r="V26" s="101">
        <f t="shared" si="8"/>
        <v>34.04262386737039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3" t="s">
        <v>77</v>
      </c>
      <c r="AC26" s="106">
        <f t="shared" si="14"/>
        <v>45424.20778036151</v>
      </c>
      <c r="AD26" s="107"/>
    </row>
    <row r="27" spans="2:30" s="1" customFormat="1" ht="16.5" customHeight="1">
      <c r="B27" s="13"/>
      <c r="C27" s="79">
        <v>7</v>
      </c>
      <c r="D27" s="79">
        <v>287350</v>
      </c>
      <c r="E27" s="79">
        <v>1401</v>
      </c>
      <c r="F27" s="77" t="s">
        <v>86</v>
      </c>
      <c r="G27" s="77">
        <v>132</v>
      </c>
      <c r="H27" s="90">
        <v>126.9000015258789</v>
      </c>
      <c r="I27" s="91" t="s">
        <v>75</v>
      </c>
      <c r="J27" s="92">
        <f t="shared" si="0"/>
        <v>406.7804928912354</v>
      </c>
      <c r="K27" s="428">
        <v>42100.37777777778</v>
      </c>
      <c r="L27" s="428">
        <v>42100.59027777778</v>
      </c>
      <c r="M27" s="94">
        <f t="shared" si="1"/>
        <v>5.100000000034925</v>
      </c>
      <c r="N27" s="95">
        <f t="shared" si="2"/>
        <v>306</v>
      </c>
      <c r="O27" s="93" t="s">
        <v>76</v>
      </c>
      <c r="P27" s="426" t="s">
        <v>78</v>
      </c>
      <c r="Q27" s="97">
        <f t="shared" si="3"/>
        <v>10</v>
      </c>
      <c r="R27" s="98">
        <f t="shared" si="4"/>
        <v>207.45805137453004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3" t="s">
        <v>77</v>
      </c>
      <c r="AC27" s="106">
        <f t="shared" si="14"/>
        <v>207.45805137453004</v>
      </c>
      <c r="AD27" s="107"/>
    </row>
    <row r="28" spans="2:30" s="1" customFormat="1" ht="16.5" customHeight="1">
      <c r="B28" s="13"/>
      <c r="C28" s="79">
        <v>8</v>
      </c>
      <c r="D28" s="79">
        <v>287351</v>
      </c>
      <c r="E28" s="79">
        <v>1451</v>
      </c>
      <c r="F28" s="77" t="s">
        <v>87</v>
      </c>
      <c r="G28" s="77">
        <v>132</v>
      </c>
      <c r="H28" s="90">
        <v>35.59000015258789</v>
      </c>
      <c r="I28" s="91" t="s">
        <v>75</v>
      </c>
      <c r="J28" s="92">
        <f t="shared" si="0"/>
        <v>114.08445728912355</v>
      </c>
      <c r="K28" s="428">
        <v>42100.38333333333</v>
      </c>
      <c r="L28" s="428">
        <v>42100.72361111111</v>
      </c>
      <c r="M28" s="94">
        <f t="shared" si="1"/>
        <v>8.166666666744277</v>
      </c>
      <c r="N28" s="95">
        <f t="shared" si="2"/>
        <v>490</v>
      </c>
      <c r="O28" s="93" t="s">
        <v>76</v>
      </c>
      <c r="P28" s="426" t="s">
        <v>78</v>
      </c>
      <c r="Q28" s="97">
        <f t="shared" si="3"/>
        <v>10</v>
      </c>
      <c r="R28" s="98">
        <f t="shared" si="4"/>
        <v>93.20700160521393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3" t="s">
        <v>77</v>
      </c>
      <c r="AC28" s="106">
        <f t="shared" si="14"/>
        <v>93.20700160521393</v>
      </c>
      <c r="AD28" s="107"/>
    </row>
    <row r="29" spans="2:30" s="1" customFormat="1" ht="16.5" customHeight="1">
      <c r="B29" s="13"/>
      <c r="C29" s="79">
        <v>9</v>
      </c>
      <c r="D29" s="79">
        <v>287355</v>
      </c>
      <c r="E29" s="79">
        <v>1529</v>
      </c>
      <c r="F29" s="77" t="s">
        <v>88</v>
      </c>
      <c r="G29" s="77">
        <v>132</v>
      </c>
      <c r="H29" s="90">
        <v>103.29000091552734</v>
      </c>
      <c r="I29" s="91" t="s">
        <v>89</v>
      </c>
      <c r="J29" s="92">
        <f t="shared" si="0"/>
        <v>331.09816373474126</v>
      </c>
      <c r="K29" s="428">
        <v>42101.30486111111</v>
      </c>
      <c r="L29" s="428">
        <v>42104.68194444444</v>
      </c>
      <c r="M29" s="94">
        <f t="shared" si="1"/>
        <v>81.04999999998836</v>
      </c>
      <c r="N29" s="95">
        <f t="shared" si="2"/>
        <v>4863</v>
      </c>
      <c r="O29" s="93" t="s">
        <v>76</v>
      </c>
      <c r="P29" s="426" t="s">
        <v>78</v>
      </c>
      <c r="Q29" s="97">
        <f t="shared" si="3"/>
        <v>150</v>
      </c>
      <c r="R29" s="98">
        <f t="shared" si="4"/>
        <v>40253.25925605116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3" t="s">
        <v>77</v>
      </c>
      <c r="AC29" s="106">
        <f t="shared" si="14"/>
        <v>40253.25925605116</v>
      </c>
      <c r="AD29" s="107"/>
    </row>
    <row r="30" spans="2:30" s="1" customFormat="1" ht="16.5" customHeight="1">
      <c r="B30" s="13"/>
      <c r="C30" s="79">
        <v>10</v>
      </c>
      <c r="D30" s="79">
        <v>287356</v>
      </c>
      <c r="E30" s="79">
        <v>1516</v>
      </c>
      <c r="F30" s="77" t="s">
        <v>90</v>
      </c>
      <c r="G30" s="77">
        <v>132</v>
      </c>
      <c r="H30" s="90">
        <v>138.86000061035156</v>
      </c>
      <c r="I30" s="91" t="s">
        <v>89</v>
      </c>
      <c r="J30" s="92">
        <f t="shared" si="0"/>
        <v>445.11850915649416</v>
      </c>
      <c r="K30" s="428">
        <v>42101.30625</v>
      </c>
      <c r="L30" s="428">
        <v>42101.77638888889</v>
      </c>
      <c r="M30" s="94">
        <f t="shared" si="1"/>
        <v>11.283333333267365</v>
      </c>
      <c r="N30" s="95">
        <f t="shared" si="2"/>
        <v>677</v>
      </c>
      <c r="O30" s="93" t="s">
        <v>76</v>
      </c>
      <c r="P30" s="426" t="s">
        <v>78</v>
      </c>
      <c r="Q30" s="97">
        <f t="shared" si="3"/>
        <v>150</v>
      </c>
      <c r="R30" s="98">
        <f t="shared" si="4"/>
        <v>7531.4051749278815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3" t="s">
        <v>77</v>
      </c>
      <c r="AC30" s="106">
        <f t="shared" si="14"/>
        <v>7531.4051749278815</v>
      </c>
      <c r="AD30" s="107"/>
    </row>
    <row r="31" spans="2:30" s="1" customFormat="1" ht="16.5" customHeight="1">
      <c r="B31" s="13"/>
      <c r="C31" s="79">
        <v>11</v>
      </c>
      <c r="D31" s="79">
        <v>287357</v>
      </c>
      <c r="E31" s="79">
        <v>1421</v>
      </c>
      <c r="F31" s="77" t="s">
        <v>91</v>
      </c>
      <c r="G31" s="77">
        <v>66</v>
      </c>
      <c r="H31" s="90">
        <v>31.899999618530273</v>
      </c>
      <c r="I31" s="91" t="s">
        <v>75</v>
      </c>
      <c r="J31" s="92">
        <f t="shared" si="0"/>
        <v>102.25608677719117</v>
      </c>
      <c r="K31" s="428">
        <v>42101.330555555556</v>
      </c>
      <c r="L31" s="428">
        <v>42101.7375</v>
      </c>
      <c r="M31" s="94">
        <f t="shared" si="1"/>
        <v>9.766666666720994</v>
      </c>
      <c r="N31" s="95">
        <f t="shared" si="2"/>
        <v>586</v>
      </c>
      <c r="O31" s="93" t="s">
        <v>76</v>
      </c>
      <c r="P31" s="426" t="s">
        <v>78</v>
      </c>
      <c r="Q31" s="97">
        <f t="shared" si="3"/>
        <v>10</v>
      </c>
      <c r="R31" s="98">
        <f t="shared" si="4"/>
        <v>99.90419678131578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3" t="s">
        <v>77</v>
      </c>
      <c r="AC31" s="106">
        <f t="shared" si="14"/>
        <v>99.90419678131578</v>
      </c>
      <c r="AD31" s="107"/>
    </row>
    <row r="32" spans="2:30" s="1" customFormat="1" ht="16.5" customHeight="1">
      <c r="B32" s="13"/>
      <c r="C32" s="79">
        <v>12</v>
      </c>
      <c r="D32" s="79">
        <v>287358</v>
      </c>
      <c r="E32" s="79">
        <v>1407</v>
      </c>
      <c r="F32" s="77" t="s">
        <v>92</v>
      </c>
      <c r="G32" s="77">
        <v>132</v>
      </c>
      <c r="H32" s="90">
        <v>76.30000305175781</v>
      </c>
      <c r="I32" s="91" t="s">
        <v>75</v>
      </c>
      <c r="J32" s="92">
        <f t="shared" si="0"/>
        <v>244.5811857824707</v>
      </c>
      <c r="K32" s="428">
        <v>42101.34930555556</v>
      </c>
      <c r="L32" s="428">
        <v>42101.388194444444</v>
      </c>
      <c r="M32" s="94">
        <f t="shared" si="1"/>
        <v>0.93333333323244</v>
      </c>
      <c r="N32" s="95">
        <f t="shared" si="2"/>
        <v>56</v>
      </c>
      <c r="O32" s="93" t="s">
        <v>76</v>
      </c>
      <c r="P32" s="426" t="s">
        <v>78</v>
      </c>
      <c r="Q32" s="97">
        <f t="shared" si="3"/>
        <v>10</v>
      </c>
      <c r="R32" s="98">
        <f t="shared" si="4"/>
        <v>22.74605027776978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3" t="s">
        <v>77</v>
      </c>
      <c r="AC32" s="106">
        <f t="shared" si="14"/>
        <v>22.74605027776978</v>
      </c>
      <c r="AD32" s="107"/>
    </row>
    <row r="33" spans="2:30" s="1" customFormat="1" ht="16.5" customHeight="1">
      <c r="B33" s="13"/>
      <c r="C33" s="79">
        <v>13</v>
      </c>
      <c r="D33" s="79">
        <v>287362</v>
      </c>
      <c r="E33" s="79">
        <v>1401</v>
      </c>
      <c r="F33" s="77" t="s">
        <v>86</v>
      </c>
      <c r="G33" s="77">
        <v>132</v>
      </c>
      <c r="H33" s="90">
        <v>126.9000015258789</v>
      </c>
      <c r="I33" s="91" t="s">
        <v>75</v>
      </c>
      <c r="J33" s="92">
        <f t="shared" si="0"/>
        <v>406.7804928912354</v>
      </c>
      <c r="K33" s="428">
        <v>42101.376388888886</v>
      </c>
      <c r="L33" s="428">
        <v>42101.62222222222</v>
      </c>
      <c r="M33" s="94">
        <f t="shared" si="1"/>
        <v>5.900000000023283</v>
      </c>
      <c r="N33" s="95">
        <f t="shared" si="2"/>
        <v>354</v>
      </c>
      <c r="O33" s="93" t="s">
        <v>76</v>
      </c>
      <c r="P33" s="426" t="s">
        <v>78</v>
      </c>
      <c r="Q33" s="97">
        <f t="shared" si="3"/>
        <v>10</v>
      </c>
      <c r="R33" s="98">
        <f t="shared" si="4"/>
        <v>240.0004908058289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3" t="s">
        <v>77</v>
      </c>
      <c r="AC33" s="106">
        <f t="shared" si="14"/>
        <v>240.0004908058289</v>
      </c>
      <c r="AD33" s="107"/>
    </row>
    <row r="34" spans="2:30" s="1" customFormat="1" ht="16.5" customHeight="1">
      <c r="B34" s="108"/>
      <c r="C34" s="79">
        <v>14</v>
      </c>
      <c r="D34" s="79">
        <v>287363</v>
      </c>
      <c r="E34" s="79">
        <v>1451</v>
      </c>
      <c r="F34" s="77" t="s">
        <v>87</v>
      </c>
      <c r="G34" s="77">
        <v>132</v>
      </c>
      <c r="H34" s="90">
        <v>35.59000015258789</v>
      </c>
      <c r="I34" s="91" t="s">
        <v>75</v>
      </c>
      <c r="J34" s="92">
        <f t="shared" si="0"/>
        <v>114.08445728912355</v>
      </c>
      <c r="K34" s="428">
        <v>42101.40416666667</v>
      </c>
      <c r="L34" s="428">
        <v>42101.72708333333</v>
      </c>
      <c r="M34" s="94">
        <f t="shared" si="1"/>
        <v>7.749999999941792</v>
      </c>
      <c r="N34" s="95">
        <f t="shared" si="2"/>
        <v>465</v>
      </c>
      <c r="O34" s="93" t="s">
        <v>76</v>
      </c>
      <c r="P34" s="426" t="s">
        <v>78</v>
      </c>
      <c r="Q34" s="97">
        <f t="shared" si="3"/>
        <v>10</v>
      </c>
      <c r="R34" s="98">
        <f t="shared" si="4"/>
        <v>88.41545439907075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3" t="s">
        <v>77</v>
      </c>
      <c r="AC34" s="106">
        <f t="shared" si="14"/>
        <v>88.41545439907075</v>
      </c>
      <c r="AD34" s="107"/>
    </row>
    <row r="35" spans="2:30" s="1" customFormat="1" ht="16.5" customHeight="1">
      <c r="B35" s="108"/>
      <c r="C35" s="79">
        <v>15</v>
      </c>
      <c r="D35" s="79">
        <v>287367</v>
      </c>
      <c r="E35" s="79">
        <v>1519</v>
      </c>
      <c r="F35" s="77" t="s">
        <v>93</v>
      </c>
      <c r="G35" s="77">
        <v>132</v>
      </c>
      <c r="H35" s="90">
        <v>149.1999969482422</v>
      </c>
      <c r="I35" s="91" t="s">
        <v>75</v>
      </c>
      <c r="J35" s="92">
        <f t="shared" si="0"/>
        <v>478.2635742175293</v>
      </c>
      <c r="K35" s="428">
        <v>42103.30694444444</v>
      </c>
      <c r="L35" s="428">
        <v>42103.65625</v>
      </c>
      <c r="M35" s="94">
        <f t="shared" si="1"/>
        <v>8.383333333418705</v>
      </c>
      <c r="N35" s="95">
        <f t="shared" si="2"/>
        <v>503</v>
      </c>
      <c r="O35" s="93" t="s">
        <v>76</v>
      </c>
      <c r="P35" s="426" t="s">
        <v>78</v>
      </c>
      <c r="Q35" s="97">
        <f t="shared" si="3"/>
        <v>10</v>
      </c>
      <c r="R35" s="98">
        <f t="shared" si="4"/>
        <v>400.78487519428955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3" t="s">
        <v>77</v>
      </c>
      <c r="AC35" s="106">
        <f t="shared" si="14"/>
        <v>400.78487519428955</v>
      </c>
      <c r="AD35" s="107"/>
    </row>
    <row r="36" spans="2:30" s="1" customFormat="1" ht="16.5" customHeight="1">
      <c r="B36" s="108"/>
      <c r="C36" s="79">
        <v>16</v>
      </c>
      <c r="D36" s="79">
        <v>287371</v>
      </c>
      <c r="E36" s="79">
        <v>1401</v>
      </c>
      <c r="F36" s="77" t="s">
        <v>86</v>
      </c>
      <c r="G36" s="77">
        <v>132</v>
      </c>
      <c r="H36" s="90">
        <v>126.9000015258789</v>
      </c>
      <c r="I36" s="91" t="s">
        <v>75</v>
      </c>
      <c r="J36" s="92">
        <f t="shared" si="0"/>
        <v>406.7804928912354</v>
      </c>
      <c r="K36" s="428">
        <v>42103.34930555556</v>
      </c>
      <c r="L36" s="428">
        <v>42103.595138888886</v>
      </c>
      <c r="M36" s="94">
        <f t="shared" si="1"/>
        <v>5.89999999984866</v>
      </c>
      <c r="N36" s="95">
        <f t="shared" si="2"/>
        <v>354</v>
      </c>
      <c r="O36" s="93" t="s">
        <v>76</v>
      </c>
      <c r="P36" s="426" t="s">
        <v>78</v>
      </c>
      <c r="Q36" s="97">
        <f t="shared" si="3"/>
        <v>10</v>
      </c>
      <c r="R36" s="98">
        <f t="shared" si="4"/>
        <v>240.0004908058289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3" t="s">
        <v>77</v>
      </c>
      <c r="AC36" s="106">
        <f t="shared" si="14"/>
        <v>240.0004908058289</v>
      </c>
      <c r="AD36" s="107"/>
    </row>
    <row r="37" spans="2:30" s="1" customFormat="1" ht="16.5" customHeight="1">
      <c r="B37" s="108"/>
      <c r="C37" s="79">
        <v>17</v>
      </c>
      <c r="D37" s="79">
        <v>287372</v>
      </c>
      <c r="E37" s="79">
        <v>3483</v>
      </c>
      <c r="F37" s="77" t="s">
        <v>80</v>
      </c>
      <c r="G37" s="77">
        <v>132</v>
      </c>
      <c r="H37" s="90">
        <v>29.799999237060547</v>
      </c>
      <c r="I37" s="91" t="s">
        <v>75</v>
      </c>
      <c r="J37" s="92">
        <f t="shared" si="0"/>
        <v>95.52449355438233</v>
      </c>
      <c r="K37" s="428">
        <v>42103.37291666667</v>
      </c>
      <c r="L37" s="428">
        <v>42103.60208333333</v>
      </c>
      <c r="M37" s="94">
        <f t="shared" si="1"/>
        <v>5.499999999941792</v>
      </c>
      <c r="N37" s="95">
        <f t="shared" si="2"/>
        <v>330</v>
      </c>
      <c r="O37" s="93" t="s">
        <v>76</v>
      </c>
      <c r="P37" s="426" t="s">
        <v>78</v>
      </c>
      <c r="Q37" s="97">
        <f t="shared" si="3"/>
        <v>10</v>
      </c>
      <c r="R37" s="98">
        <f t="shared" si="4"/>
        <v>52.53847145491028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3" t="s">
        <v>77</v>
      </c>
      <c r="AC37" s="106">
        <f t="shared" si="14"/>
        <v>52.53847145491028</v>
      </c>
      <c r="AD37" s="107"/>
    </row>
    <row r="38" spans="2:30" s="1" customFormat="1" ht="16.5" customHeight="1">
      <c r="B38" s="108"/>
      <c r="C38" s="79">
        <v>18</v>
      </c>
      <c r="D38" s="79">
        <v>287373</v>
      </c>
      <c r="E38" s="79">
        <v>1451</v>
      </c>
      <c r="F38" s="77" t="s">
        <v>87</v>
      </c>
      <c r="G38" s="77">
        <v>132</v>
      </c>
      <c r="H38" s="90">
        <v>35.59000015258789</v>
      </c>
      <c r="I38" s="91" t="s">
        <v>75</v>
      </c>
      <c r="J38" s="92">
        <f t="shared" si="0"/>
        <v>114.08445728912355</v>
      </c>
      <c r="K38" s="428">
        <v>42103.37430555555</v>
      </c>
      <c r="L38" s="428">
        <v>42103.736805555556</v>
      </c>
      <c r="M38" s="94">
        <f t="shared" si="1"/>
        <v>8.70000000006985</v>
      </c>
      <c r="N38" s="95">
        <f t="shared" si="2"/>
        <v>522</v>
      </c>
      <c r="O38" s="93" t="s">
        <v>76</v>
      </c>
      <c r="P38" s="426" t="s">
        <v>78</v>
      </c>
      <c r="Q38" s="97">
        <f t="shared" si="3"/>
        <v>10</v>
      </c>
      <c r="R38" s="98">
        <f t="shared" si="4"/>
        <v>99.25347784153747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3" t="s">
        <v>77</v>
      </c>
      <c r="AC38" s="106">
        <f t="shared" si="14"/>
        <v>99.25347784153747</v>
      </c>
      <c r="AD38" s="107"/>
    </row>
    <row r="39" spans="2:30" s="1" customFormat="1" ht="16.5" customHeight="1">
      <c r="B39" s="108"/>
      <c r="C39" s="79">
        <v>19</v>
      </c>
      <c r="D39" s="79">
        <v>287382</v>
      </c>
      <c r="E39" s="79">
        <v>1521</v>
      </c>
      <c r="F39" s="77" t="s">
        <v>94</v>
      </c>
      <c r="G39" s="77">
        <v>132</v>
      </c>
      <c r="H39" s="90">
        <v>122.19999694824219</v>
      </c>
      <c r="I39" s="91" t="s">
        <v>75</v>
      </c>
      <c r="J39" s="92">
        <f t="shared" si="0"/>
        <v>391.71453421752926</v>
      </c>
      <c r="K39" s="428">
        <v>42104.03333333333</v>
      </c>
      <c r="L39" s="428">
        <v>42104.30625</v>
      </c>
      <c r="M39" s="94">
        <f t="shared" si="1"/>
        <v>6.550000000046566</v>
      </c>
      <c r="N39" s="95">
        <f t="shared" si="2"/>
        <v>393</v>
      </c>
      <c r="O39" s="93" t="s">
        <v>85</v>
      </c>
      <c r="P39" s="426" t="s">
        <v>78</v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>
        <f t="shared" si="6"/>
        <v>3917.1453421752926</v>
      </c>
      <c r="U39" s="100">
        <f t="shared" si="7"/>
        <v>11751.436026525878</v>
      </c>
      <c r="V39" s="101">
        <f t="shared" si="8"/>
        <v>1390.5865964722288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3" t="s">
        <v>77</v>
      </c>
      <c r="AC39" s="106">
        <f t="shared" si="14"/>
        <v>17059.1679651734</v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80.138</v>
      </c>
      <c r="K40" s="428"/>
      <c r="L40" s="428"/>
      <c r="M40" s="94">
        <f t="shared" si="1"/>
      </c>
      <c r="N40" s="95">
        <f t="shared" si="2"/>
      </c>
      <c r="O40" s="93"/>
      <c r="P40" s="422">
        <f>IF(F40="","","--")</f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3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4"/>
      <c r="L41" s="404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49" t="s">
        <v>210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50074.68849018361</v>
      </c>
      <c r="S42" s="120">
        <f t="shared" si="15"/>
        <v>0</v>
      </c>
      <c r="T42" s="121">
        <f t="shared" si="15"/>
        <v>15264.686631298828</v>
      </c>
      <c r="U42" s="121">
        <f t="shared" si="15"/>
        <v>45794.05989389649</v>
      </c>
      <c r="V42" s="121">
        <f t="shared" si="15"/>
        <v>1424.6292203395992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3">
        <f>ROUND(SUM(AC19:AC41),2)</f>
        <v>112558.06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3"/>
  <sheetViews>
    <sheetView zoomScale="75" zoomScaleNormal="75" zoomScalePageLayoutView="0" workbookViewId="0" topLeftCell="A19">
      <selection activeCell="F30" sqref="F30"/>
    </sheetView>
  </sheetViews>
  <sheetFormatPr defaultColWidth="11.421875" defaultRowHeight="12.75"/>
  <cols>
    <col min="1" max="1" width="17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1" width="16.28125" style="5" customWidth="1"/>
    <col min="12" max="12" width="16.1406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+'TOT-0415'!B14</f>
        <v>Desde el 01 al 30 de abril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335.458</v>
      </c>
      <c r="H14" s="37"/>
      <c r="I14" s="38"/>
      <c r="J14" s="34"/>
      <c r="K14" s="34"/>
      <c r="L14" s="39" t="s">
        <v>8</v>
      </c>
      <c r="M14" s="40">
        <f>150*'TOT-0415'!B13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320.552</v>
      </c>
      <c r="H15" s="42"/>
      <c r="I15" s="43"/>
      <c r="J15" s="7"/>
      <c r="K15" s="44"/>
      <c r="L15" s="39" t="s">
        <v>10</v>
      </c>
      <c r="M15" s="40">
        <f>50*'TOT-0415'!B13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320.552</v>
      </c>
      <c r="H16" s="42"/>
      <c r="I16" s="43"/>
      <c r="J16" s="7"/>
      <c r="K16" s="7"/>
      <c r="L16" s="39" t="s">
        <v>12</v>
      </c>
      <c r="M16" s="40">
        <f>10*'TOT-0415'!B13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8">
        <v>3</v>
      </c>
      <c r="D17" s="418">
        <v>4</v>
      </c>
      <c r="E17" s="418">
        <v>5</v>
      </c>
      <c r="F17" s="418">
        <v>6</v>
      </c>
      <c r="G17" s="418">
        <v>7</v>
      </c>
      <c r="H17" s="418">
        <v>8</v>
      </c>
      <c r="I17" s="418">
        <v>9</v>
      </c>
      <c r="J17" s="418">
        <v>10</v>
      </c>
      <c r="K17" s="418">
        <v>11</v>
      </c>
      <c r="L17" s="418">
        <v>12</v>
      </c>
      <c r="M17" s="418">
        <v>13</v>
      </c>
      <c r="N17" s="418">
        <v>14</v>
      </c>
      <c r="O17" s="418">
        <v>15</v>
      </c>
      <c r="P17" s="418">
        <v>16</v>
      </c>
      <c r="Q17" s="418">
        <v>17</v>
      </c>
      <c r="R17" s="418">
        <v>18</v>
      </c>
      <c r="S17" s="418">
        <v>19</v>
      </c>
      <c r="T17" s="418">
        <v>20</v>
      </c>
      <c r="U17" s="418">
        <v>21</v>
      </c>
      <c r="V17" s="418">
        <v>22</v>
      </c>
      <c r="W17" s="418">
        <v>23</v>
      </c>
      <c r="X17" s="418">
        <v>24</v>
      </c>
      <c r="Y17" s="418">
        <v>25</v>
      </c>
      <c r="Z17" s="418">
        <v>26</v>
      </c>
      <c r="AA17" s="418">
        <v>27</v>
      </c>
      <c r="AB17" s="418">
        <v>28</v>
      </c>
      <c r="AC17" s="418">
        <v>29</v>
      </c>
      <c r="AD17" s="14"/>
    </row>
    <row r="18" spans="2:30" s="45" customFormat="1" ht="34.5" customHeight="1" thickBot="1" thickTop="1">
      <c r="B18" s="46"/>
      <c r="C18" s="417" t="s">
        <v>13</v>
      </c>
      <c r="D18" s="417" t="s">
        <v>71</v>
      </c>
      <c r="E18" s="417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2"/>
      <c r="L19" s="403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'LI-04 (1)'!AC42</f>
        <v>112558.06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8"/>
      <c r="L20" s="429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20</v>
      </c>
      <c r="D21" s="79">
        <v>287383</v>
      </c>
      <c r="E21" s="79">
        <v>1516</v>
      </c>
      <c r="F21" s="77" t="s">
        <v>90</v>
      </c>
      <c r="G21" s="77">
        <v>132</v>
      </c>
      <c r="H21" s="90">
        <v>138.86000061035156</v>
      </c>
      <c r="I21" s="91" t="s">
        <v>89</v>
      </c>
      <c r="J21" s="92">
        <f aca="true" t="shared" si="0" ref="J21:J43">IF(G21=220,$G$14,IF(G21=132,$G$15,$G$16))*IF(H21&gt;25,H21,25)/100</f>
        <v>445.11850915649416</v>
      </c>
      <c r="K21" s="428">
        <v>42104.3125</v>
      </c>
      <c r="L21" s="428">
        <v>42104.68194444444</v>
      </c>
      <c r="M21" s="94">
        <f aca="true" t="shared" si="1" ref="M21:M43">IF(F21="","",(L21-K21)*24)</f>
        <v>8.866666666581295</v>
      </c>
      <c r="N21" s="95">
        <f aca="true" t="shared" si="2" ref="N21:N43">IF(F21="","",ROUND((L21-K21)*24*60,0))</f>
        <v>532</v>
      </c>
      <c r="O21" s="96" t="s">
        <v>76</v>
      </c>
      <c r="P21" s="426" t="s">
        <v>78</v>
      </c>
      <c r="Q21" s="97">
        <f aca="true" t="shared" si="3" ref="Q21:Q43">IF(I21="A",$M$14,IF(I21="B",$M$15,$M$16))</f>
        <v>150</v>
      </c>
      <c r="R21" s="98">
        <f aca="true" t="shared" si="4" ref="R21:R42">IF(O21="P",ROUND(N21/60,2)*J21*Q21*0.01,"--")</f>
        <v>5922.301764327154</v>
      </c>
      <c r="S21" s="99" t="str">
        <f aca="true" t="shared" si="5" ref="S21:S43">IF(O21="RP",ROUND(N21/60,2)*J21*Q21*0.01*P21/100,"--")</f>
        <v>--</v>
      </c>
      <c r="T21" s="100" t="str">
        <f aca="true" t="shared" si="6" ref="T21:T43">IF(O21="F",J21*Q21,"--")</f>
        <v>--</v>
      </c>
      <c r="U21" s="100" t="str">
        <f aca="true" t="shared" si="7" ref="U21:U43">IF(AND(N21&gt;10,O21="F"),J21*Q21*IF(N21&gt;180,3,ROUND((N21)/60,2)),"--")</f>
        <v>--</v>
      </c>
      <c r="V21" s="101" t="str">
        <f aca="true" t="shared" si="8" ref="V21:V43">IF(AND(O21="F",N21&gt;180),(ROUND(N21/60,2)-3)*J21*Q21*0.1,"--")</f>
        <v>--</v>
      </c>
      <c r="W21" s="102" t="str">
        <f aca="true" t="shared" si="9" ref="W21:W43">IF(O21="R",J21*Q21*P21/100,"--")</f>
        <v>--</v>
      </c>
      <c r="X21" s="102" t="str">
        <f aca="true" t="shared" si="10" ref="X21:X43">IF(AND(N21&gt;10,O21="R"),Q21*J21*P21/100*IF(N21&gt;180,3,ROUND((N21)/60,2)),"--")</f>
        <v>--</v>
      </c>
      <c r="Y21" s="103" t="str">
        <f aca="true" t="shared" si="11" ref="Y21:Y43">IF(AND(O21="R",N21&gt;180),(ROUND(N21/60,2)-3)*J21*Q21*0.1*P21/100,"--")</f>
        <v>--</v>
      </c>
      <c r="Z21" s="104" t="str">
        <f aca="true" t="shared" si="12" ref="Z21:Z43">IF(O21="RF",ROUND(N21/60,2)*J21*Q21*0.1,"--")</f>
        <v>--</v>
      </c>
      <c r="AA21" s="105" t="str">
        <f aca="true" t="shared" si="13" ref="AA21:AA43">IF(O21="RR",ROUND(N21/60,2)*J21*Q21*0.1*P21/100,"--")</f>
        <v>--</v>
      </c>
      <c r="AB21" s="423" t="s">
        <v>77</v>
      </c>
      <c r="AC21" s="106">
        <f aca="true" t="shared" si="14" ref="AC21:AC43">IF(F21="","",SUM(R21:AA21)*IF(AB21="SI",1,2))</f>
        <v>5922.301764327154</v>
      </c>
      <c r="AD21" s="107"/>
    </row>
    <row r="22" spans="2:30" s="1" customFormat="1" ht="16.5" customHeight="1">
      <c r="B22" s="13"/>
      <c r="C22" s="79">
        <v>21</v>
      </c>
      <c r="D22" s="79">
        <v>287387</v>
      </c>
      <c r="E22" s="79">
        <v>1401</v>
      </c>
      <c r="F22" s="77" t="s">
        <v>86</v>
      </c>
      <c r="G22" s="77">
        <v>132</v>
      </c>
      <c r="H22" s="90">
        <v>126.9000015258789</v>
      </c>
      <c r="I22" s="91" t="s">
        <v>75</v>
      </c>
      <c r="J22" s="92">
        <f t="shared" si="0"/>
        <v>406.7804928912354</v>
      </c>
      <c r="K22" s="428">
        <v>42104.365277777775</v>
      </c>
      <c r="L22" s="428">
        <v>42104.50486111111</v>
      </c>
      <c r="M22" s="94">
        <f t="shared" si="1"/>
        <v>3.3500000000931323</v>
      </c>
      <c r="N22" s="95">
        <f t="shared" si="2"/>
        <v>201</v>
      </c>
      <c r="O22" s="96" t="s">
        <v>76</v>
      </c>
      <c r="P22" s="426" t="s">
        <v>78</v>
      </c>
      <c r="Q22" s="97">
        <f t="shared" si="3"/>
        <v>10</v>
      </c>
      <c r="R22" s="98">
        <f t="shared" si="4"/>
        <v>136.27146511856387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3" t="s">
        <v>77</v>
      </c>
      <c r="AC22" s="106">
        <f t="shared" si="14"/>
        <v>136.27146511856387</v>
      </c>
      <c r="AD22" s="107"/>
    </row>
    <row r="23" spans="2:30" s="1" customFormat="1" ht="16.5" customHeight="1">
      <c r="B23" s="13"/>
      <c r="C23" s="79">
        <v>22</v>
      </c>
      <c r="D23" s="79">
        <v>287390</v>
      </c>
      <c r="E23" s="79">
        <v>3483</v>
      </c>
      <c r="F23" s="77" t="s">
        <v>80</v>
      </c>
      <c r="G23" s="77">
        <v>132</v>
      </c>
      <c r="H23" s="90">
        <v>29.799999237060547</v>
      </c>
      <c r="I23" s="91" t="s">
        <v>75</v>
      </c>
      <c r="J23" s="92">
        <f t="shared" si="0"/>
        <v>95.52449355438233</v>
      </c>
      <c r="K23" s="428">
        <v>42104.37222222222</v>
      </c>
      <c r="L23" s="428">
        <v>42104.572916666664</v>
      </c>
      <c r="M23" s="94">
        <f t="shared" si="1"/>
        <v>4.816666666651145</v>
      </c>
      <c r="N23" s="95">
        <f t="shared" si="2"/>
        <v>289</v>
      </c>
      <c r="O23" s="96" t="s">
        <v>76</v>
      </c>
      <c r="P23" s="426" t="s">
        <v>78</v>
      </c>
      <c r="Q23" s="97">
        <f t="shared" si="3"/>
        <v>10</v>
      </c>
      <c r="R23" s="98">
        <f t="shared" si="4"/>
        <v>46.04280589321228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3" t="s">
        <v>77</v>
      </c>
      <c r="AC23" s="106">
        <f t="shared" si="14"/>
        <v>46.04280589321228</v>
      </c>
      <c r="AD23" s="107"/>
    </row>
    <row r="24" spans="2:30" s="1" customFormat="1" ht="16.5" customHeight="1">
      <c r="B24" s="13"/>
      <c r="C24" s="79" t="s">
        <v>227</v>
      </c>
      <c r="D24" s="79">
        <v>287391</v>
      </c>
      <c r="E24" s="79">
        <v>1451</v>
      </c>
      <c r="F24" s="77" t="s">
        <v>87</v>
      </c>
      <c r="G24" s="77">
        <v>132</v>
      </c>
      <c r="H24" s="90">
        <v>35.59000015258789</v>
      </c>
      <c r="I24" s="91" t="s">
        <v>75</v>
      </c>
      <c r="J24" s="92">
        <f t="shared" si="0"/>
        <v>114.08445728912355</v>
      </c>
      <c r="K24" s="428">
        <v>42104.38958333333</v>
      </c>
      <c r="L24" s="428">
        <v>42104.59861111111</v>
      </c>
      <c r="M24" s="94">
        <f t="shared" si="1"/>
        <v>5.0166666667792015</v>
      </c>
      <c r="N24" s="95">
        <f t="shared" si="2"/>
        <v>301</v>
      </c>
      <c r="O24" s="96" t="s">
        <v>76</v>
      </c>
      <c r="P24" s="426" t="s">
        <v>78</v>
      </c>
      <c r="Q24" s="97">
        <f t="shared" si="3"/>
        <v>10</v>
      </c>
      <c r="R24" s="98">
        <f t="shared" si="4"/>
        <v>57.27039755914002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3" t="s">
        <v>77</v>
      </c>
      <c r="AC24" s="106">
        <v>0</v>
      </c>
      <c r="AD24" s="107"/>
    </row>
    <row r="25" spans="2:30" s="1" customFormat="1" ht="16.5" customHeight="1">
      <c r="B25" s="13"/>
      <c r="C25" s="79" t="s">
        <v>226</v>
      </c>
      <c r="D25" s="79">
        <v>287393</v>
      </c>
      <c r="E25" s="79">
        <v>1997</v>
      </c>
      <c r="F25" s="77" t="s">
        <v>95</v>
      </c>
      <c r="G25" s="77">
        <v>132</v>
      </c>
      <c r="H25" s="90">
        <v>13.600000381469727</v>
      </c>
      <c r="I25" s="91" t="s">
        <v>84</v>
      </c>
      <c r="J25" s="92">
        <f t="shared" si="0"/>
        <v>80.138</v>
      </c>
      <c r="K25" s="428">
        <v>42105.21527777778</v>
      </c>
      <c r="L25" s="428">
        <v>42105.248611111114</v>
      </c>
      <c r="M25" s="94">
        <f t="shared" si="1"/>
        <v>0.7999999999883585</v>
      </c>
      <c r="N25" s="95">
        <f t="shared" si="2"/>
        <v>48</v>
      </c>
      <c r="O25" s="96" t="s">
        <v>76</v>
      </c>
      <c r="P25" s="426" t="s">
        <v>78</v>
      </c>
      <c r="Q25" s="97">
        <f t="shared" si="3"/>
        <v>50</v>
      </c>
      <c r="R25" s="98">
        <f t="shared" si="4"/>
        <v>32.055200000000006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3" t="s">
        <v>77</v>
      </c>
      <c r="AC25" s="106">
        <v>0</v>
      </c>
      <c r="AD25" s="107"/>
    </row>
    <row r="26" spans="2:30" s="1" customFormat="1" ht="16.5" customHeight="1">
      <c r="B26" s="13"/>
      <c r="C26" s="79">
        <v>25</v>
      </c>
      <c r="D26" s="79">
        <v>287394</v>
      </c>
      <c r="E26" s="79">
        <v>1438</v>
      </c>
      <c r="F26" s="77" t="s">
        <v>83</v>
      </c>
      <c r="G26" s="77">
        <v>132</v>
      </c>
      <c r="H26" s="90">
        <v>70.80000305175781</v>
      </c>
      <c r="I26" s="91" t="s">
        <v>84</v>
      </c>
      <c r="J26" s="92">
        <f t="shared" si="0"/>
        <v>226.9508257824707</v>
      </c>
      <c r="K26" s="428">
        <v>42105.24166666667</v>
      </c>
      <c r="L26" s="428">
        <v>42105.270833333336</v>
      </c>
      <c r="M26" s="94">
        <f t="shared" si="1"/>
        <v>0.7000000000116415</v>
      </c>
      <c r="N26" s="95">
        <f t="shared" si="2"/>
        <v>42</v>
      </c>
      <c r="O26" s="93" t="s">
        <v>85</v>
      </c>
      <c r="P26" s="426" t="s">
        <v>78</v>
      </c>
      <c r="Q26" s="97">
        <f t="shared" si="3"/>
        <v>50</v>
      </c>
      <c r="R26" s="98" t="str">
        <f t="shared" si="4"/>
        <v>--</v>
      </c>
      <c r="S26" s="99" t="str">
        <f t="shared" si="5"/>
        <v>--</v>
      </c>
      <c r="T26" s="100">
        <f t="shared" si="6"/>
        <v>11347.541289123536</v>
      </c>
      <c r="U26" s="100">
        <f t="shared" si="7"/>
        <v>7943.278902386474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3" t="s">
        <v>77</v>
      </c>
      <c r="AC26" s="106">
        <f>IF(F26="","",SUM(R26:AA26)*IF(AB26="SI",1,2))</f>
        <v>19290.82019151001</v>
      </c>
      <c r="AD26" s="107"/>
    </row>
    <row r="27" spans="2:30" s="1" customFormat="1" ht="16.5" customHeight="1">
      <c r="B27" s="13"/>
      <c r="C27" s="79">
        <v>26</v>
      </c>
      <c r="D27" s="79">
        <v>287398</v>
      </c>
      <c r="E27" s="79">
        <v>4715</v>
      </c>
      <c r="F27" s="77" t="s">
        <v>206</v>
      </c>
      <c r="G27" s="77">
        <v>132</v>
      </c>
      <c r="H27" s="90">
        <v>9.02</v>
      </c>
      <c r="I27" s="91" t="s">
        <v>75</v>
      </c>
      <c r="J27" s="92">
        <f t="shared" si="0"/>
        <v>80.138</v>
      </c>
      <c r="K27" s="428">
        <v>42106.35138888889</v>
      </c>
      <c r="L27" s="428">
        <v>42106.697222222225</v>
      </c>
      <c r="M27" s="94">
        <f t="shared" si="1"/>
        <v>8.299999999988358</v>
      </c>
      <c r="N27" s="95">
        <f t="shared" si="2"/>
        <v>498</v>
      </c>
      <c r="O27" s="93" t="s">
        <v>76</v>
      </c>
      <c r="P27" s="426" t="s">
        <v>78</v>
      </c>
      <c r="Q27" s="97">
        <f t="shared" si="3"/>
        <v>10</v>
      </c>
      <c r="R27" s="98">
        <f t="shared" si="4"/>
        <v>66.51454000000001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3" t="s">
        <v>77</v>
      </c>
      <c r="AC27" s="106">
        <f>IF(F27="","",SUM(R27:AA27)*IF(AB27="SI",1,2))</f>
        <v>66.51454000000001</v>
      </c>
      <c r="AD27" s="107"/>
    </row>
    <row r="28" spans="2:30" s="1" customFormat="1" ht="16.5" customHeight="1">
      <c r="B28" s="13"/>
      <c r="C28" s="79">
        <v>27</v>
      </c>
      <c r="D28" s="79">
        <v>287399</v>
      </c>
      <c r="E28" s="79">
        <v>4716</v>
      </c>
      <c r="F28" s="77" t="s">
        <v>207</v>
      </c>
      <c r="G28" s="77">
        <v>132</v>
      </c>
      <c r="H28" s="90">
        <v>16.33</v>
      </c>
      <c r="I28" s="91" t="s">
        <v>89</v>
      </c>
      <c r="J28" s="92">
        <f t="shared" si="0"/>
        <v>80.138</v>
      </c>
      <c r="K28" s="428">
        <v>42106.35138888889</v>
      </c>
      <c r="L28" s="428">
        <v>42106.697222222225</v>
      </c>
      <c r="M28" s="94">
        <f t="shared" si="1"/>
        <v>8.299999999988358</v>
      </c>
      <c r="N28" s="95">
        <f t="shared" si="2"/>
        <v>498</v>
      </c>
      <c r="O28" s="93" t="s">
        <v>76</v>
      </c>
      <c r="P28" s="426" t="s">
        <v>78</v>
      </c>
      <c r="Q28" s="97">
        <f t="shared" si="3"/>
        <v>150</v>
      </c>
      <c r="R28" s="98">
        <f t="shared" si="4"/>
        <v>997.7181000000002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3" t="s">
        <v>77</v>
      </c>
      <c r="AC28" s="106">
        <f>IF(F28="","",SUM(R28:AA28)*IF(AB28="SI",1,2))</f>
        <v>997.7181000000002</v>
      </c>
      <c r="AD28" s="107"/>
    </row>
    <row r="29" spans="2:30" s="1" customFormat="1" ht="16.5" customHeight="1">
      <c r="B29" s="13"/>
      <c r="C29" s="79">
        <v>28</v>
      </c>
      <c r="D29" s="79">
        <v>287610</v>
      </c>
      <c r="E29" s="79">
        <v>2712</v>
      </c>
      <c r="F29" s="77" t="s">
        <v>96</v>
      </c>
      <c r="G29" s="77">
        <v>132</v>
      </c>
      <c r="H29" s="90">
        <v>77.4000015258789</v>
      </c>
      <c r="I29" s="91" t="s">
        <v>75</v>
      </c>
      <c r="J29" s="92">
        <f t="shared" si="0"/>
        <v>248.10725289123536</v>
      </c>
      <c r="K29" s="428">
        <v>42107.44236111111</v>
      </c>
      <c r="L29" s="428">
        <v>42107.64444444444</v>
      </c>
      <c r="M29" s="94">
        <f t="shared" si="1"/>
        <v>4.849999999918509</v>
      </c>
      <c r="N29" s="95">
        <f t="shared" si="2"/>
        <v>291</v>
      </c>
      <c r="O29" s="93" t="s">
        <v>76</v>
      </c>
      <c r="P29" s="426" t="s">
        <v>78</v>
      </c>
      <c r="Q29" s="97">
        <f t="shared" si="3"/>
        <v>10</v>
      </c>
      <c r="R29" s="98">
        <f t="shared" si="4"/>
        <v>120.33201765224915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3" t="s">
        <v>77</v>
      </c>
      <c r="AC29" s="106">
        <f t="shared" si="14"/>
        <v>120.33201765224915</v>
      </c>
      <c r="AD29" s="107"/>
    </row>
    <row r="30" spans="2:30" s="1" customFormat="1" ht="16.5" customHeight="1">
      <c r="B30" s="13"/>
      <c r="C30" s="79">
        <v>29</v>
      </c>
      <c r="D30" s="79">
        <v>287611</v>
      </c>
      <c r="E30" s="79">
        <v>3689</v>
      </c>
      <c r="F30" s="77" t="s">
        <v>97</v>
      </c>
      <c r="G30" s="77">
        <v>132</v>
      </c>
      <c r="H30" s="90">
        <v>72.19999694824219</v>
      </c>
      <c r="I30" s="91" t="s">
        <v>75</v>
      </c>
      <c r="J30" s="92">
        <f t="shared" si="0"/>
        <v>231.4385342175293</v>
      </c>
      <c r="K30" s="428">
        <v>42107.461805555555</v>
      </c>
      <c r="L30" s="428">
        <v>42107.54027777778</v>
      </c>
      <c r="M30" s="94">
        <f t="shared" si="1"/>
        <v>1.883333333360497</v>
      </c>
      <c r="N30" s="95">
        <f t="shared" si="2"/>
        <v>113</v>
      </c>
      <c r="O30" s="93" t="s">
        <v>76</v>
      </c>
      <c r="P30" s="426" t="s">
        <v>78</v>
      </c>
      <c r="Q30" s="97">
        <f t="shared" si="3"/>
        <v>10</v>
      </c>
      <c r="R30" s="98">
        <f t="shared" si="4"/>
        <v>43.51044443289551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3" t="s">
        <v>77</v>
      </c>
      <c r="AC30" s="106">
        <f t="shared" si="14"/>
        <v>43.51044443289551</v>
      </c>
      <c r="AD30" s="107"/>
    </row>
    <row r="31" spans="2:30" s="1" customFormat="1" ht="16.5" customHeight="1">
      <c r="B31" s="13"/>
      <c r="C31" s="79">
        <v>30</v>
      </c>
      <c r="D31" s="79">
        <v>287612</v>
      </c>
      <c r="E31" s="79">
        <v>1423</v>
      </c>
      <c r="F31" s="77" t="s">
        <v>98</v>
      </c>
      <c r="G31" s="77">
        <v>132</v>
      </c>
      <c r="H31" s="90">
        <v>37.70000076293945</v>
      </c>
      <c r="I31" s="91" t="s">
        <v>75</v>
      </c>
      <c r="J31" s="92">
        <f t="shared" si="0"/>
        <v>120.84810644561769</v>
      </c>
      <c r="K31" s="428">
        <v>42108.3375</v>
      </c>
      <c r="L31" s="428">
        <v>42108.64791666667</v>
      </c>
      <c r="M31" s="94">
        <f t="shared" si="1"/>
        <v>7.4500000000116415</v>
      </c>
      <c r="N31" s="95">
        <f t="shared" si="2"/>
        <v>447</v>
      </c>
      <c r="O31" s="93" t="s">
        <v>76</v>
      </c>
      <c r="P31" s="426" t="s">
        <v>78</v>
      </c>
      <c r="Q31" s="97">
        <f t="shared" si="3"/>
        <v>10</v>
      </c>
      <c r="R31" s="98">
        <f t="shared" si="4"/>
        <v>90.03183930198519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3" t="s">
        <v>77</v>
      </c>
      <c r="AC31" s="106">
        <f t="shared" si="14"/>
        <v>90.03183930198519</v>
      </c>
      <c r="AD31" s="107"/>
    </row>
    <row r="32" spans="2:30" s="1" customFormat="1" ht="16.5" customHeight="1">
      <c r="B32" s="13"/>
      <c r="C32" s="79">
        <v>31</v>
      </c>
      <c r="D32" s="79">
        <v>287613</v>
      </c>
      <c r="E32" s="79">
        <v>1456</v>
      </c>
      <c r="F32" s="77" t="s">
        <v>99</v>
      </c>
      <c r="G32" s="77">
        <v>132</v>
      </c>
      <c r="H32" s="90">
        <v>71.5</v>
      </c>
      <c r="I32" s="91" t="s">
        <v>75</v>
      </c>
      <c r="J32" s="92">
        <f t="shared" si="0"/>
        <v>229.19468</v>
      </c>
      <c r="K32" s="428">
        <v>42108.35138888889</v>
      </c>
      <c r="L32" s="428">
        <v>42108.72986111111</v>
      </c>
      <c r="M32" s="94">
        <f t="shared" si="1"/>
        <v>9.083333333255723</v>
      </c>
      <c r="N32" s="95">
        <f t="shared" si="2"/>
        <v>545</v>
      </c>
      <c r="O32" s="93" t="s">
        <v>76</v>
      </c>
      <c r="P32" s="426" t="s">
        <v>78</v>
      </c>
      <c r="Q32" s="97">
        <f t="shared" si="3"/>
        <v>10</v>
      </c>
      <c r="R32" s="98">
        <f t="shared" si="4"/>
        <v>208.10876944000003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3" t="s">
        <v>77</v>
      </c>
      <c r="AC32" s="106">
        <f t="shared" si="14"/>
        <v>208.10876944000003</v>
      </c>
      <c r="AD32" s="107"/>
    </row>
    <row r="33" spans="2:30" s="1" customFormat="1" ht="16.5" customHeight="1">
      <c r="B33" s="13"/>
      <c r="C33" s="79">
        <v>32</v>
      </c>
      <c r="D33" s="79">
        <v>287619</v>
      </c>
      <c r="E33" s="79">
        <v>1410</v>
      </c>
      <c r="F33" s="77" t="s">
        <v>100</v>
      </c>
      <c r="G33" s="77">
        <v>132</v>
      </c>
      <c r="H33" s="90">
        <v>41.29999923706055</v>
      </c>
      <c r="I33" s="91" t="s">
        <v>84</v>
      </c>
      <c r="J33" s="92">
        <f t="shared" si="0"/>
        <v>132.38797355438234</v>
      </c>
      <c r="K33" s="428">
        <v>42108.419444444444</v>
      </c>
      <c r="L33" s="428">
        <v>42108.63263888889</v>
      </c>
      <c r="M33" s="94">
        <f t="shared" si="1"/>
        <v>5.116666666755918</v>
      </c>
      <c r="N33" s="95">
        <f t="shared" si="2"/>
        <v>307</v>
      </c>
      <c r="O33" s="93" t="s">
        <v>76</v>
      </c>
      <c r="P33" s="426" t="s">
        <v>78</v>
      </c>
      <c r="Q33" s="97">
        <f t="shared" si="3"/>
        <v>50</v>
      </c>
      <c r="R33" s="98">
        <f t="shared" si="4"/>
        <v>338.9132122992188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3" t="s">
        <v>77</v>
      </c>
      <c r="AC33" s="106">
        <f t="shared" si="14"/>
        <v>338.9132122992188</v>
      </c>
      <c r="AD33" s="107"/>
    </row>
    <row r="34" spans="2:30" s="1" customFormat="1" ht="16.5" customHeight="1">
      <c r="B34" s="13"/>
      <c r="C34" s="79">
        <v>33</v>
      </c>
      <c r="D34" s="79">
        <v>287621</v>
      </c>
      <c r="E34" s="79">
        <v>4096</v>
      </c>
      <c r="F34" s="77" t="s">
        <v>101</v>
      </c>
      <c r="G34" s="77">
        <v>132</v>
      </c>
      <c r="H34" s="90">
        <v>58.400001525878906</v>
      </c>
      <c r="I34" s="91" t="s">
        <v>75</v>
      </c>
      <c r="J34" s="92">
        <f t="shared" si="0"/>
        <v>187.20237289123534</v>
      </c>
      <c r="K34" s="428">
        <v>42108.450694444444</v>
      </c>
      <c r="L34" s="428">
        <v>42108.71875</v>
      </c>
      <c r="M34" s="94">
        <f t="shared" si="1"/>
        <v>6.433333333348855</v>
      </c>
      <c r="N34" s="95">
        <f t="shared" si="2"/>
        <v>386</v>
      </c>
      <c r="O34" s="93" t="s">
        <v>76</v>
      </c>
      <c r="P34" s="426" t="s">
        <v>78</v>
      </c>
      <c r="Q34" s="97">
        <f t="shared" si="3"/>
        <v>10</v>
      </c>
      <c r="R34" s="98">
        <f t="shared" si="4"/>
        <v>120.3711257690643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3" t="s">
        <v>77</v>
      </c>
      <c r="AC34" s="106">
        <f t="shared" si="14"/>
        <v>120.3711257690643</v>
      </c>
      <c r="AD34" s="107"/>
    </row>
    <row r="35" spans="2:30" s="1" customFormat="1" ht="16.5" customHeight="1">
      <c r="B35" s="13"/>
      <c r="C35" s="79">
        <v>34</v>
      </c>
      <c r="D35" s="79">
        <v>287623</v>
      </c>
      <c r="E35" s="79">
        <v>5042</v>
      </c>
      <c r="F35" s="77" t="s">
        <v>208</v>
      </c>
      <c r="G35" s="77">
        <v>132</v>
      </c>
      <c r="H35" s="90">
        <v>1.312</v>
      </c>
      <c r="I35" s="91" t="s">
        <v>75</v>
      </c>
      <c r="J35" s="92">
        <f t="shared" si="0"/>
        <v>80.138</v>
      </c>
      <c r="K35" s="428">
        <v>42108.478472222225</v>
      </c>
      <c r="L35" s="428">
        <v>42108.566666666666</v>
      </c>
      <c r="M35" s="94">
        <f t="shared" si="1"/>
        <v>2.1166666665812954</v>
      </c>
      <c r="N35" s="95">
        <f t="shared" si="2"/>
        <v>127</v>
      </c>
      <c r="O35" s="93" t="s">
        <v>76</v>
      </c>
      <c r="P35" s="426" t="s">
        <v>78</v>
      </c>
      <c r="Q35" s="97">
        <f t="shared" si="3"/>
        <v>10</v>
      </c>
      <c r="R35" s="98">
        <f t="shared" si="4"/>
        <v>16.989256000000005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3" t="s">
        <v>77</v>
      </c>
      <c r="AC35" s="106">
        <f t="shared" si="14"/>
        <v>16.989256000000005</v>
      </c>
      <c r="AD35" s="107"/>
    </row>
    <row r="36" spans="2:30" s="1" customFormat="1" ht="16.5" customHeight="1">
      <c r="B36" s="13"/>
      <c r="C36" s="79">
        <v>35</v>
      </c>
      <c r="D36" s="79">
        <v>287625</v>
      </c>
      <c r="E36" s="79">
        <v>1441</v>
      </c>
      <c r="F36" s="77" t="s">
        <v>102</v>
      </c>
      <c r="G36" s="77">
        <v>66</v>
      </c>
      <c r="H36" s="90">
        <v>43.79999923706055</v>
      </c>
      <c r="I36" s="91" t="s">
        <v>84</v>
      </c>
      <c r="J36" s="92">
        <f t="shared" si="0"/>
        <v>140.40177355438232</v>
      </c>
      <c r="K36" s="428">
        <v>42109.32708333333</v>
      </c>
      <c r="L36" s="428">
        <v>42109.436111111114</v>
      </c>
      <c r="M36" s="94">
        <f t="shared" si="1"/>
        <v>2.616666666814126</v>
      </c>
      <c r="N36" s="95">
        <f t="shared" si="2"/>
        <v>157</v>
      </c>
      <c r="O36" s="93" t="s">
        <v>76</v>
      </c>
      <c r="P36" s="426" t="s">
        <v>78</v>
      </c>
      <c r="Q36" s="97">
        <f t="shared" si="3"/>
        <v>50</v>
      </c>
      <c r="R36" s="98">
        <f t="shared" si="4"/>
        <v>183.92632335624083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3" t="s">
        <v>77</v>
      </c>
      <c r="AC36" s="106">
        <f t="shared" si="14"/>
        <v>183.92632335624083</v>
      </c>
      <c r="AD36" s="107"/>
    </row>
    <row r="37" spans="2:30" s="1" customFormat="1" ht="16.5" customHeight="1">
      <c r="B37" s="108"/>
      <c r="C37" s="79">
        <v>36</v>
      </c>
      <c r="D37" s="79">
        <v>287627</v>
      </c>
      <c r="E37" s="79">
        <v>1456</v>
      </c>
      <c r="F37" s="77" t="s">
        <v>99</v>
      </c>
      <c r="G37" s="77">
        <v>132</v>
      </c>
      <c r="H37" s="90">
        <v>71.5</v>
      </c>
      <c r="I37" s="91" t="s">
        <v>75</v>
      </c>
      <c r="J37" s="92">
        <f t="shared" si="0"/>
        <v>229.19468</v>
      </c>
      <c r="K37" s="428">
        <v>42109.356944444444</v>
      </c>
      <c r="L37" s="428">
        <v>42109.731944444444</v>
      </c>
      <c r="M37" s="94">
        <f t="shared" si="1"/>
        <v>9</v>
      </c>
      <c r="N37" s="95">
        <f t="shared" si="2"/>
        <v>540</v>
      </c>
      <c r="O37" s="93" t="s">
        <v>76</v>
      </c>
      <c r="P37" s="426" t="s">
        <v>78</v>
      </c>
      <c r="Q37" s="97">
        <f t="shared" si="3"/>
        <v>10</v>
      </c>
      <c r="R37" s="98">
        <f t="shared" si="4"/>
        <v>206.27521200000004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3" t="s">
        <v>77</v>
      </c>
      <c r="AC37" s="106">
        <f t="shared" si="14"/>
        <v>206.27521200000004</v>
      </c>
      <c r="AD37" s="107"/>
    </row>
    <row r="38" spans="2:30" s="1" customFormat="1" ht="16.5" customHeight="1">
      <c r="B38" s="108"/>
      <c r="C38" s="79">
        <v>37</v>
      </c>
      <c r="D38" s="79">
        <v>287628</v>
      </c>
      <c r="E38" s="79">
        <v>1410</v>
      </c>
      <c r="F38" s="77" t="s">
        <v>100</v>
      </c>
      <c r="G38" s="77">
        <v>132</v>
      </c>
      <c r="H38" s="90">
        <v>41.29999923706055</v>
      </c>
      <c r="I38" s="91" t="s">
        <v>84</v>
      </c>
      <c r="J38" s="92">
        <f t="shared" si="0"/>
        <v>132.38797355438234</v>
      </c>
      <c r="K38" s="428">
        <v>42109.368055555555</v>
      </c>
      <c r="L38" s="428">
        <v>42109.59930555556</v>
      </c>
      <c r="M38" s="94">
        <f t="shared" si="1"/>
        <v>5.550000000104774</v>
      </c>
      <c r="N38" s="95">
        <f t="shared" si="2"/>
        <v>333</v>
      </c>
      <c r="O38" s="93" t="s">
        <v>76</v>
      </c>
      <c r="P38" s="426" t="s">
        <v>78</v>
      </c>
      <c r="Q38" s="97">
        <f t="shared" si="3"/>
        <v>50</v>
      </c>
      <c r="R38" s="98">
        <f t="shared" si="4"/>
        <v>367.376626613411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3" t="s">
        <v>77</v>
      </c>
      <c r="AC38" s="106">
        <f t="shared" si="14"/>
        <v>367.376626613411</v>
      </c>
      <c r="AD38" s="107"/>
    </row>
    <row r="39" spans="2:30" s="1" customFormat="1" ht="16.5" customHeight="1">
      <c r="B39" s="108"/>
      <c r="C39" s="79">
        <v>38</v>
      </c>
      <c r="D39" s="79">
        <v>287629</v>
      </c>
      <c r="E39" s="79">
        <v>4096</v>
      </c>
      <c r="F39" s="77" t="s">
        <v>101</v>
      </c>
      <c r="G39" s="77">
        <v>132</v>
      </c>
      <c r="H39" s="90">
        <v>58.400001525878906</v>
      </c>
      <c r="I39" s="91" t="s">
        <v>75</v>
      </c>
      <c r="J39" s="92">
        <f t="shared" si="0"/>
        <v>187.20237289123534</v>
      </c>
      <c r="K39" s="428">
        <v>42109.36875</v>
      </c>
      <c r="L39" s="428">
        <v>42109.748611111114</v>
      </c>
      <c r="M39" s="94">
        <f t="shared" si="1"/>
        <v>9.11666666669771</v>
      </c>
      <c r="N39" s="95">
        <f t="shared" si="2"/>
        <v>547</v>
      </c>
      <c r="O39" s="93" t="s">
        <v>76</v>
      </c>
      <c r="P39" s="426" t="s">
        <v>78</v>
      </c>
      <c r="Q39" s="97">
        <f t="shared" si="3"/>
        <v>10</v>
      </c>
      <c r="R39" s="98">
        <f t="shared" si="4"/>
        <v>170.7285640768066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3" t="s">
        <v>77</v>
      </c>
      <c r="AC39" s="106">
        <f t="shared" si="14"/>
        <v>170.7285640768066</v>
      </c>
      <c r="AD39" s="107"/>
    </row>
    <row r="40" spans="2:30" s="1" customFormat="1" ht="16.5" customHeight="1">
      <c r="B40" s="108"/>
      <c r="C40" s="79">
        <v>39</v>
      </c>
      <c r="D40" s="79">
        <v>287636</v>
      </c>
      <c r="E40" s="79">
        <v>1456</v>
      </c>
      <c r="F40" s="77" t="s">
        <v>99</v>
      </c>
      <c r="G40" s="77">
        <v>132</v>
      </c>
      <c r="H40" s="90">
        <v>71.5</v>
      </c>
      <c r="I40" s="91" t="s">
        <v>75</v>
      </c>
      <c r="J40" s="92">
        <f t="shared" si="0"/>
        <v>229.19468</v>
      </c>
      <c r="K40" s="428">
        <v>42110.361805555556</v>
      </c>
      <c r="L40" s="428">
        <v>42110.63263888889</v>
      </c>
      <c r="M40" s="94">
        <f t="shared" si="1"/>
        <v>6.500000000058208</v>
      </c>
      <c r="N40" s="95">
        <f t="shared" si="2"/>
        <v>390</v>
      </c>
      <c r="O40" s="93" t="s">
        <v>76</v>
      </c>
      <c r="P40" s="426" t="s">
        <v>78</v>
      </c>
      <c r="Q40" s="97">
        <f t="shared" si="3"/>
        <v>10</v>
      </c>
      <c r="R40" s="98">
        <f t="shared" si="4"/>
        <v>148.976542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3" t="s">
        <v>77</v>
      </c>
      <c r="AC40" s="106">
        <f t="shared" si="14"/>
        <v>148.976542</v>
      </c>
      <c r="AD40" s="107"/>
    </row>
    <row r="41" spans="2:30" s="1" customFormat="1" ht="16.5" customHeight="1">
      <c r="B41" s="108"/>
      <c r="C41" s="79">
        <v>40</v>
      </c>
      <c r="D41" s="79">
        <v>287637</v>
      </c>
      <c r="E41" s="79">
        <v>4888</v>
      </c>
      <c r="F41" s="77" t="s">
        <v>103</v>
      </c>
      <c r="G41" s="77">
        <v>132</v>
      </c>
      <c r="H41" s="90">
        <v>16.799999237060547</v>
      </c>
      <c r="I41" s="91" t="s">
        <v>75</v>
      </c>
      <c r="J41" s="92">
        <f t="shared" si="0"/>
        <v>80.138</v>
      </c>
      <c r="K41" s="428">
        <v>42110.36944444444</v>
      </c>
      <c r="L41" s="428">
        <v>42110.59305555555</v>
      </c>
      <c r="M41" s="94">
        <f t="shared" si="1"/>
        <v>5.366666666697711</v>
      </c>
      <c r="N41" s="95">
        <f t="shared" si="2"/>
        <v>322</v>
      </c>
      <c r="O41" s="93" t="s">
        <v>76</v>
      </c>
      <c r="P41" s="426" t="s">
        <v>78</v>
      </c>
      <c r="Q41" s="97">
        <f t="shared" si="3"/>
        <v>10</v>
      </c>
      <c r="R41" s="98">
        <f t="shared" si="4"/>
        <v>43.034106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3" t="s">
        <v>77</v>
      </c>
      <c r="AC41" s="106">
        <f t="shared" si="14"/>
        <v>43.034106</v>
      </c>
      <c r="AD41" s="107"/>
    </row>
    <row r="42" spans="2:30" s="1" customFormat="1" ht="16.5" customHeight="1">
      <c r="B42" s="108"/>
      <c r="C42" s="79">
        <v>41</v>
      </c>
      <c r="D42" s="79">
        <v>287638</v>
      </c>
      <c r="E42" s="79">
        <v>4074</v>
      </c>
      <c r="F42" s="77" t="s">
        <v>104</v>
      </c>
      <c r="G42" s="77">
        <v>132</v>
      </c>
      <c r="H42" s="90">
        <v>44.400001525878906</v>
      </c>
      <c r="I42" s="91" t="s">
        <v>75</v>
      </c>
      <c r="J42" s="92">
        <f t="shared" si="0"/>
        <v>142.32509289123536</v>
      </c>
      <c r="K42" s="428">
        <v>42110.37152777778</v>
      </c>
      <c r="L42" s="428">
        <v>42110.77013888889</v>
      </c>
      <c r="M42" s="94">
        <f t="shared" si="1"/>
        <v>9.566666666592937</v>
      </c>
      <c r="N42" s="95">
        <f t="shared" si="2"/>
        <v>574</v>
      </c>
      <c r="O42" s="93" t="s">
        <v>76</v>
      </c>
      <c r="P42" s="426" t="s">
        <v>78</v>
      </c>
      <c r="Q42" s="97">
        <f t="shared" si="3"/>
        <v>10</v>
      </c>
      <c r="R42" s="98">
        <f t="shared" si="4"/>
        <v>136.20511389691222</v>
      </c>
      <c r="S42" s="99" t="str">
        <f t="shared" si="5"/>
        <v>--</v>
      </c>
      <c r="T42" s="100" t="str">
        <f t="shared" si="6"/>
        <v>--</v>
      </c>
      <c r="U42" s="100" t="str">
        <f t="shared" si="7"/>
        <v>--</v>
      </c>
      <c r="V42" s="101" t="str">
        <f t="shared" si="8"/>
        <v>--</v>
      </c>
      <c r="W42" s="102" t="str">
        <f t="shared" si="9"/>
        <v>--</v>
      </c>
      <c r="X42" s="102" t="str">
        <f t="shared" si="10"/>
        <v>--</v>
      </c>
      <c r="Y42" s="103" t="str">
        <f t="shared" si="11"/>
        <v>--</v>
      </c>
      <c r="Z42" s="104" t="str">
        <f t="shared" si="12"/>
        <v>--</v>
      </c>
      <c r="AA42" s="105" t="str">
        <f t="shared" si="13"/>
        <v>--</v>
      </c>
      <c r="AB42" s="423" t="s">
        <v>77</v>
      </c>
      <c r="AC42" s="106">
        <f t="shared" si="14"/>
        <v>136.20511389691222</v>
      </c>
      <c r="AD42" s="107"/>
    </row>
    <row r="43" spans="2:30" s="1" customFormat="1" ht="16.5" customHeight="1">
      <c r="B43" s="108"/>
      <c r="C43" s="79">
        <v>42</v>
      </c>
      <c r="D43" s="79">
        <v>287646</v>
      </c>
      <c r="E43" s="79">
        <v>1456</v>
      </c>
      <c r="F43" s="77" t="s">
        <v>99</v>
      </c>
      <c r="G43" s="77">
        <v>132</v>
      </c>
      <c r="H43" s="90">
        <v>71.5</v>
      </c>
      <c r="I43" s="91" t="s">
        <v>75</v>
      </c>
      <c r="J43" s="92">
        <f t="shared" si="0"/>
        <v>229.19468</v>
      </c>
      <c r="K43" s="428">
        <v>42111.37777777778</v>
      </c>
      <c r="L43" s="428">
        <v>42111.51527777778</v>
      </c>
      <c r="M43" s="94">
        <f t="shared" si="1"/>
        <v>3.299999999930151</v>
      </c>
      <c r="N43" s="95">
        <f t="shared" si="2"/>
        <v>198</v>
      </c>
      <c r="O43" s="93" t="s">
        <v>76</v>
      </c>
      <c r="P43" s="426" t="s">
        <v>78</v>
      </c>
      <c r="Q43" s="97">
        <f t="shared" si="3"/>
        <v>10</v>
      </c>
      <c r="R43" s="98">
        <f>IF(O43="P",ROUND(N43/60,2)*J43*Q43*0.01,"--")</f>
        <v>75.6342444</v>
      </c>
      <c r="S43" s="99" t="str">
        <f t="shared" si="5"/>
        <v>--</v>
      </c>
      <c r="T43" s="100" t="str">
        <f t="shared" si="6"/>
        <v>--</v>
      </c>
      <c r="U43" s="100" t="str">
        <f t="shared" si="7"/>
        <v>--</v>
      </c>
      <c r="V43" s="101" t="str">
        <f t="shared" si="8"/>
        <v>--</v>
      </c>
      <c r="W43" s="102" t="str">
        <f t="shared" si="9"/>
        <v>--</v>
      </c>
      <c r="X43" s="102" t="str">
        <f t="shared" si="10"/>
        <v>--</v>
      </c>
      <c r="Y43" s="103" t="str">
        <f t="shared" si="11"/>
        <v>--</v>
      </c>
      <c r="Z43" s="104" t="str">
        <f t="shared" si="12"/>
        <v>--</v>
      </c>
      <c r="AA43" s="105" t="str">
        <f t="shared" si="13"/>
        <v>--</v>
      </c>
      <c r="AB43" s="423" t="s">
        <v>77</v>
      </c>
      <c r="AC43" s="106">
        <f t="shared" si="14"/>
        <v>75.6342444</v>
      </c>
      <c r="AD43" s="107"/>
    </row>
    <row r="44" spans="2:30" s="1" customFormat="1" ht="16.5" customHeight="1" thickBot="1">
      <c r="B44" s="13"/>
      <c r="C44" s="109"/>
      <c r="D44" s="109"/>
      <c r="E44" s="109"/>
      <c r="F44" s="333"/>
      <c r="G44" s="334"/>
      <c r="H44" s="335"/>
      <c r="I44" s="335"/>
      <c r="J44" s="111"/>
      <c r="K44" s="404"/>
      <c r="L44" s="404"/>
      <c r="M44" s="110"/>
      <c r="N44" s="110"/>
      <c r="O44" s="335"/>
      <c r="P44" s="336"/>
      <c r="Q44" s="337"/>
      <c r="R44" s="338"/>
      <c r="S44" s="339"/>
      <c r="T44" s="340"/>
      <c r="U44" s="341"/>
      <c r="V44" s="341"/>
      <c r="W44" s="342"/>
      <c r="X44" s="342"/>
      <c r="Y44" s="342"/>
      <c r="Z44" s="343"/>
      <c r="AA44" s="344"/>
      <c r="AB44" s="345"/>
      <c r="AC44" s="112"/>
      <c r="AD44" s="107"/>
    </row>
    <row r="45" spans="2:30" s="1" customFormat="1" ht="16.5" customHeight="1" thickBot="1" thickTop="1">
      <c r="B45" s="13"/>
      <c r="C45" s="113" t="s">
        <v>55</v>
      </c>
      <c r="D45" s="449" t="s">
        <v>210</v>
      </c>
      <c r="E45" s="129"/>
      <c r="F45" s="114"/>
      <c r="G45" s="115"/>
      <c r="H45" s="116"/>
      <c r="I45" s="116"/>
      <c r="J45" s="117"/>
      <c r="K45" s="117"/>
      <c r="L45" s="117"/>
      <c r="M45" s="117"/>
      <c r="N45" s="117"/>
      <c r="O45" s="117"/>
      <c r="P45" s="118"/>
      <c r="Q45" s="118"/>
      <c r="R45" s="119">
        <f aca="true" t="shared" si="15" ref="R45:AA45">SUM(R19:R44)</f>
        <v>9528.587670136856</v>
      </c>
      <c r="S45" s="120">
        <f t="shared" si="15"/>
        <v>0</v>
      </c>
      <c r="T45" s="121">
        <f t="shared" si="15"/>
        <v>11347.541289123536</v>
      </c>
      <c r="U45" s="121">
        <f t="shared" si="15"/>
        <v>7943.278902386474</v>
      </c>
      <c r="V45" s="121">
        <f t="shared" si="15"/>
        <v>0</v>
      </c>
      <c r="W45" s="122">
        <f t="shared" si="15"/>
        <v>0</v>
      </c>
      <c r="X45" s="122">
        <f t="shared" si="15"/>
        <v>0</v>
      </c>
      <c r="Y45" s="122">
        <f t="shared" si="15"/>
        <v>0</v>
      </c>
      <c r="Z45" s="123">
        <f t="shared" si="15"/>
        <v>0</v>
      </c>
      <c r="AA45" s="124">
        <f t="shared" si="15"/>
        <v>0</v>
      </c>
      <c r="AB45" s="125"/>
      <c r="AC45" s="413">
        <f>ROUND(SUM(AC19:AC44),2)</f>
        <v>141288.14</v>
      </c>
      <c r="AD45" s="126"/>
    </row>
    <row r="46" spans="2:30" s="127" customFormat="1" ht="9.75" thickTop="1">
      <c r="B46" s="128"/>
      <c r="C46" s="129" t="s">
        <v>222</v>
      </c>
      <c r="D46" s="129" t="s">
        <v>223</v>
      </c>
      <c r="E46" s="129"/>
      <c r="F46" s="130"/>
      <c r="G46" s="131"/>
      <c r="H46" s="132"/>
      <c r="I46" s="132"/>
      <c r="J46" s="133"/>
      <c r="K46" s="133"/>
      <c r="L46" s="133"/>
      <c r="M46" s="133"/>
      <c r="N46" s="133"/>
      <c r="O46" s="133"/>
      <c r="P46" s="134"/>
      <c r="Q46" s="134"/>
      <c r="R46" s="135"/>
      <c r="S46" s="135"/>
      <c r="T46" s="136"/>
      <c r="U46" s="136"/>
      <c r="V46" s="137"/>
      <c r="W46" s="137"/>
      <c r="X46" s="137"/>
      <c r="Y46" s="137"/>
      <c r="Z46" s="137"/>
      <c r="AA46" s="137"/>
      <c r="AB46" s="137"/>
      <c r="AC46" s="138"/>
      <c r="AD46" s="139"/>
    </row>
    <row r="47" spans="2:30" s="1" customFormat="1" ht="16.5" customHeight="1" thickBot="1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2"/>
    </row>
    <row r="48" spans="2:30" ht="13.5" thickTop="1">
      <c r="B48" s="143"/>
      <c r="AD48" s="143"/>
    </row>
    <row r="93" ht="12.75">
      <c r="B93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7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1" width="16.421875" style="5" customWidth="1"/>
    <col min="12" max="12" width="16.281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+'TOT-0415'!B14</f>
        <v>Desde el 01 al 30 de abril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335.458</v>
      </c>
      <c r="H14" s="37"/>
      <c r="I14" s="38"/>
      <c r="J14" s="34"/>
      <c r="K14" s="34"/>
      <c r="L14" s="39" t="s">
        <v>8</v>
      </c>
      <c r="M14" s="40">
        <f>150*'TOT-0415'!B13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320.552</v>
      </c>
      <c r="H15" s="42"/>
      <c r="I15" s="43"/>
      <c r="J15" s="7"/>
      <c r="K15" s="44"/>
      <c r="L15" s="39" t="s">
        <v>10</v>
      </c>
      <c r="M15" s="40">
        <f>50*'TOT-0415'!B13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320.552</v>
      </c>
      <c r="H16" s="42"/>
      <c r="I16" s="43"/>
      <c r="J16" s="7"/>
      <c r="K16" s="7"/>
      <c r="L16" s="39" t="s">
        <v>12</v>
      </c>
      <c r="M16" s="40">
        <f>10*'TOT-0415'!B13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8">
        <v>3</v>
      </c>
      <c r="D17" s="418">
        <v>4</v>
      </c>
      <c r="E17" s="418">
        <v>5</v>
      </c>
      <c r="F17" s="418">
        <v>6</v>
      </c>
      <c r="G17" s="418">
        <v>7</v>
      </c>
      <c r="H17" s="418">
        <v>8</v>
      </c>
      <c r="I17" s="418">
        <v>9</v>
      </c>
      <c r="J17" s="418">
        <v>10</v>
      </c>
      <c r="K17" s="418">
        <v>11</v>
      </c>
      <c r="L17" s="418">
        <v>12</v>
      </c>
      <c r="M17" s="418">
        <v>13</v>
      </c>
      <c r="N17" s="418">
        <v>14</v>
      </c>
      <c r="O17" s="418">
        <v>15</v>
      </c>
      <c r="P17" s="418">
        <v>16</v>
      </c>
      <c r="Q17" s="418">
        <v>17</v>
      </c>
      <c r="R17" s="418">
        <v>18</v>
      </c>
      <c r="S17" s="418">
        <v>19</v>
      </c>
      <c r="T17" s="418">
        <v>20</v>
      </c>
      <c r="U17" s="418">
        <v>21</v>
      </c>
      <c r="V17" s="418">
        <v>22</v>
      </c>
      <c r="W17" s="418">
        <v>23</v>
      </c>
      <c r="X17" s="418">
        <v>24</v>
      </c>
      <c r="Y17" s="418">
        <v>25</v>
      </c>
      <c r="Z17" s="418">
        <v>26</v>
      </c>
      <c r="AA17" s="418">
        <v>27</v>
      </c>
      <c r="AB17" s="418">
        <v>28</v>
      </c>
      <c r="AC17" s="418">
        <v>29</v>
      </c>
      <c r="AD17" s="14"/>
    </row>
    <row r="18" spans="2:30" s="45" customFormat="1" ht="34.5" customHeight="1" thickBot="1" thickTop="1">
      <c r="B18" s="46"/>
      <c r="C18" s="417" t="s">
        <v>13</v>
      </c>
      <c r="D18" s="417" t="s">
        <v>71</v>
      </c>
      <c r="E18" s="417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2"/>
      <c r="L19" s="403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'LI-04 (2)'!AC45</f>
        <v>141288.14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8"/>
      <c r="L20" s="429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43</v>
      </c>
      <c r="D21" s="79">
        <v>287657</v>
      </c>
      <c r="E21" s="79">
        <v>1532</v>
      </c>
      <c r="F21" s="77" t="s">
        <v>105</v>
      </c>
      <c r="G21" s="77">
        <v>132</v>
      </c>
      <c r="H21" s="90">
        <v>141</v>
      </c>
      <c r="I21" s="91" t="s">
        <v>84</v>
      </c>
      <c r="J21" s="92">
        <f aca="true" t="shared" si="0" ref="J21:J42">IF(G21=220,$G$14,IF(G21=132,$G$15,$G$16))*IF(H21&gt;25,H21,25)/100</f>
        <v>451.97832</v>
      </c>
      <c r="K21" s="428">
        <v>42112.56319444445</v>
      </c>
      <c r="L21" s="428">
        <v>42112.73055555556</v>
      </c>
      <c r="M21" s="94">
        <f aca="true" t="shared" si="1" ref="M21:M42">IF(F21="","",(L21-K21)*24)</f>
        <v>4.016666666662786</v>
      </c>
      <c r="N21" s="95">
        <f aca="true" t="shared" si="2" ref="N21:N42">IF(F21="","",ROUND((L21-K21)*24*60,0))</f>
        <v>241</v>
      </c>
      <c r="O21" s="96" t="s">
        <v>76</v>
      </c>
      <c r="P21" s="426" t="s">
        <v>78</v>
      </c>
      <c r="Q21" s="97">
        <f aca="true" t="shared" si="3" ref="Q21:Q42">IF(I21="A",$M$14,IF(I21="B",$M$15,$M$16))</f>
        <v>50</v>
      </c>
      <c r="R21" s="98">
        <f aca="true" t="shared" si="4" ref="R21:R40">IF(O21="P",ROUND(N21/60,2)*J21*Q21*0.01,"--")</f>
        <v>908.4764231999999</v>
      </c>
      <c r="S21" s="99" t="str">
        <f aca="true" t="shared" si="5" ref="S21:S42">IF(O21="RP",ROUND(N21/60,2)*J21*Q21*0.01*P21/100,"--")</f>
        <v>--</v>
      </c>
      <c r="T21" s="100" t="str">
        <f aca="true" t="shared" si="6" ref="T21:T42">IF(O21="F",J21*Q21,"--")</f>
        <v>--</v>
      </c>
      <c r="U21" s="100" t="str">
        <f aca="true" t="shared" si="7" ref="U21:U42">IF(AND(N21&gt;10,O21="F"),J21*Q21*IF(N21&gt;180,3,ROUND((N21)/60,2)),"--")</f>
        <v>--</v>
      </c>
      <c r="V21" s="101" t="str">
        <f aca="true" t="shared" si="8" ref="V21:V42">IF(AND(O21="F",N21&gt;180),(ROUND(N21/60,2)-3)*J21*Q21*0.1,"--")</f>
        <v>--</v>
      </c>
      <c r="W21" s="102" t="str">
        <f aca="true" t="shared" si="9" ref="W21:W42">IF(O21="R",J21*Q21*P21/100,"--")</f>
        <v>--</v>
      </c>
      <c r="X21" s="102" t="str">
        <f aca="true" t="shared" si="10" ref="X21:X42">IF(AND(N21&gt;10,O21="R"),Q21*J21*P21/100*IF(N21&gt;180,3,ROUND((N21)/60,2)),"--")</f>
        <v>--</v>
      </c>
      <c r="Y21" s="103" t="str">
        <f aca="true" t="shared" si="11" ref="Y21:Y42">IF(AND(O21="R",N21&gt;180),(ROUND(N21/60,2)-3)*J21*Q21*0.1*P21/100,"--")</f>
        <v>--</v>
      </c>
      <c r="Z21" s="104" t="str">
        <f aca="true" t="shared" si="12" ref="Z21:Z42">IF(O21="RF",ROUND(N21/60,2)*J21*Q21*0.1,"--")</f>
        <v>--</v>
      </c>
      <c r="AA21" s="105" t="str">
        <f aca="true" t="shared" si="13" ref="AA21:AA42">IF(O21="RR",ROUND(N21/60,2)*J21*Q21*0.1*P21/100,"--")</f>
        <v>--</v>
      </c>
      <c r="AB21" s="423" t="s">
        <v>77</v>
      </c>
      <c r="AC21" s="106">
        <f aca="true" t="shared" si="14" ref="AC21:AC42">IF(F21="","",SUM(R21:AA21)*IF(AB21="SI",1,2))</f>
        <v>908.4764231999999</v>
      </c>
      <c r="AD21" s="107"/>
    </row>
    <row r="22" spans="2:30" s="1" customFormat="1" ht="16.5" customHeight="1">
      <c r="B22" s="13"/>
      <c r="C22" s="79">
        <v>44</v>
      </c>
      <c r="D22" s="79">
        <v>287815</v>
      </c>
      <c r="E22" s="79">
        <v>1401</v>
      </c>
      <c r="F22" s="77" t="s">
        <v>86</v>
      </c>
      <c r="G22" s="77">
        <v>132</v>
      </c>
      <c r="H22" s="90">
        <v>126.9000015258789</v>
      </c>
      <c r="I22" s="91" t="s">
        <v>75</v>
      </c>
      <c r="J22" s="92">
        <f t="shared" si="0"/>
        <v>406.7804928912354</v>
      </c>
      <c r="K22" s="428">
        <v>42114.373611111114</v>
      </c>
      <c r="L22" s="428">
        <v>42114.604166666664</v>
      </c>
      <c r="M22" s="94">
        <f t="shared" si="1"/>
        <v>5.533333333209157</v>
      </c>
      <c r="N22" s="95">
        <f t="shared" si="2"/>
        <v>332</v>
      </c>
      <c r="O22" s="96" t="s">
        <v>76</v>
      </c>
      <c r="P22" s="426" t="s">
        <v>78</v>
      </c>
      <c r="Q22" s="97">
        <f t="shared" si="3"/>
        <v>10</v>
      </c>
      <c r="R22" s="98">
        <f t="shared" si="4"/>
        <v>224.94961256885318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3" t="s">
        <v>77</v>
      </c>
      <c r="AC22" s="106">
        <f t="shared" si="14"/>
        <v>224.94961256885318</v>
      </c>
      <c r="AD22" s="107"/>
    </row>
    <row r="23" spans="2:30" s="1" customFormat="1" ht="16.5" customHeight="1">
      <c r="B23" s="13"/>
      <c r="C23" s="79">
        <v>45</v>
      </c>
      <c r="D23" s="79">
        <v>287817</v>
      </c>
      <c r="E23" s="79">
        <v>3483</v>
      </c>
      <c r="F23" s="77" t="s">
        <v>80</v>
      </c>
      <c r="G23" s="77">
        <v>132</v>
      </c>
      <c r="H23" s="90">
        <v>29.799999237060547</v>
      </c>
      <c r="I23" s="91" t="s">
        <v>75</v>
      </c>
      <c r="J23" s="92">
        <f t="shared" si="0"/>
        <v>95.52449355438233</v>
      </c>
      <c r="K23" s="428">
        <v>42114.438888888886</v>
      </c>
      <c r="L23" s="428">
        <v>42114.63611111111</v>
      </c>
      <c r="M23" s="94">
        <f t="shared" si="1"/>
        <v>4.7333333333954215</v>
      </c>
      <c r="N23" s="95">
        <f t="shared" si="2"/>
        <v>284</v>
      </c>
      <c r="O23" s="96" t="s">
        <v>76</v>
      </c>
      <c r="P23" s="426" t="s">
        <v>78</v>
      </c>
      <c r="Q23" s="97">
        <f t="shared" si="3"/>
        <v>10</v>
      </c>
      <c r="R23" s="98">
        <f t="shared" si="4"/>
        <v>45.18308545122285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3" t="s">
        <v>77</v>
      </c>
      <c r="AC23" s="106">
        <f t="shared" si="14"/>
        <v>45.18308545122285</v>
      </c>
      <c r="AD23" s="107"/>
    </row>
    <row r="24" spans="2:30" s="1" customFormat="1" ht="16.5" customHeight="1">
      <c r="B24" s="13"/>
      <c r="C24" s="79">
        <v>46</v>
      </c>
      <c r="D24" s="79">
        <v>287822</v>
      </c>
      <c r="E24" s="79">
        <v>1401</v>
      </c>
      <c r="F24" s="77" t="s">
        <v>86</v>
      </c>
      <c r="G24" s="77">
        <v>132</v>
      </c>
      <c r="H24" s="90">
        <v>126.9000015258789</v>
      </c>
      <c r="I24" s="91" t="s">
        <v>75</v>
      </c>
      <c r="J24" s="92">
        <f t="shared" si="0"/>
        <v>406.7804928912354</v>
      </c>
      <c r="K24" s="428">
        <v>42115.35902777778</v>
      </c>
      <c r="L24" s="428">
        <v>42115.61388888889</v>
      </c>
      <c r="M24" s="94">
        <f t="shared" si="1"/>
        <v>6.116666666697711</v>
      </c>
      <c r="N24" s="95">
        <f t="shared" si="2"/>
        <v>367</v>
      </c>
      <c r="O24" s="96" t="s">
        <v>76</v>
      </c>
      <c r="P24" s="426" t="s">
        <v>78</v>
      </c>
      <c r="Q24" s="97">
        <f t="shared" si="3"/>
        <v>10</v>
      </c>
      <c r="R24" s="98">
        <f t="shared" si="4"/>
        <v>248.9496616494361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3" t="s">
        <v>77</v>
      </c>
      <c r="AC24" s="106">
        <f t="shared" si="14"/>
        <v>248.9496616494361</v>
      </c>
      <c r="AD24" s="107"/>
    </row>
    <row r="25" spans="2:30" s="1" customFormat="1" ht="16.5" customHeight="1">
      <c r="B25" s="13"/>
      <c r="C25" s="79">
        <v>47</v>
      </c>
      <c r="D25" s="79">
        <v>287823</v>
      </c>
      <c r="E25" s="79">
        <v>3483</v>
      </c>
      <c r="F25" s="77" t="s">
        <v>80</v>
      </c>
      <c r="G25" s="77">
        <v>132</v>
      </c>
      <c r="H25" s="90">
        <v>29.799999237060547</v>
      </c>
      <c r="I25" s="91" t="s">
        <v>75</v>
      </c>
      <c r="J25" s="92">
        <f t="shared" si="0"/>
        <v>95.52449355438233</v>
      </c>
      <c r="K25" s="428">
        <v>42115.36041666667</v>
      </c>
      <c r="L25" s="428">
        <v>42115.725</v>
      </c>
      <c r="M25" s="94">
        <f t="shared" si="1"/>
        <v>8.749999999883585</v>
      </c>
      <c r="N25" s="95">
        <f t="shared" si="2"/>
        <v>525</v>
      </c>
      <c r="O25" s="96" t="s">
        <v>76</v>
      </c>
      <c r="P25" s="426" t="s">
        <v>78</v>
      </c>
      <c r="Q25" s="97">
        <f t="shared" si="3"/>
        <v>10</v>
      </c>
      <c r="R25" s="98">
        <f t="shared" si="4"/>
        <v>83.58393186008455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3" t="s">
        <v>77</v>
      </c>
      <c r="AC25" s="106">
        <f t="shared" si="14"/>
        <v>83.58393186008455</v>
      </c>
      <c r="AD25" s="107"/>
    </row>
    <row r="26" spans="2:30" s="1" customFormat="1" ht="16.5" customHeight="1">
      <c r="B26" s="13"/>
      <c r="C26" s="79">
        <v>48</v>
      </c>
      <c r="D26" s="79">
        <v>287825</v>
      </c>
      <c r="E26" s="79">
        <v>1438</v>
      </c>
      <c r="F26" s="77" t="s">
        <v>83</v>
      </c>
      <c r="G26" s="77">
        <v>132</v>
      </c>
      <c r="H26" s="90">
        <v>70.80000305175781</v>
      </c>
      <c r="I26" s="91" t="s">
        <v>84</v>
      </c>
      <c r="J26" s="92">
        <f t="shared" si="0"/>
        <v>226.9508257824707</v>
      </c>
      <c r="K26" s="428">
        <v>42115.38055555556</v>
      </c>
      <c r="L26" s="428">
        <v>42115.67986111111</v>
      </c>
      <c r="M26" s="94">
        <f t="shared" si="1"/>
        <v>7.183333333174232</v>
      </c>
      <c r="N26" s="95">
        <f t="shared" si="2"/>
        <v>431</v>
      </c>
      <c r="O26" s="93" t="s">
        <v>76</v>
      </c>
      <c r="P26" s="426" t="s">
        <v>78</v>
      </c>
      <c r="Q26" s="97">
        <f t="shared" si="3"/>
        <v>50</v>
      </c>
      <c r="R26" s="98">
        <f t="shared" si="4"/>
        <v>814.7534645590698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3" t="s">
        <v>77</v>
      </c>
      <c r="AC26" s="106">
        <f t="shared" si="14"/>
        <v>814.7534645590698</v>
      </c>
      <c r="AD26" s="107"/>
    </row>
    <row r="27" spans="2:30" s="1" customFormat="1" ht="16.5" customHeight="1">
      <c r="B27" s="13"/>
      <c r="C27" s="79">
        <v>49</v>
      </c>
      <c r="D27" s="79">
        <v>287834</v>
      </c>
      <c r="E27" s="79">
        <v>1438</v>
      </c>
      <c r="F27" s="77" t="s">
        <v>83</v>
      </c>
      <c r="G27" s="77">
        <v>132</v>
      </c>
      <c r="H27" s="90">
        <v>70.80000305175781</v>
      </c>
      <c r="I27" s="91" t="s">
        <v>84</v>
      </c>
      <c r="J27" s="92">
        <f t="shared" si="0"/>
        <v>226.9508257824707</v>
      </c>
      <c r="K27" s="428">
        <v>42116.36111111111</v>
      </c>
      <c r="L27" s="428">
        <v>42116.72986111111</v>
      </c>
      <c r="M27" s="94">
        <f t="shared" si="1"/>
        <v>8.850000000034925</v>
      </c>
      <c r="N27" s="95">
        <f t="shared" si="2"/>
        <v>531</v>
      </c>
      <c r="O27" s="93" t="s">
        <v>76</v>
      </c>
      <c r="P27" s="426" t="s">
        <v>78</v>
      </c>
      <c r="Q27" s="97">
        <f t="shared" si="3"/>
        <v>50</v>
      </c>
      <c r="R27" s="98">
        <f t="shared" si="4"/>
        <v>1004.2574040874329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3" t="s">
        <v>77</v>
      </c>
      <c r="AC27" s="106">
        <f t="shared" si="14"/>
        <v>1004.2574040874329</v>
      </c>
      <c r="AD27" s="107"/>
    </row>
    <row r="28" spans="2:30" s="1" customFormat="1" ht="16.5" customHeight="1">
      <c r="B28" s="13"/>
      <c r="C28" s="79">
        <v>50</v>
      </c>
      <c r="D28" s="79">
        <v>287835</v>
      </c>
      <c r="E28" s="79">
        <v>3483</v>
      </c>
      <c r="F28" s="77" t="s">
        <v>80</v>
      </c>
      <c r="G28" s="77">
        <v>132</v>
      </c>
      <c r="H28" s="90">
        <v>29.799999237060547</v>
      </c>
      <c r="I28" s="91" t="s">
        <v>75</v>
      </c>
      <c r="J28" s="92">
        <f t="shared" si="0"/>
        <v>95.52449355438233</v>
      </c>
      <c r="K28" s="428">
        <v>42116.38125</v>
      </c>
      <c r="L28" s="428">
        <v>42116.720138888886</v>
      </c>
      <c r="M28" s="94">
        <f t="shared" si="1"/>
        <v>8.13333333330229</v>
      </c>
      <c r="N28" s="95">
        <f t="shared" si="2"/>
        <v>488</v>
      </c>
      <c r="O28" s="93" t="s">
        <v>76</v>
      </c>
      <c r="P28" s="426" t="s">
        <v>78</v>
      </c>
      <c r="Q28" s="97">
        <f t="shared" si="3"/>
        <v>10</v>
      </c>
      <c r="R28" s="98">
        <f t="shared" si="4"/>
        <v>77.66141325971284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3" t="s">
        <v>77</v>
      </c>
      <c r="AC28" s="106">
        <f t="shared" si="14"/>
        <v>77.66141325971284</v>
      </c>
      <c r="AD28" s="107"/>
    </row>
    <row r="29" spans="2:30" s="1" customFormat="1" ht="16.5" customHeight="1">
      <c r="B29" s="13"/>
      <c r="C29" s="79">
        <v>51</v>
      </c>
      <c r="D29" s="79">
        <v>287836</v>
      </c>
      <c r="E29" s="79">
        <v>1401</v>
      </c>
      <c r="F29" s="77" t="s">
        <v>86</v>
      </c>
      <c r="G29" s="77">
        <v>132</v>
      </c>
      <c r="H29" s="90">
        <v>126.9000015258789</v>
      </c>
      <c r="I29" s="91" t="s">
        <v>75</v>
      </c>
      <c r="J29" s="92">
        <f t="shared" si="0"/>
        <v>406.7804928912354</v>
      </c>
      <c r="K29" s="428">
        <v>42116.381944444445</v>
      </c>
      <c r="L29" s="428">
        <v>42116.59930555556</v>
      </c>
      <c r="M29" s="94">
        <f t="shared" si="1"/>
        <v>5.216666666732635</v>
      </c>
      <c r="N29" s="95">
        <f t="shared" si="2"/>
        <v>313</v>
      </c>
      <c r="O29" s="93" t="s">
        <v>76</v>
      </c>
      <c r="P29" s="426" t="s">
        <v>78</v>
      </c>
      <c r="Q29" s="97">
        <f t="shared" si="3"/>
        <v>10</v>
      </c>
      <c r="R29" s="98">
        <f t="shared" si="4"/>
        <v>212.33941728922488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3" t="s">
        <v>77</v>
      </c>
      <c r="AC29" s="106">
        <f t="shared" si="14"/>
        <v>212.33941728922488</v>
      </c>
      <c r="AD29" s="107"/>
    </row>
    <row r="30" spans="2:30" s="1" customFormat="1" ht="16.5" customHeight="1">
      <c r="B30" s="13"/>
      <c r="C30" s="79">
        <v>52</v>
      </c>
      <c r="D30" s="79">
        <v>287843</v>
      </c>
      <c r="E30" s="79">
        <v>1438</v>
      </c>
      <c r="F30" s="77" t="s">
        <v>83</v>
      </c>
      <c r="G30" s="77">
        <v>132</v>
      </c>
      <c r="H30" s="90">
        <v>70.80000305175781</v>
      </c>
      <c r="I30" s="91" t="s">
        <v>84</v>
      </c>
      <c r="J30" s="92">
        <f t="shared" si="0"/>
        <v>226.9508257824707</v>
      </c>
      <c r="K30" s="428">
        <v>42117.356944444444</v>
      </c>
      <c r="L30" s="428">
        <v>42117.66388888889</v>
      </c>
      <c r="M30" s="94">
        <f t="shared" si="1"/>
        <v>7.366666666755918</v>
      </c>
      <c r="N30" s="95">
        <f t="shared" si="2"/>
        <v>442</v>
      </c>
      <c r="O30" s="93" t="s">
        <v>76</v>
      </c>
      <c r="P30" s="426" t="s">
        <v>78</v>
      </c>
      <c r="Q30" s="97">
        <f t="shared" si="3"/>
        <v>50</v>
      </c>
      <c r="R30" s="98">
        <f t="shared" si="4"/>
        <v>836.3137930084047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3" t="s">
        <v>77</v>
      </c>
      <c r="AC30" s="106">
        <f t="shared" si="14"/>
        <v>836.3137930084047</v>
      </c>
      <c r="AD30" s="107"/>
    </row>
    <row r="31" spans="2:30" s="1" customFormat="1" ht="16.5" customHeight="1">
      <c r="B31" s="13"/>
      <c r="C31" s="79">
        <v>53</v>
      </c>
      <c r="D31" s="79">
        <v>287845</v>
      </c>
      <c r="E31" s="79">
        <v>1401</v>
      </c>
      <c r="F31" s="77" t="s">
        <v>86</v>
      </c>
      <c r="G31" s="77">
        <v>132</v>
      </c>
      <c r="H31" s="90">
        <v>126.9000015258789</v>
      </c>
      <c r="I31" s="91" t="s">
        <v>75</v>
      </c>
      <c r="J31" s="92">
        <f t="shared" si="0"/>
        <v>406.7804928912354</v>
      </c>
      <c r="K31" s="428">
        <v>42117.37013888889</v>
      </c>
      <c r="L31" s="428">
        <v>42117.59305555555</v>
      </c>
      <c r="M31" s="94">
        <f t="shared" si="1"/>
        <v>5.349999999976717</v>
      </c>
      <c r="N31" s="95">
        <f t="shared" si="2"/>
        <v>321</v>
      </c>
      <c r="O31" s="93" t="s">
        <v>76</v>
      </c>
      <c r="P31" s="426" t="s">
        <v>78</v>
      </c>
      <c r="Q31" s="97">
        <f t="shared" si="3"/>
        <v>10</v>
      </c>
      <c r="R31" s="98">
        <f t="shared" si="4"/>
        <v>217.6275636968109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3" t="s">
        <v>77</v>
      </c>
      <c r="AC31" s="106">
        <f t="shared" si="14"/>
        <v>217.6275636968109</v>
      </c>
      <c r="AD31" s="107"/>
    </row>
    <row r="32" spans="2:30" s="1" customFormat="1" ht="16.5" customHeight="1">
      <c r="B32" s="13"/>
      <c r="C32" s="79">
        <v>54</v>
      </c>
      <c r="D32" s="79">
        <v>287846</v>
      </c>
      <c r="E32" s="79">
        <v>3483</v>
      </c>
      <c r="F32" s="77" t="s">
        <v>80</v>
      </c>
      <c r="G32" s="77">
        <v>132</v>
      </c>
      <c r="H32" s="90">
        <v>29.799999237060547</v>
      </c>
      <c r="I32" s="91" t="s">
        <v>75</v>
      </c>
      <c r="J32" s="92">
        <f t="shared" si="0"/>
        <v>95.52449355438233</v>
      </c>
      <c r="K32" s="428">
        <v>42117.39236111111</v>
      </c>
      <c r="L32" s="428">
        <v>42117.71666666667</v>
      </c>
      <c r="M32" s="94">
        <f t="shared" si="1"/>
        <v>7.78333333338378</v>
      </c>
      <c r="N32" s="95">
        <f t="shared" si="2"/>
        <v>467</v>
      </c>
      <c r="O32" s="93" t="s">
        <v>76</v>
      </c>
      <c r="P32" s="426" t="s">
        <v>78</v>
      </c>
      <c r="Q32" s="97">
        <f t="shared" si="3"/>
        <v>10</v>
      </c>
      <c r="R32" s="98">
        <f t="shared" si="4"/>
        <v>74.31805598530946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3" t="s">
        <v>77</v>
      </c>
      <c r="AC32" s="106">
        <f t="shared" si="14"/>
        <v>74.31805598530946</v>
      </c>
      <c r="AD32" s="107"/>
    </row>
    <row r="33" spans="2:30" s="1" customFormat="1" ht="16.5" customHeight="1">
      <c r="B33" s="13"/>
      <c r="C33" s="79">
        <v>55</v>
      </c>
      <c r="D33" s="79">
        <v>287851</v>
      </c>
      <c r="E33" s="79">
        <v>1438</v>
      </c>
      <c r="F33" s="77" t="s">
        <v>83</v>
      </c>
      <c r="G33" s="77">
        <v>132</v>
      </c>
      <c r="H33" s="90">
        <v>70.80000305175781</v>
      </c>
      <c r="I33" s="91" t="s">
        <v>84</v>
      </c>
      <c r="J33" s="92">
        <f t="shared" si="0"/>
        <v>226.9508257824707</v>
      </c>
      <c r="K33" s="428">
        <v>42117.674305555556</v>
      </c>
      <c r="L33" s="428">
        <v>42117.93958333333</v>
      </c>
      <c r="M33" s="94">
        <f t="shared" si="1"/>
        <v>6.366666666639503</v>
      </c>
      <c r="N33" s="95">
        <f t="shared" si="2"/>
        <v>382</v>
      </c>
      <c r="O33" s="93" t="s">
        <v>85</v>
      </c>
      <c r="P33" s="426" t="s">
        <v>78</v>
      </c>
      <c r="Q33" s="97">
        <f t="shared" si="3"/>
        <v>50</v>
      </c>
      <c r="R33" s="98" t="str">
        <f t="shared" si="4"/>
        <v>--</v>
      </c>
      <c r="S33" s="99" t="str">
        <f t="shared" si="5"/>
        <v>--</v>
      </c>
      <c r="T33" s="100">
        <f t="shared" si="6"/>
        <v>11347.541289123536</v>
      </c>
      <c r="U33" s="100">
        <f t="shared" si="7"/>
        <v>34042.62386737061</v>
      </c>
      <c r="V33" s="101">
        <f t="shared" si="8"/>
        <v>3824.1214144346322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3" t="s">
        <v>77</v>
      </c>
      <c r="AC33" s="106">
        <f t="shared" si="14"/>
        <v>49214.28657092877</v>
      </c>
      <c r="AD33" s="107"/>
    </row>
    <row r="34" spans="2:30" s="1" customFormat="1" ht="16.5" customHeight="1">
      <c r="B34" s="108"/>
      <c r="C34" s="79">
        <v>56</v>
      </c>
      <c r="D34" s="79">
        <v>287854</v>
      </c>
      <c r="E34" s="79">
        <v>1438</v>
      </c>
      <c r="F34" s="77" t="s">
        <v>83</v>
      </c>
      <c r="G34" s="77">
        <v>132</v>
      </c>
      <c r="H34" s="90">
        <v>70.80000305175781</v>
      </c>
      <c r="I34" s="91" t="s">
        <v>84</v>
      </c>
      <c r="J34" s="92">
        <f t="shared" si="0"/>
        <v>226.9508257824707</v>
      </c>
      <c r="K34" s="428">
        <v>42118.34375</v>
      </c>
      <c r="L34" s="428">
        <v>42118.63125</v>
      </c>
      <c r="M34" s="94">
        <f t="shared" si="1"/>
        <v>6.899999999965075</v>
      </c>
      <c r="N34" s="95">
        <f t="shared" si="2"/>
        <v>414</v>
      </c>
      <c r="O34" s="93" t="s">
        <v>76</v>
      </c>
      <c r="P34" s="426" t="s">
        <v>78</v>
      </c>
      <c r="Q34" s="97">
        <f t="shared" si="3"/>
        <v>50</v>
      </c>
      <c r="R34" s="98">
        <f t="shared" si="4"/>
        <v>782.9803489495241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3" t="s">
        <v>77</v>
      </c>
      <c r="AC34" s="106">
        <f t="shared" si="14"/>
        <v>782.9803489495241</v>
      </c>
      <c r="AD34" s="107"/>
    </row>
    <row r="35" spans="2:30" s="1" customFormat="1" ht="16.5" customHeight="1">
      <c r="B35" s="108"/>
      <c r="C35" s="79">
        <v>57</v>
      </c>
      <c r="D35" s="79">
        <v>287856</v>
      </c>
      <c r="E35" s="79">
        <v>1401</v>
      </c>
      <c r="F35" s="77" t="s">
        <v>86</v>
      </c>
      <c r="G35" s="77">
        <v>132</v>
      </c>
      <c r="H35" s="90">
        <v>126.9000015258789</v>
      </c>
      <c r="I35" s="91" t="s">
        <v>75</v>
      </c>
      <c r="J35" s="92">
        <f t="shared" si="0"/>
        <v>406.7804928912354</v>
      </c>
      <c r="K35" s="428">
        <v>42118.365277777775</v>
      </c>
      <c r="L35" s="428">
        <v>42118.5375</v>
      </c>
      <c r="M35" s="94">
        <f t="shared" si="1"/>
        <v>4.133333333360497</v>
      </c>
      <c r="N35" s="95">
        <f t="shared" si="2"/>
        <v>248</v>
      </c>
      <c r="O35" s="93" t="s">
        <v>76</v>
      </c>
      <c r="P35" s="426" t="s">
        <v>78</v>
      </c>
      <c r="Q35" s="97">
        <f t="shared" si="3"/>
        <v>10</v>
      </c>
      <c r="R35" s="98">
        <f t="shared" si="4"/>
        <v>168.00034356408023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3" t="s">
        <v>77</v>
      </c>
      <c r="AC35" s="106">
        <f t="shared" si="14"/>
        <v>168.00034356408023</v>
      </c>
      <c r="AD35" s="107"/>
    </row>
    <row r="36" spans="2:30" s="1" customFormat="1" ht="16.5" customHeight="1">
      <c r="B36" s="108"/>
      <c r="C36" s="79">
        <v>58</v>
      </c>
      <c r="D36" s="79">
        <v>287857</v>
      </c>
      <c r="E36" s="79">
        <v>1535</v>
      </c>
      <c r="F36" s="77" t="s">
        <v>106</v>
      </c>
      <c r="G36" s="77">
        <v>132</v>
      </c>
      <c r="H36" s="90">
        <v>29.799999237060547</v>
      </c>
      <c r="I36" s="91" t="s">
        <v>75</v>
      </c>
      <c r="J36" s="92">
        <f t="shared" si="0"/>
        <v>95.52449355438233</v>
      </c>
      <c r="K36" s="428">
        <v>42118.37152777778</v>
      </c>
      <c r="L36" s="428">
        <v>42118.720138888886</v>
      </c>
      <c r="M36" s="94">
        <f t="shared" si="1"/>
        <v>8.366666666523088</v>
      </c>
      <c r="N36" s="95">
        <f t="shared" si="2"/>
        <v>502</v>
      </c>
      <c r="O36" s="93" t="s">
        <v>76</v>
      </c>
      <c r="P36" s="426" t="s">
        <v>78</v>
      </c>
      <c r="Q36" s="97">
        <f t="shared" si="3"/>
        <v>10</v>
      </c>
      <c r="R36" s="98">
        <f t="shared" si="4"/>
        <v>79.95400110501801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3" t="s">
        <v>77</v>
      </c>
      <c r="AC36" s="106">
        <f t="shared" si="14"/>
        <v>79.95400110501801</v>
      </c>
      <c r="AD36" s="107"/>
    </row>
    <row r="37" spans="2:30" s="1" customFormat="1" ht="16.5" customHeight="1">
      <c r="B37" s="108"/>
      <c r="C37" s="79">
        <v>59</v>
      </c>
      <c r="D37" s="79">
        <v>287870</v>
      </c>
      <c r="E37" s="79">
        <v>1404</v>
      </c>
      <c r="F37" s="77" t="s">
        <v>107</v>
      </c>
      <c r="G37" s="77">
        <v>132</v>
      </c>
      <c r="H37" s="90">
        <v>49</v>
      </c>
      <c r="I37" s="91" t="s">
        <v>84</v>
      </c>
      <c r="J37" s="92">
        <f t="shared" si="0"/>
        <v>157.07048</v>
      </c>
      <c r="K37" s="428">
        <v>42120.33819444444</v>
      </c>
      <c r="L37" s="428">
        <v>42120.67847222222</v>
      </c>
      <c r="M37" s="94">
        <f t="shared" si="1"/>
        <v>8.166666666744277</v>
      </c>
      <c r="N37" s="95">
        <f t="shared" si="2"/>
        <v>490</v>
      </c>
      <c r="O37" s="93" t="s">
        <v>76</v>
      </c>
      <c r="P37" s="426" t="s">
        <v>78</v>
      </c>
      <c r="Q37" s="97">
        <f t="shared" si="3"/>
        <v>50</v>
      </c>
      <c r="R37" s="98">
        <f t="shared" si="4"/>
        <v>641.6329108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3" t="s">
        <v>77</v>
      </c>
      <c r="AC37" s="106">
        <f t="shared" si="14"/>
        <v>641.6329108</v>
      </c>
      <c r="AD37" s="107"/>
    </row>
    <row r="38" spans="2:30" s="1" customFormat="1" ht="16.5" customHeight="1">
      <c r="B38" s="108"/>
      <c r="C38" s="79">
        <v>60</v>
      </c>
      <c r="D38" s="79">
        <v>288005</v>
      </c>
      <c r="E38" s="79">
        <v>1416</v>
      </c>
      <c r="F38" s="77" t="s">
        <v>108</v>
      </c>
      <c r="G38" s="77">
        <v>132</v>
      </c>
      <c r="H38" s="90">
        <v>109.4000015258789</v>
      </c>
      <c r="I38" s="91" t="s">
        <v>75</v>
      </c>
      <c r="J38" s="92">
        <f t="shared" si="0"/>
        <v>350.68389289123536</v>
      </c>
      <c r="K38" s="428">
        <v>42121.38263888889</v>
      </c>
      <c r="L38" s="428">
        <v>42121.665972222225</v>
      </c>
      <c r="M38" s="94">
        <f t="shared" si="1"/>
        <v>6.7999999999883585</v>
      </c>
      <c r="N38" s="95">
        <f t="shared" si="2"/>
        <v>408</v>
      </c>
      <c r="O38" s="93" t="s">
        <v>76</v>
      </c>
      <c r="P38" s="426" t="s">
        <v>78</v>
      </c>
      <c r="Q38" s="97">
        <f t="shared" si="3"/>
        <v>10</v>
      </c>
      <c r="R38" s="98">
        <f t="shared" si="4"/>
        <v>238.46504716604002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3" t="s">
        <v>77</v>
      </c>
      <c r="AC38" s="106">
        <f t="shared" si="14"/>
        <v>238.46504716604002</v>
      </c>
      <c r="AD38" s="107"/>
    </row>
    <row r="39" spans="2:30" s="1" customFormat="1" ht="16.5" customHeight="1">
      <c r="B39" s="108"/>
      <c r="C39" s="79">
        <v>61</v>
      </c>
      <c r="D39" s="79">
        <v>288007</v>
      </c>
      <c r="E39" s="79">
        <v>1531</v>
      </c>
      <c r="F39" s="77" t="s">
        <v>109</v>
      </c>
      <c r="G39" s="77">
        <v>132</v>
      </c>
      <c r="H39" s="90">
        <v>102.08999633789062</v>
      </c>
      <c r="I39" s="91" t="s">
        <v>75</v>
      </c>
      <c r="J39" s="92">
        <f t="shared" si="0"/>
        <v>327.2515250610352</v>
      </c>
      <c r="K39" s="428">
        <v>42121.45972222222</v>
      </c>
      <c r="L39" s="428">
        <v>42121.714583333334</v>
      </c>
      <c r="M39" s="94">
        <f t="shared" si="1"/>
        <v>6.116666666697711</v>
      </c>
      <c r="N39" s="95">
        <f t="shared" si="2"/>
        <v>367</v>
      </c>
      <c r="O39" s="93" t="s">
        <v>76</v>
      </c>
      <c r="P39" s="426" t="s">
        <v>78</v>
      </c>
      <c r="Q39" s="97">
        <f t="shared" si="3"/>
        <v>10</v>
      </c>
      <c r="R39" s="98">
        <f t="shared" si="4"/>
        <v>200.27793333735355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3" t="s">
        <v>77</v>
      </c>
      <c r="AC39" s="106">
        <f t="shared" si="14"/>
        <v>200.27793333735355</v>
      </c>
      <c r="AD39" s="107"/>
    </row>
    <row r="40" spans="2:30" s="1" customFormat="1" ht="16.5" customHeight="1">
      <c r="B40" s="108"/>
      <c r="C40" s="79">
        <v>62</v>
      </c>
      <c r="D40" s="79">
        <v>288008</v>
      </c>
      <c r="E40" s="79">
        <v>1440</v>
      </c>
      <c r="F40" s="77" t="s">
        <v>209</v>
      </c>
      <c r="G40" s="77">
        <v>132</v>
      </c>
      <c r="H40" s="90">
        <v>55</v>
      </c>
      <c r="I40" s="91" t="s">
        <v>75</v>
      </c>
      <c r="J40" s="92">
        <f t="shared" si="0"/>
        <v>176.30360000000002</v>
      </c>
      <c r="K40" s="428">
        <v>42121.49791666667</v>
      </c>
      <c r="L40" s="428">
        <v>42121.711805555555</v>
      </c>
      <c r="M40" s="94">
        <f t="shared" si="1"/>
        <v>5.133333333302289</v>
      </c>
      <c r="N40" s="95">
        <f t="shared" si="2"/>
        <v>308</v>
      </c>
      <c r="O40" s="93" t="s">
        <v>76</v>
      </c>
      <c r="P40" s="426" t="s">
        <v>78</v>
      </c>
      <c r="Q40" s="97">
        <f t="shared" si="3"/>
        <v>10</v>
      </c>
      <c r="R40" s="98">
        <f t="shared" si="4"/>
        <v>90.44374680000001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3" t="s">
        <v>77</v>
      </c>
      <c r="AC40" s="106">
        <f t="shared" si="14"/>
        <v>90.44374680000001</v>
      </c>
      <c r="AD40" s="107"/>
    </row>
    <row r="41" spans="2:30" s="1" customFormat="1" ht="16.5" customHeight="1">
      <c r="B41" s="108"/>
      <c r="C41" s="79">
        <v>63</v>
      </c>
      <c r="D41" s="79">
        <v>288011</v>
      </c>
      <c r="E41" s="79">
        <v>1531</v>
      </c>
      <c r="F41" s="77" t="s">
        <v>109</v>
      </c>
      <c r="G41" s="77">
        <v>132</v>
      </c>
      <c r="H41" s="90">
        <v>102.08999633789062</v>
      </c>
      <c r="I41" s="91" t="s">
        <v>75</v>
      </c>
      <c r="J41" s="92">
        <f t="shared" si="0"/>
        <v>327.2515250610352</v>
      </c>
      <c r="K41" s="428">
        <v>42122.34583333333</v>
      </c>
      <c r="L41" s="428">
        <v>42122.72152777778</v>
      </c>
      <c r="M41" s="94">
        <f t="shared" si="1"/>
        <v>9.016666666720994</v>
      </c>
      <c r="N41" s="95">
        <f t="shared" si="2"/>
        <v>541</v>
      </c>
      <c r="O41" s="93" t="s">
        <v>76</v>
      </c>
      <c r="P41" s="426" t="s">
        <v>78</v>
      </c>
      <c r="Q41" s="97">
        <f t="shared" si="3"/>
        <v>10</v>
      </c>
      <c r="R41" s="98">
        <f>IF(O41="P",ROUND(N41/60,2)*J41*Q41*0.01,"--")</f>
        <v>295.18087560505376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3" t="s">
        <v>77</v>
      </c>
      <c r="AC41" s="106">
        <f t="shared" si="14"/>
        <v>295.18087560505376</v>
      </c>
      <c r="AD41" s="107"/>
    </row>
    <row r="42" spans="2:30" s="1" customFormat="1" ht="16.5" customHeight="1">
      <c r="B42" s="108"/>
      <c r="C42" s="79">
        <v>64</v>
      </c>
      <c r="D42" s="77">
        <v>288012</v>
      </c>
      <c r="E42" s="77">
        <v>1440</v>
      </c>
      <c r="F42" s="77" t="s">
        <v>209</v>
      </c>
      <c r="G42" s="77">
        <v>132</v>
      </c>
      <c r="H42" s="90">
        <v>55</v>
      </c>
      <c r="I42" s="90" t="s">
        <v>75</v>
      </c>
      <c r="J42" s="435">
        <f t="shared" si="0"/>
        <v>176.30360000000002</v>
      </c>
      <c r="K42" s="430">
        <v>42122.34861111111</v>
      </c>
      <c r="L42" s="430">
        <v>42122.71041666667</v>
      </c>
      <c r="M42" s="436">
        <f t="shared" si="1"/>
        <v>8.683333333348855</v>
      </c>
      <c r="N42" s="437">
        <f t="shared" si="2"/>
        <v>521</v>
      </c>
      <c r="O42" s="438" t="s">
        <v>76</v>
      </c>
      <c r="P42" s="426" t="s">
        <v>78</v>
      </c>
      <c r="Q42" s="439">
        <f t="shared" si="3"/>
        <v>10</v>
      </c>
      <c r="R42" s="440">
        <f>IF(O42="P",ROUND(N42/60,2)*J42*Q42*0.01,"--")</f>
        <v>153.0315248</v>
      </c>
      <c r="S42" s="441" t="str">
        <f t="shared" si="5"/>
        <v>--</v>
      </c>
      <c r="T42" s="442" t="str">
        <f t="shared" si="6"/>
        <v>--</v>
      </c>
      <c r="U42" s="442" t="str">
        <f t="shared" si="7"/>
        <v>--</v>
      </c>
      <c r="V42" s="443" t="str">
        <f t="shared" si="8"/>
        <v>--</v>
      </c>
      <c r="W42" s="444" t="str">
        <f t="shared" si="9"/>
        <v>--</v>
      </c>
      <c r="X42" s="444" t="str">
        <f t="shared" si="10"/>
        <v>--</v>
      </c>
      <c r="Y42" s="445" t="str">
        <f t="shared" si="11"/>
        <v>--</v>
      </c>
      <c r="Z42" s="446" t="str">
        <f t="shared" si="12"/>
        <v>--</v>
      </c>
      <c r="AA42" s="447" t="str">
        <f t="shared" si="13"/>
        <v>--</v>
      </c>
      <c r="AB42" s="448" t="s">
        <v>77</v>
      </c>
      <c r="AC42" s="106">
        <f t="shared" si="14"/>
        <v>153.0315248</v>
      </c>
      <c r="AD42" s="107"/>
    </row>
    <row r="43" spans="2:30" s="1" customFormat="1" ht="16.5" customHeight="1" thickBot="1">
      <c r="B43" s="13"/>
      <c r="C43" s="109"/>
      <c r="D43" s="109"/>
      <c r="E43" s="109"/>
      <c r="F43" s="109"/>
      <c r="G43" s="433"/>
      <c r="H43" s="335"/>
      <c r="I43" s="335"/>
      <c r="J43" s="111"/>
      <c r="K43" s="404"/>
      <c r="L43" s="404"/>
      <c r="M43" s="110"/>
      <c r="N43" s="110"/>
      <c r="O43" s="335"/>
      <c r="P43" s="336"/>
      <c r="Q43" s="337"/>
      <c r="R43" s="338"/>
      <c r="S43" s="339"/>
      <c r="T43" s="340"/>
      <c r="U43" s="341"/>
      <c r="V43" s="341"/>
      <c r="W43" s="342"/>
      <c r="X43" s="342"/>
      <c r="Y43" s="342"/>
      <c r="Z43" s="343"/>
      <c r="AA43" s="344"/>
      <c r="AB43" s="345"/>
      <c r="AC43" s="434"/>
      <c r="AD43" s="107"/>
    </row>
    <row r="44" spans="2:30" s="1" customFormat="1" ht="16.5" customHeight="1" thickBot="1" thickTop="1">
      <c r="B44" s="13"/>
      <c r="C44" s="113" t="s">
        <v>55</v>
      </c>
      <c r="D44" s="449" t="s">
        <v>210</v>
      </c>
      <c r="E44" s="129"/>
      <c r="F44" s="114"/>
      <c r="G44" s="115"/>
      <c r="H44" s="116"/>
      <c r="I44" s="116"/>
      <c r="J44" s="117"/>
      <c r="K44" s="117"/>
      <c r="L44" s="117"/>
      <c r="M44" s="117"/>
      <c r="N44" s="117"/>
      <c r="O44" s="117"/>
      <c r="P44" s="118"/>
      <c r="Q44" s="118"/>
      <c r="R44" s="119">
        <f aca="true" t="shared" si="15" ref="R44:AA44">SUM(R19:R43)</f>
        <v>7398.380558742631</v>
      </c>
      <c r="S44" s="120">
        <f t="shared" si="15"/>
        <v>0</v>
      </c>
      <c r="T44" s="121">
        <f t="shared" si="15"/>
        <v>11347.541289123536</v>
      </c>
      <c r="U44" s="121">
        <f t="shared" si="15"/>
        <v>34042.62386737061</v>
      </c>
      <c r="V44" s="121">
        <f t="shared" si="15"/>
        <v>3824.1214144346322</v>
      </c>
      <c r="W44" s="122">
        <f t="shared" si="15"/>
        <v>0</v>
      </c>
      <c r="X44" s="122">
        <f t="shared" si="15"/>
        <v>0</v>
      </c>
      <c r="Y44" s="122">
        <f t="shared" si="15"/>
        <v>0</v>
      </c>
      <c r="Z44" s="123">
        <f t="shared" si="15"/>
        <v>0</v>
      </c>
      <c r="AA44" s="124">
        <f t="shared" si="15"/>
        <v>0</v>
      </c>
      <c r="AB44" s="125"/>
      <c r="AC44" s="413">
        <f>ROUND(SUM(AC19:AC43),2)</f>
        <v>197900.81</v>
      </c>
      <c r="AD44" s="126"/>
    </row>
    <row r="45" spans="2:30" s="127" customFormat="1" ht="9.75" thickTop="1">
      <c r="B45" s="128"/>
      <c r="C45" s="129"/>
      <c r="D45" s="129"/>
      <c r="E45" s="129"/>
      <c r="F45" s="130"/>
      <c r="G45" s="131"/>
      <c r="H45" s="132"/>
      <c r="I45" s="132"/>
      <c r="J45" s="133"/>
      <c r="K45" s="133"/>
      <c r="L45" s="133"/>
      <c r="M45" s="133"/>
      <c r="N45" s="133"/>
      <c r="O45" s="133"/>
      <c r="P45" s="134"/>
      <c r="Q45" s="134"/>
      <c r="R45" s="135"/>
      <c r="S45" s="135"/>
      <c r="T45" s="136"/>
      <c r="U45" s="136"/>
      <c r="V45" s="137"/>
      <c r="W45" s="137"/>
      <c r="X45" s="137"/>
      <c r="Y45" s="137"/>
      <c r="Z45" s="137"/>
      <c r="AA45" s="137"/>
      <c r="AB45" s="137"/>
      <c r="AC45" s="138"/>
      <c r="AD45" s="139"/>
    </row>
    <row r="46" spans="2:30" s="1" customFormat="1" ht="16.5" customHeight="1" thickBo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</row>
    <row r="47" spans="2:30" ht="13.5" thickTop="1">
      <c r="B47" s="143"/>
      <c r="AD47" s="143"/>
    </row>
    <row r="92" ht="12.75">
      <c r="B92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7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6.281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'TOT-0415'!B2</f>
        <v>ANEXO V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+'TOT-0415'!B14</f>
        <v>Desde el 01 al 30 de abril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335.458</v>
      </c>
      <c r="H14" s="37"/>
      <c r="I14" s="38"/>
      <c r="J14" s="34"/>
      <c r="K14" s="34"/>
      <c r="L14" s="39" t="s">
        <v>8</v>
      </c>
      <c r="M14" s="40">
        <f>150*'TOT-0415'!B13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320.552</v>
      </c>
      <c r="H15" s="42"/>
      <c r="I15" s="43"/>
      <c r="J15" s="7"/>
      <c r="K15" s="44"/>
      <c r="L15" s="39" t="s">
        <v>10</v>
      </c>
      <c r="M15" s="40">
        <f>50*'TOT-0415'!B13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320.552</v>
      </c>
      <c r="H16" s="42"/>
      <c r="I16" s="43"/>
      <c r="J16" s="7"/>
      <c r="K16" s="7"/>
      <c r="L16" s="39" t="s">
        <v>12</v>
      </c>
      <c r="M16" s="40">
        <f>10*'TOT-0415'!B13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8">
        <v>3</v>
      </c>
      <c r="D17" s="418">
        <v>4</v>
      </c>
      <c r="E17" s="418">
        <v>5</v>
      </c>
      <c r="F17" s="418">
        <v>6</v>
      </c>
      <c r="G17" s="418">
        <v>7</v>
      </c>
      <c r="H17" s="418">
        <v>8</v>
      </c>
      <c r="I17" s="418">
        <v>9</v>
      </c>
      <c r="J17" s="418">
        <v>10</v>
      </c>
      <c r="K17" s="418">
        <v>11</v>
      </c>
      <c r="L17" s="418">
        <v>12</v>
      </c>
      <c r="M17" s="418">
        <v>13</v>
      </c>
      <c r="N17" s="418">
        <v>14</v>
      </c>
      <c r="O17" s="418">
        <v>15</v>
      </c>
      <c r="P17" s="418">
        <v>16</v>
      </c>
      <c r="Q17" s="418">
        <v>17</v>
      </c>
      <c r="R17" s="418">
        <v>18</v>
      </c>
      <c r="S17" s="418">
        <v>19</v>
      </c>
      <c r="T17" s="418">
        <v>20</v>
      </c>
      <c r="U17" s="418">
        <v>21</v>
      </c>
      <c r="V17" s="418">
        <v>22</v>
      </c>
      <c r="W17" s="418">
        <v>23</v>
      </c>
      <c r="X17" s="418">
        <v>24</v>
      </c>
      <c r="Y17" s="418">
        <v>25</v>
      </c>
      <c r="Z17" s="418">
        <v>26</v>
      </c>
      <c r="AA17" s="418">
        <v>27</v>
      </c>
      <c r="AB17" s="418">
        <v>28</v>
      </c>
      <c r="AC17" s="418">
        <v>29</v>
      </c>
      <c r="AD17" s="14"/>
    </row>
    <row r="18" spans="2:30" s="45" customFormat="1" ht="34.5" customHeight="1" thickBot="1" thickTop="1">
      <c r="B18" s="46"/>
      <c r="C18" s="417" t="s">
        <v>13</v>
      </c>
      <c r="D18" s="417" t="s">
        <v>71</v>
      </c>
      <c r="E18" s="417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2"/>
      <c r="L19" s="403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'LI-04 (3)'!AC44</f>
        <v>197900.81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8"/>
      <c r="L20" s="429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65</v>
      </c>
      <c r="D21" s="79">
        <v>288018</v>
      </c>
      <c r="E21" s="79">
        <v>1416</v>
      </c>
      <c r="F21" s="77" t="s">
        <v>108</v>
      </c>
      <c r="G21" s="77">
        <v>132</v>
      </c>
      <c r="H21" s="90">
        <v>109.4000015258789</v>
      </c>
      <c r="I21" s="91" t="s">
        <v>75</v>
      </c>
      <c r="J21" s="92">
        <f aca="true" t="shared" si="0" ref="J21:J41">IF(G21=220,$G$14,IF(G21=132,$G$15,$G$16))*IF(H21&gt;25,H21,25)/100</f>
        <v>350.68389289123536</v>
      </c>
      <c r="K21" s="428">
        <v>42122.36944444444</v>
      </c>
      <c r="L21" s="428">
        <v>42122.677083333336</v>
      </c>
      <c r="M21" s="94">
        <f aca="true" t="shared" si="1" ref="M21:M41">IF(F21="","",(L21-K21)*24)</f>
        <v>7.383333333476912</v>
      </c>
      <c r="N21" s="95">
        <f aca="true" t="shared" si="2" ref="N21:N41">IF(F21="","",ROUND((L21-K21)*24*60,0))</f>
        <v>443</v>
      </c>
      <c r="O21" s="96" t="s">
        <v>76</v>
      </c>
      <c r="P21" s="426" t="s">
        <v>78</v>
      </c>
      <c r="Q21" s="97">
        <f aca="true" t="shared" si="3" ref="Q21:Q41">IF(I21="A",$M$14,IF(I21="B",$M$15,$M$16))</f>
        <v>10</v>
      </c>
      <c r="R21" s="98">
        <f aca="true" t="shared" si="4" ref="R21:R40">IF(O21="P",ROUND(N21/60,2)*J21*Q21*0.01,"--")</f>
        <v>258.80471295373167</v>
      </c>
      <c r="S21" s="99" t="str">
        <f aca="true" t="shared" si="5" ref="S21:S41">IF(O21="RP",ROUND(N21/60,2)*J21*Q21*0.01*P21/100,"--")</f>
        <v>--</v>
      </c>
      <c r="T21" s="100" t="str">
        <f aca="true" t="shared" si="6" ref="T21:T41">IF(O21="F",J21*Q21,"--")</f>
        <v>--</v>
      </c>
      <c r="U21" s="100" t="str">
        <f aca="true" t="shared" si="7" ref="U21:U41">IF(AND(N21&gt;10,O21="F"),J21*Q21*IF(N21&gt;180,3,ROUND((N21)/60,2)),"--")</f>
        <v>--</v>
      </c>
      <c r="V21" s="101" t="str">
        <f aca="true" t="shared" si="8" ref="V21:V41">IF(AND(O21="F",N21&gt;180),(ROUND(N21/60,2)-3)*J21*Q21*0.1,"--")</f>
        <v>--</v>
      </c>
      <c r="W21" s="102" t="str">
        <f aca="true" t="shared" si="9" ref="W21:W41">IF(O21="R",J21*Q21*P21/100,"--")</f>
        <v>--</v>
      </c>
      <c r="X21" s="102" t="str">
        <f aca="true" t="shared" si="10" ref="X21:X41">IF(AND(N21&gt;10,O21="R"),Q21*J21*P21/100*IF(N21&gt;180,3,ROUND((N21)/60,2)),"--")</f>
        <v>--</v>
      </c>
      <c r="Y21" s="103" t="str">
        <f aca="true" t="shared" si="11" ref="Y21:Y41">IF(AND(O21="R",N21&gt;180),(ROUND(N21/60,2)-3)*J21*Q21*0.1*P21/100,"--")</f>
        <v>--</v>
      </c>
      <c r="Z21" s="104" t="str">
        <f aca="true" t="shared" si="12" ref="Z21:Z41">IF(O21="RF",ROUND(N21/60,2)*J21*Q21*0.1,"--")</f>
        <v>--</v>
      </c>
      <c r="AA21" s="105" t="str">
        <f aca="true" t="shared" si="13" ref="AA21:AA41">IF(O21="RR",ROUND(N21/60,2)*J21*Q21*0.1*P21/100,"--")</f>
        <v>--</v>
      </c>
      <c r="AB21" s="423" t="s">
        <v>77</v>
      </c>
      <c r="AC21" s="106">
        <f aca="true" t="shared" si="14" ref="AC21:AC41">IF(F21="","",SUM(R21:AA21)*IF(AB21="SI",1,2))</f>
        <v>258.80471295373167</v>
      </c>
      <c r="AD21" s="107"/>
    </row>
    <row r="22" spans="2:30" s="1" customFormat="1" ht="16.5" customHeight="1">
      <c r="B22" s="13"/>
      <c r="C22" s="79">
        <v>66</v>
      </c>
      <c r="D22" s="79">
        <v>288021</v>
      </c>
      <c r="E22" s="79">
        <v>1454</v>
      </c>
      <c r="F22" s="77" t="s">
        <v>110</v>
      </c>
      <c r="G22" s="77">
        <v>132</v>
      </c>
      <c r="H22" s="90">
        <v>6.300000190734863</v>
      </c>
      <c r="I22" s="91" t="s">
        <v>75</v>
      </c>
      <c r="J22" s="92">
        <f t="shared" si="0"/>
        <v>80.138</v>
      </c>
      <c r="K22" s="428">
        <v>42122.41527777778</v>
      </c>
      <c r="L22" s="428">
        <v>42122.65069444444</v>
      </c>
      <c r="M22" s="94">
        <f t="shared" si="1"/>
        <v>5.649999999906868</v>
      </c>
      <c r="N22" s="95">
        <f t="shared" si="2"/>
        <v>339</v>
      </c>
      <c r="O22" s="96" t="s">
        <v>76</v>
      </c>
      <c r="P22" s="426" t="s">
        <v>78</v>
      </c>
      <c r="Q22" s="97">
        <f t="shared" si="3"/>
        <v>10</v>
      </c>
      <c r="R22" s="98">
        <f t="shared" si="4"/>
        <v>45.27797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3" t="s">
        <v>77</v>
      </c>
      <c r="AC22" s="106">
        <f t="shared" si="14"/>
        <v>45.27797</v>
      </c>
      <c r="AD22" s="107"/>
    </row>
    <row r="23" spans="2:30" s="1" customFormat="1" ht="16.5" customHeight="1">
      <c r="B23" s="13"/>
      <c r="C23" s="79">
        <v>67</v>
      </c>
      <c r="D23" s="79">
        <v>288022</v>
      </c>
      <c r="E23" s="79">
        <v>3482</v>
      </c>
      <c r="F23" s="77" t="s">
        <v>111</v>
      </c>
      <c r="G23" s="77">
        <v>132</v>
      </c>
      <c r="H23" s="90">
        <v>29.799999237060547</v>
      </c>
      <c r="I23" s="91" t="s">
        <v>75</v>
      </c>
      <c r="J23" s="92">
        <f t="shared" si="0"/>
        <v>95.52449355438233</v>
      </c>
      <c r="K23" s="428">
        <v>42122.42847222222</v>
      </c>
      <c r="L23" s="428">
        <v>42122.64027777778</v>
      </c>
      <c r="M23" s="94">
        <f t="shared" si="1"/>
        <v>5.083333333313931</v>
      </c>
      <c r="N23" s="95">
        <f t="shared" si="2"/>
        <v>305</v>
      </c>
      <c r="O23" s="96" t="s">
        <v>76</v>
      </c>
      <c r="P23" s="426" t="s">
        <v>78</v>
      </c>
      <c r="Q23" s="97">
        <f t="shared" si="3"/>
        <v>10</v>
      </c>
      <c r="R23" s="98">
        <f t="shared" si="4"/>
        <v>48.526442725626225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3" t="s">
        <v>77</v>
      </c>
      <c r="AC23" s="106">
        <f t="shared" si="14"/>
        <v>48.526442725626225</v>
      </c>
      <c r="AD23" s="107"/>
    </row>
    <row r="24" spans="2:30" s="1" customFormat="1" ht="16.5" customHeight="1">
      <c r="B24" s="13"/>
      <c r="C24" s="79">
        <v>68</v>
      </c>
      <c r="D24" s="79">
        <v>288023</v>
      </c>
      <c r="E24" s="79">
        <v>2714</v>
      </c>
      <c r="F24" s="77" t="s">
        <v>112</v>
      </c>
      <c r="G24" s="77">
        <v>132</v>
      </c>
      <c r="H24" s="90">
        <v>35</v>
      </c>
      <c r="I24" s="91" t="s">
        <v>75</v>
      </c>
      <c r="J24" s="92">
        <f t="shared" si="0"/>
        <v>112.19320000000002</v>
      </c>
      <c r="K24" s="428">
        <v>42122.4375</v>
      </c>
      <c r="L24" s="428">
        <v>42122.66388888889</v>
      </c>
      <c r="M24" s="94">
        <f t="shared" si="1"/>
        <v>5.433333333407063</v>
      </c>
      <c r="N24" s="95">
        <f t="shared" si="2"/>
        <v>326</v>
      </c>
      <c r="O24" s="96" t="s">
        <v>76</v>
      </c>
      <c r="P24" s="426" t="s">
        <v>78</v>
      </c>
      <c r="Q24" s="97">
        <f t="shared" si="3"/>
        <v>10</v>
      </c>
      <c r="R24" s="98">
        <f t="shared" si="4"/>
        <v>60.920907600000014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3" t="s">
        <v>77</v>
      </c>
      <c r="AC24" s="106">
        <f t="shared" si="14"/>
        <v>60.920907600000014</v>
      </c>
      <c r="AD24" s="107"/>
    </row>
    <row r="25" spans="2:30" s="1" customFormat="1" ht="16.5" customHeight="1">
      <c r="B25" s="13"/>
      <c r="C25" s="79">
        <v>69</v>
      </c>
      <c r="D25" s="79">
        <v>288025</v>
      </c>
      <c r="E25" s="79">
        <v>1531</v>
      </c>
      <c r="F25" s="77" t="s">
        <v>109</v>
      </c>
      <c r="G25" s="77">
        <v>132</v>
      </c>
      <c r="H25" s="90">
        <v>102.08999633789062</v>
      </c>
      <c r="I25" s="91" t="s">
        <v>75</v>
      </c>
      <c r="J25" s="92">
        <f t="shared" si="0"/>
        <v>327.2515250610352</v>
      </c>
      <c r="K25" s="428">
        <v>42123.368055555555</v>
      </c>
      <c r="L25" s="428">
        <v>42123.61944444444</v>
      </c>
      <c r="M25" s="94">
        <f t="shared" si="1"/>
        <v>6.033333333267365</v>
      </c>
      <c r="N25" s="95">
        <f t="shared" si="2"/>
        <v>362</v>
      </c>
      <c r="O25" s="96" t="s">
        <v>76</v>
      </c>
      <c r="P25" s="426" t="s">
        <v>78</v>
      </c>
      <c r="Q25" s="97">
        <f t="shared" si="3"/>
        <v>10</v>
      </c>
      <c r="R25" s="98">
        <f t="shared" si="4"/>
        <v>197.33266961180425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3" t="s">
        <v>77</v>
      </c>
      <c r="AC25" s="106">
        <f t="shared" si="14"/>
        <v>197.33266961180425</v>
      </c>
      <c r="AD25" s="107"/>
    </row>
    <row r="26" spans="2:30" s="1" customFormat="1" ht="16.5" customHeight="1">
      <c r="B26" s="13"/>
      <c r="C26" s="79">
        <v>70</v>
      </c>
      <c r="D26" s="79">
        <v>288028</v>
      </c>
      <c r="E26" s="79">
        <v>1440</v>
      </c>
      <c r="F26" s="77" t="s">
        <v>209</v>
      </c>
      <c r="G26" s="77">
        <v>132</v>
      </c>
      <c r="H26" s="90">
        <v>55</v>
      </c>
      <c r="I26" s="91" t="s">
        <v>75</v>
      </c>
      <c r="J26" s="92">
        <f t="shared" si="0"/>
        <v>176.30360000000002</v>
      </c>
      <c r="K26" s="428">
        <v>42123.402083333334</v>
      </c>
      <c r="L26" s="428">
        <v>42123.57916666667</v>
      </c>
      <c r="M26" s="94">
        <f t="shared" si="1"/>
        <v>4.250000000058208</v>
      </c>
      <c r="N26" s="95">
        <f t="shared" si="2"/>
        <v>255</v>
      </c>
      <c r="O26" s="96" t="s">
        <v>76</v>
      </c>
      <c r="P26" s="426" t="s">
        <v>78</v>
      </c>
      <c r="Q26" s="97">
        <f t="shared" si="3"/>
        <v>10</v>
      </c>
      <c r="R26" s="98">
        <f t="shared" si="4"/>
        <v>74.92903000000001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3" t="s">
        <v>77</v>
      </c>
      <c r="AC26" s="106">
        <f t="shared" si="14"/>
        <v>74.92903000000001</v>
      </c>
      <c r="AD26" s="107"/>
    </row>
    <row r="27" spans="2:30" s="1" customFormat="1" ht="16.5" customHeight="1">
      <c r="B27" s="13"/>
      <c r="C27" s="79">
        <v>71</v>
      </c>
      <c r="D27" s="79">
        <v>288030</v>
      </c>
      <c r="E27" s="79">
        <v>3482</v>
      </c>
      <c r="F27" s="77" t="s">
        <v>111</v>
      </c>
      <c r="G27" s="77">
        <v>132</v>
      </c>
      <c r="H27" s="90">
        <v>29.799999237060547</v>
      </c>
      <c r="I27" s="91" t="s">
        <v>75</v>
      </c>
      <c r="J27" s="92">
        <f t="shared" si="0"/>
        <v>95.52449355438233</v>
      </c>
      <c r="K27" s="428">
        <v>42123.427777777775</v>
      </c>
      <c r="L27" s="428">
        <v>42123.635416666664</v>
      </c>
      <c r="M27" s="94">
        <f t="shared" si="1"/>
        <v>4.983333333337214</v>
      </c>
      <c r="N27" s="95">
        <f t="shared" si="2"/>
        <v>299</v>
      </c>
      <c r="O27" s="93" t="s">
        <v>76</v>
      </c>
      <c r="P27" s="426" t="s">
        <v>78</v>
      </c>
      <c r="Q27" s="97">
        <f t="shared" si="3"/>
        <v>10</v>
      </c>
      <c r="R27" s="98">
        <f t="shared" si="4"/>
        <v>47.57119779008241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3" t="s">
        <v>77</v>
      </c>
      <c r="AC27" s="106">
        <f t="shared" si="14"/>
        <v>47.57119779008241</v>
      </c>
      <c r="AD27" s="107"/>
    </row>
    <row r="28" spans="2:30" s="1" customFormat="1" ht="16.5" customHeight="1">
      <c r="B28" s="13"/>
      <c r="C28" s="79">
        <v>72</v>
      </c>
      <c r="D28" s="79">
        <v>288032</v>
      </c>
      <c r="E28" s="79">
        <v>3797</v>
      </c>
      <c r="F28" s="77" t="s">
        <v>113</v>
      </c>
      <c r="G28" s="77">
        <v>66</v>
      </c>
      <c r="H28" s="90">
        <v>49.79999923706055</v>
      </c>
      <c r="I28" s="91" t="s">
        <v>75</v>
      </c>
      <c r="J28" s="92">
        <f t="shared" si="0"/>
        <v>159.63489355438233</v>
      </c>
      <c r="K28" s="428">
        <v>42123.629166666666</v>
      </c>
      <c r="L28" s="428">
        <v>42123.84861111111</v>
      </c>
      <c r="M28" s="94">
        <f t="shared" si="1"/>
        <v>5.266666666720994</v>
      </c>
      <c r="N28" s="95">
        <f t="shared" si="2"/>
        <v>316</v>
      </c>
      <c r="O28" s="93" t="s">
        <v>85</v>
      </c>
      <c r="P28" s="426" t="s">
        <v>78</v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>
        <f t="shared" si="6"/>
        <v>1596.3489355438232</v>
      </c>
      <c r="U28" s="100">
        <f t="shared" si="7"/>
        <v>4789.04680663147</v>
      </c>
      <c r="V28" s="101">
        <f t="shared" si="8"/>
        <v>362.3712083684478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3" t="s">
        <v>77</v>
      </c>
      <c r="AC28" s="106">
        <f t="shared" si="14"/>
        <v>6747.766950543741</v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80.138</v>
      </c>
      <c r="K29" s="428"/>
      <c r="L29" s="428"/>
      <c r="M29" s="94">
        <f t="shared" si="1"/>
      </c>
      <c r="N29" s="95">
        <f t="shared" si="2"/>
      </c>
      <c r="O29" s="93"/>
      <c r="P29" s="422">
        <f aca="true" t="shared" si="15" ref="P29:P41">IF(F29="","","--")</f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3">
        <f aca="true" t="shared" si="16" ref="AB29:AB41">IF(F29="","","SI")</f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80.138</v>
      </c>
      <c r="K30" s="428"/>
      <c r="L30" s="428"/>
      <c r="M30" s="94">
        <f t="shared" si="1"/>
      </c>
      <c r="N30" s="95">
        <f t="shared" si="2"/>
      </c>
      <c r="O30" s="93"/>
      <c r="P30" s="422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3">
        <f t="shared" si="16"/>
      </c>
      <c r="AC30" s="106">
        <f t="shared" si="14"/>
      </c>
      <c r="AD30" s="107"/>
    </row>
    <row r="31" spans="2:30" s="1" customFormat="1" ht="16.5" customHeight="1">
      <c r="B31" s="13"/>
      <c r="C31" s="79"/>
      <c r="D31" s="79"/>
      <c r="E31" s="79"/>
      <c r="F31" s="77"/>
      <c r="G31" s="77"/>
      <c r="H31" s="90"/>
      <c r="I31" s="91"/>
      <c r="J31" s="92">
        <f t="shared" si="0"/>
        <v>80.138</v>
      </c>
      <c r="K31" s="428"/>
      <c r="L31" s="428"/>
      <c r="M31" s="94">
        <f t="shared" si="1"/>
      </c>
      <c r="N31" s="95">
        <f t="shared" si="2"/>
      </c>
      <c r="O31" s="93"/>
      <c r="P31" s="422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3">
        <f t="shared" si="16"/>
      </c>
      <c r="AC31" s="106">
        <f t="shared" si="14"/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80.138</v>
      </c>
      <c r="K32" s="428"/>
      <c r="L32" s="428"/>
      <c r="M32" s="94">
        <f t="shared" si="1"/>
      </c>
      <c r="N32" s="95">
        <f t="shared" si="2"/>
      </c>
      <c r="O32" s="93"/>
      <c r="P32" s="422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3">
        <f t="shared" si="16"/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80.138</v>
      </c>
      <c r="K33" s="428"/>
      <c r="L33" s="428"/>
      <c r="M33" s="94">
        <f t="shared" si="1"/>
      </c>
      <c r="N33" s="95">
        <f t="shared" si="2"/>
      </c>
      <c r="O33" s="93"/>
      <c r="P33" s="422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3">
        <f t="shared" si="16"/>
      </c>
      <c r="AC33" s="106">
        <f t="shared" si="14"/>
      </c>
      <c r="AD33" s="107"/>
    </row>
    <row r="34" spans="2:30" s="1" customFormat="1" ht="16.5" customHeight="1">
      <c r="B34" s="13"/>
      <c r="C34" s="79"/>
      <c r="D34" s="79"/>
      <c r="E34" s="79"/>
      <c r="F34" s="77"/>
      <c r="G34" s="77"/>
      <c r="H34" s="90"/>
      <c r="I34" s="91"/>
      <c r="J34" s="92">
        <f t="shared" si="0"/>
        <v>80.138</v>
      </c>
      <c r="K34" s="428"/>
      <c r="L34" s="428"/>
      <c r="M34" s="94">
        <f t="shared" si="1"/>
      </c>
      <c r="N34" s="95">
        <f t="shared" si="2"/>
      </c>
      <c r="O34" s="93"/>
      <c r="P34" s="422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3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80.138</v>
      </c>
      <c r="K35" s="428"/>
      <c r="L35" s="428"/>
      <c r="M35" s="94">
        <f t="shared" si="1"/>
      </c>
      <c r="N35" s="95">
        <f t="shared" si="2"/>
      </c>
      <c r="O35" s="93"/>
      <c r="P35" s="422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3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80.138</v>
      </c>
      <c r="K36" s="428"/>
      <c r="L36" s="428"/>
      <c r="M36" s="94">
        <f t="shared" si="1"/>
      </c>
      <c r="N36" s="95">
        <f t="shared" si="2"/>
      </c>
      <c r="O36" s="93"/>
      <c r="P36" s="422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3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80.138</v>
      </c>
      <c r="K37" s="428"/>
      <c r="L37" s="428"/>
      <c r="M37" s="94">
        <f t="shared" si="1"/>
      </c>
      <c r="N37" s="95">
        <f t="shared" si="2"/>
      </c>
      <c r="O37" s="93"/>
      <c r="P37" s="422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3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80.138</v>
      </c>
      <c r="K38" s="428"/>
      <c r="L38" s="428"/>
      <c r="M38" s="94">
        <f t="shared" si="1"/>
      </c>
      <c r="N38" s="95">
        <f t="shared" si="2"/>
      </c>
      <c r="O38" s="93"/>
      <c r="P38" s="422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3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80.138</v>
      </c>
      <c r="K39" s="428"/>
      <c r="L39" s="428"/>
      <c r="M39" s="94">
        <f t="shared" si="1"/>
      </c>
      <c r="N39" s="95">
        <f t="shared" si="2"/>
      </c>
      <c r="O39" s="93"/>
      <c r="P39" s="422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3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80.138</v>
      </c>
      <c r="K40" s="428"/>
      <c r="L40" s="428"/>
      <c r="M40" s="94">
        <f t="shared" si="1"/>
      </c>
      <c r="N40" s="95">
        <f t="shared" si="2"/>
      </c>
      <c r="O40" s="93"/>
      <c r="P40" s="422">
        <f t="shared" si="15"/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3">
        <f t="shared" si="16"/>
      </c>
      <c r="AC40" s="106">
        <f t="shared" si="14"/>
      </c>
      <c r="AD40" s="107"/>
    </row>
    <row r="41" spans="2:30" s="1" customFormat="1" ht="16.5" customHeight="1">
      <c r="B41" s="108"/>
      <c r="C41" s="79"/>
      <c r="D41" s="79"/>
      <c r="E41" s="79"/>
      <c r="F41" s="77"/>
      <c r="G41" s="77"/>
      <c r="H41" s="90"/>
      <c r="I41" s="91"/>
      <c r="J41" s="92">
        <f t="shared" si="0"/>
        <v>80.138</v>
      </c>
      <c r="K41" s="428"/>
      <c r="L41" s="428"/>
      <c r="M41" s="94">
        <f t="shared" si="1"/>
      </c>
      <c r="N41" s="95">
        <f t="shared" si="2"/>
      </c>
      <c r="O41" s="93"/>
      <c r="P41" s="422">
        <f t="shared" si="15"/>
      </c>
      <c r="Q41" s="97">
        <f t="shared" si="3"/>
        <v>10</v>
      </c>
      <c r="R41" s="98" t="str">
        <f>IF(O41="P",ROUND(N41/60,2)*J41*Q41*0.01,"--")</f>
        <v>--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3">
        <f t="shared" si="16"/>
      </c>
      <c r="AC41" s="106">
        <f t="shared" si="14"/>
      </c>
      <c r="AD41" s="107"/>
    </row>
    <row r="42" spans="2:30" s="1" customFormat="1" ht="16.5" customHeight="1" thickBot="1">
      <c r="B42" s="13"/>
      <c r="C42" s="109"/>
      <c r="D42" s="109"/>
      <c r="E42" s="109"/>
      <c r="F42" s="333"/>
      <c r="G42" s="334"/>
      <c r="H42" s="335"/>
      <c r="I42" s="335"/>
      <c r="J42" s="111"/>
      <c r="K42" s="404"/>
      <c r="L42" s="404"/>
      <c r="M42" s="110"/>
      <c r="N42" s="110"/>
      <c r="O42" s="335"/>
      <c r="P42" s="336"/>
      <c r="Q42" s="337"/>
      <c r="R42" s="338"/>
      <c r="S42" s="339"/>
      <c r="T42" s="340"/>
      <c r="U42" s="341"/>
      <c r="V42" s="341"/>
      <c r="W42" s="342"/>
      <c r="X42" s="342"/>
      <c r="Y42" s="342"/>
      <c r="Z42" s="343"/>
      <c r="AA42" s="344"/>
      <c r="AB42" s="345"/>
      <c r="AC42" s="112"/>
      <c r="AD42" s="107"/>
    </row>
    <row r="43" spans="2:30" s="1" customFormat="1" ht="16.5" customHeight="1" thickBot="1" thickTop="1">
      <c r="B43" s="13"/>
      <c r="C43" s="113" t="s">
        <v>55</v>
      </c>
      <c r="D43" s="449" t="s">
        <v>210</v>
      </c>
      <c r="E43" s="129"/>
      <c r="F43" s="114"/>
      <c r="G43" s="115"/>
      <c r="H43" s="116"/>
      <c r="I43" s="116"/>
      <c r="J43" s="117"/>
      <c r="K43" s="117"/>
      <c r="L43" s="117"/>
      <c r="M43" s="117"/>
      <c r="N43" s="117"/>
      <c r="O43" s="117"/>
      <c r="P43" s="118"/>
      <c r="Q43" s="118"/>
      <c r="R43" s="119">
        <f aca="true" t="shared" si="17" ref="R43:AA43">SUM(R19:R42)</f>
        <v>733.3629306812445</v>
      </c>
      <c r="S43" s="120">
        <f t="shared" si="17"/>
        <v>0</v>
      </c>
      <c r="T43" s="121">
        <f t="shared" si="17"/>
        <v>1596.3489355438232</v>
      </c>
      <c r="U43" s="121">
        <f t="shared" si="17"/>
        <v>4789.04680663147</v>
      </c>
      <c r="V43" s="121">
        <f t="shared" si="17"/>
        <v>362.3712083684478</v>
      </c>
      <c r="W43" s="122">
        <f t="shared" si="17"/>
        <v>0</v>
      </c>
      <c r="X43" s="122">
        <f t="shared" si="17"/>
        <v>0</v>
      </c>
      <c r="Y43" s="122">
        <f t="shared" si="17"/>
        <v>0</v>
      </c>
      <c r="Z43" s="123">
        <f t="shared" si="17"/>
        <v>0</v>
      </c>
      <c r="AA43" s="124">
        <f t="shared" si="17"/>
        <v>0</v>
      </c>
      <c r="AB43" s="125"/>
      <c r="AC43" s="413">
        <f>ROUND(SUM(AC19:AC42),2)</f>
        <v>205381.94</v>
      </c>
      <c r="AD43" s="126"/>
    </row>
    <row r="44" spans="2:30" s="127" customFormat="1" ht="9.75" thickTop="1">
      <c r="B44" s="128"/>
      <c r="C44" s="129"/>
      <c r="D44" s="129"/>
      <c r="E44" s="129"/>
      <c r="F44" s="130"/>
      <c r="G44" s="131"/>
      <c r="H44" s="132"/>
      <c r="I44" s="132"/>
      <c r="J44" s="133"/>
      <c r="K44" s="133"/>
      <c r="L44" s="133"/>
      <c r="M44" s="133"/>
      <c r="N44" s="133"/>
      <c r="O44" s="133"/>
      <c r="P44" s="134"/>
      <c r="Q44" s="134"/>
      <c r="R44" s="135"/>
      <c r="S44" s="135"/>
      <c r="T44" s="136"/>
      <c r="U44" s="136"/>
      <c r="V44" s="137"/>
      <c r="W44" s="137"/>
      <c r="X44" s="137"/>
      <c r="Y44" s="137"/>
      <c r="Z44" s="137"/>
      <c r="AA44" s="137"/>
      <c r="AB44" s="137"/>
      <c r="AC44" s="138"/>
      <c r="AD44" s="139"/>
    </row>
    <row r="45" spans="2:30" s="1" customFormat="1" ht="16.5" customHeight="1" thickBot="1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2"/>
    </row>
    <row r="46" spans="2:30" ht="13.5" thickTop="1">
      <c r="B46" s="143"/>
      <c r="AD46" s="143"/>
    </row>
    <row r="91" ht="12.75">
      <c r="B91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B13">
      <selection activeCell="O26" sqref="O26"/>
    </sheetView>
  </sheetViews>
  <sheetFormatPr defaultColWidth="11.421875" defaultRowHeight="12.75"/>
  <cols>
    <col min="1" max="1" width="18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1" width="16.28125" style="5" customWidth="1"/>
    <col min="12" max="12" width="16.4218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2" width="10.57421875" style="5" hidden="1" customWidth="1"/>
    <col min="23" max="23" width="9.28125" style="5" hidden="1" customWidth="1"/>
    <col min="24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'TOT-0415'!B2</f>
        <v>ANEXO V al Memorándum D.T.E.E. N° 814   / 2015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'TOT-0415'!B14</f>
        <v>Desde el 01 al 30 de abril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1.118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60*'TOT-0415'!B13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9">
        <v>3</v>
      </c>
      <c r="D18" s="419">
        <v>4</v>
      </c>
      <c r="E18" s="419">
        <v>5</v>
      </c>
      <c r="F18" s="419">
        <v>6</v>
      </c>
      <c r="G18" s="419">
        <v>7</v>
      </c>
      <c r="H18" s="419">
        <v>8</v>
      </c>
      <c r="I18" s="419">
        <v>9</v>
      </c>
      <c r="J18" s="419">
        <v>10</v>
      </c>
      <c r="K18" s="419">
        <v>11</v>
      </c>
      <c r="L18" s="419">
        <v>12</v>
      </c>
      <c r="M18" s="419">
        <v>13</v>
      </c>
      <c r="N18" s="419">
        <v>14</v>
      </c>
      <c r="O18" s="419">
        <v>15</v>
      </c>
      <c r="P18" s="419">
        <v>16</v>
      </c>
      <c r="Q18" s="419">
        <v>17</v>
      </c>
      <c r="R18" s="419">
        <v>18</v>
      </c>
      <c r="S18" s="419">
        <v>19</v>
      </c>
      <c r="T18" s="419">
        <v>20</v>
      </c>
      <c r="U18" s="419">
        <v>21</v>
      </c>
      <c r="V18" s="419">
        <v>22</v>
      </c>
      <c r="W18" s="419">
        <v>23</v>
      </c>
      <c r="X18" s="419">
        <v>24</v>
      </c>
      <c r="Y18" s="419">
        <v>25</v>
      </c>
      <c r="Z18" s="419">
        <v>26</v>
      </c>
      <c r="AA18" s="419">
        <v>27</v>
      </c>
      <c r="AB18" s="419">
        <v>28</v>
      </c>
      <c r="AC18" s="419">
        <v>29</v>
      </c>
      <c r="AD18" s="159"/>
    </row>
    <row r="19" spans="2:30" s="179" customFormat="1" ht="34.5" customHeight="1" thickBot="1" thickTop="1">
      <c r="B19" s="180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2"/>
      <c r="L20" s="403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8"/>
      <c r="L21" s="429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73</v>
      </c>
      <c r="D22" s="209">
        <v>287024</v>
      </c>
      <c r="E22" s="209">
        <v>2536</v>
      </c>
      <c r="F22" s="77" t="s">
        <v>114</v>
      </c>
      <c r="G22" s="79" t="s">
        <v>115</v>
      </c>
      <c r="H22" s="222">
        <v>15</v>
      </c>
      <c r="I22" s="90" t="s">
        <v>116</v>
      </c>
      <c r="J22" s="224">
        <f aca="true" t="shared" si="0" ref="J22:J41">H22*$I$16</f>
        <v>16.770000000000003</v>
      </c>
      <c r="K22" s="428">
        <v>42095.36111111111</v>
      </c>
      <c r="L22" s="428">
        <v>42095.67569444444</v>
      </c>
      <c r="M22" s="225">
        <f aca="true" t="shared" si="1" ref="M22:M41">IF(F22="","",(L22-K22)*24)</f>
        <v>7.5499999999883585</v>
      </c>
      <c r="N22" s="226">
        <f aca="true" t="shared" si="2" ref="N22:N41">IF(F22="","",ROUND((L22-K22)*24*60,0))</f>
        <v>453</v>
      </c>
      <c r="O22" s="227" t="s">
        <v>76</v>
      </c>
      <c r="P22" s="420" t="str">
        <f aca="true" t="shared" si="3" ref="P22:P41">IF(F22="","",IF(OR(O22="P",O22="RP"),"--","NO"))</f>
        <v>--</v>
      </c>
      <c r="Q22" s="420" t="s">
        <v>78</v>
      </c>
      <c r="R22" s="420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9">
        <f aca="true" t="shared" si="6" ref="T22:T41">IF(O22="P",J22*S22*ROUND(N22/60,2),"--")</f>
        <v>75.96810000000002</v>
      </c>
      <c r="U22" s="230" t="str">
        <f aca="true" t="shared" si="7" ref="U22:U41">IF(O22="RP",J22*S22*ROUND(N22/60,2)*Q22/100,"--")</f>
        <v>--</v>
      </c>
      <c r="V22" s="231" t="str">
        <f aca="true" t="shared" si="8" ref="V22:V41">IF(AND(O22="F",P22="NO"),J22*S22,"--")</f>
        <v>--</v>
      </c>
      <c r="W22" s="232" t="str">
        <f aca="true" t="shared" si="9" ref="W22:W41">IF(O22="F",J22*S22*ROUND(N22/60,2),"--")</f>
        <v>--</v>
      </c>
      <c r="X22" s="233" t="str">
        <f aca="true" t="shared" si="10" ref="X22:X41">IF(AND(O22="R",P22="NO"),J22*S22*Q22/100,"--")</f>
        <v>--</v>
      </c>
      <c r="Y22" s="234" t="str">
        <f aca="true" t="shared" si="11" ref="Y22:Y41">IF(O22="R",J22*S22*ROUND(N22/60,2)*Q22/100,"--")</f>
        <v>--</v>
      </c>
      <c r="Z22" s="235" t="str">
        <f aca="true" t="shared" si="12" ref="Z22:Z41">IF(O22="RF",J22*S22*ROUND(N22/60,2),"--")</f>
        <v>--</v>
      </c>
      <c r="AA22" s="236" t="str">
        <f aca="true" t="shared" si="13" ref="AA22:AA41">IF(O22="RR",J22*S22*ROUND(N22/60,2)*Q22/100,"--")</f>
        <v>--</v>
      </c>
      <c r="AB22" s="420" t="s">
        <v>77</v>
      </c>
      <c r="AC22" s="237">
        <f aca="true" t="shared" si="14" ref="AC22:AC41">IF(F22="","",SUM(T22:AA22)*IF(AB22="SI",1,2)*IF(AND(Q22&lt;&gt;"0,000",O22="RF"),Q22/100,1))</f>
        <v>75.96810000000002</v>
      </c>
      <c r="AD22" s="238"/>
    </row>
    <row r="23" spans="2:30" s="1" customFormat="1" ht="16.5" customHeight="1">
      <c r="B23" s="158"/>
      <c r="C23" s="209">
        <v>74</v>
      </c>
      <c r="D23" s="209">
        <v>287029</v>
      </c>
      <c r="E23" s="209">
        <v>2247</v>
      </c>
      <c r="F23" s="77" t="s">
        <v>117</v>
      </c>
      <c r="G23" s="79" t="s">
        <v>118</v>
      </c>
      <c r="H23" s="222">
        <v>15</v>
      </c>
      <c r="I23" s="90" t="s">
        <v>116</v>
      </c>
      <c r="J23" s="224">
        <f t="shared" si="0"/>
        <v>16.770000000000003</v>
      </c>
      <c r="K23" s="428">
        <v>42095.40347222222</v>
      </c>
      <c r="L23" s="428">
        <v>42095.615277777775</v>
      </c>
      <c r="M23" s="225">
        <f t="shared" si="1"/>
        <v>5.083333333313931</v>
      </c>
      <c r="N23" s="226">
        <f t="shared" si="2"/>
        <v>305</v>
      </c>
      <c r="O23" s="227" t="s">
        <v>76</v>
      </c>
      <c r="P23" s="420" t="str">
        <f t="shared" si="3"/>
        <v>--</v>
      </c>
      <c r="Q23" s="420" t="s">
        <v>78</v>
      </c>
      <c r="R23" s="420" t="str">
        <f t="shared" si="4"/>
        <v>NO</v>
      </c>
      <c r="S23" s="105">
        <f t="shared" si="5"/>
        <v>0.6000000000000001</v>
      </c>
      <c r="T23" s="229">
        <f t="shared" si="6"/>
        <v>51.11496000000002</v>
      </c>
      <c r="U23" s="230" t="str">
        <f t="shared" si="7"/>
        <v>--</v>
      </c>
      <c r="V23" s="231" t="str">
        <f t="shared" si="8"/>
        <v>--</v>
      </c>
      <c r="W23" s="232" t="str">
        <f t="shared" si="9"/>
        <v>--</v>
      </c>
      <c r="X23" s="233" t="str">
        <f t="shared" si="10"/>
        <v>--</v>
      </c>
      <c r="Y23" s="234" t="str">
        <f t="shared" si="11"/>
        <v>--</v>
      </c>
      <c r="Z23" s="235" t="str">
        <f t="shared" si="12"/>
        <v>--</v>
      </c>
      <c r="AA23" s="236" t="str">
        <f t="shared" si="13"/>
        <v>--</v>
      </c>
      <c r="AB23" s="420" t="s">
        <v>77</v>
      </c>
      <c r="AC23" s="237">
        <f t="shared" si="14"/>
        <v>51.11496000000002</v>
      </c>
      <c r="AD23" s="159"/>
    </row>
    <row r="24" spans="2:30" s="1" customFormat="1" ht="16.5" customHeight="1">
      <c r="B24" s="158"/>
      <c r="C24" s="209">
        <v>75</v>
      </c>
      <c r="D24" s="209">
        <v>287030</v>
      </c>
      <c r="E24" s="209">
        <v>2465</v>
      </c>
      <c r="F24" s="77" t="s">
        <v>119</v>
      </c>
      <c r="G24" s="79" t="s">
        <v>115</v>
      </c>
      <c r="H24" s="222">
        <v>20</v>
      </c>
      <c r="I24" s="90" t="s">
        <v>116</v>
      </c>
      <c r="J24" s="224">
        <f t="shared" si="0"/>
        <v>22.360000000000003</v>
      </c>
      <c r="K24" s="428">
        <v>42096.28958333333</v>
      </c>
      <c r="L24" s="428">
        <v>42096.29583333333</v>
      </c>
      <c r="M24" s="225">
        <f t="shared" si="1"/>
        <v>0.1499999999650754</v>
      </c>
      <c r="N24" s="226">
        <f t="shared" si="2"/>
        <v>9</v>
      </c>
      <c r="O24" s="227" t="s">
        <v>85</v>
      </c>
      <c r="P24" s="420" t="str">
        <f t="shared" si="3"/>
        <v>NO</v>
      </c>
      <c r="Q24" s="420" t="s">
        <v>78</v>
      </c>
      <c r="R24" s="420" t="s">
        <v>77</v>
      </c>
      <c r="S24" s="105">
        <f t="shared" si="5"/>
        <v>60</v>
      </c>
      <c r="T24" s="229" t="str">
        <f t="shared" si="6"/>
        <v>--</v>
      </c>
      <c r="U24" s="230" t="str">
        <f t="shared" si="7"/>
        <v>--</v>
      </c>
      <c r="V24" s="231">
        <f t="shared" si="8"/>
        <v>1341.6000000000001</v>
      </c>
      <c r="W24" s="232">
        <f t="shared" si="9"/>
        <v>201.24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20" t="s">
        <v>77</v>
      </c>
      <c r="AC24" s="237">
        <f t="shared" si="14"/>
        <v>1542.8400000000001</v>
      </c>
      <c r="AD24" s="159"/>
    </row>
    <row r="25" spans="2:30" s="1" customFormat="1" ht="16.5" customHeight="1">
      <c r="B25" s="158"/>
      <c r="C25" s="209">
        <v>76</v>
      </c>
      <c r="D25" s="209" t="s">
        <v>211</v>
      </c>
      <c r="E25" s="209">
        <v>2645</v>
      </c>
      <c r="F25" s="77" t="s">
        <v>119</v>
      </c>
      <c r="G25" s="79" t="s">
        <v>115</v>
      </c>
      <c r="H25" s="222">
        <v>20</v>
      </c>
      <c r="I25" s="90" t="s">
        <v>116</v>
      </c>
      <c r="J25" s="224">
        <f t="shared" si="0"/>
        <v>22.360000000000003</v>
      </c>
      <c r="K25" s="428">
        <v>42096.29583333333</v>
      </c>
      <c r="L25" s="428">
        <v>42096.35</v>
      </c>
      <c r="M25" s="225">
        <f t="shared" si="1"/>
        <v>1.3000000000465661</v>
      </c>
      <c r="N25" s="226">
        <f>IF(F25="","",ROUND((L25-K25)*24*60,0))</f>
        <v>78</v>
      </c>
      <c r="O25" s="227" t="s">
        <v>224</v>
      </c>
      <c r="P25" s="420" t="str">
        <f t="shared" si="3"/>
        <v>NO</v>
      </c>
      <c r="Q25" s="420" t="s">
        <v>78</v>
      </c>
      <c r="R25" s="420" t="s">
        <v>213</v>
      </c>
      <c r="S25" s="105">
        <f>$I$17*IF(OR(O25="P",O25="RP"),0.1,1)*IF(R25="SI",1,0.1)</f>
        <v>6</v>
      </c>
      <c r="T25" s="229" t="str">
        <f>IF(O25="P",J25*S25*ROUND(N25/60,2),"--")</f>
        <v>--</v>
      </c>
      <c r="U25" s="230" t="str">
        <f>IF(O25="RP",J25*S25*ROUND(N25/60,2)*Q25/100,"--")</f>
        <v>--</v>
      </c>
      <c r="V25" s="231" t="str">
        <f>IF(AND(O25="F",P25="NO"),J25*S25,"--")</f>
        <v>--</v>
      </c>
      <c r="W25" s="232" t="str">
        <f>IF(O25="F",J25*S25*ROUND(N25/60,2),"--")</f>
        <v>--</v>
      </c>
      <c r="X25" s="233" t="str">
        <f>IF(AND(O25="R",P25="NO"),J25*S25*Q25/100,"--")</f>
        <v>--</v>
      </c>
      <c r="Y25" s="234" t="str">
        <f>IF(O25="R",J25*S25*ROUND(N25/60,2)*Q25/100,"--")</f>
        <v>--</v>
      </c>
      <c r="Z25" s="235">
        <f>IF(O25="RF",J25*S25*ROUND(N25/60,2),"--")</f>
        <v>174.40800000000004</v>
      </c>
      <c r="AA25" s="236" t="str">
        <f>IF(O25="RR",J25*S25*ROUND(N25/60,2)*Q25/100,"--")</f>
        <v>--</v>
      </c>
      <c r="AB25" s="420" t="s">
        <v>77</v>
      </c>
      <c r="AC25" s="237">
        <f>IF(F25="","",SUM(T25:AA25)*IF(AB25="SI",1,2)*IF(AND(Q25&lt;&gt;"0,000",O25="RF"),Q25/100,1))</f>
        <v>174.40800000000004</v>
      </c>
      <c r="AD25" s="159"/>
    </row>
    <row r="26" spans="2:30" s="1" customFormat="1" ht="16.5" customHeight="1">
      <c r="B26" s="158"/>
      <c r="C26" s="209">
        <v>77</v>
      </c>
      <c r="D26" s="209">
        <v>287033</v>
      </c>
      <c r="E26" s="209">
        <v>2147</v>
      </c>
      <c r="F26" s="77" t="s">
        <v>120</v>
      </c>
      <c r="G26" s="79" t="s">
        <v>118</v>
      </c>
      <c r="H26" s="222">
        <v>10</v>
      </c>
      <c r="I26" s="90" t="s">
        <v>121</v>
      </c>
      <c r="J26" s="224">
        <f t="shared" si="0"/>
        <v>11.180000000000001</v>
      </c>
      <c r="K26" s="428">
        <v>42097.34652777778</v>
      </c>
      <c r="L26" s="428">
        <v>42097.71527777778</v>
      </c>
      <c r="M26" s="225">
        <f t="shared" si="1"/>
        <v>8.850000000034925</v>
      </c>
      <c r="N26" s="226">
        <f t="shared" si="2"/>
        <v>531</v>
      </c>
      <c r="O26" s="227" t="s">
        <v>76</v>
      </c>
      <c r="P26" s="420" t="str">
        <f t="shared" si="3"/>
        <v>--</v>
      </c>
      <c r="Q26" s="420" t="s">
        <v>78</v>
      </c>
      <c r="R26" s="420" t="str">
        <f t="shared" si="4"/>
        <v>NO</v>
      </c>
      <c r="S26" s="105">
        <f t="shared" si="5"/>
        <v>0.6000000000000001</v>
      </c>
      <c r="T26" s="229">
        <f t="shared" si="6"/>
        <v>59.365800000000014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 t="str">
        <f t="shared" si="10"/>
        <v>--</v>
      </c>
      <c r="Y26" s="234" t="str">
        <f t="shared" si="11"/>
        <v>--</v>
      </c>
      <c r="Z26" s="235" t="str">
        <f t="shared" si="12"/>
        <v>--</v>
      </c>
      <c r="AA26" s="236" t="str">
        <f t="shared" si="13"/>
        <v>--</v>
      </c>
      <c r="AB26" s="420" t="s">
        <v>77</v>
      </c>
      <c r="AC26" s="237">
        <f t="shared" si="14"/>
        <v>59.365800000000014</v>
      </c>
      <c r="AD26" s="159"/>
    </row>
    <row r="27" spans="2:30" s="1" customFormat="1" ht="16.5" customHeight="1">
      <c r="B27" s="158"/>
      <c r="C27" s="209">
        <v>78</v>
      </c>
      <c r="D27" s="209">
        <v>287352</v>
      </c>
      <c r="E27" s="209">
        <v>5015</v>
      </c>
      <c r="F27" s="77" t="s">
        <v>122</v>
      </c>
      <c r="G27" s="79" t="s">
        <v>123</v>
      </c>
      <c r="H27" s="222">
        <v>40</v>
      </c>
      <c r="I27" s="450" t="s">
        <v>116</v>
      </c>
      <c r="J27" s="224">
        <f t="shared" si="0"/>
        <v>44.720000000000006</v>
      </c>
      <c r="K27" s="428">
        <v>42100.395833333336</v>
      </c>
      <c r="L27" s="428">
        <v>42100.61736111111</v>
      </c>
      <c r="M27" s="225">
        <f t="shared" si="1"/>
        <v>5.316666666534729</v>
      </c>
      <c r="N27" s="226">
        <f t="shared" si="2"/>
        <v>319</v>
      </c>
      <c r="O27" s="227" t="s">
        <v>76</v>
      </c>
      <c r="P27" s="420" t="str">
        <f t="shared" si="3"/>
        <v>--</v>
      </c>
      <c r="Q27" s="420" t="s">
        <v>78</v>
      </c>
      <c r="R27" s="420" t="str">
        <f t="shared" si="4"/>
        <v>NO</v>
      </c>
      <c r="S27" s="105">
        <f t="shared" si="5"/>
        <v>0.6000000000000001</v>
      </c>
      <c r="T27" s="229">
        <f t="shared" si="6"/>
        <v>142.74624000000006</v>
      </c>
      <c r="U27" s="230" t="str">
        <f t="shared" si="7"/>
        <v>--</v>
      </c>
      <c r="V27" s="231" t="str">
        <f t="shared" si="8"/>
        <v>--</v>
      </c>
      <c r="W27" s="232" t="str">
        <f t="shared" si="9"/>
        <v>--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20" t="s">
        <v>77</v>
      </c>
      <c r="AC27" s="237">
        <f t="shared" si="14"/>
        <v>142.74624000000006</v>
      </c>
      <c r="AD27" s="159"/>
    </row>
    <row r="28" spans="2:30" s="1" customFormat="1" ht="16.5" customHeight="1">
      <c r="B28" s="158"/>
      <c r="C28" s="209">
        <v>79</v>
      </c>
      <c r="D28" s="209">
        <v>287354</v>
      </c>
      <c r="E28" s="209">
        <v>2537</v>
      </c>
      <c r="F28" s="77" t="s">
        <v>114</v>
      </c>
      <c r="G28" s="79" t="s">
        <v>118</v>
      </c>
      <c r="H28" s="222">
        <v>15</v>
      </c>
      <c r="I28" s="90" t="s">
        <v>116</v>
      </c>
      <c r="J28" s="224">
        <f t="shared" si="0"/>
        <v>16.770000000000003</v>
      </c>
      <c r="K28" s="428">
        <v>42100.518055555556</v>
      </c>
      <c r="L28" s="428">
        <v>42100.739583333336</v>
      </c>
      <c r="M28" s="225">
        <f t="shared" si="1"/>
        <v>5.316666666709352</v>
      </c>
      <c r="N28" s="226">
        <f t="shared" si="2"/>
        <v>319</v>
      </c>
      <c r="O28" s="227" t="s">
        <v>76</v>
      </c>
      <c r="P28" s="420" t="str">
        <f t="shared" si="3"/>
        <v>--</v>
      </c>
      <c r="Q28" s="420" t="s">
        <v>78</v>
      </c>
      <c r="R28" s="420" t="str">
        <f t="shared" si="4"/>
        <v>NO</v>
      </c>
      <c r="S28" s="105">
        <f t="shared" si="5"/>
        <v>0.6000000000000001</v>
      </c>
      <c r="T28" s="229">
        <f t="shared" si="6"/>
        <v>53.52984000000002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 t="str">
        <f t="shared" si="10"/>
        <v>--</v>
      </c>
      <c r="Y28" s="234" t="str">
        <f t="shared" si="11"/>
        <v>--</v>
      </c>
      <c r="Z28" s="235" t="str">
        <f t="shared" si="12"/>
        <v>--</v>
      </c>
      <c r="AA28" s="236" t="str">
        <f t="shared" si="13"/>
        <v>--</v>
      </c>
      <c r="AB28" s="420" t="s">
        <v>77</v>
      </c>
      <c r="AC28" s="237">
        <f t="shared" si="14"/>
        <v>53.52984000000002</v>
      </c>
      <c r="AD28" s="159"/>
    </row>
    <row r="29" spans="2:30" s="1" customFormat="1" ht="16.5" customHeight="1">
      <c r="B29" s="158"/>
      <c r="C29" s="209">
        <v>80</v>
      </c>
      <c r="D29" s="209">
        <v>287361</v>
      </c>
      <c r="E29" s="209">
        <v>2055</v>
      </c>
      <c r="F29" s="77" t="s">
        <v>124</v>
      </c>
      <c r="G29" s="79" t="s">
        <v>115</v>
      </c>
      <c r="H29" s="222">
        <v>15</v>
      </c>
      <c r="I29" s="90" t="s">
        <v>116</v>
      </c>
      <c r="J29" s="224">
        <f t="shared" si="0"/>
        <v>16.770000000000003</v>
      </c>
      <c r="K29" s="428">
        <v>42101.376388888886</v>
      </c>
      <c r="L29" s="428">
        <v>42101.66736111111</v>
      </c>
      <c r="M29" s="225">
        <f t="shared" si="1"/>
        <v>6.9833333333954215</v>
      </c>
      <c r="N29" s="226">
        <f t="shared" si="2"/>
        <v>419</v>
      </c>
      <c r="O29" s="227" t="s">
        <v>76</v>
      </c>
      <c r="P29" s="420" t="str">
        <f t="shared" si="3"/>
        <v>--</v>
      </c>
      <c r="Q29" s="420" t="s">
        <v>78</v>
      </c>
      <c r="R29" s="420" t="str">
        <f t="shared" si="4"/>
        <v>NO</v>
      </c>
      <c r="S29" s="105">
        <f t="shared" si="5"/>
        <v>0.6000000000000001</v>
      </c>
      <c r="T29" s="229">
        <f t="shared" si="6"/>
        <v>70.23276000000003</v>
      </c>
      <c r="U29" s="230" t="str">
        <f t="shared" si="7"/>
        <v>--</v>
      </c>
      <c r="V29" s="231" t="str">
        <f t="shared" si="8"/>
        <v>--</v>
      </c>
      <c r="W29" s="232" t="str">
        <f t="shared" si="9"/>
        <v>--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20" t="s">
        <v>77</v>
      </c>
      <c r="AC29" s="237">
        <f t="shared" si="14"/>
        <v>70.23276000000003</v>
      </c>
      <c r="AD29" s="159"/>
    </row>
    <row r="30" spans="2:30" s="1" customFormat="1" ht="16.5" customHeight="1">
      <c r="B30" s="158"/>
      <c r="C30" s="209">
        <v>81</v>
      </c>
      <c r="D30" s="209">
        <v>287364</v>
      </c>
      <c r="E30" s="209">
        <v>5015</v>
      </c>
      <c r="F30" s="77" t="s">
        <v>122</v>
      </c>
      <c r="G30" s="79" t="s">
        <v>123</v>
      </c>
      <c r="H30" s="222">
        <v>40</v>
      </c>
      <c r="I30" s="450" t="s">
        <v>116</v>
      </c>
      <c r="J30" s="224">
        <f t="shared" si="0"/>
        <v>44.720000000000006</v>
      </c>
      <c r="K30" s="428">
        <v>42101.41111111111</v>
      </c>
      <c r="L30" s="428">
        <v>42101.55902777778</v>
      </c>
      <c r="M30" s="225">
        <f t="shared" si="1"/>
        <v>3.550000000046566</v>
      </c>
      <c r="N30" s="226">
        <f t="shared" si="2"/>
        <v>213</v>
      </c>
      <c r="O30" s="227" t="s">
        <v>76</v>
      </c>
      <c r="P30" s="420" t="str">
        <f t="shared" si="3"/>
        <v>--</v>
      </c>
      <c r="Q30" s="420" t="s">
        <v>78</v>
      </c>
      <c r="R30" s="420" t="str">
        <f t="shared" si="4"/>
        <v>NO</v>
      </c>
      <c r="S30" s="105">
        <f t="shared" si="5"/>
        <v>0.6000000000000001</v>
      </c>
      <c r="T30" s="229">
        <f t="shared" si="6"/>
        <v>95.25360000000002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20" t="s">
        <v>77</v>
      </c>
      <c r="AC30" s="237">
        <f t="shared" si="14"/>
        <v>95.25360000000002</v>
      </c>
      <c r="AD30" s="159"/>
    </row>
    <row r="31" spans="2:30" s="1" customFormat="1" ht="16.5" customHeight="1">
      <c r="B31" s="158"/>
      <c r="C31" s="209">
        <v>82</v>
      </c>
      <c r="D31" s="209">
        <v>287365</v>
      </c>
      <c r="E31" s="209">
        <v>4295</v>
      </c>
      <c r="F31" s="77" t="s">
        <v>125</v>
      </c>
      <c r="G31" s="79" t="s">
        <v>115</v>
      </c>
      <c r="H31" s="222">
        <v>30</v>
      </c>
      <c r="I31" s="90" t="s">
        <v>116</v>
      </c>
      <c r="J31" s="224">
        <f t="shared" si="0"/>
        <v>33.540000000000006</v>
      </c>
      <c r="K31" s="428">
        <v>42101.41458333333</v>
      </c>
      <c r="L31" s="428">
        <v>42101.64166666667</v>
      </c>
      <c r="M31" s="225">
        <f t="shared" si="1"/>
        <v>5.450000000128057</v>
      </c>
      <c r="N31" s="226">
        <f t="shared" si="2"/>
        <v>327</v>
      </c>
      <c r="O31" s="227" t="s">
        <v>76</v>
      </c>
      <c r="P31" s="420" t="str">
        <f t="shared" si="3"/>
        <v>--</v>
      </c>
      <c r="Q31" s="420" t="s">
        <v>78</v>
      </c>
      <c r="R31" s="420" t="str">
        <f t="shared" si="4"/>
        <v>NO</v>
      </c>
      <c r="S31" s="105">
        <f t="shared" si="5"/>
        <v>0.6000000000000001</v>
      </c>
      <c r="T31" s="229">
        <f t="shared" si="6"/>
        <v>109.67580000000004</v>
      </c>
      <c r="U31" s="230" t="str">
        <f t="shared" si="7"/>
        <v>--</v>
      </c>
      <c r="V31" s="231" t="str">
        <f t="shared" si="8"/>
        <v>--</v>
      </c>
      <c r="W31" s="232" t="str">
        <f t="shared" si="9"/>
        <v>--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20" t="s">
        <v>77</v>
      </c>
      <c r="AC31" s="237">
        <f t="shared" si="14"/>
        <v>109.67580000000004</v>
      </c>
      <c r="AD31" s="159"/>
    </row>
    <row r="32" spans="2:30" s="1" customFormat="1" ht="16.5" customHeight="1">
      <c r="B32" s="158"/>
      <c r="C32" s="209">
        <v>83</v>
      </c>
      <c r="D32" s="209">
        <v>287366</v>
      </c>
      <c r="E32" s="209">
        <v>2537</v>
      </c>
      <c r="F32" s="77" t="s">
        <v>114</v>
      </c>
      <c r="G32" s="79" t="s">
        <v>118</v>
      </c>
      <c r="H32" s="222">
        <v>15</v>
      </c>
      <c r="I32" s="90" t="s">
        <v>116</v>
      </c>
      <c r="J32" s="224">
        <f t="shared" si="0"/>
        <v>16.770000000000003</v>
      </c>
      <c r="K32" s="428">
        <v>42101.45</v>
      </c>
      <c r="L32" s="428">
        <v>42101.65</v>
      </c>
      <c r="M32" s="225">
        <f t="shared" si="1"/>
        <v>4.800000000104774</v>
      </c>
      <c r="N32" s="226">
        <f t="shared" si="2"/>
        <v>288</v>
      </c>
      <c r="O32" s="227" t="s">
        <v>76</v>
      </c>
      <c r="P32" s="420" t="str">
        <f t="shared" si="3"/>
        <v>--</v>
      </c>
      <c r="Q32" s="420" t="s">
        <v>78</v>
      </c>
      <c r="R32" s="420" t="str">
        <f t="shared" si="4"/>
        <v>NO</v>
      </c>
      <c r="S32" s="105">
        <f t="shared" si="5"/>
        <v>0.6000000000000001</v>
      </c>
      <c r="T32" s="229">
        <f t="shared" si="6"/>
        <v>48.29760000000001</v>
      </c>
      <c r="U32" s="230" t="str">
        <f t="shared" si="7"/>
        <v>--</v>
      </c>
      <c r="V32" s="231" t="str">
        <f t="shared" si="8"/>
        <v>--</v>
      </c>
      <c r="W32" s="232" t="str">
        <f t="shared" si="9"/>
        <v>--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20" t="s">
        <v>77</v>
      </c>
      <c r="AC32" s="237">
        <f t="shared" si="14"/>
        <v>48.29760000000001</v>
      </c>
      <c r="AD32" s="159"/>
    </row>
    <row r="33" spans="2:30" s="1" customFormat="1" ht="16.5" customHeight="1">
      <c r="B33" s="158"/>
      <c r="C33" s="209">
        <v>84</v>
      </c>
      <c r="D33" s="209">
        <v>287369</v>
      </c>
      <c r="E33" s="209">
        <v>4295</v>
      </c>
      <c r="F33" s="77" t="s">
        <v>125</v>
      </c>
      <c r="G33" s="79" t="s">
        <v>115</v>
      </c>
      <c r="H33" s="222">
        <v>30</v>
      </c>
      <c r="I33" s="90" t="s">
        <v>116</v>
      </c>
      <c r="J33" s="224">
        <f t="shared" si="0"/>
        <v>33.540000000000006</v>
      </c>
      <c r="K33" s="428">
        <v>42103.33819444444</v>
      </c>
      <c r="L33" s="428">
        <v>42103.48472222222</v>
      </c>
      <c r="M33" s="225">
        <f t="shared" si="1"/>
        <v>3.5166666667792015</v>
      </c>
      <c r="N33" s="226">
        <f t="shared" si="2"/>
        <v>211</v>
      </c>
      <c r="O33" s="227" t="s">
        <v>76</v>
      </c>
      <c r="P33" s="420" t="str">
        <f t="shared" si="3"/>
        <v>--</v>
      </c>
      <c r="Q33" s="420" t="s">
        <v>78</v>
      </c>
      <c r="R33" s="420" t="str">
        <f t="shared" si="4"/>
        <v>NO</v>
      </c>
      <c r="S33" s="105">
        <f t="shared" si="5"/>
        <v>0.6000000000000001</v>
      </c>
      <c r="T33" s="229">
        <f t="shared" si="6"/>
        <v>70.83648000000002</v>
      </c>
      <c r="U33" s="230" t="str">
        <f t="shared" si="7"/>
        <v>--</v>
      </c>
      <c r="V33" s="231" t="str">
        <f t="shared" si="8"/>
        <v>--</v>
      </c>
      <c r="W33" s="232" t="str">
        <f t="shared" si="9"/>
        <v>--</v>
      </c>
      <c r="X33" s="233" t="str">
        <f t="shared" si="10"/>
        <v>--</v>
      </c>
      <c r="Y33" s="234" t="str">
        <f t="shared" si="11"/>
        <v>--</v>
      </c>
      <c r="Z33" s="235" t="str">
        <f t="shared" si="12"/>
        <v>--</v>
      </c>
      <c r="AA33" s="236" t="str">
        <f t="shared" si="13"/>
        <v>--</v>
      </c>
      <c r="AB33" s="420" t="s">
        <v>77</v>
      </c>
      <c r="AC33" s="237">
        <f t="shared" si="14"/>
        <v>70.83648000000002</v>
      </c>
      <c r="AD33" s="159"/>
    </row>
    <row r="34" spans="2:30" s="1" customFormat="1" ht="16.5" customHeight="1">
      <c r="B34" s="158"/>
      <c r="C34" s="209">
        <v>85</v>
      </c>
      <c r="D34" s="209">
        <v>287374</v>
      </c>
      <c r="E34" s="209">
        <v>2663</v>
      </c>
      <c r="F34" s="77" t="s">
        <v>126</v>
      </c>
      <c r="G34" s="79" t="s">
        <v>127</v>
      </c>
      <c r="H34" s="222">
        <v>7.5</v>
      </c>
      <c r="I34" s="450" t="s">
        <v>121</v>
      </c>
      <c r="J34" s="224">
        <f t="shared" si="0"/>
        <v>8.385000000000002</v>
      </c>
      <c r="K34" s="428">
        <v>42103.4125</v>
      </c>
      <c r="L34" s="428">
        <v>42103.63263888889</v>
      </c>
      <c r="M34" s="225">
        <f t="shared" si="1"/>
        <v>5.283333333441988</v>
      </c>
      <c r="N34" s="226">
        <f t="shared" si="2"/>
        <v>317</v>
      </c>
      <c r="O34" s="227" t="s">
        <v>76</v>
      </c>
      <c r="P34" s="420" t="str">
        <f t="shared" si="3"/>
        <v>--</v>
      </c>
      <c r="Q34" s="420" t="s">
        <v>78</v>
      </c>
      <c r="R34" s="420" t="str">
        <f t="shared" si="4"/>
        <v>NO</v>
      </c>
      <c r="S34" s="105">
        <f t="shared" si="5"/>
        <v>0.6000000000000001</v>
      </c>
      <c r="T34" s="229">
        <f t="shared" si="6"/>
        <v>26.56368000000001</v>
      </c>
      <c r="U34" s="230" t="str">
        <f t="shared" si="7"/>
        <v>--</v>
      </c>
      <c r="V34" s="231" t="str">
        <f t="shared" si="8"/>
        <v>--</v>
      </c>
      <c r="W34" s="232" t="str">
        <f t="shared" si="9"/>
        <v>--</v>
      </c>
      <c r="X34" s="233" t="str">
        <f t="shared" si="10"/>
        <v>--</v>
      </c>
      <c r="Y34" s="234" t="str">
        <f t="shared" si="11"/>
        <v>--</v>
      </c>
      <c r="Z34" s="235" t="str">
        <f t="shared" si="12"/>
        <v>--</v>
      </c>
      <c r="AA34" s="236" t="str">
        <f t="shared" si="13"/>
        <v>--</v>
      </c>
      <c r="AB34" s="420" t="s">
        <v>77</v>
      </c>
      <c r="AC34" s="237">
        <f t="shared" si="14"/>
        <v>26.56368000000001</v>
      </c>
      <c r="AD34" s="159"/>
    </row>
    <row r="35" spans="2:30" s="1" customFormat="1" ht="16.5" customHeight="1">
      <c r="B35" s="158"/>
      <c r="C35" s="209">
        <v>86</v>
      </c>
      <c r="D35" s="209">
        <v>287375</v>
      </c>
      <c r="E35" s="209">
        <v>2483</v>
      </c>
      <c r="F35" s="77" t="s">
        <v>128</v>
      </c>
      <c r="G35" s="79" t="s">
        <v>129</v>
      </c>
      <c r="H35" s="222">
        <v>10</v>
      </c>
      <c r="I35" s="90" t="s">
        <v>116</v>
      </c>
      <c r="J35" s="224">
        <f t="shared" si="0"/>
        <v>11.180000000000001</v>
      </c>
      <c r="K35" s="428">
        <v>42103.44930555556</v>
      </c>
      <c r="L35" s="428">
        <v>42103.714583333334</v>
      </c>
      <c r="M35" s="225">
        <f t="shared" si="1"/>
        <v>6.366666666639503</v>
      </c>
      <c r="N35" s="226">
        <f t="shared" si="2"/>
        <v>382</v>
      </c>
      <c r="O35" s="227" t="s">
        <v>76</v>
      </c>
      <c r="P35" s="420" t="str">
        <f t="shared" si="3"/>
        <v>--</v>
      </c>
      <c r="Q35" s="420" t="s">
        <v>78</v>
      </c>
      <c r="R35" s="420" t="str">
        <f t="shared" si="4"/>
        <v>NO</v>
      </c>
      <c r="S35" s="105">
        <f t="shared" si="5"/>
        <v>0.6000000000000001</v>
      </c>
      <c r="T35" s="229">
        <f t="shared" si="6"/>
        <v>42.72996000000001</v>
      </c>
      <c r="U35" s="230" t="str">
        <f t="shared" si="7"/>
        <v>--</v>
      </c>
      <c r="V35" s="231" t="str">
        <f t="shared" si="8"/>
        <v>--</v>
      </c>
      <c r="W35" s="232" t="str">
        <f t="shared" si="9"/>
        <v>--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20" t="s">
        <v>77</v>
      </c>
      <c r="AC35" s="237">
        <f t="shared" si="14"/>
        <v>42.72996000000001</v>
      </c>
      <c r="AD35" s="159"/>
    </row>
    <row r="36" spans="2:30" s="1" customFormat="1" ht="16.5" customHeight="1">
      <c r="B36" s="158"/>
      <c r="C36" s="209">
        <v>87</v>
      </c>
      <c r="D36" s="209">
        <v>287376</v>
      </c>
      <c r="E36" s="209">
        <v>2537</v>
      </c>
      <c r="F36" s="77" t="s">
        <v>114</v>
      </c>
      <c r="G36" s="79" t="s">
        <v>118</v>
      </c>
      <c r="H36" s="222">
        <v>15</v>
      </c>
      <c r="I36" s="90" t="s">
        <v>116</v>
      </c>
      <c r="J36" s="224">
        <f t="shared" si="0"/>
        <v>16.770000000000003</v>
      </c>
      <c r="K36" s="428">
        <v>42103.48125</v>
      </c>
      <c r="L36" s="428">
        <v>42103.725</v>
      </c>
      <c r="M36" s="225">
        <f t="shared" si="1"/>
        <v>5.850000000034925</v>
      </c>
      <c r="N36" s="226">
        <f t="shared" si="2"/>
        <v>351</v>
      </c>
      <c r="O36" s="227" t="s">
        <v>76</v>
      </c>
      <c r="P36" s="420" t="str">
        <f t="shared" si="3"/>
        <v>--</v>
      </c>
      <c r="Q36" s="420" t="s">
        <v>78</v>
      </c>
      <c r="R36" s="420" t="str">
        <f t="shared" si="4"/>
        <v>NO</v>
      </c>
      <c r="S36" s="105">
        <f t="shared" si="5"/>
        <v>0.6000000000000001</v>
      </c>
      <c r="T36" s="229">
        <f t="shared" si="6"/>
        <v>58.86270000000001</v>
      </c>
      <c r="U36" s="230" t="str">
        <f t="shared" si="7"/>
        <v>--</v>
      </c>
      <c r="V36" s="231" t="str">
        <f t="shared" si="8"/>
        <v>--</v>
      </c>
      <c r="W36" s="232" t="str">
        <f t="shared" si="9"/>
        <v>--</v>
      </c>
      <c r="X36" s="233" t="str">
        <f t="shared" si="10"/>
        <v>--</v>
      </c>
      <c r="Y36" s="234" t="str">
        <f t="shared" si="11"/>
        <v>--</v>
      </c>
      <c r="Z36" s="235" t="str">
        <f t="shared" si="12"/>
        <v>--</v>
      </c>
      <c r="AA36" s="236" t="str">
        <f t="shared" si="13"/>
        <v>--</v>
      </c>
      <c r="AB36" s="420" t="s">
        <v>77</v>
      </c>
      <c r="AC36" s="237">
        <f t="shared" si="14"/>
        <v>58.86270000000001</v>
      </c>
      <c r="AD36" s="159"/>
    </row>
    <row r="37" spans="2:30" s="1" customFormat="1" ht="16.5" customHeight="1">
      <c r="B37" s="158"/>
      <c r="C37" s="209">
        <v>88</v>
      </c>
      <c r="D37" s="209">
        <v>287377</v>
      </c>
      <c r="E37" s="209">
        <v>2465</v>
      </c>
      <c r="F37" s="77" t="s">
        <v>119</v>
      </c>
      <c r="G37" s="79" t="s">
        <v>115</v>
      </c>
      <c r="H37" s="222">
        <v>20</v>
      </c>
      <c r="I37" s="90" t="s">
        <v>116</v>
      </c>
      <c r="J37" s="224">
        <f t="shared" si="0"/>
        <v>22.360000000000003</v>
      </c>
      <c r="K37" s="428">
        <v>42103.52361111111</v>
      </c>
      <c r="L37" s="428">
        <v>42103.708333333336</v>
      </c>
      <c r="M37" s="225">
        <f t="shared" si="1"/>
        <v>4.433333333465271</v>
      </c>
      <c r="N37" s="226">
        <f t="shared" si="2"/>
        <v>266</v>
      </c>
      <c r="O37" s="227" t="s">
        <v>76</v>
      </c>
      <c r="P37" s="420" t="str">
        <f t="shared" si="3"/>
        <v>--</v>
      </c>
      <c r="Q37" s="420" t="s">
        <v>78</v>
      </c>
      <c r="R37" s="420" t="str">
        <f t="shared" si="4"/>
        <v>NO</v>
      </c>
      <c r="S37" s="105">
        <f t="shared" si="5"/>
        <v>0.6000000000000001</v>
      </c>
      <c r="T37" s="229">
        <f t="shared" si="6"/>
        <v>59.43288000000001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20" t="s">
        <v>77</v>
      </c>
      <c r="AC37" s="237">
        <f t="shared" si="14"/>
        <v>59.43288000000001</v>
      </c>
      <c r="AD37" s="159"/>
    </row>
    <row r="38" spans="2:30" s="1" customFormat="1" ht="16.5" customHeight="1">
      <c r="B38" s="158"/>
      <c r="C38" s="209">
        <v>89</v>
      </c>
      <c r="D38" s="209">
        <v>287384</v>
      </c>
      <c r="E38" s="209">
        <v>4295</v>
      </c>
      <c r="F38" s="77" t="s">
        <v>125</v>
      </c>
      <c r="G38" s="79" t="s">
        <v>115</v>
      </c>
      <c r="H38" s="222">
        <v>30</v>
      </c>
      <c r="I38" s="90" t="s">
        <v>116</v>
      </c>
      <c r="J38" s="224">
        <f t="shared" si="0"/>
        <v>33.540000000000006</v>
      </c>
      <c r="K38" s="428">
        <v>42104.34027777778</v>
      </c>
      <c r="L38" s="428">
        <v>42104.66736111111</v>
      </c>
      <c r="M38" s="225">
        <f t="shared" si="1"/>
        <v>7.849999999918509</v>
      </c>
      <c r="N38" s="226">
        <f t="shared" si="2"/>
        <v>471</v>
      </c>
      <c r="O38" s="227" t="s">
        <v>76</v>
      </c>
      <c r="P38" s="420" t="str">
        <f t="shared" si="3"/>
        <v>--</v>
      </c>
      <c r="Q38" s="420" t="s">
        <v>78</v>
      </c>
      <c r="R38" s="420" t="str">
        <f t="shared" si="4"/>
        <v>NO</v>
      </c>
      <c r="S38" s="105">
        <f t="shared" si="5"/>
        <v>0.6000000000000001</v>
      </c>
      <c r="T38" s="229">
        <f t="shared" si="6"/>
        <v>157.97340000000003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20" t="s">
        <v>77</v>
      </c>
      <c r="AC38" s="237">
        <f t="shared" si="14"/>
        <v>157.97340000000003</v>
      </c>
      <c r="AD38" s="159"/>
    </row>
    <row r="39" spans="2:30" s="1" customFormat="1" ht="16.5" customHeight="1">
      <c r="B39" s="158"/>
      <c r="C39" s="209">
        <v>90</v>
      </c>
      <c r="D39" s="209">
        <v>287386</v>
      </c>
      <c r="E39" s="209">
        <v>2537</v>
      </c>
      <c r="F39" s="77" t="s">
        <v>114</v>
      </c>
      <c r="G39" s="79" t="s">
        <v>118</v>
      </c>
      <c r="H39" s="222">
        <v>15</v>
      </c>
      <c r="I39" s="90" t="s">
        <v>116</v>
      </c>
      <c r="J39" s="224">
        <f t="shared" si="0"/>
        <v>16.770000000000003</v>
      </c>
      <c r="K39" s="428">
        <v>42104.356944444444</v>
      </c>
      <c r="L39" s="428">
        <v>42104.61736111111</v>
      </c>
      <c r="M39" s="225">
        <f t="shared" si="1"/>
        <v>6.249999999941792</v>
      </c>
      <c r="N39" s="226">
        <f t="shared" si="2"/>
        <v>375</v>
      </c>
      <c r="O39" s="227" t="s">
        <v>76</v>
      </c>
      <c r="P39" s="420" t="str">
        <f t="shared" si="3"/>
        <v>--</v>
      </c>
      <c r="Q39" s="420" t="s">
        <v>78</v>
      </c>
      <c r="R39" s="420" t="str">
        <f t="shared" si="4"/>
        <v>NO</v>
      </c>
      <c r="S39" s="105">
        <f t="shared" si="5"/>
        <v>0.6000000000000001</v>
      </c>
      <c r="T39" s="229">
        <f t="shared" si="6"/>
        <v>62.88750000000002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20" t="s">
        <v>77</v>
      </c>
      <c r="AC39" s="237">
        <f t="shared" si="14"/>
        <v>62.88750000000002</v>
      </c>
      <c r="AD39" s="159"/>
    </row>
    <row r="40" spans="2:30" s="1" customFormat="1" ht="16.5" customHeight="1">
      <c r="B40" s="158"/>
      <c r="C40" s="209">
        <v>91</v>
      </c>
      <c r="D40" s="209">
        <v>287392</v>
      </c>
      <c r="E40" s="209">
        <v>2483</v>
      </c>
      <c r="F40" s="77" t="s">
        <v>128</v>
      </c>
      <c r="G40" s="79" t="s">
        <v>129</v>
      </c>
      <c r="H40" s="222">
        <v>10</v>
      </c>
      <c r="I40" s="90" t="s">
        <v>116</v>
      </c>
      <c r="J40" s="224">
        <f t="shared" si="0"/>
        <v>11.180000000000001</v>
      </c>
      <c r="K40" s="428">
        <v>42104.46041666667</v>
      </c>
      <c r="L40" s="428">
        <v>42104.66875</v>
      </c>
      <c r="M40" s="225">
        <f t="shared" si="1"/>
        <v>4.999999999883585</v>
      </c>
      <c r="N40" s="226">
        <f t="shared" si="2"/>
        <v>300</v>
      </c>
      <c r="O40" s="227" t="s">
        <v>76</v>
      </c>
      <c r="P40" s="420" t="str">
        <f t="shared" si="3"/>
        <v>--</v>
      </c>
      <c r="Q40" s="420" t="s">
        <v>78</v>
      </c>
      <c r="R40" s="420" t="str">
        <f t="shared" si="4"/>
        <v>NO</v>
      </c>
      <c r="S40" s="105">
        <f t="shared" si="5"/>
        <v>0.6000000000000001</v>
      </c>
      <c r="T40" s="229">
        <f t="shared" si="6"/>
        <v>33.540000000000006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20" t="s">
        <v>77</v>
      </c>
      <c r="AC40" s="237">
        <f t="shared" si="14"/>
        <v>33.540000000000006</v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28"/>
      <c r="L41" s="428"/>
      <c r="M41" s="225">
        <f t="shared" si="1"/>
      </c>
      <c r="N41" s="226">
        <f t="shared" si="2"/>
      </c>
      <c r="O41" s="227"/>
      <c r="P41" s="420">
        <f t="shared" si="3"/>
      </c>
      <c r="Q41" s="421">
        <f>IF(F41="","","--")</f>
      </c>
      <c r="R41" s="420">
        <f t="shared" si="4"/>
      </c>
      <c r="S41" s="105">
        <f t="shared" si="5"/>
        <v>6</v>
      </c>
      <c r="T41" s="229" t="str">
        <f t="shared" si="6"/>
        <v>--</v>
      </c>
      <c r="U41" s="230" t="str">
        <f t="shared" si="7"/>
        <v>--</v>
      </c>
      <c r="V41" s="231" t="str">
        <f t="shared" si="8"/>
        <v>--</v>
      </c>
      <c r="W41" s="232" t="str">
        <f t="shared" si="9"/>
        <v>--</v>
      </c>
      <c r="X41" s="233" t="str">
        <f t="shared" si="10"/>
        <v>--</v>
      </c>
      <c r="Y41" s="234" t="str">
        <f t="shared" si="11"/>
        <v>--</v>
      </c>
      <c r="Z41" s="235" t="str">
        <f t="shared" si="12"/>
        <v>--</v>
      </c>
      <c r="AA41" s="236" t="str">
        <f t="shared" si="13"/>
        <v>--</v>
      </c>
      <c r="AB41" s="420">
        <f>IF(F41="","","SI")</f>
      </c>
      <c r="AC41" s="237">
        <f t="shared" si="14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4"/>
      <c r="L42" s="404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49" t="s">
        <v>210</v>
      </c>
      <c r="E43" s="129"/>
      <c r="F43" s="114"/>
      <c r="G43" s="2"/>
      <c r="H43" s="2"/>
      <c r="I43" s="2"/>
      <c r="J43" s="2"/>
      <c r="K43" s="2"/>
      <c r="L43" s="2" t="s">
        <v>212</v>
      </c>
      <c r="M43" s="2"/>
      <c r="N43" s="2"/>
      <c r="O43" s="2"/>
      <c r="P43" s="2"/>
      <c r="Q43" s="2"/>
      <c r="R43" s="2"/>
      <c r="S43" s="2"/>
      <c r="T43" s="242">
        <f>SUM(T20:T42)</f>
        <v>1219.0113000000006</v>
      </c>
      <c r="U43" s="243">
        <f>SUM(U20:U42)</f>
        <v>0</v>
      </c>
      <c r="V43" s="244">
        <f>SUM(V20:V42)</f>
        <v>1341.6000000000001</v>
      </c>
      <c r="W43" s="245">
        <f>SUM(W22:W42)</f>
        <v>201.24</v>
      </c>
      <c r="X43" s="246">
        <f>SUM(X20:X42)</f>
        <v>0</v>
      </c>
      <c r="Y43" s="246">
        <f>SUM(Y22:Y42)</f>
        <v>0</v>
      </c>
      <c r="Z43" s="247">
        <f>SUM(Z20:Z42)</f>
        <v>174.40800000000004</v>
      </c>
      <c r="AA43" s="248">
        <f>SUM(AA22:AA42)</f>
        <v>0</v>
      </c>
      <c r="AB43" s="249"/>
      <c r="AC43" s="414">
        <f>ROUND(SUM(AC20:AC42),2)</f>
        <v>2936.26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6">
      <selection activeCell="C33" sqref="C33"/>
    </sheetView>
  </sheetViews>
  <sheetFormatPr defaultColWidth="11.421875" defaultRowHeight="12.75"/>
  <cols>
    <col min="1" max="1" width="18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2" width="16.4218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'TOT-0415'!B2</f>
        <v>ANEXO V al Memorándum D.T.E.E. N° 814   / 2015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'TOT-0415'!B14</f>
        <v>Desde el 01 al 30 de abril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1.118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60*'TOT-0415'!B13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9">
        <v>3</v>
      </c>
      <c r="D18" s="419">
        <v>4</v>
      </c>
      <c r="E18" s="419">
        <v>5</v>
      </c>
      <c r="F18" s="419">
        <v>6</v>
      </c>
      <c r="G18" s="419">
        <v>7</v>
      </c>
      <c r="H18" s="419">
        <v>8</v>
      </c>
      <c r="I18" s="419">
        <v>9</v>
      </c>
      <c r="J18" s="419">
        <v>10</v>
      </c>
      <c r="K18" s="419">
        <v>11</v>
      </c>
      <c r="L18" s="419">
        <v>12</v>
      </c>
      <c r="M18" s="419">
        <v>13</v>
      </c>
      <c r="N18" s="419">
        <v>14</v>
      </c>
      <c r="O18" s="419">
        <v>15</v>
      </c>
      <c r="P18" s="419">
        <v>16</v>
      </c>
      <c r="Q18" s="419">
        <v>17</v>
      </c>
      <c r="R18" s="419">
        <v>18</v>
      </c>
      <c r="S18" s="419">
        <v>19</v>
      </c>
      <c r="T18" s="419">
        <v>20</v>
      </c>
      <c r="U18" s="419">
        <v>21</v>
      </c>
      <c r="V18" s="419">
        <v>22</v>
      </c>
      <c r="W18" s="419">
        <v>23</v>
      </c>
      <c r="X18" s="419">
        <v>24</v>
      </c>
      <c r="Y18" s="419">
        <v>25</v>
      </c>
      <c r="Z18" s="419">
        <v>26</v>
      </c>
      <c r="AA18" s="419">
        <v>27</v>
      </c>
      <c r="AB18" s="419">
        <v>28</v>
      </c>
      <c r="AC18" s="419">
        <v>29</v>
      </c>
      <c r="AD18" s="159"/>
    </row>
    <row r="19" spans="2:30" s="179" customFormat="1" ht="34.5" customHeight="1" thickBot="1" thickTop="1">
      <c r="B19" s="180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2"/>
      <c r="L20" s="403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'T-04 (1)'!AC43</f>
        <v>2936.26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8"/>
      <c r="L21" s="429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92</v>
      </c>
      <c r="D22" s="209">
        <v>287395</v>
      </c>
      <c r="E22" s="209">
        <v>3085</v>
      </c>
      <c r="F22" s="77" t="s">
        <v>130</v>
      </c>
      <c r="G22" s="79" t="s">
        <v>131</v>
      </c>
      <c r="H22" s="222">
        <v>150</v>
      </c>
      <c r="I22" s="450" t="s">
        <v>214</v>
      </c>
      <c r="J22" s="224">
        <f aca="true" t="shared" si="0" ref="J22:J41">H22*$I$16</f>
        <v>167.70000000000002</v>
      </c>
      <c r="K22" s="428">
        <v>42106.294444444444</v>
      </c>
      <c r="L22" s="428">
        <v>42106.677777777775</v>
      </c>
      <c r="M22" s="225">
        <f aca="true" t="shared" si="1" ref="M22:M41">IF(F22="","",(L22-K22)*24)</f>
        <v>9.199999999953434</v>
      </c>
      <c r="N22" s="226">
        <f aca="true" t="shared" si="2" ref="N22:N41">IF(F22="","",ROUND((L22-K22)*24*60,0))</f>
        <v>552</v>
      </c>
      <c r="O22" s="227" t="s">
        <v>76</v>
      </c>
      <c r="P22" s="420" t="str">
        <f>IF(F22="","",IF(OR(O22="P",O22="RP"),"--","NO"))</f>
        <v>--</v>
      </c>
      <c r="Q22" s="420" t="s">
        <v>78</v>
      </c>
      <c r="R22" s="420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925.7040000000001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20" t="s">
        <v>77</v>
      </c>
      <c r="AC22" s="237">
        <f>IF(F22="","",SUM(T22:AA22)*IF(AB22="SI",1,2)*IF(AND(Q22&lt;&gt;"0,000",O22="RF"),Q22/100,1))</f>
        <v>925.7040000000001</v>
      </c>
      <c r="AD22" s="238"/>
    </row>
    <row r="23" spans="2:30" s="1" customFormat="1" ht="16.5" customHeight="1">
      <c r="B23" s="158"/>
      <c r="C23" s="209">
        <v>93</v>
      </c>
      <c r="D23" s="209">
        <v>287396</v>
      </c>
      <c r="E23" s="209">
        <v>4679</v>
      </c>
      <c r="F23" s="77" t="s">
        <v>132</v>
      </c>
      <c r="G23" s="79" t="s">
        <v>115</v>
      </c>
      <c r="H23" s="222">
        <v>30</v>
      </c>
      <c r="I23" s="90" t="s">
        <v>116</v>
      </c>
      <c r="J23" s="224">
        <f t="shared" si="0"/>
        <v>33.540000000000006</v>
      </c>
      <c r="K23" s="428">
        <v>42106.34305555555</v>
      </c>
      <c r="L23" s="428">
        <v>42106.705555555556</v>
      </c>
      <c r="M23" s="225">
        <f t="shared" si="1"/>
        <v>8.70000000006985</v>
      </c>
      <c r="N23" s="226">
        <f t="shared" si="2"/>
        <v>522</v>
      </c>
      <c r="O23" s="227" t="s">
        <v>76</v>
      </c>
      <c r="P23" s="420" t="str">
        <f aca="true" t="shared" si="13" ref="P23:P41">IF(F23="","",IF(OR(O23="P",O23="RP"),"--","NO"))</f>
        <v>--</v>
      </c>
      <c r="Q23" s="420" t="s">
        <v>78</v>
      </c>
      <c r="R23" s="420" t="str">
        <f t="shared" si="3"/>
        <v>NO</v>
      </c>
      <c r="S23" s="105">
        <f t="shared" si="4"/>
        <v>0.6000000000000001</v>
      </c>
      <c r="T23" s="229">
        <f t="shared" si="5"/>
        <v>175.07880000000003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0" t="s">
        <v>77</v>
      </c>
      <c r="AC23" s="237">
        <f aca="true" t="shared" si="14" ref="AC23:AC41">IF(F23="","",SUM(T23:AA23)*IF(AB23="SI",1,2)*IF(AND(Q23&lt;&gt;"0,000",O23="RF"),Q23/100,1))</f>
        <v>175.07880000000003</v>
      </c>
      <c r="AD23" s="238"/>
    </row>
    <row r="24" spans="2:30" s="1" customFormat="1" ht="16.5" customHeight="1">
      <c r="B24" s="158"/>
      <c r="C24" s="209">
        <v>94</v>
      </c>
      <c r="D24" s="209">
        <v>287397</v>
      </c>
      <c r="E24" s="209">
        <v>2309</v>
      </c>
      <c r="F24" s="77" t="s">
        <v>133</v>
      </c>
      <c r="G24" s="79" t="s">
        <v>134</v>
      </c>
      <c r="H24" s="222">
        <v>30</v>
      </c>
      <c r="I24" s="90" t="s">
        <v>116</v>
      </c>
      <c r="J24" s="224">
        <f t="shared" si="0"/>
        <v>33.540000000000006</v>
      </c>
      <c r="K24" s="428">
        <v>42106.34861111111</v>
      </c>
      <c r="L24" s="428">
        <v>42106.56041666667</v>
      </c>
      <c r="M24" s="225">
        <f t="shared" si="1"/>
        <v>5.083333333313931</v>
      </c>
      <c r="N24" s="226">
        <f t="shared" si="2"/>
        <v>305</v>
      </c>
      <c r="O24" s="227" t="s">
        <v>76</v>
      </c>
      <c r="P24" s="420" t="str">
        <f t="shared" si="13"/>
        <v>--</v>
      </c>
      <c r="Q24" s="420" t="s">
        <v>78</v>
      </c>
      <c r="R24" s="420" t="str">
        <f t="shared" si="3"/>
        <v>NO</v>
      </c>
      <c r="S24" s="105">
        <f t="shared" si="4"/>
        <v>0.6000000000000001</v>
      </c>
      <c r="T24" s="229">
        <f t="shared" si="5"/>
        <v>102.22992000000004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0" t="s">
        <v>77</v>
      </c>
      <c r="AC24" s="237">
        <f t="shared" si="14"/>
        <v>102.22992000000004</v>
      </c>
      <c r="AD24" s="159"/>
    </row>
    <row r="25" spans="2:30" s="1" customFormat="1" ht="16.5" customHeight="1">
      <c r="B25" s="158"/>
      <c r="C25" s="209">
        <v>95</v>
      </c>
      <c r="D25" s="209">
        <v>287615</v>
      </c>
      <c r="E25" s="209">
        <v>2665</v>
      </c>
      <c r="F25" s="77" t="s">
        <v>135</v>
      </c>
      <c r="G25" s="79" t="s">
        <v>136</v>
      </c>
      <c r="H25" s="222">
        <v>30</v>
      </c>
      <c r="I25" s="90" t="s">
        <v>116</v>
      </c>
      <c r="J25" s="224">
        <f t="shared" si="0"/>
        <v>33.540000000000006</v>
      </c>
      <c r="K25" s="428">
        <v>42108.37291666667</v>
      </c>
      <c r="L25" s="428">
        <v>42108.46041666667</v>
      </c>
      <c r="M25" s="225">
        <f t="shared" si="1"/>
        <v>2.1000000000349246</v>
      </c>
      <c r="N25" s="226">
        <f t="shared" si="2"/>
        <v>126</v>
      </c>
      <c r="O25" s="227" t="s">
        <v>137</v>
      </c>
      <c r="P25" s="420" t="str">
        <f t="shared" si="13"/>
        <v>--</v>
      </c>
      <c r="Q25" s="421">
        <v>40</v>
      </c>
      <c r="R25" s="420" t="str">
        <f t="shared" si="3"/>
        <v>NO</v>
      </c>
      <c r="S25" s="105">
        <f t="shared" si="4"/>
        <v>0.6000000000000001</v>
      </c>
      <c r="T25" s="229" t="str">
        <f t="shared" si="5"/>
        <v>--</v>
      </c>
      <c r="U25" s="230">
        <f t="shared" si="6"/>
        <v>16.904160000000005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0" t="s">
        <v>77</v>
      </c>
      <c r="AC25" s="237">
        <f t="shared" si="14"/>
        <v>16.904160000000005</v>
      </c>
      <c r="AD25" s="159"/>
    </row>
    <row r="26" spans="2:30" s="1" customFormat="1" ht="16.5" customHeight="1">
      <c r="B26" s="158"/>
      <c r="C26" s="209">
        <v>96</v>
      </c>
      <c r="D26" s="209">
        <v>287620</v>
      </c>
      <c r="E26" s="209">
        <v>2410</v>
      </c>
      <c r="F26" s="77" t="s">
        <v>138</v>
      </c>
      <c r="G26" s="79" t="s">
        <v>118</v>
      </c>
      <c r="H26" s="222">
        <v>15</v>
      </c>
      <c r="I26" s="90" t="s">
        <v>116</v>
      </c>
      <c r="J26" s="224">
        <f t="shared" si="0"/>
        <v>16.770000000000003</v>
      </c>
      <c r="K26" s="428">
        <v>42108.427777777775</v>
      </c>
      <c r="L26" s="428">
        <v>42108.50277777778</v>
      </c>
      <c r="M26" s="225">
        <f t="shared" si="1"/>
        <v>1.8000000001047738</v>
      </c>
      <c r="N26" s="226">
        <f t="shared" si="2"/>
        <v>108</v>
      </c>
      <c r="O26" s="227" t="s">
        <v>76</v>
      </c>
      <c r="P26" s="420" t="str">
        <f t="shared" si="13"/>
        <v>--</v>
      </c>
      <c r="Q26" s="420" t="s">
        <v>78</v>
      </c>
      <c r="R26" s="420" t="str">
        <f t="shared" si="3"/>
        <v>NO</v>
      </c>
      <c r="S26" s="105">
        <f t="shared" si="4"/>
        <v>0.6000000000000001</v>
      </c>
      <c r="T26" s="229">
        <f t="shared" si="5"/>
        <v>18.111600000000006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0" t="s">
        <v>77</v>
      </c>
      <c r="AC26" s="237">
        <f t="shared" si="14"/>
        <v>18.111600000000006</v>
      </c>
      <c r="AD26" s="159"/>
    </row>
    <row r="27" spans="2:30" s="1" customFormat="1" ht="16.5" customHeight="1">
      <c r="B27" s="158"/>
      <c r="C27" s="209">
        <v>97</v>
      </c>
      <c r="D27" s="209">
        <v>287622</v>
      </c>
      <c r="E27" s="209">
        <v>4087</v>
      </c>
      <c r="F27" s="77" t="s">
        <v>135</v>
      </c>
      <c r="G27" s="79" t="s">
        <v>139</v>
      </c>
      <c r="H27" s="222">
        <v>30</v>
      </c>
      <c r="I27" s="90" t="s">
        <v>116</v>
      </c>
      <c r="J27" s="224">
        <f t="shared" si="0"/>
        <v>33.540000000000006</v>
      </c>
      <c r="K27" s="428">
        <v>42108.46111111111</v>
      </c>
      <c r="L27" s="428">
        <v>42108.552777777775</v>
      </c>
      <c r="M27" s="225">
        <f t="shared" si="1"/>
        <v>2.2000000000116415</v>
      </c>
      <c r="N27" s="226">
        <f t="shared" si="2"/>
        <v>132</v>
      </c>
      <c r="O27" s="227" t="s">
        <v>137</v>
      </c>
      <c r="P27" s="420" t="str">
        <f t="shared" si="13"/>
        <v>--</v>
      </c>
      <c r="Q27" s="421">
        <v>40</v>
      </c>
      <c r="R27" s="420" t="str">
        <f t="shared" si="3"/>
        <v>NO</v>
      </c>
      <c r="S27" s="105">
        <f t="shared" si="4"/>
        <v>0.6000000000000001</v>
      </c>
      <c r="T27" s="229" t="str">
        <f t="shared" si="5"/>
        <v>--</v>
      </c>
      <c r="U27" s="230">
        <f t="shared" si="6"/>
        <v>17.709120000000006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0" t="s">
        <v>77</v>
      </c>
      <c r="AC27" s="237">
        <f t="shared" si="14"/>
        <v>17.709120000000006</v>
      </c>
      <c r="AD27" s="159"/>
    </row>
    <row r="28" spans="2:30" s="1" customFormat="1" ht="16.5" customHeight="1">
      <c r="B28" s="158"/>
      <c r="C28" s="209">
        <v>98</v>
      </c>
      <c r="D28" s="209">
        <v>287630</v>
      </c>
      <c r="E28" s="209">
        <v>2095</v>
      </c>
      <c r="F28" s="77" t="s">
        <v>140</v>
      </c>
      <c r="G28" s="79" t="s">
        <v>115</v>
      </c>
      <c r="H28" s="222">
        <v>44</v>
      </c>
      <c r="I28" s="90" t="s">
        <v>116</v>
      </c>
      <c r="J28" s="224">
        <f t="shared" si="0"/>
        <v>49.19200000000001</v>
      </c>
      <c r="K28" s="428">
        <v>42109.37569444445</v>
      </c>
      <c r="L28" s="428">
        <v>42109.61111111111</v>
      </c>
      <c r="M28" s="225">
        <f t="shared" si="1"/>
        <v>5.649999999906868</v>
      </c>
      <c r="N28" s="226">
        <f t="shared" si="2"/>
        <v>339</v>
      </c>
      <c r="O28" s="227" t="s">
        <v>76</v>
      </c>
      <c r="P28" s="420" t="str">
        <f t="shared" si="13"/>
        <v>--</v>
      </c>
      <c r="Q28" s="420" t="s">
        <v>78</v>
      </c>
      <c r="R28" s="420" t="str">
        <f t="shared" si="3"/>
        <v>NO</v>
      </c>
      <c r="S28" s="105">
        <f t="shared" si="4"/>
        <v>0.6000000000000001</v>
      </c>
      <c r="T28" s="229">
        <f t="shared" si="5"/>
        <v>166.76088000000004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0" t="s">
        <v>77</v>
      </c>
      <c r="AC28" s="237">
        <f t="shared" si="14"/>
        <v>166.76088000000004</v>
      </c>
      <c r="AD28" s="159"/>
    </row>
    <row r="29" spans="2:30" s="1" customFormat="1" ht="16.5" customHeight="1">
      <c r="B29" s="158"/>
      <c r="C29" s="209">
        <v>99</v>
      </c>
      <c r="D29" s="209">
        <v>287632</v>
      </c>
      <c r="E29" s="209">
        <v>5014</v>
      </c>
      <c r="F29" s="77" t="s">
        <v>122</v>
      </c>
      <c r="G29" s="79" t="s">
        <v>141</v>
      </c>
      <c r="H29" s="222">
        <v>40</v>
      </c>
      <c r="I29" s="450" t="s">
        <v>116</v>
      </c>
      <c r="J29" s="224">
        <f t="shared" si="0"/>
        <v>44.720000000000006</v>
      </c>
      <c r="K29" s="428">
        <v>42109.395833333336</v>
      </c>
      <c r="L29" s="428">
        <v>42109.60902777778</v>
      </c>
      <c r="M29" s="225">
        <f t="shared" si="1"/>
        <v>5.116666666581295</v>
      </c>
      <c r="N29" s="226">
        <f t="shared" si="2"/>
        <v>307</v>
      </c>
      <c r="O29" s="227" t="s">
        <v>76</v>
      </c>
      <c r="P29" s="420" t="str">
        <f t="shared" si="13"/>
        <v>--</v>
      </c>
      <c r="Q29" s="420" t="s">
        <v>78</v>
      </c>
      <c r="R29" s="420" t="str">
        <f t="shared" si="3"/>
        <v>NO</v>
      </c>
      <c r="S29" s="105">
        <f t="shared" si="4"/>
        <v>0.6000000000000001</v>
      </c>
      <c r="T29" s="229">
        <f t="shared" si="5"/>
        <v>137.37984000000003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0" t="s">
        <v>77</v>
      </c>
      <c r="AC29" s="237">
        <f t="shared" si="14"/>
        <v>137.37984000000003</v>
      </c>
      <c r="AD29" s="159"/>
    </row>
    <row r="30" spans="2:30" s="1" customFormat="1" ht="16.5" customHeight="1">
      <c r="B30" s="158"/>
      <c r="C30" s="209">
        <v>100</v>
      </c>
      <c r="D30" s="209">
        <v>287634</v>
      </c>
      <c r="E30" s="209">
        <v>2095</v>
      </c>
      <c r="F30" s="77" t="s">
        <v>140</v>
      </c>
      <c r="G30" s="79" t="s">
        <v>115</v>
      </c>
      <c r="H30" s="222">
        <v>44</v>
      </c>
      <c r="I30" s="90" t="s">
        <v>116</v>
      </c>
      <c r="J30" s="224">
        <f t="shared" si="0"/>
        <v>49.19200000000001</v>
      </c>
      <c r="K30" s="428">
        <v>42110.34444444445</v>
      </c>
      <c r="L30" s="428">
        <v>42110.60833333333</v>
      </c>
      <c r="M30" s="225">
        <f t="shared" si="1"/>
        <v>6.3333333331975155</v>
      </c>
      <c r="N30" s="226">
        <f t="shared" si="2"/>
        <v>380</v>
      </c>
      <c r="O30" s="227" t="s">
        <v>76</v>
      </c>
      <c r="P30" s="420" t="str">
        <f t="shared" si="13"/>
        <v>--</v>
      </c>
      <c r="Q30" s="420" t="s">
        <v>78</v>
      </c>
      <c r="R30" s="420" t="str">
        <f t="shared" si="3"/>
        <v>NO</v>
      </c>
      <c r="S30" s="105">
        <f t="shared" si="4"/>
        <v>0.6000000000000001</v>
      </c>
      <c r="T30" s="229">
        <f t="shared" si="5"/>
        <v>186.83121600000004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0" t="s">
        <v>77</v>
      </c>
      <c r="AC30" s="237">
        <f t="shared" si="14"/>
        <v>186.83121600000004</v>
      </c>
      <c r="AD30" s="159"/>
    </row>
    <row r="31" spans="2:30" s="1" customFormat="1" ht="16.5" customHeight="1">
      <c r="B31" s="158"/>
      <c r="C31" s="209">
        <v>101</v>
      </c>
      <c r="D31" s="209">
        <v>287639</v>
      </c>
      <c r="E31" s="209">
        <v>5014</v>
      </c>
      <c r="F31" s="77" t="s">
        <v>122</v>
      </c>
      <c r="G31" s="79" t="s">
        <v>141</v>
      </c>
      <c r="H31" s="222">
        <v>40</v>
      </c>
      <c r="I31" s="450" t="s">
        <v>116</v>
      </c>
      <c r="J31" s="224">
        <f t="shared" si="0"/>
        <v>44.720000000000006</v>
      </c>
      <c r="K31" s="428">
        <v>42110.40138888889</v>
      </c>
      <c r="L31" s="428">
        <v>42110.58194444444</v>
      </c>
      <c r="M31" s="225">
        <f t="shared" si="1"/>
        <v>4.333333333313931</v>
      </c>
      <c r="N31" s="226">
        <f t="shared" si="2"/>
        <v>260</v>
      </c>
      <c r="O31" s="227" t="s">
        <v>76</v>
      </c>
      <c r="P31" s="420" t="str">
        <f t="shared" si="13"/>
        <v>--</v>
      </c>
      <c r="Q31" s="420" t="s">
        <v>78</v>
      </c>
      <c r="R31" s="420" t="str">
        <f t="shared" si="3"/>
        <v>NO</v>
      </c>
      <c r="S31" s="105">
        <f t="shared" si="4"/>
        <v>0.6000000000000001</v>
      </c>
      <c r="T31" s="229">
        <f t="shared" si="5"/>
        <v>116.18256000000004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0" t="s">
        <v>77</v>
      </c>
      <c r="AC31" s="237">
        <f t="shared" si="14"/>
        <v>116.18256000000004</v>
      </c>
      <c r="AD31" s="159"/>
    </row>
    <row r="32" spans="2:30" s="1" customFormat="1" ht="16.5" customHeight="1">
      <c r="B32" s="158"/>
      <c r="C32" s="209" t="s">
        <v>228</v>
      </c>
      <c r="D32" s="209">
        <v>287640</v>
      </c>
      <c r="E32" s="209">
        <v>5015</v>
      </c>
      <c r="F32" s="77" t="s">
        <v>122</v>
      </c>
      <c r="G32" s="79" t="s">
        <v>123</v>
      </c>
      <c r="H32" s="222">
        <v>40</v>
      </c>
      <c r="I32" s="450" t="s">
        <v>116</v>
      </c>
      <c r="J32" s="224">
        <f t="shared" si="0"/>
        <v>44.720000000000006</v>
      </c>
      <c r="K32" s="428">
        <v>42110.96111111111</v>
      </c>
      <c r="L32" s="428">
        <v>42111.00277777778</v>
      </c>
      <c r="M32" s="225">
        <f t="shared" si="1"/>
        <v>1.0000000001164153</v>
      </c>
      <c r="N32" s="226">
        <f t="shared" si="2"/>
        <v>60</v>
      </c>
      <c r="O32" s="227" t="s">
        <v>142</v>
      </c>
      <c r="P32" s="420" t="str">
        <f t="shared" si="13"/>
        <v>NO</v>
      </c>
      <c r="Q32" s="421">
        <v>72.72</v>
      </c>
      <c r="R32" s="420" t="s">
        <v>77</v>
      </c>
      <c r="S32" s="105">
        <f t="shared" si="4"/>
        <v>60</v>
      </c>
      <c r="T32" s="229" t="str">
        <f t="shared" si="5"/>
        <v>--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>
        <f t="shared" si="9"/>
        <v>1951.22304</v>
      </c>
      <c r="Y32" s="234">
        <f t="shared" si="10"/>
        <v>1951.22304</v>
      </c>
      <c r="Z32" s="235" t="str">
        <f t="shared" si="11"/>
        <v>--</v>
      </c>
      <c r="AA32" s="236" t="str">
        <f t="shared" si="12"/>
        <v>--</v>
      </c>
      <c r="AB32" s="420" t="s">
        <v>77</v>
      </c>
      <c r="AC32" s="237">
        <v>0</v>
      </c>
      <c r="AD32" s="159"/>
    </row>
    <row r="33" spans="2:30" s="1" customFormat="1" ht="16.5" customHeight="1">
      <c r="B33" s="158"/>
      <c r="C33" s="209">
        <v>103</v>
      </c>
      <c r="D33" s="209">
        <v>287644</v>
      </c>
      <c r="E33" s="209">
        <v>2095</v>
      </c>
      <c r="F33" s="77" t="s">
        <v>140</v>
      </c>
      <c r="G33" s="79" t="s">
        <v>115</v>
      </c>
      <c r="H33" s="222">
        <v>44</v>
      </c>
      <c r="I33" s="90" t="s">
        <v>116</v>
      </c>
      <c r="J33" s="224">
        <f t="shared" si="0"/>
        <v>49.19200000000001</v>
      </c>
      <c r="K33" s="428">
        <v>42111.35486111111</v>
      </c>
      <c r="L33" s="428">
        <v>42111.611805555556</v>
      </c>
      <c r="M33" s="225">
        <f t="shared" si="1"/>
        <v>6.166666666686069</v>
      </c>
      <c r="N33" s="226">
        <f t="shared" si="2"/>
        <v>370</v>
      </c>
      <c r="O33" s="227" t="s">
        <v>76</v>
      </c>
      <c r="P33" s="420" t="str">
        <f t="shared" si="13"/>
        <v>--</v>
      </c>
      <c r="Q33" s="420" t="s">
        <v>78</v>
      </c>
      <c r="R33" s="420" t="str">
        <f t="shared" si="3"/>
        <v>NO</v>
      </c>
      <c r="S33" s="105">
        <f t="shared" si="4"/>
        <v>0.6000000000000001</v>
      </c>
      <c r="T33" s="229">
        <f t="shared" si="5"/>
        <v>182.10878400000004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0" t="s">
        <v>77</v>
      </c>
      <c r="AC33" s="237">
        <f t="shared" si="14"/>
        <v>182.10878400000004</v>
      </c>
      <c r="AD33" s="159"/>
    </row>
    <row r="34" spans="2:30" s="1" customFormat="1" ht="16.5" customHeight="1">
      <c r="B34" s="158"/>
      <c r="C34" s="209">
        <v>104</v>
      </c>
      <c r="D34" s="209">
        <v>287645</v>
      </c>
      <c r="E34" s="209">
        <v>4731</v>
      </c>
      <c r="F34" s="77" t="s">
        <v>143</v>
      </c>
      <c r="G34" s="79" t="s">
        <v>118</v>
      </c>
      <c r="H34" s="222">
        <v>2</v>
      </c>
      <c r="I34" s="90" t="s">
        <v>144</v>
      </c>
      <c r="J34" s="224">
        <f t="shared" si="0"/>
        <v>2.236</v>
      </c>
      <c r="K34" s="428">
        <v>42111.3625</v>
      </c>
      <c r="L34" s="428">
        <v>42111.475694444445</v>
      </c>
      <c r="M34" s="225">
        <f t="shared" si="1"/>
        <v>2.71666666661622</v>
      </c>
      <c r="N34" s="226">
        <f t="shared" si="2"/>
        <v>163</v>
      </c>
      <c r="O34" s="227" t="s">
        <v>76</v>
      </c>
      <c r="P34" s="420" t="str">
        <f t="shared" si="13"/>
        <v>--</v>
      </c>
      <c r="Q34" s="420" t="s">
        <v>78</v>
      </c>
      <c r="R34" s="420" t="str">
        <f t="shared" si="3"/>
        <v>NO</v>
      </c>
      <c r="S34" s="105">
        <f t="shared" si="4"/>
        <v>0.6000000000000001</v>
      </c>
      <c r="T34" s="229">
        <f t="shared" si="5"/>
        <v>3.6491520000000013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0" t="s">
        <v>77</v>
      </c>
      <c r="AC34" s="237">
        <f t="shared" si="14"/>
        <v>3.6491520000000013</v>
      </c>
      <c r="AD34" s="159"/>
    </row>
    <row r="35" spans="2:30" s="1" customFormat="1" ht="16.5" customHeight="1">
      <c r="B35" s="158"/>
      <c r="C35" s="209">
        <v>105</v>
      </c>
      <c r="D35" s="209">
        <v>287655</v>
      </c>
      <c r="E35" s="209">
        <v>5015</v>
      </c>
      <c r="F35" s="77" t="s">
        <v>122</v>
      </c>
      <c r="G35" s="79" t="s">
        <v>123</v>
      </c>
      <c r="H35" s="222">
        <v>40</v>
      </c>
      <c r="I35" s="90" t="s">
        <v>116</v>
      </c>
      <c r="J35" s="224">
        <f t="shared" si="0"/>
        <v>44.720000000000006</v>
      </c>
      <c r="K35" s="428">
        <v>42111.5125</v>
      </c>
      <c r="L35" s="428">
        <v>42111.59444444445</v>
      </c>
      <c r="M35" s="225">
        <f t="shared" si="1"/>
        <v>1.966666666790843</v>
      </c>
      <c r="N35" s="226">
        <f t="shared" si="2"/>
        <v>118</v>
      </c>
      <c r="O35" s="227" t="s">
        <v>137</v>
      </c>
      <c r="P35" s="420" t="str">
        <f t="shared" si="13"/>
        <v>--</v>
      </c>
      <c r="Q35" s="421">
        <v>72.72</v>
      </c>
      <c r="R35" s="420" t="str">
        <f t="shared" si="3"/>
        <v>NO</v>
      </c>
      <c r="S35" s="105">
        <f t="shared" si="4"/>
        <v>0.6000000000000001</v>
      </c>
      <c r="T35" s="229" t="str">
        <f t="shared" si="5"/>
        <v>--</v>
      </c>
      <c r="U35" s="230">
        <f t="shared" si="6"/>
        <v>38.43909388800001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0" t="s">
        <v>77</v>
      </c>
      <c r="AC35" s="237">
        <f t="shared" si="14"/>
        <v>38.43909388800001</v>
      </c>
      <c r="AD35" s="159"/>
    </row>
    <row r="36" spans="2:30" s="1" customFormat="1" ht="16.5" customHeight="1">
      <c r="B36" s="158"/>
      <c r="C36" s="209">
        <v>106</v>
      </c>
      <c r="D36" s="209">
        <v>287656</v>
      </c>
      <c r="E36" s="209">
        <v>2147</v>
      </c>
      <c r="F36" s="77" t="s">
        <v>120</v>
      </c>
      <c r="G36" s="79" t="s">
        <v>118</v>
      </c>
      <c r="H36" s="222">
        <v>10</v>
      </c>
      <c r="I36" s="90" t="s">
        <v>121</v>
      </c>
      <c r="J36" s="224">
        <f t="shared" si="0"/>
        <v>11.180000000000001</v>
      </c>
      <c r="K36" s="428">
        <v>42112.36111111111</v>
      </c>
      <c r="L36" s="428">
        <v>42112.541666666664</v>
      </c>
      <c r="M36" s="225">
        <f t="shared" si="1"/>
        <v>4.333333333313931</v>
      </c>
      <c r="N36" s="226">
        <f t="shared" si="2"/>
        <v>260</v>
      </c>
      <c r="O36" s="227" t="s">
        <v>76</v>
      </c>
      <c r="P36" s="420" t="str">
        <f t="shared" si="13"/>
        <v>--</v>
      </c>
      <c r="Q36" s="420" t="s">
        <v>78</v>
      </c>
      <c r="R36" s="420" t="str">
        <f t="shared" si="3"/>
        <v>NO</v>
      </c>
      <c r="S36" s="105">
        <f t="shared" si="4"/>
        <v>0.6000000000000001</v>
      </c>
      <c r="T36" s="229">
        <f t="shared" si="5"/>
        <v>29.04564000000001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0" t="s">
        <v>77</v>
      </c>
      <c r="AC36" s="237">
        <f t="shared" si="14"/>
        <v>29.04564000000001</v>
      </c>
      <c r="AD36" s="159"/>
    </row>
    <row r="37" spans="2:30" s="1" customFormat="1" ht="16.5" customHeight="1">
      <c r="B37" s="158"/>
      <c r="C37" s="209">
        <v>107</v>
      </c>
      <c r="D37" s="209">
        <v>287658</v>
      </c>
      <c r="E37" s="209">
        <v>4431</v>
      </c>
      <c r="F37" s="77" t="s">
        <v>130</v>
      </c>
      <c r="G37" s="79" t="s">
        <v>145</v>
      </c>
      <c r="H37" s="222">
        <v>20</v>
      </c>
      <c r="I37" s="90" t="s">
        <v>146</v>
      </c>
      <c r="J37" s="224">
        <f t="shared" si="0"/>
        <v>22.360000000000003</v>
      </c>
      <c r="K37" s="428">
        <v>42113.32986111111</v>
      </c>
      <c r="L37" s="428">
        <v>42113.60208333333</v>
      </c>
      <c r="M37" s="225">
        <f t="shared" si="1"/>
        <v>6.533333333325572</v>
      </c>
      <c r="N37" s="226">
        <f t="shared" si="2"/>
        <v>392</v>
      </c>
      <c r="O37" s="227" t="s">
        <v>76</v>
      </c>
      <c r="P37" s="420" t="str">
        <f t="shared" si="13"/>
        <v>--</v>
      </c>
      <c r="Q37" s="420" t="s">
        <v>78</v>
      </c>
      <c r="R37" s="420" t="str">
        <f t="shared" si="3"/>
        <v>NO</v>
      </c>
      <c r="S37" s="105">
        <f t="shared" si="4"/>
        <v>0.6000000000000001</v>
      </c>
      <c r="T37" s="229">
        <f t="shared" si="5"/>
        <v>87.60648000000003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0" t="s">
        <v>77</v>
      </c>
      <c r="AC37" s="237">
        <f t="shared" si="14"/>
        <v>87.60648000000003</v>
      </c>
      <c r="AD37" s="159"/>
    </row>
    <row r="38" spans="2:30" s="1" customFormat="1" ht="16.5" customHeight="1">
      <c r="B38" s="158"/>
      <c r="C38" s="209">
        <v>108</v>
      </c>
      <c r="D38" s="209">
        <v>287814</v>
      </c>
      <c r="E38" s="209">
        <v>2055</v>
      </c>
      <c r="F38" s="77" t="s">
        <v>124</v>
      </c>
      <c r="G38" s="79" t="s">
        <v>115</v>
      </c>
      <c r="H38" s="222">
        <v>15</v>
      </c>
      <c r="I38" s="90" t="s">
        <v>116</v>
      </c>
      <c r="J38" s="224">
        <f t="shared" si="0"/>
        <v>16.770000000000003</v>
      </c>
      <c r="K38" s="428">
        <v>42114.353472222225</v>
      </c>
      <c r="L38" s="428">
        <v>42114.799305555556</v>
      </c>
      <c r="M38" s="225">
        <f t="shared" si="1"/>
        <v>10.699999999953434</v>
      </c>
      <c r="N38" s="226">
        <f t="shared" si="2"/>
        <v>642</v>
      </c>
      <c r="O38" s="227" t="s">
        <v>76</v>
      </c>
      <c r="P38" s="420" t="str">
        <f t="shared" si="13"/>
        <v>--</v>
      </c>
      <c r="Q38" s="420" t="s">
        <v>78</v>
      </c>
      <c r="R38" s="420" t="str">
        <f t="shared" si="3"/>
        <v>NO</v>
      </c>
      <c r="S38" s="105">
        <f t="shared" si="4"/>
        <v>0.6000000000000001</v>
      </c>
      <c r="T38" s="229">
        <f t="shared" si="5"/>
        <v>107.66340000000002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0" t="s">
        <v>77</v>
      </c>
      <c r="AC38" s="237">
        <f t="shared" si="14"/>
        <v>107.66340000000002</v>
      </c>
      <c r="AD38" s="159"/>
    </row>
    <row r="39" spans="2:30" s="1" customFormat="1" ht="16.5" customHeight="1">
      <c r="B39" s="158"/>
      <c r="C39" s="209">
        <v>109</v>
      </c>
      <c r="D39" s="209">
        <v>287818</v>
      </c>
      <c r="E39" s="209">
        <v>4435</v>
      </c>
      <c r="F39" s="77" t="s">
        <v>193</v>
      </c>
      <c r="G39" s="79" t="s">
        <v>215</v>
      </c>
      <c r="H39" s="432">
        <v>15</v>
      </c>
      <c r="I39" s="450" t="s">
        <v>216</v>
      </c>
      <c r="J39" s="224">
        <f t="shared" si="0"/>
        <v>16.770000000000003</v>
      </c>
      <c r="K39" s="428">
        <v>42114.447916666664</v>
      </c>
      <c r="L39" s="428">
        <v>42114.623611111114</v>
      </c>
      <c r="M39" s="225">
        <f t="shared" si="1"/>
        <v>4.216666666790843</v>
      </c>
      <c r="N39" s="226">
        <f t="shared" si="2"/>
        <v>253</v>
      </c>
      <c r="O39" s="227" t="s">
        <v>76</v>
      </c>
      <c r="P39" s="420" t="str">
        <f t="shared" si="13"/>
        <v>--</v>
      </c>
      <c r="Q39" s="420" t="s">
        <v>78</v>
      </c>
      <c r="R39" s="420" t="str">
        <f t="shared" si="3"/>
        <v>NO</v>
      </c>
      <c r="S39" s="105">
        <f t="shared" si="4"/>
        <v>0.6000000000000001</v>
      </c>
      <c r="T39" s="229">
        <f t="shared" si="5"/>
        <v>42.46164000000001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0" t="s">
        <v>77</v>
      </c>
      <c r="AC39" s="237">
        <f t="shared" si="14"/>
        <v>42.46164000000001</v>
      </c>
      <c r="AD39" s="159"/>
    </row>
    <row r="40" spans="2:30" s="1" customFormat="1" ht="16.5" customHeight="1">
      <c r="B40" s="158"/>
      <c r="C40" s="209">
        <v>110</v>
      </c>
      <c r="D40" s="209">
        <v>287821</v>
      </c>
      <c r="E40" s="209">
        <v>2573</v>
      </c>
      <c r="F40" s="77" t="s">
        <v>147</v>
      </c>
      <c r="G40" s="79" t="s">
        <v>115</v>
      </c>
      <c r="H40" s="222">
        <v>15</v>
      </c>
      <c r="I40" s="90" t="s">
        <v>116</v>
      </c>
      <c r="J40" s="224">
        <f t="shared" si="0"/>
        <v>16.770000000000003</v>
      </c>
      <c r="K40" s="428">
        <v>42115.354166666664</v>
      </c>
      <c r="L40" s="428">
        <v>42115.725694444445</v>
      </c>
      <c r="M40" s="225">
        <f t="shared" si="1"/>
        <v>8.916666666744277</v>
      </c>
      <c r="N40" s="226">
        <f t="shared" si="2"/>
        <v>535</v>
      </c>
      <c r="O40" s="227" t="s">
        <v>76</v>
      </c>
      <c r="P40" s="420" t="str">
        <f t="shared" si="13"/>
        <v>--</v>
      </c>
      <c r="Q40" s="420" t="s">
        <v>78</v>
      </c>
      <c r="R40" s="420" t="str">
        <f t="shared" si="3"/>
        <v>NO</v>
      </c>
      <c r="S40" s="105">
        <f t="shared" si="4"/>
        <v>0.6000000000000001</v>
      </c>
      <c r="T40" s="229">
        <f t="shared" si="5"/>
        <v>89.75304000000003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0" t="s">
        <v>77</v>
      </c>
      <c r="AC40" s="237">
        <f t="shared" si="14"/>
        <v>89.75304000000003</v>
      </c>
      <c r="AD40" s="159"/>
    </row>
    <row r="41" spans="2:30" s="1" customFormat="1" ht="16.5" customHeight="1">
      <c r="B41" s="158"/>
      <c r="C41" s="209">
        <v>111</v>
      </c>
      <c r="D41" s="209">
        <v>287826</v>
      </c>
      <c r="E41" s="209">
        <v>4087</v>
      </c>
      <c r="F41" s="77" t="s">
        <v>135</v>
      </c>
      <c r="G41" s="79" t="s">
        <v>139</v>
      </c>
      <c r="H41" s="222">
        <v>30</v>
      </c>
      <c r="I41" s="90" t="s">
        <v>116</v>
      </c>
      <c r="J41" s="224">
        <f t="shared" si="0"/>
        <v>33.540000000000006</v>
      </c>
      <c r="K41" s="428">
        <v>42115.38333333333</v>
      </c>
      <c r="L41" s="428">
        <v>42115.604166666664</v>
      </c>
      <c r="M41" s="225">
        <f t="shared" si="1"/>
        <v>5.2999999999883585</v>
      </c>
      <c r="N41" s="226">
        <f t="shared" si="2"/>
        <v>318</v>
      </c>
      <c r="O41" s="227" t="s">
        <v>76</v>
      </c>
      <c r="P41" s="420" t="str">
        <f t="shared" si="13"/>
        <v>--</v>
      </c>
      <c r="Q41" s="420" t="s">
        <v>78</v>
      </c>
      <c r="R41" s="420" t="str">
        <f t="shared" si="3"/>
        <v>NO</v>
      </c>
      <c r="S41" s="105">
        <f t="shared" si="4"/>
        <v>0.6000000000000001</v>
      </c>
      <c r="T41" s="229">
        <f t="shared" si="5"/>
        <v>106.65720000000003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0" t="s">
        <v>77</v>
      </c>
      <c r="AC41" s="237">
        <f t="shared" si="14"/>
        <v>106.65720000000003</v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4"/>
      <c r="L42" s="404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49" t="s">
        <v>217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2477.2241520000002</v>
      </c>
      <c r="U43" s="243">
        <f>SUM(U20:U42)</f>
        <v>73.05237388800002</v>
      </c>
      <c r="V43" s="244">
        <f>SUM(V20:V42)</f>
        <v>0</v>
      </c>
      <c r="W43" s="245">
        <f>SUM(W22:W42)</f>
        <v>0</v>
      </c>
      <c r="X43" s="246">
        <f>SUM(X20:X42)</f>
        <v>1951.22304</v>
      </c>
      <c r="Y43" s="246">
        <f>SUM(Y22:Y42)</f>
        <v>1951.22304</v>
      </c>
      <c r="Z43" s="247">
        <f>SUM(Z20:Z42)</f>
        <v>0</v>
      </c>
      <c r="AA43" s="248">
        <f>SUM(AA22:AA42)</f>
        <v>0</v>
      </c>
      <c r="AB43" s="249"/>
      <c r="AC43" s="414">
        <f>ROUND(SUM(AC20:AC42),2)</f>
        <v>5486.54</v>
      </c>
      <c r="AD43" s="159"/>
    </row>
    <row r="44" spans="2:30" s="127" customFormat="1" ht="9.75" thickTop="1">
      <c r="B44" s="250"/>
      <c r="C44" s="129" t="s">
        <v>222</v>
      </c>
      <c r="D44" s="129" t="s">
        <v>223</v>
      </c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zoomScalePageLayoutView="0" workbookViewId="0" topLeftCell="A13">
      <selection activeCell="C36" sqref="C36"/>
    </sheetView>
  </sheetViews>
  <sheetFormatPr defaultColWidth="11.421875" defaultRowHeight="12.75"/>
  <cols>
    <col min="1" max="1" width="18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2" width="16.4218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'TOT-0415'!B2</f>
        <v>ANEXO V al Memorándum D.T.E.E. N° 814   / 2015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'TOT-0415'!B14</f>
        <v>Desde el 01 al 30 de abril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1.118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60*'TOT-0415'!B13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9">
        <v>3</v>
      </c>
      <c r="D18" s="419">
        <v>4</v>
      </c>
      <c r="E18" s="419">
        <v>5</v>
      </c>
      <c r="F18" s="419">
        <v>6</v>
      </c>
      <c r="G18" s="419">
        <v>7</v>
      </c>
      <c r="H18" s="419">
        <v>8</v>
      </c>
      <c r="I18" s="419">
        <v>9</v>
      </c>
      <c r="J18" s="419">
        <v>10</v>
      </c>
      <c r="K18" s="419">
        <v>11</v>
      </c>
      <c r="L18" s="419">
        <v>12</v>
      </c>
      <c r="M18" s="419">
        <v>13</v>
      </c>
      <c r="N18" s="419">
        <v>14</v>
      </c>
      <c r="O18" s="419">
        <v>15</v>
      </c>
      <c r="P18" s="419">
        <v>16</v>
      </c>
      <c r="Q18" s="419">
        <v>17</v>
      </c>
      <c r="R18" s="419">
        <v>18</v>
      </c>
      <c r="S18" s="419">
        <v>19</v>
      </c>
      <c r="T18" s="419">
        <v>20</v>
      </c>
      <c r="U18" s="419">
        <v>21</v>
      </c>
      <c r="V18" s="419">
        <v>22</v>
      </c>
      <c r="W18" s="419">
        <v>23</v>
      </c>
      <c r="X18" s="419">
        <v>24</v>
      </c>
      <c r="Y18" s="419">
        <v>25</v>
      </c>
      <c r="Z18" s="419">
        <v>26</v>
      </c>
      <c r="AA18" s="419">
        <v>27</v>
      </c>
      <c r="AB18" s="419">
        <v>28</v>
      </c>
      <c r="AC18" s="419">
        <v>29</v>
      </c>
      <c r="AD18" s="159"/>
    </row>
    <row r="19" spans="2:30" s="179" customFormat="1" ht="34.5" customHeight="1" thickBot="1" thickTop="1">
      <c r="B19" s="180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2"/>
      <c r="L20" s="403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'T-04 (2)'!AC43</f>
        <v>5486.54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8"/>
      <c r="L21" s="429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112</v>
      </c>
      <c r="D22" s="209">
        <v>287829</v>
      </c>
      <c r="E22" s="209">
        <v>4435</v>
      </c>
      <c r="F22" s="77" t="s">
        <v>193</v>
      </c>
      <c r="G22" s="79" t="s">
        <v>215</v>
      </c>
      <c r="H22" s="432">
        <v>15</v>
      </c>
      <c r="I22" s="450" t="s">
        <v>216</v>
      </c>
      <c r="J22" s="224">
        <f aca="true" t="shared" si="0" ref="J22:J42">H22*$I$16</f>
        <v>16.770000000000003</v>
      </c>
      <c r="K22" s="428">
        <v>42115.41180555556</v>
      </c>
      <c r="L22" s="428">
        <v>42115.711805555555</v>
      </c>
      <c r="M22" s="225">
        <f aca="true" t="shared" si="1" ref="M22:M42">IF(F22="","",(L22-K22)*24)</f>
        <v>7.199999999895226</v>
      </c>
      <c r="N22" s="226">
        <f aca="true" t="shared" si="2" ref="N22:N42">IF(F22="","",ROUND((L22-K22)*24*60,0))</f>
        <v>432</v>
      </c>
      <c r="O22" s="227" t="s">
        <v>76</v>
      </c>
      <c r="P22" s="420" t="str">
        <f>IF(F22="","",IF(OR(O22="P",O22="RP"),"--","NO"))</f>
        <v>--</v>
      </c>
      <c r="Q22" s="420" t="s">
        <v>78</v>
      </c>
      <c r="R22" s="420" t="str">
        <f aca="true" t="shared" si="3" ref="R22:R42">IF(F22="","","NO")</f>
        <v>NO</v>
      </c>
      <c r="S22" s="105">
        <f aca="true" t="shared" si="4" ref="S22:S42">$I$17*IF(OR(O22="P",O22="RP"),0.1,1)*IF(R22="SI",1,0.1)</f>
        <v>0.6000000000000001</v>
      </c>
      <c r="T22" s="229">
        <f aca="true" t="shared" si="5" ref="T22:T42">IF(O22="P",J22*S22*ROUND(N22/60,2),"--")</f>
        <v>72.44640000000003</v>
      </c>
      <c r="U22" s="230" t="str">
        <f aca="true" t="shared" si="6" ref="U22:U42">IF(O22="RP",J22*S22*ROUND(N22/60,2)*Q22/100,"--")</f>
        <v>--</v>
      </c>
      <c r="V22" s="231" t="str">
        <f aca="true" t="shared" si="7" ref="V22:V42">IF(AND(O22="F",P22="NO"),J22*S22,"--")</f>
        <v>--</v>
      </c>
      <c r="W22" s="232" t="str">
        <f aca="true" t="shared" si="8" ref="W22:W42">IF(O22="F",J22*S22*ROUND(N22/60,2),"--")</f>
        <v>--</v>
      </c>
      <c r="X22" s="233" t="str">
        <f aca="true" t="shared" si="9" ref="X22:X42">IF(AND(O22="R",P22="NO"),J22*S22*Q22/100,"--")</f>
        <v>--</v>
      </c>
      <c r="Y22" s="234" t="str">
        <f aca="true" t="shared" si="10" ref="Y22:Y42">IF(O22="R",J22*S22*ROUND(N22/60,2)*Q22/100,"--")</f>
        <v>--</v>
      </c>
      <c r="Z22" s="235" t="str">
        <f aca="true" t="shared" si="11" ref="Z22:Z42">IF(O22="RF",J22*S22*ROUND(N22/60,2),"--")</f>
        <v>--</v>
      </c>
      <c r="AA22" s="236" t="str">
        <f aca="true" t="shared" si="12" ref="AA22:AA42">IF(O22="RR",J22*S22*ROUND(N22/60,2)*Q22/100,"--")</f>
        <v>--</v>
      </c>
      <c r="AB22" s="420" t="s">
        <v>77</v>
      </c>
      <c r="AC22" s="237">
        <f>IF(F22="","",SUM(T22:AA22)*IF(AB22="SI",1,2)*IF(AND(Q22&lt;&gt;"0,000",O22="RF"),Q22/100,1))</f>
        <v>72.44640000000003</v>
      </c>
      <c r="AD22" s="238"/>
    </row>
    <row r="23" spans="2:30" s="1" customFormat="1" ht="16.5" customHeight="1">
      <c r="B23" s="158"/>
      <c r="C23" s="209">
        <v>113</v>
      </c>
      <c r="D23" s="209">
        <v>287831</v>
      </c>
      <c r="E23" s="209">
        <v>2573</v>
      </c>
      <c r="F23" s="77" t="s">
        <v>147</v>
      </c>
      <c r="G23" s="79" t="s">
        <v>115</v>
      </c>
      <c r="H23" s="222">
        <v>15</v>
      </c>
      <c r="I23" s="90" t="s">
        <v>116</v>
      </c>
      <c r="J23" s="224">
        <f t="shared" si="0"/>
        <v>16.770000000000003</v>
      </c>
      <c r="K23" s="428">
        <v>42116.34027777778</v>
      </c>
      <c r="L23" s="428">
        <v>42116.72083333333</v>
      </c>
      <c r="M23" s="225">
        <f t="shared" si="1"/>
        <v>9.133333333244082</v>
      </c>
      <c r="N23" s="226">
        <f t="shared" si="2"/>
        <v>548</v>
      </c>
      <c r="O23" s="227" t="s">
        <v>76</v>
      </c>
      <c r="P23" s="420" t="str">
        <f aca="true" t="shared" si="13" ref="P23:P42">IF(F23="","",IF(OR(O23="P",O23="RP"),"--","NO"))</f>
        <v>--</v>
      </c>
      <c r="Q23" s="420" t="s">
        <v>78</v>
      </c>
      <c r="R23" s="420" t="str">
        <f t="shared" si="3"/>
        <v>NO</v>
      </c>
      <c r="S23" s="105">
        <f t="shared" si="4"/>
        <v>0.6000000000000001</v>
      </c>
      <c r="T23" s="229">
        <f t="shared" si="5"/>
        <v>91.86606000000003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0" t="s">
        <v>77</v>
      </c>
      <c r="AC23" s="237">
        <f aca="true" t="shared" si="14" ref="AC23:AC42">IF(F23="","",SUM(T23:AA23)*IF(AB23="SI",1,2)*IF(AND(Q23&lt;&gt;"0,000",O23="RF"),Q23/100,1))</f>
        <v>91.86606000000003</v>
      </c>
      <c r="AD23" s="238"/>
    </row>
    <row r="24" spans="2:30" s="1" customFormat="1" ht="16.5" customHeight="1">
      <c r="B24" s="158"/>
      <c r="C24" s="209">
        <v>114</v>
      </c>
      <c r="D24" s="209">
        <v>287832</v>
      </c>
      <c r="E24" s="209">
        <v>4435</v>
      </c>
      <c r="F24" s="77" t="s">
        <v>193</v>
      </c>
      <c r="G24" s="79" t="s">
        <v>215</v>
      </c>
      <c r="H24" s="432">
        <v>15</v>
      </c>
      <c r="I24" s="450" t="s">
        <v>216</v>
      </c>
      <c r="J24" s="224">
        <f t="shared" si="0"/>
        <v>16.770000000000003</v>
      </c>
      <c r="K24" s="428">
        <v>42116.34097222222</v>
      </c>
      <c r="L24" s="428">
        <v>42116.72361111111</v>
      </c>
      <c r="M24" s="225">
        <f t="shared" si="1"/>
        <v>9.183333333407063</v>
      </c>
      <c r="N24" s="226">
        <f t="shared" si="2"/>
        <v>551</v>
      </c>
      <c r="O24" s="227" t="s">
        <v>76</v>
      </c>
      <c r="P24" s="420" t="str">
        <f t="shared" si="13"/>
        <v>--</v>
      </c>
      <c r="Q24" s="420" t="s">
        <v>78</v>
      </c>
      <c r="R24" s="420" t="str">
        <f t="shared" si="3"/>
        <v>NO</v>
      </c>
      <c r="S24" s="105">
        <f t="shared" si="4"/>
        <v>0.6000000000000001</v>
      </c>
      <c r="T24" s="229">
        <f t="shared" si="5"/>
        <v>92.36916000000002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0" t="s">
        <v>77</v>
      </c>
      <c r="AC24" s="237">
        <f t="shared" si="14"/>
        <v>92.36916000000002</v>
      </c>
      <c r="AD24" s="159"/>
    </row>
    <row r="25" spans="2:30" s="1" customFormat="1" ht="16.5" customHeight="1">
      <c r="B25" s="158"/>
      <c r="C25" s="209">
        <v>115</v>
      </c>
      <c r="D25" s="209">
        <v>287833</v>
      </c>
      <c r="E25" s="209">
        <v>2055</v>
      </c>
      <c r="F25" s="77" t="s">
        <v>124</v>
      </c>
      <c r="G25" s="79" t="s">
        <v>115</v>
      </c>
      <c r="H25" s="222">
        <v>15</v>
      </c>
      <c r="I25" s="90" t="s">
        <v>116</v>
      </c>
      <c r="J25" s="224">
        <f t="shared" si="0"/>
        <v>16.770000000000003</v>
      </c>
      <c r="K25" s="428">
        <v>42116.34444444445</v>
      </c>
      <c r="L25" s="428">
        <v>42116.75277777778</v>
      </c>
      <c r="M25" s="225">
        <f t="shared" si="1"/>
        <v>9.799999999988358</v>
      </c>
      <c r="N25" s="226">
        <f t="shared" si="2"/>
        <v>588</v>
      </c>
      <c r="O25" s="227" t="s">
        <v>76</v>
      </c>
      <c r="P25" s="420" t="str">
        <f t="shared" si="13"/>
        <v>--</v>
      </c>
      <c r="Q25" s="420" t="s">
        <v>78</v>
      </c>
      <c r="R25" s="420" t="str">
        <f t="shared" si="3"/>
        <v>NO</v>
      </c>
      <c r="S25" s="105">
        <f t="shared" si="4"/>
        <v>0.6000000000000001</v>
      </c>
      <c r="T25" s="229">
        <f t="shared" si="5"/>
        <v>98.60760000000003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0" t="s">
        <v>77</v>
      </c>
      <c r="AC25" s="237">
        <f t="shared" si="14"/>
        <v>98.60760000000003</v>
      </c>
      <c r="AD25" s="159"/>
    </row>
    <row r="26" spans="2:30" s="1" customFormat="1" ht="16.5" customHeight="1">
      <c r="B26" s="158"/>
      <c r="C26" s="209">
        <v>116</v>
      </c>
      <c r="D26" s="209">
        <v>287840</v>
      </c>
      <c r="E26" s="209">
        <v>2573</v>
      </c>
      <c r="F26" s="77" t="s">
        <v>147</v>
      </c>
      <c r="G26" s="79" t="s">
        <v>115</v>
      </c>
      <c r="H26" s="222">
        <v>15</v>
      </c>
      <c r="I26" s="90" t="s">
        <v>116</v>
      </c>
      <c r="J26" s="224">
        <f t="shared" si="0"/>
        <v>16.770000000000003</v>
      </c>
      <c r="K26" s="428">
        <v>42117.34166666667</v>
      </c>
      <c r="L26" s="428">
        <v>42117.722916666666</v>
      </c>
      <c r="M26" s="225">
        <f t="shared" si="1"/>
        <v>9.149999999965075</v>
      </c>
      <c r="N26" s="226">
        <f t="shared" si="2"/>
        <v>549</v>
      </c>
      <c r="O26" s="227" t="s">
        <v>76</v>
      </c>
      <c r="P26" s="420" t="str">
        <f t="shared" si="13"/>
        <v>--</v>
      </c>
      <c r="Q26" s="420" t="s">
        <v>78</v>
      </c>
      <c r="R26" s="420" t="str">
        <f t="shared" si="3"/>
        <v>NO</v>
      </c>
      <c r="S26" s="105">
        <f t="shared" si="4"/>
        <v>0.6000000000000001</v>
      </c>
      <c r="T26" s="229">
        <f t="shared" si="5"/>
        <v>92.06730000000003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0" t="s">
        <v>77</v>
      </c>
      <c r="AC26" s="237">
        <f t="shared" si="14"/>
        <v>92.06730000000003</v>
      </c>
      <c r="AD26" s="159"/>
    </row>
    <row r="27" spans="2:30" s="1" customFormat="1" ht="16.5" customHeight="1">
      <c r="B27" s="158"/>
      <c r="C27" s="209">
        <v>117</v>
      </c>
      <c r="D27" s="209">
        <v>287841</v>
      </c>
      <c r="E27" s="209">
        <v>4435</v>
      </c>
      <c r="F27" s="77" t="s">
        <v>193</v>
      </c>
      <c r="G27" s="79" t="s">
        <v>215</v>
      </c>
      <c r="H27" s="432">
        <v>15</v>
      </c>
      <c r="I27" s="450" t="s">
        <v>216</v>
      </c>
      <c r="J27" s="224">
        <f t="shared" si="0"/>
        <v>16.770000000000003</v>
      </c>
      <c r="K27" s="428">
        <v>42117.34166666667</v>
      </c>
      <c r="L27" s="428">
        <v>42117.705555555556</v>
      </c>
      <c r="M27" s="225">
        <f t="shared" si="1"/>
        <v>8.733333333337214</v>
      </c>
      <c r="N27" s="226">
        <f t="shared" si="2"/>
        <v>524</v>
      </c>
      <c r="O27" s="227" t="s">
        <v>76</v>
      </c>
      <c r="P27" s="420" t="str">
        <f t="shared" si="13"/>
        <v>--</v>
      </c>
      <c r="Q27" s="420" t="s">
        <v>78</v>
      </c>
      <c r="R27" s="420" t="str">
        <f t="shared" si="3"/>
        <v>NO</v>
      </c>
      <c r="S27" s="105">
        <f t="shared" si="4"/>
        <v>0.6000000000000001</v>
      </c>
      <c r="T27" s="229">
        <f t="shared" si="5"/>
        <v>87.84126000000003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0" t="s">
        <v>77</v>
      </c>
      <c r="AC27" s="237">
        <f t="shared" si="14"/>
        <v>87.84126000000003</v>
      </c>
      <c r="AD27" s="159"/>
    </row>
    <row r="28" spans="2:30" s="1" customFormat="1" ht="16.5" customHeight="1">
      <c r="B28" s="158"/>
      <c r="C28" s="209">
        <v>118</v>
      </c>
      <c r="D28" s="209">
        <v>287842</v>
      </c>
      <c r="E28" s="209">
        <v>2055</v>
      </c>
      <c r="F28" s="77" t="s">
        <v>124</v>
      </c>
      <c r="G28" s="79" t="s">
        <v>115</v>
      </c>
      <c r="H28" s="222">
        <v>15</v>
      </c>
      <c r="I28" s="90" t="s">
        <v>116</v>
      </c>
      <c r="J28" s="224">
        <f t="shared" si="0"/>
        <v>16.770000000000003</v>
      </c>
      <c r="K28" s="428">
        <v>42117.356944444444</v>
      </c>
      <c r="L28" s="428">
        <v>42117.731944444444</v>
      </c>
      <c r="M28" s="225">
        <f t="shared" si="1"/>
        <v>9</v>
      </c>
      <c r="N28" s="226">
        <f t="shared" si="2"/>
        <v>540</v>
      </c>
      <c r="O28" s="227" t="s">
        <v>76</v>
      </c>
      <c r="P28" s="420" t="str">
        <f t="shared" si="13"/>
        <v>--</v>
      </c>
      <c r="Q28" s="420" t="s">
        <v>78</v>
      </c>
      <c r="R28" s="420" t="str">
        <f t="shared" si="3"/>
        <v>NO</v>
      </c>
      <c r="S28" s="105">
        <f t="shared" si="4"/>
        <v>0.6000000000000001</v>
      </c>
      <c r="T28" s="229">
        <f t="shared" si="5"/>
        <v>90.55800000000002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0" t="s">
        <v>77</v>
      </c>
      <c r="AC28" s="237">
        <f t="shared" si="14"/>
        <v>90.55800000000002</v>
      </c>
      <c r="AD28" s="159"/>
    </row>
    <row r="29" spans="2:30" s="1" customFormat="1" ht="16.5" customHeight="1">
      <c r="B29" s="158"/>
      <c r="C29" s="209">
        <v>119</v>
      </c>
      <c r="D29" s="209">
        <v>287844</v>
      </c>
      <c r="E29" s="209">
        <v>2297</v>
      </c>
      <c r="F29" s="77" t="s">
        <v>148</v>
      </c>
      <c r="G29" s="79" t="s">
        <v>149</v>
      </c>
      <c r="H29" s="222">
        <v>30</v>
      </c>
      <c r="I29" s="90" t="s">
        <v>116</v>
      </c>
      <c r="J29" s="224">
        <f t="shared" si="0"/>
        <v>33.540000000000006</v>
      </c>
      <c r="K29" s="428">
        <v>42117.36666666667</v>
      </c>
      <c r="L29" s="428">
        <v>42117.42152777778</v>
      </c>
      <c r="M29" s="225">
        <f t="shared" si="1"/>
        <v>1.316666666592937</v>
      </c>
      <c r="N29" s="226">
        <f t="shared" si="2"/>
        <v>79</v>
      </c>
      <c r="O29" s="227" t="s">
        <v>76</v>
      </c>
      <c r="P29" s="420" t="str">
        <f t="shared" si="13"/>
        <v>--</v>
      </c>
      <c r="Q29" s="420" t="s">
        <v>78</v>
      </c>
      <c r="R29" s="420" t="str">
        <f t="shared" si="3"/>
        <v>NO</v>
      </c>
      <c r="S29" s="105">
        <f t="shared" si="4"/>
        <v>0.6000000000000001</v>
      </c>
      <c r="T29" s="229">
        <f t="shared" si="5"/>
        <v>26.56368000000001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0" t="s">
        <v>77</v>
      </c>
      <c r="AC29" s="237">
        <f t="shared" si="14"/>
        <v>26.56368000000001</v>
      </c>
      <c r="AD29" s="159"/>
    </row>
    <row r="30" spans="2:30" s="1" customFormat="1" ht="16.5" customHeight="1">
      <c r="B30" s="158"/>
      <c r="C30" s="209">
        <v>120</v>
      </c>
      <c r="D30" s="209">
        <v>287847</v>
      </c>
      <c r="E30" s="209">
        <v>2665</v>
      </c>
      <c r="F30" s="77" t="s">
        <v>135</v>
      </c>
      <c r="G30" s="79" t="s">
        <v>136</v>
      </c>
      <c r="H30" s="222">
        <v>30</v>
      </c>
      <c r="I30" s="90" t="s">
        <v>116</v>
      </c>
      <c r="J30" s="224">
        <f t="shared" si="0"/>
        <v>33.540000000000006</v>
      </c>
      <c r="K30" s="428">
        <v>42117.402083333334</v>
      </c>
      <c r="L30" s="428">
        <v>42117.57777777778</v>
      </c>
      <c r="M30" s="225">
        <f t="shared" si="1"/>
        <v>4.21666666661622</v>
      </c>
      <c r="N30" s="226">
        <f t="shared" si="2"/>
        <v>253</v>
      </c>
      <c r="O30" s="227" t="s">
        <v>76</v>
      </c>
      <c r="P30" s="420" t="str">
        <f t="shared" si="13"/>
        <v>--</v>
      </c>
      <c r="Q30" s="420" t="s">
        <v>78</v>
      </c>
      <c r="R30" s="420" t="str">
        <f t="shared" si="3"/>
        <v>NO</v>
      </c>
      <c r="S30" s="105">
        <f t="shared" si="4"/>
        <v>0.6000000000000001</v>
      </c>
      <c r="T30" s="229">
        <f t="shared" si="5"/>
        <v>84.92328000000002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0" t="s">
        <v>77</v>
      </c>
      <c r="AC30" s="237">
        <f t="shared" si="14"/>
        <v>84.92328000000002</v>
      </c>
      <c r="AD30" s="159"/>
    </row>
    <row r="31" spans="2:30" s="1" customFormat="1" ht="16.5" customHeight="1">
      <c r="B31" s="158"/>
      <c r="C31" s="209">
        <v>121</v>
      </c>
      <c r="D31" s="209">
        <v>287852</v>
      </c>
      <c r="E31" s="209">
        <v>2055</v>
      </c>
      <c r="F31" s="77" t="s">
        <v>124</v>
      </c>
      <c r="G31" s="79" t="s">
        <v>115</v>
      </c>
      <c r="H31" s="222">
        <v>15</v>
      </c>
      <c r="I31" s="90" t="s">
        <v>116</v>
      </c>
      <c r="J31" s="224">
        <f t="shared" si="0"/>
        <v>16.770000000000003</v>
      </c>
      <c r="K31" s="428">
        <v>42118.33819444444</v>
      </c>
      <c r="L31" s="428">
        <v>42118.600694444445</v>
      </c>
      <c r="M31" s="225">
        <f t="shared" si="1"/>
        <v>6.300000000104774</v>
      </c>
      <c r="N31" s="226">
        <f t="shared" si="2"/>
        <v>378</v>
      </c>
      <c r="O31" s="227" t="s">
        <v>76</v>
      </c>
      <c r="P31" s="420" t="str">
        <f t="shared" si="13"/>
        <v>--</v>
      </c>
      <c r="Q31" s="420" t="s">
        <v>78</v>
      </c>
      <c r="R31" s="420" t="str">
        <f t="shared" si="3"/>
        <v>NO</v>
      </c>
      <c r="S31" s="105">
        <f t="shared" si="4"/>
        <v>0.6000000000000001</v>
      </c>
      <c r="T31" s="229">
        <f t="shared" si="5"/>
        <v>63.39060000000001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0" t="s">
        <v>77</v>
      </c>
      <c r="AC31" s="237">
        <f t="shared" si="14"/>
        <v>63.39060000000001</v>
      </c>
      <c r="AD31" s="159"/>
    </row>
    <row r="32" spans="2:30" s="1" customFormat="1" ht="16.5" customHeight="1">
      <c r="B32" s="158"/>
      <c r="C32" s="209">
        <v>122</v>
      </c>
      <c r="D32" s="209">
        <v>287853</v>
      </c>
      <c r="E32" s="209">
        <v>4435</v>
      </c>
      <c r="F32" s="77" t="s">
        <v>193</v>
      </c>
      <c r="G32" s="79" t="s">
        <v>215</v>
      </c>
      <c r="H32" s="432">
        <v>15</v>
      </c>
      <c r="I32" s="450" t="s">
        <v>216</v>
      </c>
      <c r="J32" s="224">
        <f t="shared" si="0"/>
        <v>16.770000000000003</v>
      </c>
      <c r="K32" s="428">
        <v>42118.342361111114</v>
      </c>
      <c r="L32" s="428">
        <v>42118.55763888889</v>
      </c>
      <c r="M32" s="225">
        <f t="shared" si="1"/>
        <v>5.166666666569654</v>
      </c>
      <c r="N32" s="226">
        <f t="shared" si="2"/>
        <v>310</v>
      </c>
      <c r="O32" s="227" t="s">
        <v>76</v>
      </c>
      <c r="P32" s="420" t="str">
        <f t="shared" si="13"/>
        <v>--</v>
      </c>
      <c r="Q32" s="420" t="s">
        <v>78</v>
      </c>
      <c r="R32" s="420" t="str">
        <f t="shared" si="3"/>
        <v>NO</v>
      </c>
      <c r="S32" s="105">
        <f t="shared" si="4"/>
        <v>0.6000000000000001</v>
      </c>
      <c r="T32" s="229">
        <f t="shared" si="5"/>
        <v>52.02054000000001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0" t="s">
        <v>77</v>
      </c>
      <c r="AC32" s="237">
        <f t="shared" si="14"/>
        <v>52.02054000000001</v>
      </c>
      <c r="AD32" s="159"/>
    </row>
    <row r="33" spans="2:30" s="1" customFormat="1" ht="16.5" customHeight="1">
      <c r="B33" s="158"/>
      <c r="C33" s="209">
        <v>123</v>
      </c>
      <c r="D33" s="209">
        <v>287855</v>
      </c>
      <c r="E33" s="209">
        <v>2573</v>
      </c>
      <c r="F33" s="77" t="s">
        <v>147</v>
      </c>
      <c r="G33" s="79" t="s">
        <v>115</v>
      </c>
      <c r="H33" s="222">
        <v>15</v>
      </c>
      <c r="I33" s="90" t="s">
        <v>116</v>
      </c>
      <c r="J33" s="224">
        <f t="shared" si="0"/>
        <v>16.770000000000003</v>
      </c>
      <c r="K33" s="428">
        <v>42118.361805555556</v>
      </c>
      <c r="L33" s="428">
        <v>42118.61944444444</v>
      </c>
      <c r="M33" s="225">
        <f t="shared" si="1"/>
        <v>6.18333333323244</v>
      </c>
      <c r="N33" s="226">
        <f t="shared" si="2"/>
        <v>371</v>
      </c>
      <c r="O33" s="227" t="s">
        <v>76</v>
      </c>
      <c r="P33" s="420" t="str">
        <f t="shared" si="13"/>
        <v>--</v>
      </c>
      <c r="Q33" s="420" t="s">
        <v>78</v>
      </c>
      <c r="R33" s="420" t="str">
        <f t="shared" si="3"/>
        <v>NO</v>
      </c>
      <c r="S33" s="105">
        <f t="shared" si="4"/>
        <v>0.6000000000000001</v>
      </c>
      <c r="T33" s="229">
        <f t="shared" si="5"/>
        <v>62.183160000000015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0" t="s">
        <v>77</v>
      </c>
      <c r="AC33" s="237">
        <f t="shared" si="14"/>
        <v>62.183160000000015</v>
      </c>
      <c r="AD33" s="159"/>
    </row>
    <row r="34" spans="2:30" s="1" customFormat="1" ht="16.5" customHeight="1">
      <c r="B34" s="158"/>
      <c r="C34" s="209">
        <v>124</v>
      </c>
      <c r="D34" s="209">
        <v>287859</v>
      </c>
      <c r="E34" s="209">
        <v>2247</v>
      </c>
      <c r="F34" s="77" t="s">
        <v>117</v>
      </c>
      <c r="G34" s="79" t="s">
        <v>118</v>
      </c>
      <c r="H34" s="222">
        <v>15</v>
      </c>
      <c r="I34" s="90" t="s">
        <v>116</v>
      </c>
      <c r="J34" s="224">
        <f t="shared" si="0"/>
        <v>16.770000000000003</v>
      </c>
      <c r="K34" s="428">
        <v>42119.23333333333</v>
      </c>
      <c r="L34" s="428">
        <v>42119.275</v>
      </c>
      <c r="M34" s="225">
        <f t="shared" si="1"/>
        <v>1.0000000001164153</v>
      </c>
      <c r="N34" s="226">
        <f t="shared" si="2"/>
        <v>60</v>
      </c>
      <c r="O34" s="227" t="s">
        <v>85</v>
      </c>
      <c r="P34" s="420" t="str">
        <f t="shared" si="13"/>
        <v>NO</v>
      </c>
      <c r="Q34" s="420" t="s">
        <v>78</v>
      </c>
      <c r="R34" s="420" t="s">
        <v>77</v>
      </c>
      <c r="S34" s="105">
        <f t="shared" si="4"/>
        <v>60</v>
      </c>
      <c r="T34" s="229" t="str">
        <f t="shared" si="5"/>
        <v>--</v>
      </c>
      <c r="U34" s="230" t="str">
        <f t="shared" si="6"/>
        <v>--</v>
      </c>
      <c r="V34" s="231">
        <f t="shared" si="7"/>
        <v>1006.2000000000002</v>
      </c>
      <c r="W34" s="232">
        <f t="shared" si="8"/>
        <v>1006.2000000000002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0" t="s">
        <v>77</v>
      </c>
      <c r="AC34" s="237">
        <f t="shared" si="14"/>
        <v>2012.4000000000003</v>
      </c>
      <c r="AD34" s="159"/>
    </row>
    <row r="35" spans="2:30" s="1" customFormat="1" ht="16.5" customHeight="1">
      <c r="B35" s="158"/>
      <c r="C35" s="209" t="s">
        <v>225</v>
      </c>
      <c r="D35" s="209">
        <v>287859</v>
      </c>
      <c r="E35" s="209">
        <v>2247</v>
      </c>
      <c r="F35" s="77" t="s">
        <v>117</v>
      </c>
      <c r="G35" s="79" t="s">
        <v>118</v>
      </c>
      <c r="H35" s="222">
        <v>15</v>
      </c>
      <c r="I35" s="90" t="s">
        <v>116</v>
      </c>
      <c r="J35" s="224">
        <f>H35*$I$16</f>
        <v>16.770000000000003</v>
      </c>
      <c r="K35" s="428">
        <v>42119.275</v>
      </c>
      <c r="L35" s="428">
        <v>42119.580555555556</v>
      </c>
      <c r="M35" s="225">
        <f>IF(F35="","",(L35-K35)*24)</f>
        <v>7.333333333313931</v>
      </c>
      <c r="N35" s="226">
        <f>IF(F35="","",ROUND((L35-K35)*24*60,0))</f>
        <v>440</v>
      </c>
      <c r="O35" s="227" t="s">
        <v>224</v>
      </c>
      <c r="P35" s="420" t="str">
        <f>IF(F35="","",IF(OR(O35="P",O35="RP"),"--","NO"))</f>
        <v>NO</v>
      </c>
      <c r="Q35" s="420" t="s">
        <v>78</v>
      </c>
      <c r="R35" s="420" t="s">
        <v>213</v>
      </c>
      <c r="S35" s="105">
        <f>$I$17*IF(OR(O35="P",O35="RP"),0.1,1)*IF(R35="SI",1,0.1)</f>
        <v>6</v>
      </c>
      <c r="T35" s="229" t="str">
        <f>IF(O35="P",J35*S35*ROUND(N35/60,2),"--")</f>
        <v>--</v>
      </c>
      <c r="U35" s="230" t="str">
        <f>IF(O35="RP",J35*S35*ROUND(N35/60,2)*Q35/100,"--")</f>
        <v>--</v>
      </c>
      <c r="V35" s="231" t="str">
        <f>IF(AND(O35="F",P35="NO"),J35*S35,"--")</f>
        <v>--</v>
      </c>
      <c r="W35" s="232" t="str">
        <f>IF(O35="F",J35*S35*ROUND(N35/60,2),"--")</f>
        <v>--</v>
      </c>
      <c r="X35" s="233" t="str">
        <f>IF(AND(O35="R",P35="NO"),J35*S35*Q35/100,"--")</f>
        <v>--</v>
      </c>
      <c r="Y35" s="234" t="str">
        <f>IF(O35="R",J35*S35*ROUND(N35/60,2)*Q35/100,"--")</f>
        <v>--</v>
      </c>
      <c r="Z35" s="235">
        <f>IF(O35="RF",J35*S35*ROUND(N35/60,2),"--")</f>
        <v>737.5446000000002</v>
      </c>
      <c r="AA35" s="236" t="str">
        <f>IF(O35="RR",J35*S35*ROUND(N35/60,2)*Q35/100,"--")</f>
        <v>--</v>
      </c>
      <c r="AB35" s="420" t="s">
        <v>77</v>
      </c>
      <c r="AC35" s="237">
        <f>IF(F35="","",SUM(T35:AA35)*IF(AB35="SI",1,2)*IF(AND(Q35&lt;&gt;"0,000",O35="RF"),Q35/100,1))</f>
        <v>737.5446000000002</v>
      </c>
      <c r="AD35" s="159"/>
    </row>
    <row r="36" spans="2:30" s="1" customFormat="1" ht="16.5" customHeight="1">
      <c r="B36" s="158"/>
      <c r="C36" s="209">
        <v>125</v>
      </c>
      <c r="D36" s="209">
        <v>287867</v>
      </c>
      <c r="E36" s="209">
        <v>2310</v>
      </c>
      <c r="F36" s="77" t="s">
        <v>133</v>
      </c>
      <c r="G36" s="79" t="s">
        <v>150</v>
      </c>
      <c r="H36" s="222">
        <v>30</v>
      </c>
      <c r="I36" s="90" t="s">
        <v>116</v>
      </c>
      <c r="J36" s="224">
        <f t="shared" si="0"/>
        <v>33.540000000000006</v>
      </c>
      <c r="K36" s="428">
        <v>42119.33125</v>
      </c>
      <c r="L36" s="428">
        <v>42119.759722222225</v>
      </c>
      <c r="M36" s="225">
        <f t="shared" si="1"/>
        <v>10.283333333325572</v>
      </c>
      <c r="N36" s="226">
        <f t="shared" si="2"/>
        <v>617</v>
      </c>
      <c r="O36" s="227" t="s">
        <v>76</v>
      </c>
      <c r="P36" s="420" t="str">
        <f t="shared" si="13"/>
        <v>--</v>
      </c>
      <c r="Q36" s="420" t="s">
        <v>78</v>
      </c>
      <c r="R36" s="420" t="str">
        <f t="shared" si="3"/>
        <v>NO</v>
      </c>
      <c r="S36" s="105">
        <f t="shared" si="4"/>
        <v>0.6000000000000001</v>
      </c>
      <c r="T36" s="229">
        <f t="shared" si="5"/>
        <v>206.87472000000005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0" t="s">
        <v>77</v>
      </c>
      <c r="AC36" s="237">
        <f t="shared" si="14"/>
        <v>206.87472000000005</v>
      </c>
      <c r="AD36" s="159"/>
    </row>
    <row r="37" spans="2:30" s="1" customFormat="1" ht="16.5" customHeight="1">
      <c r="B37" s="158"/>
      <c r="C37" s="209">
        <v>126</v>
      </c>
      <c r="D37" s="209">
        <v>287868</v>
      </c>
      <c r="E37" s="209">
        <v>4430</v>
      </c>
      <c r="F37" s="77" t="s">
        <v>130</v>
      </c>
      <c r="G37" s="79" t="s">
        <v>151</v>
      </c>
      <c r="H37" s="222">
        <v>20</v>
      </c>
      <c r="I37" s="90" t="s">
        <v>146</v>
      </c>
      <c r="J37" s="224">
        <f t="shared" si="0"/>
        <v>22.360000000000003</v>
      </c>
      <c r="K37" s="428">
        <v>42119.34583333333</v>
      </c>
      <c r="L37" s="428">
        <v>42119.70625</v>
      </c>
      <c r="M37" s="225">
        <f t="shared" si="1"/>
        <v>8.65000000008149</v>
      </c>
      <c r="N37" s="226">
        <f t="shared" si="2"/>
        <v>519</v>
      </c>
      <c r="O37" s="227" t="s">
        <v>76</v>
      </c>
      <c r="P37" s="420" t="str">
        <f t="shared" si="13"/>
        <v>--</v>
      </c>
      <c r="Q37" s="420" t="s">
        <v>78</v>
      </c>
      <c r="R37" s="420" t="str">
        <f t="shared" si="3"/>
        <v>NO</v>
      </c>
      <c r="S37" s="105">
        <f t="shared" si="4"/>
        <v>0.6000000000000001</v>
      </c>
      <c r="T37" s="229">
        <f t="shared" si="5"/>
        <v>116.04840000000004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0" t="s">
        <v>77</v>
      </c>
      <c r="AC37" s="237">
        <f t="shared" si="14"/>
        <v>116.04840000000004</v>
      </c>
      <c r="AD37" s="159"/>
    </row>
    <row r="38" spans="2:30" s="1" customFormat="1" ht="16.5" customHeight="1">
      <c r="B38" s="158"/>
      <c r="C38" s="209">
        <v>127</v>
      </c>
      <c r="D38" s="209">
        <v>287869</v>
      </c>
      <c r="E38" s="209">
        <v>4431</v>
      </c>
      <c r="F38" s="77" t="s">
        <v>130</v>
      </c>
      <c r="G38" s="79" t="s">
        <v>145</v>
      </c>
      <c r="H38" s="222">
        <v>20</v>
      </c>
      <c r="I38" s="90" t="s">
        <v>146</v>
      </c>
      <c r="J38" s="224">
        <f t="shared" si="0"/>
        <v>22.360000000000003</v>
      </c>
      <c r="K38" s="428">
        <v>42120.322222222225</v>
      </c>
      <c r="L38" s="428">
        <v>42120.665972222225</v>
      </c>
      <c r="M38" s="225">
        <f t="shared" si="1"/>
        <v>8.25</v>
      </c>
      <c r="N38" s="226">
        <f t="shared" si="2"/>
        <v>495</v>
      </c>
      <c r="O38" s="227" t="s">
        <v>76</v>
      </c>
      <c r="P38" s="420" t="str">
        <f t="shared" si="13"/>
        <v>--</v>
      </c>
      <c r="Q38" s="420" t="s">
        <v>78</v>
      </c>
      <c r="R38" s="420" t="str">
        <f t="shared" si="3"/>
        <v>NO</v>
      </c>
      <c r="S38" s="105">
        <f t="shared" si="4"/>
        <v>0.6000000000000001</v>
      </c>
      <c r="T38" s="229">
        <f t="shared" si="5"/>
        <v>110.68200000000003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0" t="s">
        <v>77</v>
      </c>
      <c r="AC38" s="237">
        <f t="shared" si="14"/>
        <v>110.68200000000003</v>
      </c>
      <c r="AD38" s="159"/>
    </row>
    <row r="39" spans="2:30" s="1" customFormat="1" ht="16.5" customHeight="1">
      <c r="B39" s="158"/>
      <c r="C39" s="209">
        <v>128</v>
      </c>
      <c r="D39" s="209">
        <v>287872</v>
      </c>
      <c r="E39" s="209">
        <v>2310</v>
      </c>
      <c r="F39" s="77" t="s">
        <v>133</v>
      </c>
      <c r="G39" s="79" t="s">
        <v>150</v>
      </c>
      <c r="H39" s="222">
        <v>30</v>
      </c>
      <c r="I39" s="90" t="s">
        <v>116</v>
      </c>
      <c r="J39" s="224">
        <f t="shared" si="0"/>
        <v>33.540000000000006</v>
      </c>
      <c r="K39" s="428">
        <v>42120.35</v>
      </c>
      <c r="L39" s="428">
        <v>42120.725</v>
      </c>
      <c r="M39" s="225">
        <f t="shared" si="1"/>
        <v>9</v>
      </c>
      <c r="N39" s="226">
        <f t="shared" si="2"/>
        <v>540</v>
      </c>
      <c r="O39" s="227" t="s">
        <v>76</v>
      </c>
      <c r="P39" s="420" t="str">
        <f t="shared" si="13"/>
        <v>--</v>
      </c>
      <c r="Q39" s="420" t="s">
        <v>78</v>
      </c>
      <c r="R39" s="420" t="str">
        <f t="shared" si="3"/>
        <v>NO</v>
      </c>
      <c r="S39" s="105">
        <f t="shared" si="4"/>
        <v>0.6000000000000001</v>
      </c>
      <c r="T39" s="229">
        <f t="shared" si="5"/>
        <v>181.11600000000004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0" t="s">
        <v>77</v>
      </c>
      <c r="AC39" s="237">
        <f t="shared" si="14"/>
        <v>181.11600000000004</v>
      </c>
      <c r="AD39" s="159"/>
    </row>
    <row r="40" spans="2:30" s="1" customFormat="1" ht="16.5" customHeight="1">
      <c r="B40" s="158"/>
      <c r="C40" s="209">
        <v>129</v>
      </c>
      <c r="D40" s="209">
        <v>288002</v>
      </c>
      <c r="E40" s="209">
        <v>2380</v>
      </c>
      <c r="F40" s="77" t="s">
        <v>152</v>
      </c>
      <c r="G40" s="79" t="s">
        <v>127</v>
      </c>
      <c r="H40" s="222">
        <v>5</v>
      </c>
      <c r="I40" s="90" t="s">
        <v>144</v>
      </c>
      <c r="J40" s="224">
        <f t="shared" si="0"/>
        <v>5.590000000000001</v>
      </c>
      <c r="K40" s="428">
        <v>42121.339583333334</v>
      </c>
      <c r="L40" s="428">
        <v>42121.697222222225</v>
      </c>
      <c r="M40" s="225">
        <f t="shared" si="1"/>
        <v>8.583333333372138</v>
      </c>
      <c r="N40" s="226">
        <f t="shared" si="2"/>
        <v>515</v>
      </c>
      <c r="O40" s="227" t="s">
        <v>76</v>
      </c>
      <c r="P40" s="420" t="str">
        <f t="shared" si="13"/>
        <v>--</v>
      </c>
      <c r="Q40" s="420" t="s">
        <v>78</v>
      </c>
      <c r="R40" s="420" t="str">
        <f t="shared" si="3"/>
        <v>NO</v>
      </c>
      <c r="S40" s="105">
        <f t="shared" si="4"/>
        <v>0.6000000000000001</v>
      </c>
      <c r="T40" s="229">
        <f t="shared" si="5"/>
        <v>28.77732000000001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0" t="s">
        <v>77</v>
      </c>
      <c r="AC40" s="237">
        <f t="shared" si="14"/>
        <v>28.77732000000001</v>
      </c>
      <c r="AD40" s="159"/>
    </row>
    <row r="41" spans="2:30" s="1" customFormat="1" ht="16.5" customHeight="1">
      <c r="B41" s="158"/>
      <c r="C41" s="209">
        <v>130</v>
      </c>
      <c r="D41" s="209">
        <v>288003</v>
      </c>
      <c r="E41" s="209">
        <v>2096</v>
      </c>
      <c r="F41" s="77" t="s">
        <v>140</v>
      </c>
      <c r="G41" s="79" t="s">
        <v>118</v>
      </c>
      <c r="H41" s="222">
        <v>44</v>
      </c>
      <c r="I41" s="90" t="s">
        <v>116</v>
      </c>
      <c r="J41" s="224">
        <f t="shared" si="0"/>
        <v>49.19200000000001</v>
      </c>
      <c r="K41" s="428">
        <v>42121.35902777778</v>
      </c>
      <c r="L41" s="428">
        <v>42121.62152777778</v>
      </c>
      <c r="M41" s="225">
        <f t="shared" si="1"/>
        <v>6.300000000104774</v>
      </c>
      <c r="N41" s="226">
        <f t="shared" si="2"/>
        <v>378</v>
      </c>
      <c r="O41" s="227" t="s">
        <v>76</v>
      </c>
      <c r="P41" s="420" t="str">
        <f t="shared" si="13"/>
        <v>--</v>
      </c>
      <c r="Q41" s="420" t="s">
        <v>78</v>
      </c>
      <c r="R41" s="420" t="str">
        <f t="shared" si="3"/>
        <v>NO</v>
      </c>
      <c r="S41" s="105">
        <f t="shared" si="4"/>
        <v>0.6000000000000001</v>
      </c>
      <c r="T41" s="229">
        <f t="shared" si="5"/>
        <v>185.94576000000004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0" t="s">
        <v>77</v>
      </c>
      <c r="AC41" s="237">
        <f t="shared" si="14"/>
        <v>185.94576000000004</v>
      </c>
      <c r="AD41" s="159"/>
    </row>
    <row r="42" spans="2:30" s="1" customFormat="1" ht="16.5" customHeight="1">
      <c r="B42" s="158"/>
      <c r="C42" s="209">
        <v>131</v>
      </c>
      <c r="D42" s="209">
        <v>288004</v>
      </c>
      <c r="E42" s="209">
        <v>2477</v>
      </c>
      <c r="F42" s="77" t="s">
        <v>153</v>
      </c>
      <c r="G42" s="79" t="s">
        <v>115</v>
      </c>
      <c r="H42" s="222">
        <v>15</v>
      </c>
      <c r="I42" s="90" t="s">
        <v>116</v>
      </c>
      <c r="J42" s="224">
        <f t="shared" si="0"/>
        <v>16.770000000000003</v>
      </c>
      <c r="K42" s="428">
        <v>42121.36944444444</v>
      </c>
      <c r="L42" s="428">
        <v>42121.705555555556</v>
      </c>
      <c r="M42" s="225">
        <f t="shared" si="1"/>
        <v>8.06666666676756</v>
      </c>
      <c r="N42" s="226">
        <f t="shared" si="2"/>
        <v>484</v>
      </c>
      <c r="O42" s="227" t="s">
        <v>76</v>
      </c>
      <c r="P42" s="420" t="str">
        <f t="shared" si="13"/>
        <v>--</v>
      </c>
      <c r="Q42" s="420" t="s">
        <v>78</v>
      </c>
      <c r="R42" s="420" t="str">
        <f t="shared" si="3"/>
        <v>NO</v>
      </c>
      <c r="S42" s="105">
        <f t="shared" si="4"/>
        <v>0.6000000000000001</v>
      </c>
      <c r="T42" s="229">
        <f t="shared" si="5"/>
        <v>81.20034000000003</v>
      </c>
      <c r="U42" s="230" t="str">
        <f t="shared" si="6"/>
        <v>--</v>
      </c>
      <c r="V42" s="231" t="str">
        <f t="shared" si="7"/>
        <v>--</v>
      </c>
      <c r="W42" s="232" t="str">
        <f t="shared" si="8"/>
        <v>--</v>
      </c>
      <c r="X42" s="233" t="str">
        <f t="shared" si="9"/>
        <v>--</v>
      </c>
      <c r="Y42" s="234" t="str">
        <f t="shared" si="10"/>
        <v>--</v>
      </c>
      <c r="Z42" s="235" t="str">
        <f t="shared" si="11"/>
        <v>--</v>
      </c>
      <c r="AA42" s="236" t="str">
        <f t="shared" si="12"/>
        <v>--</v>
      </c>
      <c r="AB42" s="420" t="s">
        <v>77</v>
      </c>
      <c r="AC42" s="237">
        <f t="shared" si="14"/>
        <v>81.20034000000003</v>
      </c>
      <c r="AD42" s="159"/>
    </row>
    <row r="43" spans="2:30" s="1" customFormat="1" ht="16.5" customHeight="1" thickBot="1">
      <c r="B43" s="158"/>
      <c r="C43" s="318"/>
      <c r="D43" s="318"/>
      <c r="E43" s="318"/>
      <c r="F43" s="318"/>
      <c r="G43" s="318"/>
      <c r="H43" s="318"/>
      <c r="I43" s="318"/>
      <c r="J43" s="240"/>
      <c r="K43" s="404"/>
      <c r="L43" s="404"/>
      <c r="M43" s="239"/>
      <c r="N43" s="239"/>
      <c r="O43" s="318"/>
      <c r="P43" s="318"/>
      <c r="Q43" s="318"/>
      <c r="R43" s="318"/>
      <c r="S43" s="319"/>
      <c r="T43" s="320"/>
      <c r="U43" s="321"/>
      <c r="V43" s="322"/>
      <c r="W43" s="323"/>
      <c r="X43" s="324"/>
      <c r="Y43" s="325"/>
      <c r="Z43" s="326"/>
      <c r="AA43" s="327"/>
      <c r="AB43" s="318"/>
      <c r="AC43" s="241"/>
      <c r="AD43" s="159"/>
    </row>
    <row r="44" spans="2:30" s="1" customFormat="1" ht="16.5" customHeight="1" thickBot="1" thickTop="1">
      <c r="B44" s="158"/>
      <c r="C44" s="113" t="s">
        <v>55</v>
      </c>
      <c r="D44" s="449" t="s">
        <v>210</v>
      </c>
      <c r="E44" s="129"/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42">
        <f>SUM(T20:T43)</f>
        <v>1825.4815800000006</v>
      </c>
      <c r="U44" s="243">
        <f>SUM(U20:U43)</f>
        <v>0</v>
      </c>
      <c r="V44" s="244">
        <f>SUM(V20:V43)</f>
        <v>1006.2000000000002</v>
      </c>
      <c r="W44" s="245">
        <f>SUM(W22:W43)</f>
        <v>1006.2000000000002</v>
      </c>
      <c r="X44" s="246">
        <f>SUM(X20:X43)</f>
        <v>0</v>
      </c>
      <c r="Y44" s="246">
        <f>SUM(Y22:Y43)</f>
        <v>0</v>
      </c>
      <c r="Z44" s="247">
        <f>SUM(Z20:Z43)</f>
        <v>737.5446000000002</v>
      </c>
      <c r="AA44" s="248">
        <f>SUM(AA22:AA43)</f>
        <v>0</v>
      </c>
      <c r="AB44" s="249"/>
      <c r="AC44" s="414">
        <f>ROUND(SUM(AC20:AC43),2)</f>
        <v>10061.97</v>
      </c>
      <c r="AD44" s="159"/>
    </row>
    <row r="45" spans="2:30" s="127" customFormat="1" ht="9.75" thickTop="1">
      <c r="B45" s="250"/>
      <c r="C45" s="129"/>
      <c r="D45" s="129"/>
      <c r="E45" s="129"/>
      <c r="F45" s="130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  <c r="U45" s="252"/>
      <c r="V45" s="252"/>
      <c r="W45" s="252"/>
      <c r="X45" s="252"/>
      <c r="Y45" s="252"/>
      <c r="Z45" s="252"/>
      <c r="AA45" s="252"/>
      <c r="AB45" s="251"/>
      <c r="AC45" s="253"/>
      <c r="AD45" s="254"/>
    </row>
    <row r="46" spans="2:30" s="1" customFormat="1" ht="16.5" customHeight="1" thickBot="1"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</row>
    <row r="47" spans="2:30" ht="16.5" customHeight="1" thickTop="1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9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1" width="16.28125" style="5" customWidth="1"/>
    <col min="12" max="12" width="16.4218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'TOT-0415'!B2</f>
        <v>ANEXO V al Memorándum D.T.E.E. N° 814   / 2015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'TOT-0415'!B14</f>
        <v>Desde el 01 al 30 de abril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0.244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60*'TOT-0415'!B13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9">
        <v>3</v>
      </c>
      <c r="D18" s="419">
        <v>4</v>
      </c>
      <c r="E18" s="419">
        <v>5</v>
      </c>
      <c r="F18" s="419">
        <v>6</v>
      </c>
      <c r="G18" s="419">
        <v>7</v>
      </c>
      <c r="H18" s="419">
        <v>8</v>
      </c>
      <c r="I18" s="419">
        <v>9</v>
      </c>
      <c r="J18" s="419">
        <v>10</v>
      </c>
      <c r="K18" s="419">
        <v>11</v>
      </c>
      <c r="L18" s="419">
        <v>12</v>
      </c>
      <c r="M18" s="419">
        <v>13</v>
      </c>
      <c r="N18" s="419">
        <v>14</v>
      </c>
      <c r="O18" s="419">
        <v>15</v>
      </c>
      <c r="P18" s="419">
        <v>16</v>
      </c>
      <c r="Q18" s="419">
        <v>17</v>
      </c>
      <c r="R18" s="419">
        <v>18</v>
      </c>
      <c r="S18" s="419">
        <v>19</v>
      </c>
      <c r="T18" s="419">
        <v>20</v>
      </c>
      <c r="U18" s="419">
        <v>21</v>
      </c>
      <c r="V18" s="419">
        <v>22</v>
      </c>
      <c r="W18" s="419">
        <v>23</v>
      </c>
      <c r="X18" s="419">
        <v>24</v>
      </c>
      <c r="Y18" s="419">
        <v>25</v>
      </c>
      <c r="Z18" s="419">
        <v>26</v>
      </c>
      <c r="AA18" s="419">
        <v>27</v>
      </c>
      <c r="AB18" s="419">
        <v>28</v>
      </c>
      <c r="AC18" s="419">
        <v>29</v>
      </c>
      <c r="AD18" s="159"/>
    </row>
    <row r="19" spans="2:30" s="179" customFormat="1" ht="34.5" customHeight="1" thickBot="1" thickTop="1">
      <c r="B19" s="180"/>
      <c r="C19" s="417" t="s">
        <v>13</v>
      </c>
      <c r="D19" s="417" t="s">
        <v>71</v>
      </c>
      <c r="E19" s="417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2"/>
      <c r="L20" s="403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'T-04 (3)'!AC44</f>
        <v>10061.97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8"/>
      <c r="L21" s="429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132</v>
      </c>
      <c r="D22" s="209">
        <v>288006</v>
      </c>
      <c r="E22" s="209">
        <v>2259</v>
      </c>
      <c r="F22" s="77" t="s">
        <v>154</v>
      </c>
      <c r="G22" s="79" t="s">
        <v>155</v>
      </c>
      <c r="H22" s="222">
        <v>15</v>
      </c>
      <c r="I22" s="90" t="s">
        <v>116</v>
      </c>
      <c r="J22" s="224">
        <f aca="true" t="shared" si="0" ref="J22:J41">H22*$I$16</f>
        <v>3.66</v>
      </c>
      <c r="K22" s="428">
        <v>42121.38402777778</v>
      </c>
      <c r="L22" s="428">
        <v>42121.611805555556</v>
      </c>
      <c r="M22" s="225">
        <f aca="true" t="shared" si="1" ref="M22:M41">IF(F22="","",(L22-K22)*24)</f>
        <v>5.466666666674428</v>
      </c>
      <c r="N22" s="226">
        <f aca="true" t="shared" si="2" ref="N22:N41">IF(F22="","",ROUND((L22-K22)*24*60,0))</f>
        <v>328</v>
      </c>
      <c r="O22" s="227" t="s">
        <v>76</v>
      </c>
      <c r="P22" s="420" t="str">
        <f>IF(F22="","",IF(OR(O22="P",O22="RP"),"--","NO"))</f>
        <v>--</v>
      </c>
      <c r="Q22" s="420" t="s">
        <v>78</v>
      </c>
      <c r="R22" s="420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12.012120000000003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20" t="s">
        <v>77</v>
      </c>
      <c r="AC22" s="237">
        <f>IF(F22="","",SUM(T22:AA22)*IF(AB22="SI",1,2)*IF(AND(Q22&lt;&gt;"0,000",O22="RF"),Q22/100,1))</f>
        <v>12.012120000000003</v>
      </c>
      <c r="AD22" s="238"/>
    </row>
    <row r="23" spans="2:30" s="1" customFormat="1" ht="16.5" customHeight="1">
      <c r="B23" s="158"/>
      <c r="C23" s="209">
        <v>133</v>
      </c>
      <c r="D23" s="209">
        <v>288010</v>
      </c>
      <c r="E23" s="209">
        <v>2325</v>
      </c>
      <c r="F23" s="77" t="s">
        <v>156</v>
      </c>
      <c r="G23" s="79" t="s">
        <v>136</v>
      </c>
      <c r="H23" s="222">
        <v>5</v>
      </c>
      <c r="I23" s="90" t="s">
        <v>144</v>
      </c>
      <c r="J23" s="224">
        <f t="shared" si="0"/>
        <v>1.22</v>
      </c>
      <c r="K23" s="428">
        <v>42122.34444444445</v>
      </c>
      <c r="L23" s="428">
        <v>42122.649305555555</v>
      </c>
      <c r="M23" s="225">
        <f t="shared" si="1"/>
        <v>7.316666666592937</v>
      </c>
      <c r="N23" s="226">
        <f t="shared" si="2"/>
        <v>439</v>
      </c>
      <c r="O23" s="227" t="s">
        <v>76</v>
      </c>
      <c r="P23" s="420" t="str">
        <f aca="true" t="shared" si="13" ref="P23:P41">IF(F23="","",IF(OR(O23="P",O23="RP"),"--","NO"))</f>
        <v>--</v>
      </c>
      <c r="Q23" s="420" t="s">
        <v>78</v>
      </c>
      <c r="R23" s="420" t="str">
        <f t="shared" si="3"/>
        <v>NO</v>
      </c>
      <c r="S23" s="105">
        <f t="shared" si="4"/>
        <v>0.6000000000000001</v>
      </c>
      <c r="T23" s="229">
        <f t="shared" si="5"/>
        <v>5.358240000000001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0" t="s">
        <v>77</v>
      </c>
      <c r="AC23" s="237">
        <f aca="true" t="shared" si="14" ref="AC23:AC41">IF(F23="","",SUM(T23:AA23)*IF(AB23="SI",1,2)*IF(AND(Q23&lt;&gt;"0,000",O23="RF"),Q23/100,1))</f>
        <v>5.358240000000001</v>
      </c>
      <c r="AD23" s="238"/>
    </row>
    <row r="24" spans="2:30" s="1" customFormat="1" ht="16.5" customHeight="1">
      <c r="B24" s="158"/>
      <c r="C24" s="209">
        <v>134</v>
      </c>
      <c r="D24" s="209">
        <v>288013</v>
      </c>
      <c r="E24" s="209">
        <v>2477</v>
      </c>
      <c r="F24" s="77" t="s">
        <v>153</v>
      </c>
      <c r="G24" s="79" t="s">
        <v>115</v>
      </c>
      <c r="H24" s="222">
        <v>15</v>
      </c>
      <c r="I24" s="90" t="s">
        <v>116</v>
      </c>
      <c r="J24" s="224">
        <f t="shared" si="0"/>
        <v>3.66</v>
      </c>
      <c r="K24" s="428">
        <v>42122.36388888889</v>
      </c>
      <c r="L24" s="428">
        <v>42122.67222222222</v>
      </c>
      <c r="M24" s="225">
        <f t="shared" si="1"/>
        <v>7.400000000023283</v>
      </c>
      <c r="N24" s="226">
        <f t="shared" si="2"/>
        <v>444</v>
      </c>
      <c r="O24" s="227" t="s">
        <v>76</v>
      </c>
      <c r="P24" s="420" t="str">
        <f t="shared" si="13"/>
        <v>--</v>
      </c>
      <c r="Q24" s="420" t="s">
        <v>78</v>
      </c>
      <c r="R24" s="420" t="str">
        <f t="shared" si="3"/>
        <v>NO</v>
      </c>
      <c r="S24" s="105">
        <f t="shared" si="4"/>
        <v>0.6000000000000001</v>
      </c>
      <c r="T24" s="229">
        <f t="shared" si="5"/>
        <v>16.250400000000006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0" t="s">
        <v>77</v>
      </c>
      <c r="AC24" s="237">
        <f t="shared" si="14"/>
        <v>16.250400000000006</v>
      </c>
      <c r="AD24" s="159"/>
    </row>
    <row r="25" spans="2:30" s="1" customFormat="1" ht="16.5" customHeight="1">
      <c r="B25" s="158"/>
      <c r="C25" s="209">
        <v>135</v>
      </c>
      <c r="D25" s="209">
        <v>288014</v>
      </c>
      <c r="E25" s="209">
        <v>2096</v>
      </c>
      <c r="F25" s="77" t="s">
        <v>140</v>
      </c>
      <c r="G25" s="79" t="s">
        <v>118</v>
      </c>
      <c r="H25" s="222">
        <v>44</v>
      </c>
      <c r="I25" s="90" t="s">
        <v>116</v>
      </c>
      <c r="J25" s="224">
        <f t="shared" si="0"/>
        <v>10.736</v>
      </c>
      <c r="K25" s="428">
        <v>42122.364583333336</v>
      </c>
      <c r="L25" s="428">
        <v>42122.61944444444</v>
      </c>
      <c r="M25" s="225">
        <f t="shared" si="1"/>
        <v>6.116666666523088</v>
      </c>
      <c r="N25" s="226">
        <f t="shared" si="2"/>
        <v>367</v>
      </c>
      <c r="O25" s="227" t="s">
        <v>76</v>
      </c>
      <c r="P25" s="420" t="str">
        <f t="shared" si="13"/>
        <v>--</v>
      </c>
      <c r="Q25" s="420" t="s">
        <v>78</v>
      </c>
      <c r="R25" s="420" t="str">
        <f t="shared" si="3"/>
        <v>NO</v>
      </c>
      <c r="S25" s="105">
        <f t="shared" si="4"/>
        <v>0.6000000000000001</v>
      </c>
      <c r="T25" s="229">
        <f t="shared" si="5"/>
        <v>39.42259200000001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0" t="s">
        <v>77</v>
      </c>
      <c r="AC25" s="237">
        <f t="shared" si="14"/>
        <v>39.42259200000001</v>
      </c>
      <c r="AD25" s="159"/>
    </row>
    <row r="26" spans="2:30" s="1" customFormat="1" ht="16.5" customHeight="1">
      <c r="B26" s="158"/>
      <c r="C26" s="209">
        <v>136</v>
      </c>
      <c r="D26" s="209">
        <v>288017</v>
      </c>
      <c r="E26" s="209">
        <v>2649</v>
      </c>
      <c r="F26" s="77" t="s">
        <v>157</v>
      </c>
      <c r="G26" s="79" t="s">
        <v>136</v>
      </c>
      <c r="H26" s="222">
        <v>15</v>
      </c>
      <c r="I26" s="90" t="s">
        <v>116</v>
      </c>
      <c r="J26" s="224">
        <f t="shared" si="0"/>
        <v>3.66</v>
      </c>
      <c r="K26" s="428">
        <v>42122.36736111111</v>
      </c>
      <c r="L26" s="428">
        <v>42122.75069444445</v>
      </c>
      <c r="M26" s="225">
        <f t="shared" si="1"/>
        <v>9.200000000128057</v>
      </c>
      <c r="N26" s="226">
        <f t="shared" si="2"/>
        <v>552</v>
      </c>
      <c r="O26" s="227" t="s">
        <v>76</v>
      </c>
      <c r="P26" s="420" t="str">
        <f t="shared" si="13"/>
        <v>--</v>
      </c>
      <c r="Q26" s="420" t="s">
        <v>78</v>
      </c>
      <c r="R26" s="420" t="str">
        <f t="shared" si="3"/>
        <v>NO</v>
      </c>
      <c r="S26" s="105">
        <f t="shared" si="4"/>
        <v>0.6000000000000001</v>
      </c>
      <c r="T26" s="229">
        <f t="shared" si="5"/>
        <v>20.203200000000002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0" t="s">
        <v>77</v>
      </c>
      <c r="AC26" s="237">
        <f t="shared" si="14"/>
        <v>20.203200000000002</v>
      </c>
      <c r="AD26" s="159"/>
    </row>
    <row r="27" spans="2:30" s="1" customFormat="1" ht="16.5" customHeight="1">
      <c r="B27" s="158"/>
      <c r="C27" s="209">
        <v>137</v>
      </c>
      <c r="D27" s="209">
        <v>288020</v>
      </c>
      <c r="E27" s="209">
        <v>2465</v>
      </c>
      <c r="F27" s="77" t="s">
        <v>119</v>
      </c>
      <c r="G27" s="79" t="s">
        <v>115</v>
      </c>
      <c r="H27" s="222">
        <v>20</v>
      </c>
      <c r="I27" s="90" t="s">
        <v>116</v>
      </c>
      <c r="J27" s="224">
        <f t="shared" si="0"/>
        <v>4.88</v>
      </c>
      <c r="K27" s="428">
        <v>42122.40277777778</v>
      </c>
      <c r="L27" s="428">
        <v>42122.638194444444</v>
      </c>
      <c r="M27" s="225">
        <f t="shared" si="1"/>
        <v>5.649999999906868</v>
      </c>
      <c r="N27" s="226">
        <f t="shared" si="2"/>
        <v>339</v>
      </c>
      <c r="O27" s="227" t="s">
        <v>76</v>
      </c>
      <c r="P27" s="420" t="str">
        <f t="shared" si="13"/>
        <v>--</v>
      </c>
      <c r="Q27" s="420" t="s">
        <v>78</v>
      </c>
      <c r="R27" s="420" t="str">
        <f t="shared" si="3"/>
        <v>NO</v>
      </c>
      <c r="S27" s="105">
        <f t="shared" si="4"/>
        <v>0.6000000000000001</v>
      </c>
      <c r="T27" s="229">
        <f t="shared" si="5"/>
        <v>16.543200000000002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0" t="s">
        <v>77</v>
      </c>
      <c r="AC27" s="237">
        <f t="shared" si="14"/>
        <v>16.543200000000002</v>
      </c>
      <c r="AD27" s="159"/>
    </row>
    <row r="28" spans="2:30" s="1" customFormat="1" ht="16.5" customHeight="1">
      <c r="B28" s="158"/>
      <c r="C28" s="209">
        <v>138</v>
      </c>
      <c r="D28" s="209">
        <v>288048</v>
      </c>
      <c r="E28" s="209">
        <v>2649</v>
      </c>
      <c r="F28" s="77" t="s">
        <v>157</v>
      </c>
      <c r="G28" s="79" t="s">
        <v>136</v>
      </c>
      <c r="H28" s="222">
        <v>15</v>
      </c>
      <c r="I28" s="90" t="s">
        <v>116</v>
      </c>
      <c r="J28" s="224">
        <f t="shared" si="0"/>
        <v>3.66</v>
      </c>
      <c r="K28" s="428">
        <v>42122.751388888886</v>
      </c>
      <c r="L28" s="428">
        <v>42124.99930555555</v>
      </c>
      <c r="M28" s="225">
        <f t="shared" si="1"/>
        <v>53.95000000001164</v>
      </c>
      <c r="N28" s="226">
        <f t="shared" si="2"/>
        <v>3237</v>
      </c>
      <c r="O28" s="227" t="s">
        <v>85</v>
      </c>
      <c r="P28" s="420" t="str">
        <f t="shared" si="13"/>
        <v>NO</v>
      </c>
      <c r="Q28" s="420" t="s">
        <v>78</v>
      </c>
      <c r="R28" s="420" t="str">
        <f t="shared" si="3"/>
        <v>NO</v>
      </c>
      <c r="S28" s="105">
        <f t="shared" si="4"/>
        <v>6</v>
      </c>
      <c r="T28" s="229" t="str">
        <f t="shared" si="5"/>
        <v>--</v>
      </c>
      <c r="U28" s="230" t="str">
        <f t="shared" si="6"/>
        <v>--</v>
      </c>
      <c r="V28" s="231">
        <f t="shared" si="7"/>
        <v>21.96</v>
      </c>
      <c r="W28" s="232">
        <f t="shared" si="8"/>
        <v>1184.7420000000002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0" t="s">
        <v>77</v>
      </c>
      <c r="AC28" s="237">
        <f t="shared" si="14"/>
        <v>1206.7020000000002</v>
      </c>
      <c r="AD28" s="159"/>
    </row>
    <row r="29" spans="2:30" s="1" customFormat="1" ht="16.5" customHeight="1">
      <c r="B29" s="158"/>
      <c r="C29" s="209">
        <v>139</v>
      </c>
      <c r="D29" s="209">
        <v>288024</v>
      </c>
      <c r="E29" s="209">
        <v>2096</v>
      </c>
      <c r="F29" s="77" t="s">
        <v>140</v>
      </c>
      <c r="G29" s="79" t="s">
        <v>118</v>
      </c>
      <c r="H29" s="222">
        <v>44</v>
      </c>
      <c r="I29" s="90" t="s">
        <v>116</v>
      </c>
      <c r="J29" s="224">
        <f t="shared" si="0"/>
        <v>10.736</v>
      </c>
      <c r="K29" s="428">
        <v>42123.34652777778</v>
      </c>
      <c r="L29" s="428">
        <v>42123.61666666667</v>
      </c>
      <c r="M29" s="225">
        <f t="shared" si="1"/>
        <v>6.483333333337214</v>
      </c>
      <c r="N29" s="226">
        <f t="shared" si="2"/>
        <v>389</v>
      </c>
      <c r="O29" s="227" t="s">
        <v>76</v>
      </c>
      <c r="P29" s="420" t="str">
        <f t="shared" si="13"/>
        <v>--</v>
      </c>
      <c r="Q29" s="420" t="s">
        <v>78</v>
      </c>
      <c r="R29" s="420" t="str">
        <f t="shared" si="3"/>
        <v>NO</v>
      </c>
      <c r="S29" s="105">
        <f t="shared" si="4"/>
        <v>0.6000000000000001</v>
      </c>
      <c r="T29" s="229">
        <f t="shared" si="5"/>
        <v>41.74156800000001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0" t="s">
        <v>77</v>
      </c>
      <c r="AC29" s="237">
        <f t="shared" si="14"/>
        <v>41.74156800000001</v>
      </c>
      <c r="AD29" s="159"/>
    </row>
    <row r="30" spans="2:30" s="1" customFormat="1" ht="16.5" customHeight="1">
      <c r="B30" s="158"/>
      <c r="C30" s="209">
        <v>140</v>
      </c>
      <c r="D30" s="209">
        <v>288026</v>
      </c>
      <c r="E30" s="209">
        <v>2465</v>
      </c>
      <c r="F30" s="77" t="s">
        <v>119</v>
      </c>
      <c r="G30" s="79" t="s">
        <v>115</v>
      </c>
      <c r="H30" s="222">
        <v>20</v>
      </c>
      <c r="I30" s="90" t="s">
        <v>116</v>
      </c>
      <c r="J30" s="224">
        <f t="shared" si="0"/>
        <v>4.88</v>
      </c>
      <c r="K30" s="428">
        <v>42123.37777777778</v>
      </c>
      <c r="L30" s="428">
        <v>42123.728472222225</v>
      </c>
      <c r="M30" s="225">
        <f t="shared" si="1"/>
        <v>8.41666666668607</v>
      </c>
      <c r="N30" s="226">
        <f t="shared" si="2"/>
        <v>505</v>
      </c>
      <c r="O30" s="227" t="s">
        <v>76</v>
      </c>
      <c r="P30" s="420" t="str">
        <f t="shared" si="13"/>
        <v>--</v>
      </c>
      <c r="Q30" s="420" t="s">
        <v>78</v>
      </c>
      <c r="R30" s="420" t="str">
        <f t="shared" si="3"/>
        <v>NO</v>
      </c>
      <c r="S30" s="105">
        <f t="shared" si="4"/>
        <v>0.6000000000000001</v>
      </c>
      <c r="T30" s="229">
        <f t="shared" si="5"/>
        <v>24.653760000000002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0" t="s">
        <v>77</v>
      </c>
      <c r="AC30" s="237">
        <f t="shared" si="14"/>
        <v>24.653760000000002</v>
      </c>
      <c r="AD30" s="159"/>
    </row>
    <row r="31" spans="2:30" s="1" customFormat="1" ht="16.5" customHeight="1">
      <c r="B31" s="158"/>
      <c r="C31" s="209">
        <v>141</v>
      </c>
      <c r="D31" s="209">
        <v>288029</v>
      </c>
      <c r="E31" s="209">
        <v>4638</v>
      </c>
      <c r="F31" s="77" t="s">
        <v>158</v>
      </c>
      <c r="G31" s="79" t="s">
        <v>115</v>
      </c>
      <c r="H31" s="222">
        <v>15</v>
      </c>
      <c r="I31" s="90" t="s">
        <v>116</v>
      </c>
      <c r="J31" s="224">
        <f t="shared" si="0"/>
        <v>3.66</v>
      </c>
      <c r="K31" s="428">
        <v>42123.42569444444</v>
      </c>
      <c r="L31" s="428">
        <v>42123.71666666667</v>
      </c>
      <c r="M31" s="225">
        <f t="shared" si="1"/>
        <v>6.9833333333954215</v>
      </c>
      <c r="N31" s="226">
        <f t="shared" si="2"/>
        <v>419</v>
      </c>
      <c r="O31" s="227" t="s">
        <v>85</v>
      </c>
      <c r="P31" s="420" t="str">
        <f t="shared" si="13"/>
        <v>NO</v>
      </c>
      <c r="Q31" s="420" t="s">
        <v>78</v>
      </c>
      <c r="R31" s="420" t="str">
        <f t="shared" si="3"/>
        <v>NO</v>
      </c>
      <c r="S31" s="105">
        <f t="shared" si="4"/>
        <v>6</v>
      </c>
      <c r="T31" s="229" t="str">
        <f t="shared" si="5"/>
        <v>--</v>
      </c>
      <c r="U31" s="230" t="str">
        <f t="shared" si="6"/>
        <v>--</v>
      </c>
      <c r="V31" s="231">
        <f t="shared" si="7"/>
        <v>21.96</v>
      </c>
      <c r="W31" s="232">
        <f t="shared" si="8"/>
        <v>153.28080000000003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0" t="s">
        <v>77</v>
      </c>
      <c r="AC31" s="237">
        <f t="shared" si="14"/>
        <v>175.24080000000004</v>
      </c>
      <c r="AD31" s="159"/>
    </row>
    <row r="32" spans="2:30" s="1" customFormat="1" ht="16.5" customHeight="1">
      <c r="B32" s="158"/>
      <c r="C32" s="209">
        <v>142</v>
      </c>
      <c r="D32" s="209">
        <v>288033</v>
      </c>
      <c r="E32" s="209">
        <v>2465</v>
      </c>
      <c r="F32" s="77" t="s">
        <v>119</v>
      </c>
      <c r="G32" s="79" t="s">
        <v>115</v>
      </c>
      <c r="H32" s="222">
        <v>20</v>
      </c>
      <c r="I32" s="90" t="s">
        <v>116</v>
      </c>
      <c r="J32" s="224">
        <f t="shared" si="0"/>
        <v>4.88</v>
      </c>
      <c r="K32" s="428">
        <v>42124.34375</v>
      </c>
      <c r="L32" s="428">
        <v>42124.635416666664</v>
      </c>
      <c r="M32" s="225">
        <f t="shared" si="1"/>
        <v>6.999999999941792</v>
      </c>
      <c r="N32" s="226">
        <f t="shared" si="2"/>
        <v>420</v>
      </c>
      <c r="O32" s="227" t="s">
        <v>76</v>
      </c>
      <c r="P32" s="420" t="str">
        <f t="shared" si="13"/>
        <v>--</v>
      </c>
      <c r="Q32" s="420" t="s">
        <v>78</v>
      </c>
      <c r="R32" s="420" t="str">
        <f t="shared" si="3"/>
        <v>NO</v>
      </c>
      <c r="S32" s="105">
        <f t="shared" si="4"/>
        <v>0.6000000000000001</v>
      </c>
      <c r="T32" s="229">
        <f t="shared" si="5"/>
        <v>20.496000000000002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0" t="s">
        <v>77</v>
      </c>
      <c r="AC32" s="237">
        <f t="shared" si="14"/>
        <v>20.496000000000002</v>
      </c>
      <c r="AD32" s="159"/>
    </row>
    <row r="33" spans="2:30" s="1" customFormat="1" ht="16.5" customHeight="1">
      <c r="B33" s="158"/>
      <c r="C33" s="209">
        <v>143</v>
      </c>
      <c r="D33" s="209">
        <v>288036</v>
      </c>
      <c r="E33" s="209">
        <v>2259</v>
      </c>
      <c r="F33" s="77" t="s">
        <v>154</v>
      </c>
      <c r="G33" s="79" t="s">
        <v>155</v>
      </c>
      <c r="H33" s="222">
        <v>15</v>
      </c>
      <c r="I33" s="90" t="s">
        <v>116</v>
      </c>
      <c r="J33" s="224">
        <f t="shared" si="0"/>
        <v>3.66</v>
      </c>
      <c r="K33" s="428">
        <v>42124.38402777778</v>
      </c>
      <c r="L33" s="428">
        <v>42124.59861111111</v>
      </c>
      <c r="M33" s="225">
        <f t="shared" si="1"/>
        <v>5.150000000023283</v>
      </c>
      <c r="N33" s="226">
        <f t="shared" si="2"/>
        <v>309</v>
      </c>
      <c r="O33" s="227" t="s">
        <v>76</v>
      </c>
      <c r="P33" s="420" t="str">
        <f t="shared" si="13"/>
        <v>--</v>
      </c>
      <c r="Q33" s="420" t="s">
        <v>78</v>
      </c>
      <c r="R33" s="420" t="str">
        <f t="shared" si="3"/>
        <v>NO</v>
      </c>
      <c r="S33" s="105">
        <f t="shared" si="4"/>
        <v>0.6000000000000001</v>
      </c>
      <c r="T33" s="229">
        <f t="shared" si="5"/>
        <v>11.309400000000004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0" t="s">
        <v>77</v>
      </c>
      <c r="AC33" s="237">
        <f t="shared" si="14"/>
        <v>11.309400000000004</v>
      </c>
      <c r="AD33" s="159"/>
    </row>
    <row r="34" spans="2:30" s="1" customFormat="1" ht="16.5" customHeight="1">
      <c r="B34" s="158"/>
      <c r="C34" s="209"/>
      <c r="D34" s="209"/>
      <c r="E34" s="209"/>
      <c r="F34" s="77"/>
      <c r="G34" s="79"/>
      <c r="H34" s="222"/>
      <c r="I34" s="223"/>
      <c r="J34" s="224">
        <f t="shared" si="0"/>
        <v>0</v>
      </c>
      <c r="K34" s="428"/>
      <c r="L34" s="428"/>
      <c r="M34" s="225">
        <f t="shared" si="1"/>
      </c>
      <c r="N34" s="226">
        <f t="shared" si="2"/>
      </c>
      <c r="O34" s="227"/>
      <c r="P34" s="420">
        <f t="shared" si="13"/>
      </c>
      <c r="Q34" s="421">
        <f aca="true" t="shared" si="15" ref="Q34:Q41">IF(F34="","","--")</f>
      </c>
      <c r="R34" s="420">
        <f t="shared" si="3"/>
      </c>
      <c r="S34" s="105">
        <f t="shared" si="4"/>
        <v>6</v>
      </c>
      <c r="T34" s="229" t="str">
        <f t="shared" si="5"/>
        <v>--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0">
        <f aca="true" t="shared" si="16" ref="AB34:AB41">IF(F34="","","SI")</f>
      </c>
      <c r="AC34" s="237">
        <f t="shared" si="14"/>
      </c>
      <c r="AD34" s="159"/>
    </row>
    <row r="35" spans="2:30" s="1" customFormat="1" ht="16.5" customHeight="1">
      <c r="B35" s="158"/>
      <c r="C35" s="209"/>
      <c r="D35" s="209"/>
      <c r="E35" s="209"/>
      <c r="F35" s="77"/>
      <c r="G35" s="79"/>
      <c r="H35" s="222"/>
      <c r="I35" s="223"/>
      <c r="J35" s="224">
        <f t="shared" si="0"/>
        <v>0</v>
      </c>
      <c r="K35" s="428"/>
      <c r="L35" s="428"/>
      <c r="M35" s="225">
        <f t="shared" si="1"/>
      </c>
      <c r="N35" s="226">
        <f t="shared" si="2"/>
      </c>
      <c r="O35" s="227"/>
      <c r="P35" s="420">
        <f t="shared" si="13"/>
      </c>
      <c r="Q35" s="421">
        <f t="shared" si="15"/>
      </c>
      <c r="R35" s="420">
        <f t="shared" si="3"/>
      </c>
      <c r="S35" s="105">
        <f t="shared" si="4"/>
        <v>6</v>
      </c>
      <c r="T35" s="229" t="str">
        <f t="shared" si="5"/>
        <v>--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0">
        <f t="shared" si="16"/>
      </c>
      <c r="AC35" s="237">
        <f t="shared" si="14"/>
      </c>
      <c r="AD35" s="159"/>
    </row>
    <row r="36" spans="2:30" s="1" customFormat="1" ht="16.5" customHeight="1">
      <c r="B36" s="158"/>
      <c r="C36" s="209"/>
      <c r="D36" s="209"/>
      <c r="E36" s="209"/>
      <c r="F36" s="77"/>
      <c r="G36" s="79"/>
      <c r="H36" s="222"/>
      <c r="I36" s="223"/>
      <c r="J36" s="224">
        <f t="shared" si="0"/>
        <v>0</v>
      </c>
      <c r="K36" s="428"/>
      <c r="L36" s="428"/>
      <c r="M36" s="225">
        <f t="shared" si="1"/>
      </c>
      <c r="N36" s="226">
        <f t="shared" si="2"/>
      </c>
      <c r="O36" s="227"/>
      <c r="P36" s="420">
        <f t="shared" si="13"/>
      </c>
      <c r="Q36" s="421">
        <f t="shared" si="15"/>
      </c>
      <c r="R36" s="420">
        <f t="shared" si="3"/>
      </c>
      <c r="S36" s="105">
        <f t="shared" si="4"/>
        <v>6</v>
      </c>
      <c r="T36" s="229" t="str">
        <f t="shared" si="5"/>
        <v>--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0">
        <f t="shared" si="16"/>
      </c>
      <c r="AC36" s="237">
        <f t="shared" si="14"/>
      </c>
      <c r="AD36" s="159"/>
    </row>
    <row r="37" spans="2:30" s="1" customFormat="1" ht="16.5" customHeight="1">
      <c r="B37" s="158"/>
      <c r="C37" s="209"/>
      <c r="D37" s="209"/>
      <c r="E37" s="209"/>
      <c r="F37" s="77"/>
      <c r="G37" s="79"/>
      <c r="H37" s="222"/>
      <c r="I37" s="223"/>
      <c r="J37" s="224">
        <f t="shared" si="0"/>
        <v>0</v>
      </c>
      <c r="K37" s="428"/>
      <c r="L37" s="428"/>
      <c r="M37" s="225">
        <f t="shared" si="1"/>
      </c>
      <c r="N37" s="226">
        <f t="shared" si="2"/>
      </c>
      <c r="O37" s="227"/>
      <c r="P37" s="420">
        <f t="shared" si="13"/>
      </c>
      <c r="Q37" s="421">
        <f t="shared" si="15"/>
      </c>
      <c r="R37" s="420">
        <f t="shared" si="3"/>
      </c>
      <c r="S37" s="105">
        <f t="shared" si="4"/>
        <v>6</v>
      </c>
      <c r="T37" s="229" t="str">
        <f t="shared" si="5"/>
        <v>--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0">
        <f t="shared" si="16"/>
      </c>
      <c r="AC37" s="237">
        <f t="shared" si="14"/>
      </c>
      <c r="AD37" s="159"/>
    </row>
    <row r="38" spans="2:30" s="1" customFormat="1" ht="16.5" customHeight="1">
      <c r="B38" s="158"/>
      <c r="C38" s="209"/>
      <c r="D38" s="209"/>
      <c r="E38" s="209"/>
      <c r="F38" s="77"/>
      <c r="G38" s="79"/>
      <c r="H38" s="222"/>
      <c r="I38" s="223"/>
      <c r="J38" s="224">
        <f t="shared" si="0"/>
        <v>0</v>
      </c>
      <c r="K38" s="428"/>
      <c r="L38" s="428"/>
      <c r="M38" s="225">
        <f t="shared" si="1"/>
      </c>
      <c r="N38" s="226">
        <f t="shared" si="2"/>
      </c>
      <c r="O38" s="227"/>
      <c r="P38" s="420">
        <f t="shared" si="13"/>
      </c>
      <c r="Q38" s="421">
        <f t="shared" si="15"/>
      </c>
      <c r="R38" s="420">
        <f t="shared" si="3"/>
      </c>
      <c r="S38" s="105">
        <f t="shared" si="4"/>
        <v>6</v>
      </c>
      <c r="T38" s="229" t="str">
        <f t="shared" si="5"/>
        <v>--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0">
        <f t="shared" si="16"/>
      </c>
      <c r="AC38" s="237">
        <f t="shared" si="14"/>
      </c>
      <c r="AD38" s="159"/>
    </row>
    <row r="39" spans="2:30" s="1" customFormat="1" ht="16.5" customHeight="1">
      <c r="B39" s="158"/>
      <c r="C39" s="209"/>
      <c r="D39" s="209"/>
      <c r="E39" s="209"/>
      <c r="F39" s="77"/>
      <c r="G39" s="79"/>
      <c r="H39" s="222"/>
      <c r="I39" s="223"/>
      <c r="J39" s="224">
        <f t="shared" si="0"/>
        <v>0</v>
      </c>
      <c r="K39" s="428"/>
      <c r="L39" s="428"/>
      <c r="M39" s="225">
        <f t="shared" si="1"/>
      </c>
      <c r="N39" s="226">
        <f t="shared" si="2"/>
      </c>
      <c r="O39" s="227"/>
      <c r="P39" s="420">
        <f t="shared" si="13"/>
      </c>
      <c r="Q39" s="421">
        <f t="shared" si="15"/>
      </c>
      <c r="R39" s="420">
        <f t="shared" si="3"/>
      </c>
      <c r="S39" s="105">
        <f t="shared" si="4"/>
        <v>6</v>
      </c>
      <c r="T39" s="229" t="str">
        <f t="shared" si="5"/>
        <v>--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0">
        <f t="shared" si="16"/>
      </c>
      <c r="AC39" s="237">
        <f t="shared" si="14"/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28"/>
      <c r="L40" s="428"/>
      <c r="M40" s="225">
        <f t="shared" si="1"/>
      </c>
      <c r="N40" s="226">
        <f t="shared" si="2"/>
      </c>
      <c r="O40" s="227"/>
      <c r="P40" s="420">
        <f t="shared" si="13"/>
      </c>
      <c r="Q40" s="421">
        <f t="shared" si="15"/>
      </c>
      <c r="R40" s="420">
        <f t="shared" si="3"/>
      </c>
      <c r="S40" s="105">
        <f t="shared" si="4"/>
        <v>6</v>
      </c>
      <c r="T40" s="229" t="str">
        <f t="shared" si="5"/>
        <v>--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0">
        <f t="shared" si="16"/>
      </c>
      <c r="AC40" s="237">
        <f t="shared" si="14"/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28"/>
      <c r="L41" s="428"/>
      <c r="M41" s="225">
        <f t="shared" si="1"/>
      </c>
      <c r="N41" s="226">
        <f t="shared" si="2"/>
      </c>
      <c r="O41" s="227"/>
      <c r="P41" s="420">
        <f t="shared" si="13"/>
      </c>
      <c r="Q41" s="421">
        <f t="shared" si="15"/>
      </c>
      <c r="R41" s="420">
        <f t="shared" si="3"/>
      </c>
      <c r="S41" s="105">
        <f t="shared" si="4"/>
        <v>6</v>
      </c>
      <c r="T41" s="229" t="str">
        <f t="shared" si="5"/>
        <v>--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0">
        <f t="shared" si="16"/>
      </c>
      <c r="AC41" s="237">
        <f t="shared" si="14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4"/>
      <c r="L42" s="404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49" t="s">
        <v>210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207.99048000000008</v>
      </c>
      <c r="U43" s="243">
        <f>SUM(U20:U42)</f>
        <v>0</v>
      </c>
      <c r="V43" s="244">
        <f>SUM(V20:V42)</f>
        <v>43.92</v>
      </c>
      <c r="W43" s="245">
        <f>SUM(W22:W42)</f>
        <v>1338.0228000000002</v>
      </c>
      <c r="X43" s="246">
        <f>SUM(X20:X42)</f>
        <v>0</v>
      </c>
      <c r="Y43" s="246">
        <f>SUM(Y22:Y42)</f>
        <v>0</v>
      </c>
      <c r="Z43" s="247">
        <f>SUM(Z20:Z42)</f>
        <v>0</v>
      </c>
      <c r="AA43" s="248">
        <f>SUM(AA22:AA42)</f>
        <v>0</v>
      </c>
      <c r="AB43" s="249"/>
      <c r="AC43" s="414">
        <f>ROUND(SUM(AC20:AC42),2)</f>
        <v>11651.9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Jaworski</cp:lastModifiedBy>
  <cp:lastPrinted>2015-08-07T11:15:52Z</cp:lastPrinted>
  <dcterms:created xsi:type="dcterms:W3CDTF">1998-09-02T21:36:20Z</dcterms:created>
  <dcterms:modified xsi:type="dcterms:W3CDTF">2015-12-29T14:54:08Z</dcterms:modified>
  <cp:category/>
  <cp:version/>
  <cp:contentType/>
  <cp:contentStatus/>
</cp:coreProperties>
</file>