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300" windowWidth="11970" windowHeight="3345" tabRatio="678" activeTab="0"/>
  </bookViews>
  <sheets>
    <sheet name="TOT-0215" sheetId="1" r:id="rId1"/>
    <sheet name="LI-02 (1)" sheetId="2" r:id="rId2"/>
    <sheet name="LI-02 (2)" sheetId="3" r:id="rId3"/>
    <sheet name="Condiciones Climaticas 313-01" sheetId="4" r:id="rId4"/>
    <sheet name="T-02 (1)" sheetId="5" r:id="rId5"/>
    <sheet name="T-02 (2)" sheetId="6" r:id="rId6"/>
    <sheet name="SA-02 (1)" sheetId="7" r:id="rId7"/>
    <sheet name="SA-02 (2)" sheetId="8" r:id="rId8"/>
    <sheet name="RE-02 (1)" sheetId="9" r:id="rId9"/>
  </sheets>
  <definedNames>
    <definedName name="DD" localSheetId="3">'Condiciones Climaticas 313-01'!DD</definedName>
    <definedName name="DD">[0]!DD</definedName>
    <definedName name="DDD" localSheetId="3">'Condiciones Climaticas 313-01'!DDD</definedName>
    <definedName name="DDD">[0]!DDD</definedName>
    <definedName name="DISTROCUYO" localSheetId="3">'Condiciones Climaticas 313-01'!DISTROCUYO</definedName>
    <definedName name="DISTROCUYO">[0]!DISTROCUYO</definedName>
    <definedName name="INICIO" localSheetId="3">'Condiciones Climaticas 313-01'!INICIO</definedName>
    <definedName name="INICIO">[0]!INICIO</definedName>
    <definedName name="INICIOTI" localSheetId="3">'Condiciones Climaticas 313-01'!INICIOTI</definedName>
    <definedName name="INICIOTI">[0]!INICIOTI</definedName>
    <definedName name="LINEAS" localSheetId="3">'Condiciones Climaticas 313-01'!LINEAS</definedName>
    <definedName name="LINEAS">[0]!LINEAS</definedName>
    <definedName name="NAME_L" localSheetId="3">'Condiciones Climaticas 313-01'!NAME_L</definedName>
    <definedName name="NAME_L">[0]!NAME_L</definedName>
    <definedName name="NAME_L_TI" localSheetId="3">'Condiciones Climaticas 313-01'!NAME_L_TI</definedName>
    <definedName name="NAME_L_TI">[0]!NAME_L_TI</definedName>
    <definedName name="QITBA">#REF!</definedName>
    <definedName name="TRANSNOA" localSheetId="3">'Condiciones Climaticas 313-01'!TRANSNOA</definedName>
    <definedName name="TRANSNOA">[0]!TRANSNOA</definedName>
    <definedName name="XX" localSheetId="3">'Condiciones Climaticas 313-01'!XX</definedName>
    <definedName name="XX">[0]!XX</definedName>
  </definedNames>
  <calcPr fullCalcOnLoad="1"/>
</workbook>
</file>

<file path=xl/comments4.xml><?xml version="1.0" encoding="utf-8"?>
<comments xmlns="http://schemas.openxmlformats.org/spreadsheetml/2006/main">
  <authors>
    <author>gmir</author>
    <author>GMir</author>
  </authors>
  <commentList>
    <comment ref="AB21" authorId="0">
      <text>
        <r>
          <rPr>
            <sz val="8"/>
            <rFont val="Tahoma"/>
            <family val="0"/>
          </rPr>
          <t xml:space="preserve">
fp= 1 para atentado</t>
        </r>
      </text>
    </comment>
    <comment ref="AF21" authorId="1">
      <text>
        <r>
          <rPr>
            <b/>
            <sz val="8"/>
            <rFont val="Tahoma"/>
            <family val="0"/>
          </rPr>
          <t>GMir:</t>
        </r>
        <r>
          <rPr>
            <sz val="8"/>
            <rFont val="Tahoma"/>
            <family val="0"/>
          </rPr>
          <t xml:space="preserve">
solo paso a minutos el Tst (columna AI, porque el calculo de la PC esta hecho en minutos</t>
        </r>
      </text>
    </comment>
  </commentList>
</comments>
</file>

<file path=xl/sharedStrings.xml><?xml version="1.0" encoding="utf-8"?>
<sst xmlns="http://schemas.openxmlformats.org/spreadsheetml/2006/main" count="829" uniqueCount="219">
  <si>
    <t>TRANSBA S.A.</t>
  </si>
  <si>
    <t>LÍNEAS</t>
  </si>
  <si>
    <t>CLASE</t>
  </si>
  <si>
    <t xml:space="preserve">ENTE NACIONAL REGULADOR </t>
  </si>
  <si>
    <t>DE LA ELECTRICIDAD</t>
  </si>
  <si>
    <t>SISTEMA DE TRANSPORTE DE ENERGÍA ELÉCTRICA POR DISTRIBUCIÓN TRONCAL - TRANSBA S.A.</t>
  </si>
  <si>
    <t>1.- LÍNEAS</t>
  </si>
  <si>
    <t xml:space="preserve">$/100 km-h : LÍNEAS 220 kV </t>
  </si>
  <si>
    <t>FACTOR DE PENALIZACIÓN (CLASE A)  K=</t>
  </si>
  <si>
    <t xml:space="preserve">$/100 km-h : LÍNEAS 132 kV </t>
  </si>
  <si>
    <t>FACTOR DE PENALIZACIÓN (CLASE B)  K=</t>
  </si>
  <si>
    <t xml:space="preserve">$/100 km-h : LÍNEAS 66 kV </t>
  </si>
  <si>
    <t>FACTOR DE PENALIZACIÓN (CLASE C)  K=</t>
  </si>
  <si>
    <t>N°</t>
  </si>
  <si>
    <t>U
[kV]</t>
  </si>
  <si>
    <t>Long.
[km]</t>
  </si>
  <si>
    <t>$/h</t>
  </si>
  <si>
    <t>Salida</t>
  </si>
  <si>
    <t>Entrada</t>
  </si>
  <si>
    <t>Hs. 
Indisp</t>
  </si>
  <si>
    <t>Minutos
Indisp.</t>
  </si>
  <si>
    <t>C.R.
%</t>
  </si>
  <si>
    <t>K
(CLASE)</t>
  </si>
  <si>
    <t>PENALIZ.
PROGRAM.</t>
  </si>
  <si>
    <t>REDUCC.
PROGRAM.</t>
  </si>
  <si>
    <t>PENALIZACIÓN FORZADA
Por Salida   1ras. 3 hs.   hs. Restantes</t>
  </si>
  <si>
    <t>REDUCC. FORZADA
Por Salida   1ras. 3 hs.   hs. Restantes</t>
  </si>
  <si>
    <t>RESTANTE
FORZADA</t>
  </si>
  <si>
    <t>REDUCC.
RESTANTE</t>
  </si>
  <si>
    <t>Informó
en Térm.</t>
  </si>
  <si>
    <t>TOTAL
PENALIZAC.</t>
  </si>
  <si>
    <t>2.- CONEXIÓN</t>
  </si>
  <si>
    <t>2.1.- Transformación</t>
  </si>
  <si>
    <t>Por Transformador por MVA    $ =</t>
  </si>
  <si>
    <t>Coeficiente de penalización por salida forzada   =</t>
  </si>
  <si>
    <t>ESTACIÓN 
TRANSFORMADORA</t>
  </si>
  <si>
    <t>EQUIPO</t>
  </si>
  <si>
    <t>POT.
[MVA]</t>
  </si>
  <si>
    <t>Hs
Indisp.</t>
  </si>
  <si>
    <t>Minutos.
Indisp.</t>
  </si>
  <si>
    <t>AUT.</t>
  </si>
  <si>
    <t>E.N.S.</t>
  </si>
  <si>
    <t>K (P y ENS)</t>
  </si>
  <si>
    <t>PENALIZACIÓN FORZADA
Por Salida   hs. Restantes</t>
  </si>
  <si>
    <t>REDUCC. FORZADA
Por Salida   hs. Restantes</t>
  </si>
  <si>
    <t>Informó 
en Térm.</t>
  </si>
  <si>
    <t>SISTEMA DE TRANSPORTE DE ENERGÍA ELÉCTRICA POR DISTRIBUCIÓN TRONCAL -  TRANSBA S.A.</t>
  </si>
  <si>
    <t>2.2.- Salidas</t>
  </si>
  <si>
    <t>Salida en 220 kV</t>
  </si>
  <si>
    <t xml:space="preserve">Salida en 132 kV o 66 kV = </t>
  </si>
  <si>
    <t xml:space="preserve">Salida en 33 kV </t>
  </si>
  <si>
    <t>Salida en 13,2 kV =</t>
  </si>
  <si>
    <t>K (U)</t>
  </si>
  <si>
    <t>PENALIZAC.
PROGRAM.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</si>
  <si>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</si>
  <si>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</si>
  <si>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PRESTADOR DE LA FUNCIÓN TÉCNICA DE TRANSPORTE DE ENERGÍA ELÉCTRICA</t>
  </si>
  <si>
    <t>Sanciones duplicadas por tasa de falla &gt; 4 Sal. x año/100km.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</si>
  <si>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</si>
  <si>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</si>
  <si>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</si>
  <si>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</si>
  <si>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</si>
  <si>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</si>
  <si>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</si>
  <si>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</si>
  <si>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3.- REACTIVA</t>
  </si>
  <si>
    <t>3.1.1- Equipamiento propio Res. 01_03</t>
  </si>
  <si>
    <t>MVA    $ =</t>
  </si>
  <si>
    <t>3.-</t>
  </si>
  <si>
    <t>Equipamiento propio Res. 01_03</t>
  </si>
  <si>
    <t>Valores remuneratorios según Res. PEN N° 1460/05</t>
  </si>
  <si>
    <t>INDISP</t>
  </si>
  <si>
    <t>ID EQUIPO</t>
  </si>
  <si>
    <t>Desde el 01 al 28 de febrero de 2015</t>
  </si>
  <si>
    <t>NUEVA CAMPANA - SIDERCA 1</t>
  </si>
  <si>
    <t>C</t>
  </si>
  <si>
    <t>P</t>
  </si>
  <si>
    <t>SI</t>
  </si>
  <si>
    <t>0,000</t>
  </si>
  <si>
    <t>S. A. ARECO - LUJAN</t>
  </si>
  <si>
    <t>BAHIA BLANCA - P. LURO</t>
  </si>
  <si>
    <t>B</t>
  </si>
  <si>
    <t>F</t>
  </si>
  <si>
    <t>HENDERSON - CNEL. SUAREZ</t>
  </si>
  <si>
    <t>TRENQUE LAUQUEN - PEHUAJO</t>
  </si>
  <si>
    <t>PETROQ. BAHIA BLANCA - URBANA BB</t>
  </si>
  <si>
    <t>OLAVARRIA - AZUL</t>
  </si>
  <si>
    <t>URBANA BB - C. PIEDRABUENA</t>
  </si>
  <si>
    <t>C. DE PATAGONES - VIEDMA</t>
  </si>
  <si>
    <t>RAMALLO - URBANA SAN NICOLAS</t>
  </si>
  <si>
    <t>SALADILLO - LAS FLORES</t>
  </si>
  <si>
    <t>PERGAMINO - ARRECIFES</t>
  </si>
  <si>
    <t>SAN NICOLÁS - VILLA CONSTITUCIÓN RES.</t>
  </si>
  <si>
    <t>MERCEDES B.A. - LUJAN</t>
  </si>
  <si>
    <t xml:space="preserve">CHILLAR - GONZALES CHAVEZ </t>
  </si>
  <si>
    <t>GONZALEZ CHAVEZ - TRES ARROYOS</t>
  </si>
  <si>
    <t>BAHIA BLANCA - PETROQ. BAHIA BLANCA 3</t>
  </si>
  <si>
    <t>BARKER</t>
  </si>
  <si>
    <t>Trafo 4</t>
  </si>
  <si>
    <t>33/13,2</t>
  </si>
  <si>
    <t>Trafo 3</t>
  </si>
  <si>
    <t>LAS FLORES</t>
  </si>
  <si>
    <t>Trafo 1</t>
  </si>
  <si>
    <t>132/33/13,2</t>
  </si>
  <si>
    <t>PIGUE</t>
  </si>
  <si>
    <t>Trafo 2</t>
  </si>
  <si>
    <t>TORNQUIST</t>
  </si>
  <si>
    <t>Trafo</t>
  </si>
  <si>
    <t>S.A. de ARECO</t>
  </si>
  <si>
    <t>66/13,2</t>
  </si>
  <si>
    <t>LAPRIDA</t>
  </si>
  <si>
    <t>PEDRO LURO</t>
  </si>
  <si>
    <t>RP</t>
  </si>
  <si>
    <t>LOS CHAÑARES</t>
  </si>
  <si>
    <t>TRAFO 1</t>
  </si>
  <si>
    <t>R</t>
  </si>
  <si>
    <t>TRAFO 2</t>
  </si>
  <si>
    <t>PETROQUIMICA</t>
  </si>
  <si>
    <t>MONTE</t>
  </si>
  <si>
    <t>T3ME (Prov)</t>
  </si>
  <si>
    <t>TRES ARROYOS</t>
  </si>
  <si>
    <t>Alimentador 3 a  Coop. BARKER</t>
  </si>
  <si>
    <t>Alimentador 2 a Coop. LAS FLORES</t>
  </si>
  <si>
    <t>LUJAN</t>
  </si>
  <si>
    <t>Alimentador a Coop LUJAN</t>
  </si>
  <si>
    <t>PRAXAIR</t>
  </si>
  <si>
    <t>Alimentador a PRAXAIR</t>
  </si>
  <si>
    <t>Alimentador 2 PAPEL TORNQUIST</t>
  </si>
  <si>
    <t>Alimentador 1 PAPEL TORNQUIST</t>
  </si>
  <si>
    <t>PROFERTIL</t>
  </si>
  <si>
    <t>Salida E.T. Profertil</t>
  </si>
  <si>
    <t>Alimentador a LAMADRID</t>
  </si>
  <si>
    <t>Alimentador 4 a  LAPRIDA 2</t>
  </si>
  <si>
    <t>BARADERO</t>
  </si>
  <si>
    <t>ALIM. 3 EDEN BARADERO SAENZ</t>
  </si>
  <si>
    <t>SAN PEDRO</t>
  </si>
  <si>
    <t>Alimentador a  SAN PEDRO   2-11</t>
  </si>
  <si>
    <t>Alimentador a  SAN PEDRO   2-13</t>
  </si>
  <si>
    <t>Alimentador a  SAN PEDRO   2-12</t>
  </si>
  <si>
    <t>ROJAS</t>
  </si>
  <si>
    <t>Alimentador 3 a Coop. ROJAS</t>
  </si>
  <si>
    <t>AZUL</t>
  </si>
  <si>
    <t>Alimentador 8 a CACHARI</t>
  </si>
  <si>
    <t>Alimentador a BURATOVICH-Coop</t>
  </si>
  <si>
    <t>G.CHAVES</t>
  </si>
  <si>
    <t>Alimentador 3 a  GONZALEZ CHAVES</t>
  </si>
  <si>
    <t>T. LAUQUEN</t>
  </si>
  <si>
    <t>Alimentador 4 a T. LAUQUEN</t>
  </si>
  <si>
    <t>Alimentador 4 a DE LA GARMA</t>
  </si>
  <si>
    <t>Alimentador a BARADERO  2-32</t>
  </si>
  <si>
    <t>Alimentador 5 a  GONZALEZ CHAVES</t>
  </si>
  <si>
    <t>SALTO BA</t>
  </si>
  <si>
    <t>ALIMENTADOR 2 A ARRECIFES</t>
  </si>
  <si>
    <t>JUNIN</t>
  </si>
  <si>
    <t>K1JU</t>
  </si>
  <si>
    <t>TORNQUIST B.BLANCA</t>
  </si>
  <si>
    <t>PIGUE TORNQUIST</t>
  </si>
  <si>
    <t>49B</t>
  </si>
  <si>
    <t>RF</t>
  </si>
  <si>
    <t>NO</t>
  </si>
  <si>
    <t xml:space="preserve">Alimentador 1(3TORN1) </t>
  </si>
  <si>
    <t>TOTAL DE PENALIZACIONES A APLICAR</t>
  </si>
  <si>
    <t>Terceros / Límites</t>
  </si>
  <si>
    <t>*</t>
  </si>
  <si>
    <t>97*</t>
  </si>
  <si>
    <t>1.1 - Indisponibilidades de LAT causadas por condiciones climáticas extremas. Resolución ENRE 313/01</t>
  </si>
  <si>
    <t xml:space="preserve">$/100 km-h : LINEAS 220 kV </t>
  </si>
  <si>
    <t xml:space="preserve">FORMULAS UTILIZADAS PARA EL CALCULO </t>
  </si>
  <si>
    <t xml:space="preserve">$/100 km-h : LINEAS 132 kV </t>
  </si>
  <si>
    <t>DE LAS SANCIONES SEGÚN REGIMEN NORMAL,</t>
  </si>
  <si>
    <t>DE SANCION SEGÚN REGIMEN NORMAL para</t>
  </si>
  <si>
    <t xml:space="preserve">$/100 km-h : LINEAS 66 kV </t>
  </si>
  <si>
    <t xml:space="preserve"> PARA UN TIEMPO Tst= Tdt+Trt</t>
  </si>
  <si>
    <t>el tiempo real de indisponibilidad TI</t>
  </si>
  <si>
    <t>orden</t>
  </si>
  <si>
    <t>CL</t>
  </si>
  <si>
    <t>K</t>
  </si>
  <si>
    <t>Hs.
Indisp.</t>
  </si>
  <si>
    <t>Mtos.
Indisp.</t>
  </si>
  <si>
    <t>Rest.
%</t>
  </si>
  <si>
    <t>R.D.</t>
  </si>
  <si>
    <t>PENALIZACIÓN FORZADA
Por Salida    1ras 3 hs.   hs. Restantes</t>
  </si>
  <si>
    <t>PC en Tst</t>
  </si>
  <si>
    <t>N° de estruc. caidas</t>
  </si>
  <si>
    <t>Td [hs]</t>
  </si>
  <si>
    <t>Tf [hs]</t>
  </si>
  <si>
    <t>fp</t>
  </si>
  <si>
    <t>Tdt + Tf
 [hs]</t>
  </si>
  <si>
    <t>Trt [hs]</t>
  </si>
  <si>
    <t>Tst=Tdt+Trt
[hs]</t>
  </si>
  <si>
    <t>Tst [min]</t>
  </si>
  <si>
    <t>alfa</t>
  </si>
  <si>
    <t>beta</t>
  </si>
  <si>
    <t>TOTAL REGIMEN NORMAL 
(en Ti)</t>
  </si>
  <si>
    <t>EVENTO  1</t>
  </si>
  <si>
    <t>Td:</t>
  </si>
  <si>
    <t>hasta 10 estructuras caídas, Td=48hs, si no 72 horas.</t>
  </si>
  <si>
    <t>Tr:</t>
  </si>
  <si>
    <t>24 horas por estructura caída.</t>
  </si>
  <si>
    <t>Tdt:</t>
  </si>
  <si>
    <t>será igual a Tind. o a Td, dependiendo de si el Ti fue menor o no al Tst.</t>
  </si>
  <si>
    <t>fp :</t>
  </si>
  <si>
    <t>igual a 0,9 o 1 p/ Cond. Climáticas Ext. e igual a 1 p/ Atentados.</t>
  </si>
  <si>
    <t>1*</t>
  </si>
  <si>
    <t>19*</t>
  </si>
  <si>
    <t>24*</t>
  </si>
  <si>
    <t>32*</t>
  </si>
  <si>
    <t>33*</t>
  </si>
  <si>
    <t>34*</t>
  </si>
  <si>
    <t>1.1 -Condiciones climáticas extremas. Resolución ENRE 313/01</t>
  </si>
  <si>
    <t>30*</t>
  </si>
  <si>
    <t>80*</t>
  </si>
  <si>
    <t>83*</t>
  </si>
  <si>
    <t>84*</t>
  </si>
  <si>
    <t>85*</t>
  </si>
  <si>
    <t>86*</t>
  </si>
  <si>
    <t>87*</t>
  </si>
  <si>
    <t>ANEXO III al Memorándum D.T.E.E. N° 814   / 2015</t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</si>
</sst>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#,##0.0000"/>
    <numFmt numFmtId="167" formatCode="0.00_)"/>
    <numFmt numFmtId="168" formatCode="&quot;$&quot;\ #,##0.000;&quot;$&quot;\ \-#,##0.000"/>
    <numFmt numFmtId="169" formatCode="#,##0.0"/>
    <numFmt numFmtId="170" formatCode="0.000"/>
    <numFmt numFmtId="171" formatCode="&quot;$&quot;#,##0.00\ ;&quot;$&quot;\-#,##0.00\ "/>
    <numFmt numFmtId="172" formatCode="0.000_)"/>
    <numFmt numFmtId="173" formatCode="0.0000"/>
    <numFmt numFmtId="174" formatCode="mmm\-yyyy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0.0000000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0.0\ \k\V"/>
    <numFmt numFmtId="185" formatCode="0.00\ &quot;km&quot;"/>
    <numFmt numFmtId="186" formatCode="0.00\ &quot;MVA&quot;"/>
    <numFmt numFmtId="187" formatCode="0.0"/>
    <numFmt numFmtId="188" formatCode="dd/mm/yy"/>
    <numFmt numFmtId="189" formatCode="dd\-mm\-yy"/>
    <numFmt numFmtId="190" formatCode="mmmm\ d\,\ yyyy"/>
    <numFmt numFmtId="191" formatCode="#,##0.00000"/>
    <numFmt numFmtId="192" formatCode="#,##0;[Red]#,##0"/>
    <numFmt numFmtId="193" formatCode="#,##0.000000"/>
  </numFmts>
  <fonts count="105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MS Sans Serif"/>
      <family val="2"/>
    </font>
    <font>
      <sz val="11"/>
      <color indexed="48"/>
      <name val="MS Sans Serif"/>
      <family val="2"/>
    </font>
    <font>
      <sz val="10"/>
      <name val="Wingdings"/>
      <family val="0"/>
    </font>
    <font>
      <sz val="11"/>
      <color indexed="9"/>
      <name val="MS Sans Serif"/>
      <family val="2"/>
    </font>
    <font>
      <sz val="11"/>
      <color indexed="56"/>
      <name val="MS Sans Serif"/>
      <family val="2"/>
    </font>
    <font>
      <sz val="11"/>
      <color indexed="27"/>
      <name val="MS Sans Serif"/>
      <family val="2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58"/>
      <name val="MS Sans Serif"/>
      <family val="2"/>
    </font>
    <font>
      <sz val="11"/>
      <color indexed="47"/>
      <name val="MS Sans Serif"/>
      <family val="2"/>
    </font>
    <font>
      <sz val="10"/>
      <color indexed="48"/>
      <name val="Times New Roman"/>
      <family val="1"/>
    </font>
    <font>
      <sz val="10"/>
      <color indexed="9"/>
      <name val="Times New Roman"/>
      <family val="1"/>
    </font>
    <font>
      <b/>
      <sz val="10"/>
      <color indexed="56"/>
      <name val="Times New Roman"/>
      <family val="1"/>
    </font>
    <font>
      <b/>
      <sz val="10"/>
      <color indexed="27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58"/>
      <name val="Times New Roman"/>
      <family val="1"/>
    </font>
    <font>
      <b/>
      <sz val="10"/>
      <color indexed="47"/>
      <name val="Times New Roman"/>
      <family val="1"/>
    </font>
    <font>
      <sz val="11"/>
      <name val="Times New Roman"/>
      <family val="1"/>
    </font>
    <font>
      <sz val="7"/>
      <name val="Wingdings"/>
      <family val="0"/>
    </font>
    <font>
      <sz val="7"/>
      <name val="Times New Roman"/>
      <family val="1"/>
    </font>
    <font>
      <sz val="7"/>
      <name val="Courier New"/>
      <family val="3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1"/>
    </font>
    <font>
      <sz val="11"/>
      <color indexed="26"/>
      <name val="MS Sans Serif"/>
      <family val="2"/>
    </font>
    <font>
      <b/>
      <sz val="10"/>
      <color indexed="48"/>
      <name val="Times New Roman"/>
      <family val="1"/>
    </font>
    <font>
      <b/>
      <sz val="10"/>
      <color indexed="26"/>
      <name val="Times New Roman"/>
      <family val="1"/>
    </font>
    <font>
      <b/>
      <u val="double"/>
      <sz val="10"/>
      <name val="Times New Roman"/>
      <family val="1"/>
    </font>
    <font>
      <sz val="10"/>
      <color indexed="8"/>
      <name val="MS Sans Serif"/>
      <family val="2"/>
    </font>
    <font>
      <sz val="11"/>
      <color indexed="50"/>
      <name val="MS Sans Serif"/>
      <family val="2"/>
    </font>
    <font>
      <b/>
      <sz val="10"/>
      <color indexed="50"/>
      <name val="Times New Roman"/>
      <family val="1"/>
    </font>
    <font>
      <sz val="10"/>
      <color indexed="18"/>
      <name val="Times New Roman"/>
      <family val="1"/>
    </font>
    <font>
      <b/>
      <i/>
      <sz val="10"/>
      <name val="Times New Roman"/>
      <family val="1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sz val="15"/>
      <color indexed="56"/>
      <name val="Calibri"/>
      <family val="2"/>
    </font>
    <font>
      <sz val="20"/>
      <name val="MS Sans Serif"/>
      <family val="0"/>
    </font>
    <font>
      <sz val="16"/>
      <name val="MS Sans Serif"/>
      <family val="0"/>
    </font>
    <font>
      <u val="single"/>
      <sz val="10"/>
      <color indexed="36"/>
      <name val="Arial"/>
      <family val="0"/>
    </font>
    <font>
      <sz val="10"/>
      <color indexed="27"/>
      <name val="Times New Roman"/>
      <family val="1"/>
    </font>
    <font>
      <sz val="10"/>
      <color indexed="47"/>
      <name val="Times New Roman"/>
      <family val="1"/>
    </font>
    <font>
      <sz val="11"/>
      <color indexed="57"/>
      <name val="Times New Roman"/>
      <family val="1"/>
    </font>
    <font>
      <sz val="10"/>
      <color indexed="14"/>
      <name val="Times New Roman"/>
      <family val="1"/>
    </font>
    <font>
      <sz val="12"/>
      <name val="MS Sans Serif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double"/>
      <top style="double"/>
      <bottom style="double"/>
    </border>
    <border>
      <left/>
      <right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double"/>
      <top style="thin"/>
      <bottom style="thin"/>
    </border>
    <border>
      <left style="double"/>
      <right style="double"/>
      <top/>
      <bottom style="double"/>
    </border>
    <border>
      <left style="double"/>
      <right style="double"/>
      <top style="thin"/>
      <bottom/>
    </border>
    <border>
      <left/>
      <right/>
      <top style="double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double"/>
      <right/>
      <top style="double"/>
      <bottom style="thin"/>
    </border>
    <border>
      <left style="double"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/>
      <right style="double"/>
      <top/>
      <bottom style="thin"/>
    </border>
    <border>
      <left style="thin"/>
      <right style="double"/>
      <top/>
      <bottom style="thin"/>
    </border>
    <border>
      <left style="double"/>
      <right style="double"/>
      <top/>
      <bottom/>
    </border>
    <border>
      <left style="thin"/>
      <right style="double"/>
      <top style="double"/>
      <bottom style="double"/>
    </border>
    <border>
      <left/>
      <right style="thick"/>
      <top style="double"/>
      <bottom/>
    </border>
    <border>
      <left style="thin"/>
      <right style="double"/>
      <top style="double"/>
      <bottom style="thin"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double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double"/>
      <top style="thin"/>
      <bottom style="thin"/>
    </border>
    <border>
      <left style="double"/>
      <right style="double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0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8" fillId="19" borderId="0" applyNumberFormat="0" applyBorder="0" applyAlignment="0" applyProtection="0"/>
    <xf numFmtId="0" fontId="89" fillId="20" borderId="1" applyNumberFormat="0" applyAlignment="0" applyProtection="0"/>
    <xf numFmtId="0" fontId="90" fillId="21" borderId="2" applyNumberFormat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0" applyNumberFormat="0" applyFill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7" fillId="26" borderId="0" applyNumberFormat="0" applyBorder="0" applyAlignment="0" applyProtection="0"/>
    <xf numFmtId="0" fontId="87" fillId="27" borderId="0" applyNumberFormat="0" applyBorder="0" applyAlignment="0" applyProtection="0"/>
    <xf numFmtId="0" fontId="94" fillId="28" borderId="1" applyNumberFormat="0" applyAlignment="0" applyProtection="0"/>
    <xf numFmtId="0" fontId="9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98" fillId="20" borderId="6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102" fillId="0" borderId="8" applyNumberFormat="0" applyFill="0" applyAlignment="0" applyProtection="0"/>
    <xf numFmtId="0" fontId="93" fillId="0" borderId="9" applyNumberFormat="0" applyFill="0" applyAlignment="0" applyProtection="0"/>
    <xf numFmtId="0" fontId="103" fillId="0" borderId="10" applyNumberFormat="0" applyFill="0" applyAlignment="0" applyProtection="0"/>
  </cellStyleXfs>
  <cellXfs count="686">
    <xf numFmtId="0" fontId="0" fillId="0" borderId="0" xfId="0" applyAlignment="1">
      <alignment/>
    </xf>
    <xf numFmtId="0" fontId="7" fillId="0" borderId="0" xfId="61" applyFont="1">
      <alignment/>
      <protection/>
    </xf>
    <xf numFmtId="0" fontId="7" fillId="0" borderId="0" xfId="61" applyFont="1" applyFill="1" applyBorder="1">
      <alignment/>
      <protection/>
    </xf>
    <xf numFmtId="0" fontId="9" fillId="0" borderId="0" xfId="61" applyFont="1">
      <alignment/>
      <protection/>
    </xf>
    <xf numFmtId="0" fontId="9" fillId="0" borderId="0" xfId="61" applyFont="1" applyAlignment="1">
      <alignment horizontal="centerContinuous"/>
      <protection/>
    </xf>
    <xf numFmtId="0" fontId="2" fillId="0" borderId="0" xfId="61">
      <alignment/>
      <protection/>
    </xf>
    <xf numFmtId="0" fontId="7" fillId="0" borderId="0" xfId="61" applyFont="1" applyAlignment="1">
      <alignment horizontal="centerContinuous"/>
      <protection/>
    </xf>
    <xf numFmtId="0" fontId="7" fillId="0" borderId="0" xfId="61" applyFont="1" applyBorder="1">
      <alignment/>
      <protection/>
    </xf>
    <xf numFmtId="0" fontId="5" fillId="0" borderId="0" xfId="61" applyFont="1" applyFill="1" applyBorder="1" applyAlignment="1" applyProtection="1">
      <alignment horizontal="centerContinuous"/>
      <protection/>
    </xf>
    <xf numFmtId="0" fontId="11" fillId="0" borderId="0" xfId="61" applyFont="1">
      <alignment/>
      <protection/>
    </xf>
    <xf numFmtId="0" fontId="12" fillId="0" borderId="0" xfId="61" applyFont="1">
      <alignment/>
      <protection/>
    </xf>
    <xf numFmtId="0" fontId="14" fillId="0" borderId="11" xfId="61" applyFont="1" applyBorder="1" applyAlignment="1">
      <alignment horizontal="centerContinuous"/>
      <protection/>
    </xf>
    <xf numFmtId="0" fontId="14" fillId="0" borderId="0" xfId="61" applyFont="1" applyBorder="1" applyAlignment="1">
      <alignment horizontal="centerContinuous"/>
      <protection/>
    </xf>
    <xf numFmtId="0" fontId="7" fillId="0" borderId="11" xfId="61" applyFont="1" applyBorder="1">
      <alignment/>
      <protection/>
    </xf>
    <xf numFmtId="0" fontId="7" fillId="0" borderId="12" xfId="61" applyFont="1" applyBorder="1">
      <alignment/>
      <protection/>
    </xf>
    <xf numFmtId="0" fontId="7" fillId="0" borderId="0" xfId="61" applyFont="1" applyBorder="1" applyAlignment="1">
      <alignment horizontal="center"/>
      <protection/>
    </xf>
    <xf numFmtId="0" fontId="10" fillId="0" borderId="0" xfId="61" applyFont="1" applyAlignment="1" applyProtection="1">
      <alignment horizontal="centerContinuous"/>
      <protection locked="0"/>
    </xf>
    <xf numFmtId="0" fontId="13" fillId="0" borderId="0" xfId="61" applyFont="1" applyAlignment="1" applyProtection="1">
      <alignment horizontal="centerContinuous"/>
      <protection locked="0"/>
    </xf>
    <xf numFmtId="0" fontId="5" fillId="0" borderId="0" xfId="61" applyFont="1" applyBorder="1" applyAlignment="1" applyProtection="1">
      <alignment horizontal="centerContinuous"/>
      <protection/>
    </xf>
    <xf numFmtId="0" fontId="7" fillId="0" borderId="13" xfId="61" applyFont="1" applyBorder="1">
      <alignment/>
      <protection/>
    </xf>
    <xf numFmtId="0" fontId="7" fillId="0" borderId="14" xfId="61" applyFont="1" applyBorder="1">
      <alignment/>
      <protection/>
    </xf>
    <xf numFmtId="0" fontId="7" fillId="0" borderId="15" xfId="61" applyFont="1" applyBorder="1">
      <alignment/>
      <protection/>
    </xf>
    <xf numFmtId="0" fontId="16" fillId="0" borderId="0" xfId="61" applyFont="1">
      <alignment/>
      <protection/>
    </xf>
    <xf numFmtId="0" fontId="16" fillId="0" borderId="11" xfId="61" applyFont="1" applyBorder="1">
      <alignment/>
      <protection/>
    </xf>
    <xf numFmtId="0" fontId="17" fillId="0" borderId="0" xfId="61" applyFont="1" applyBorder="1">
      <alignment/>
      <protection/>
    </xf>
    <xf numFmtId="0" fontId="16" fillId="0" borderId="0" xfId="61" applyFont="1" applyBorder="1">
      <alignment/>
      <protection/>
    </xf>
    <xf numFmtId="0" fontId="16" fillId="0" borderId="12" xfId="61" applyFont="1" applyBorder="1">
      <alignment/>
      <protection/>
    </xf>
    <xf numFmtId="0" fontId="4" fillId="0" borderId="0" xfId="61" applyFont="1" applyBorder="1">
      <alignment/>
      <protection/>
    </xf>
    <xf numFmtId="0" fontId="14" fillId="0" borderId="0" xfId="61" applyFont="1" applyFill="1" applyBorder="1" applyAlignment="1" applyProtection="1">
      <alignment horizontal="centerContinuous"/>
      <protection locked="0"/>
    </xf>
    <xf numFmtId="0" fontId="14" fillId="0" borderId="0" xfId="61" applyFont="1" applyAlignment="1">
      <alignment horizontal="centerContinuous"/>
      <protection/>
    </xf>
    <xf numFmtId="0" fontId="14" fillId="0" borderId="0" xfId="61" applyFont="1" applyBorder="1" applyAlignment="1" applyProtection="1">
      <alignment horizontal="centerContinuous"/>
      <protection/>
    </xf>
    <xf numFmtId="0" fontId="14" fillId="0" borderId="12" xfId="61" applyFont="1" applyBorder="1" applyAlignment="1">
      <alignment horizontal="centerContinuous"/>
      <protection/>
    </xf>
    <xf numFmtId="0" fontId="13" fillId="0" borderId="0" xfId="61" applyFont="1" applyBorder="1">
      <alignment/>
      <protection/>
    </xf>
    <xf numFmtId="0" fontId="4" fillId="0" borderId="0" xfId="61" applyFont="1" applyBorder="1" applyProtection="1">
      <alignment/>
      <protection/>
    </xf>
    <xf numFmtId="0" fontId="7" fillId="0" borderId="0" xfId="61" applyFont="1" applyBorder="1" applyProtection="1">
      <alignment/>
      <protection/>
    </xf>
    <xf numFmtId="0" fontId="2" fillId="0" borderId="16" xfId="61" applyFont="1" applyBorder="1" applyAlignment="1" applyProtection="1">
      <alignment horizontal="center"/>
      <protection/>
    </xf>
    <xf numFmtId="0" fontId="4" fillId="0" borderId="0" xfId="61" applyFont="1" applyBorder="1" applyAlignment="1" applyProtection="1">
      <alignment/>
      <protection/>
    </xf>
    <xf numFmtId="0" fontId="2" fillId="0" borderId="0" xfId="61" applyFont="1" applyBorder="1" applyAlignment="1">
      <alignment horizontal="right"/>
      <protection/>
    </xf>
    <xf numFmtId="0" fontId="2" fillId="0" borderId="0" xfId="61" applyFont="1" applyBorder="1" applyAlignment="1" applyProtection="1">
      <alignment horizontal="center"/>
      <protection locked="0"/>
    </xf>
    <xf numFmtId="0" fontId="2" fillId="0" borderId="0" xfId="61" applyFont="1" applyAlignment="1" applyProtection="1">
      <alignment/>
      <protection/>
    </xf>
    <xf numFmtId="166" fontId="7" fillId="0" borderId="17" xfId="61" applyNumberFormat="1" applyFont="1" applyBorder="1" applyAlignment="1">
      <alignment horizontal="centerContinuous"/>
      <protection/>
    </xf>
    <xf numFmtId="166" fontId="7" fillId="0" borderId="0" xfId="61" applyNumberFormat="1" applyFont="1" applyBorder="1" applyAlignment="1">
      <alignment/>
      <protection/>
    </xf>
    <xf numFmtId="0" fontId="2" fillId="0" borderId="0" xfId="61" applyFont="1" applyAlignment="1">
      <alignment horizontal="right"/>
      <protection/>
    </xf>
    <xf numFmtId="0" fontId="7" fillId="0" borderId="0" xfId="61" applyFont="1" applyAlignment="1">
      <alignment horizontal="center"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18" fillId="0" borderId="18" xfId="61" applyFont="1" applyBorder="1" applyAlignment="1" applyProtection="1">
      <alignment horizontal="center" vertical="center"/>
      <protection/>
    </xf>
    <xf numFmtId="0" fontId="18" fillId="0" borderId="18" xfId="61" applyFont="1" applyBorder="1" applyAlignment="1" applyProtection="1">
      <alignment horizontal="center" vertical="center" wrapText="1"/>
      <protection/>
    </xf>
    <xf numFmtId="0" fontId="19" fillId="32" borderId="18" xfId="61" applyFont="1" applyFill="1" applyBorder="1" applyAlignment="1" applyProtection="1">
      <alignment horizontal="center" vertical="center"/>
      <protection/>
    </xf>
    <xf numFmtId="0" fontId="21" fillId="33" borderId="18" xfId="61" applyFont="1" applyFill="1" applyBorder="1" applyAlignment="1" applyProtection="1">
      <alignment horizontal="center" vertical="center" wrapText="1"/>
      <protection/>
    </xf>
    <xf numFmtId="0" fontId="22" fillId="34" borderId="18" xfId="61" applyFont="1" applyFill="1" applyBorder="1" applyAlignment="1">
      <alignment horizontal="center" vertical="center" wrapText="1"/>
      <protection/>
    </xf>
    <xf numFmtId="0" fontId="23" fillId="35" borderId="18" xfId="61" applyFont="1" applyFill="1" applyBorder="1" applyAlignment="1">
      <alignment horizontal="center" vertical="center" wrapText="1"/>
      <protection/>
    </xf>
    <xf numFmtId="0" fontId="24" fillId="32" borderId="16" xfId="61" applyFont="1" applyFill="1" applyBorder="1" applyAlignment="1" applyProtection="1">
      <alignment horizontal="centerContinuous" vertical="center" wrapText="1"/>
      <protection/>
    </xf>
    <xf numFmtId="0" fontId="25" fillId="32" borderId="19" xfId="61" applyFont="1" applyFill="1" applyBorder="1" applyAlignment="1">
      <alignment horizontal="centerContinuous"/>
      <protection/>
    </xf>
    <xf numFmtId="0" fontId="24" fillId="32" borderId="17" xfId="61" applyFont="1" applyFill="1" applyBorder="1" applyAlignment="1">
      <alignment horizontal="centerContinuous" vertical="center"/>
      <protection/>
    </xf>
    <xf numFmtId="0" fontId="22" fillId="36" borderId="16" xfId="61" applyFont="1" applyFill="1" applyBorder="1" applyAlignment="1" applyProtection="1">
      <alignment horizontal="centerContinuous" vertical="center" wrapText="1"/>
      <protection/>
    </xf>
    <xf numFmtId="0" fontId="22" fillId="36" borderId="19" xfId="61" applyFont="1" applyFill="1" applyBorder="1" applyAlignment="1">
      <alignment horizontal="centerContinuous" vertical="center"/>
      <protection/>
    </xf>
    <xf numFmtId="0" fontId="22" fillId="36" borderId="17" xfId="61" applyFont="1" applyFill="1" applyBorder="1" applyAlignment="1">
      <alignment horizontal="centerContinuous" vertical="center"/>
      <protection/>
    </xf>
    <xf numFmtId="0" fontId="26" fillId="4" borderId="18" xfId="61" applyFont="1" applyFill="1" applyBorder="1" applyAlignment="1">
      <alignment horizontal="center" vertical="center" wrapText="1"/>
      <protection/>
    </xf>
    <xf numFmtId="0" fontId="27" fillId="37" borderId="18" xfId="61" applyFont="1" applyFill="1" applyBorder="1" applyAlignment="1">
      <alignment horizontal="center" vertical="center" wrapText="1"/>
      <protection/>
    </xf>
    <xf numFmtId="0" fontId="18" fillId="0" borderId="18" xfId="61" applyFont="1" applyBorder="1" applyAlignment="1">
      <alignment horizontal="center" vertical="center" wrapText="1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20" xfId="61" applyFont="1" applyBorder="1" applyProtection="1">
      <alignment/>
      <protection locked="0"/>
    </xf>
    <xf numFmtId="0" fontId="7" fillId="0" borderId="20" xfId="61" applyFont="1" applyBorder="1" applyAlignment="1" applyProtection="1">
      <alignment horizontal="center"/>
      <protection locked="0"/>
    </xf>
    <xf numFmtId="0" fontId="28" fillId="32" borderId="20" xfId="61" applyFont="1" applyFill="1" applyBorder="1" applyProtection="1">
      <alignment/>
      <protection locked="0"/>
    </xf>
    <xf numFmtId="0" fontId="7" fillId="0" borderId="20" xfId="61" applyFont="1" applyBorder="1" applyAlignment="1">
      <alignment horizontal="center"/>
      <protection/>
    </xf>
    <xf numFmtId="0" fontId="29" fillId="33" borderId="20" xfId="61" applyFont="1" applyFill="1" applyBorder="1" applyProtection="1">
      <alignment/>
      <protection locked="0"/>
    </xf>
    <xf numFmtId="0" fontId="30" fillId="34" borderId="20" xfId="61" applyFont="1" applyFill="1" applyBorder="1" applyProtection="1">
      <alignment/>
      <protection locked="0"/>
    </xf>
    <xf numFmtId="0" fontId="31" fillId="35" borderId="20" xfId="61" applyFont="1" applyFill="1" applyBorder="1" applyProtection="1">
      <alignment/>
      <protection locked="0"/>
    </xf>
    <xf numFmtId="0" fontId="32" fillId="32" borderId="20" xfId="61" applyFont="1" applyFill="1" applyBorder="1" applyAlignment="1" applyProtection="1">
      <alignment horizontal="center"/>
      <protection locked="0"/>
    </xf>
    <xf numFmtId="0" fontId="32" fillId="32" borderId="20" xfId="61" applyFont="1" applyFill="1" applyBorder="1" applyProtection="1">
      <alignment/>
      <protection locked="0"/>
    </xf>
    <xf numFmtId="0" fontId="30" fillId="36" borderId="20" xfId="61" applyFont="1" applyFill="1" applyBorder="1" applyProtection="1">
      <alignment/>
      <protection locked="0"/>
    </xf>
    <xf numFmtId="0" fontId="33" fillId="4" borderId="20" xfId="61" applyFont="1" applyFill="1" applyBorder="1" applyProtection="1">
      <alignment/>
      <protection locked="0"/>
    </xf>
    <xf numFmtId="0" fontId="34" fillId="37" borderId="20" xfId="61" applyFont="1" applyFill="1" applyBorder="1" applyProtection="1">
      <alignment/>
      <protection locked="0"/>
    </xf>
    <xf numFmtId="171" fontId="35" fillId="0" borderId="20" xfId="61" applyNumberFormat="1" applyFont="1" applyBorder="1" applyAlignment="1">
      <alignment horizontal="right"/>
      <protection/>
    </xf>
    <xf numFmtId="0" fontId="7" fillId="0" borderId="21" xfId="61" applyFont="1" applyBorder="1" applyProtection="1">
      <alignment/>
      <protection locked="0"/>
    </xf>
    <xf numFmtId="0" fontId="7" fillId="0" borderId="22" xfId="61" applyFont="1" applyBorder="1" applyAlignment="1" applyProtection="1">
      <alignment horizontal="center"/>
      <protection locked="0"/>
    </xf>
    <xf numFmtId="0" fontId="28" fillId="32" borderId="21" xfId="61" applyFont="1" applyFill="1" applyBorder="1" applyProtection="1">
      <alignment/>
      <protection locked="0"/>
    </xf>
    <xf numFmtId="0" fontId="7" fillId="0" borderId="21" xfId="61" applyFont="1" applyBorder="1" applyAlignment="1" applyProtection="1">
      <alignment horizontal="center"/>
      <protection locked="0"/>
    </xf>
    <xf numFmtId="0" fontId="7" fillId="0" borderId="21" xfId="61" applyFont="1" applyBorder="1" applyAlignment="1">
      <alignment horizontal="center"/>
      <protection/>
    </xf>
    <xf numFmtId="0" fontId="29" fillId="33" borderId="21" xfId="61" applyFont="1" applyFill="1" applyBorder="1" applyProtection="1">
      <alignment/>
      <protection locked="0"/>
    </xf>
    <xf numFmtId="0" fontId="30" fillId="34" borderId="21" xfId="61" applyFont="1" applyFill="1" applyBorder="1" applyProtection="1">
      <alignment/>
      <protection locked="0"/>
    </xf>
    <xf numFmtId="0" fontId="31" fillId="35" borderId="21" xfId="61" applyFont="1" applyFill="1" applyBorder="1" applyProtection="1">
      <alignment/>
      <protection locked="0"/>
    </xf>
    <xf numFmtId="0" fontId="32" fillId="32" borderId="21" xfId="61" applyFont="1" applyFill="1" applyBorder="1" applyAlignment="1" applyProtection="1">
      <alignment horizontal="center"/>
      <protection locked="0"/>
    </xf>
    <xf numFmtId="0" fontId="32" fillId="32" borderId="21" xfId="61" applyFont="1" applyFill="1" applyBorder="1" applyProtection="1">
      <alignment/>
      <protection locked="0"/>
    </xf>
    <xf numFmtId="0" fontId="30" fillId="36" borderId="21" xfId="61" applyFont="1" applyFill="1" applyBorder="1" applyProtection="1">
      <alignment/>
      <protection locked="0"/>
    </xf>
    <xf numFmtId="0" fontId="33" fillId="4" borderId="21" xfId="61" applyFont="1" applyFill="1" applyBorder="1" applyProtection="1">
      <alignment/>
      <protection locked="0"/>
    </xf>
    <xf numFmtId="0" fontId="34" fillId="37" borderId="21" xfId="61" applyFont="1" applyFill="1" applyBorder="1" applyProtection="1">
      <alignment/>
      <protection locked="0"/>
    </xf>
    <xf numFmtId="0" fontId="35" fillId="0" borderId="21" xfId="61" applyFont="1" applyBorder="1" applyAlignment="1">
      <alignment horizontal="center"/>
      <protection/>
    </xf>
    <xf numFmtId="2" fontId="7" fillId="0" borderId="22" xfId="61" applyNumberFormat="1" applyFont="1" applyBorder="1" applyAlignment="1" applyProtection="1">
      <alignment horizontal="center"/>
      <protection locked="0"/>
    </xf>
    <xf numFmtId="2" fontId="7" fillId="0" borderId="21" xfId="61" applyNumberFormat="1" applyFont="1" applyBorder="1" applyAlignment="1" applyProtection="1">
      <alignment horizontal="center"/>
      <protection locked="0"/>
    </xf>
    <xf numFmtId="167" fontId="28" fillId="32" borderId="21" xfId="61" applyNumberFormat="1" applyFont="1" applyFill="1" applyBorder="1" applyAlignment="1" applyProtection="1">
      <alignment horizontal="center"/>
      <protection locked="0"/>
    </xf>
    <xf numFmtId="22" fontId="7" fillId="0" borderId="21" xfId="61" applyNumberFormat="1" applyFont="1" applyBorder="1" applyAlignment="1" applyProtection="1">
      <alignment horizontal="center"/>
      <protection locked="0"/>
    </xf>
    <xf numFmtId="2" fontId="7" fillId="0" borderId="21" xfId="61" applyNumberFormat="1" applyFont="1" applyBorder="1" applyAlignment="1" applyProtection="1">
      <alignment horizontal="center"/>
      <protection/>
    </xf>
    <xf numFmtId="1" fontId="7" fillId="0" borderId="21" xfId="61" applyNumberFormat="1" applyFont="1" applyBorder="1" applyAlignment="1" applyProtection="1">
      <alignment horizontal="center"/>
      <protection/>
    </xf>
    <xf numFmtId="167" fontId="7" fillId="0" borderId="21" xfId="61" applyNumberFormat="1" applyFont="1" applyBorder="1" applyAlignment="1" applyProtection="1">
      <alignment horizontal="center"/>
      <protection locked="0"/>
    </xf>
    <xf numFmtId="167" fontId="29" fillId="33" borderId="21" xfId="61" applyNumberFormat="1" applyFont="1" applyFill="1" applyBorder="1" applyAlignment="1" applyProtection="1" quotePrefix="1">
      <alignment horizontal="center"/>
      <protection locked="0"/>
    </xf>
    <xf numFmtId="2" fontId="30" fillId="34" borderId="21" xfId="61" applyNumberFormat="1" applyFont="1" applyFill="1" applyBorder="1" applyAlignment="1" applyProtection="1">
      <alignment horizontal="center"/>
      <protection locked="0"/>
    </xf>
    <xf numFmtId="2" fontId="31" fillId="35" borderId="21" xfId="61" applyNumberFormat="1" applyFont="1" applyFill="1" applyBorder="1" applyAlignment="1" applyProtection="1">
      <alignment horizontal="center"/>
      <protection locked="0"/>
    </xf>
    <xf numFmtId="167" fontId="32" fillId="32" borderId="21" xfId="61" applyNumberFormat="1" applyFont="1" applyFill="1" applyBorder="1" applyAlignment="1" applyProtection="1" quotePrefix="1">
      <alignment horizontal="center"/>
      <protection locked="0"/>
    </xf>
    <xf numFmtId="4" fontId="32" fillId="32" borderId="21" xfId="61" applyNumberFormat="1" applyFont="1" applyFill="1" applyBorder="1" applyAlignment="1" applyProtection="1">
      <alignment horizontal="center"/>
      <protection locked="0"/>
    </xf>
    <xf numFmtId="167" fontId="30" fillId="36" borderId="21" xfId="61" applyNumberFormat="1" applyFont="1" applyFill="1" applyBorder="1" applyAlignment="1" applyProtection="1" quotePrefix="1">
      <alignment horizontal="center"/>
      <protection locked="0"/>
    </xf>
    <xf numFmtId="4" fontId="30" fillId="36" borderId="21" xfId="61" applyNumberFormat="1" applyFont="1" applyFill="1" applyBorder="1" applyAlignment="1" applyProtection="1">
      <alignment horizontal="center"/>
      <protection locked="0"/>
    </xf>
    <xf numFmtId="4" fontId="33" fillId="4" borderId="21" xfId="61" applyNumberFormat="1" applyFont="1" applyFill="1" applyBorder="1" applyAlignment="1" applyProtection="1">
      <alignment horizontal="center"/>
      <protection locked="0"/>
    </xf>
    <xf numFmtId="4" fontId="34" fillId="37" borderId="21" xfId="61" applyNumberFormat="1" applyFont="1" applyFill="1" applyBorder="1" applyAlignment="1" applyProtection="1">
      <alignment horizontal="center"/>
      <protection locked="0"/>
    </xf>
    <xf numFmtId="4" fontId="35" fillId="0" borderId="21" xfId="61" applyNumberFormat="1" applyFont="1" applyBorder="1" applyAlignment="1">
      <alignment horizontal="right"/>
      <protection/>
    </xf>
    <xf numFmtId="2" fontId="7" fillId="0" borderId="12" xfId="61" applyNumberFormat="1" applyFont="1" applyBorder="1">
      <alignment/>
      <protection/>
    </xf>
    <xf numFmtId="0" fontId="7" fillId="0" borderId="11" xfId="61" applyFont="1" applyBorder="1" applyAlignment="1">
      <alignment horizontal="center"/>
      <protection/>
    </xf>
    <xf numFmtId="0" fontId="7" fillId="0" borderId="23" xfId="61" applyFont="1" applyBorder="1" applyAlignment="1" applyProtection="1">
      <alignment horizontal="center"/>
      <protection locked="0"/>
    </xf>
    <xf numFmtId="167" fontId="7" fillId="0" borderId="23" xfId="61" applyNumberFormat="1" applyFont="1" applyBorder="1" applyAlignment="1" applyProtection="1">
      <alignment horizontal="center"/>
      <protection/>
    </xf>
    <xf numFmtId="167" fontId="28" fillId="32" borderId="23" xfId="61" applyNumberFormat="1" applyFont="1" applyFill="1" applyBorder="1" applyAlignment="1" applyProtection="1">
      <alignment horizontal="center"/>
      <protection/>
    </xf>
    <xf numFmtId="7" fontId="35" fillId="0" borderId="24" xfId="61" applyNumberFormat="1" applyFont="1" applyBorder="1" applyAlignment="1">
      <alignment horizontal="center"/>
      <protection/>
    </xf>
    <xf numFmtId="0" fontId="37" fillId="0" borderId="25" xfId="61" applyFont="1" applyBorder="1" applyAlignment="1">
      <alignment horizontal="center"/>
      <protection/>
    </xf>
    <xf numFmtId="0" fontId="38" fillId="0" borderId="0" xfId="61" applyFont="1" applyBorder="1" applyAlignment="1" applyProtection="1">
      <alignment horizontal="left"/>
      <protection/>
    </xf>
    <xf numFmtId="0" fontId="7" fillId="0" borderId="0" xfId="61" applyFont="1" applyBorder="1" applyAlignment="1" applyProtection="1">
      <alignment horizontal="center"/>
      <protection/>
    </xf>
    <xf numFmtId="2" fontId="7" fillId="0" borderId="0" xfId="61" applyNumberFormat="1" applyFont="1" applyBorder="1" applyAlignment="1" applyProtection="1">
      <alignment horizontal="center"/>
      <protection/>
    </xf>
    <xf numFmtId="167" fontId="7" fillId="0" borderId="0" xfId="61" applyNumberFormat="1" applyFont="1" applyBorder="1" applyAlignment="1" applyProtection="1">
      <alignment horizontal="center"/>
      <protection/>
    </xf>
    <xf numFmtId="167" fontId="7" fillId="0" borderId="0" xfId="61" applyNumberFormat="1" applyFont="1" applyBorder="1" applyAlignment="1" applyProtection="1" quotePrefix="1">
      <alignment horizontal="center"/>
      <protection/>
    </xf>
    <xf numFmtId="2" fontId="30" fillId="34" borderId="18" xfId="61" applyNumberFormat="1" applyFont="1" applyFill="1" applyBorder="1" applyAlignment="1">
      <alignment horizontal="center"/>
      <protection/>
    </xf>
    <xf numFmtId="2" fontId="31" fillId="35" borderId="18" xfId="61" applyNumberFormat="1" applyFont="1" applyFill="1" applyBorder="1" applyAlignment="1">
      <alignment horizontal="center"/>
      <protection/>
    </xf>
    <xf numFmtId="167" fontId="32" fillId="32" borderId="18" xfId="61" applyNumberFormat="1" applyFont="1" applyFill="1" applyBorder="1" applyAlignment="1" applyProtection="1" quotePrefix="1">
      <alignment horizontal="center"/>
      <protection/>
    </xf>
    <xf numFmtId="167" fontId="30" fillId="36" borderId="18" xfId="61" applyNumberFormat="1" applyFont="1" applyFill="1" applyBorder="1" applyAlignment="1" applyProtection="1" quotePrefix="1">
      <alignment horizontal="center"/>
      <protection/>
    </xf>
    <xf numFmtId="167" fontId="33" fillId="4" borderId="18" xfId="61" applyNumberFormat="1" applyFont="1" applyFill="1" applyBorder="1" applyAlignment="1" applyProtection="1" quotePrefix="1">
      <alignment horizontal="center"/>
      <protection/>
    </xf>
    <xf numFmtId="167" fontId="34" fillId="37" borderId="18" xfId="61" applyNumberFormat="1" applyFont="1" applyFill="1" applyBorder="1" applyAlignment="1" applyProtection="1" quotePrefix="1">
      <alignment horizontal="center"/>
      <protection/>
    </xf>
    <xf numFmtId="4" fontId="8" fillId="0" borderId="0" xfId="61" applyNumberFormat="1" applyFont="1" applyBorder="1" applyAlignment="1">
      <alignment horizontal="center"/>
      <protection/>
    </xf>
    <xf numFmtId="2" fontId="7" fillId="0" borderId="12" xfId="61" applyNumberFormat="1" applyFont="1" applyBorder="1" applyAlignment="1">
      <alignment horizontal="center"/>
      <protection/>
    </xf>
    <xf numFmtId="0" fontId="37" fillId="0" borderId="0" xfId="61" applyFont="1">
      <alignment/>
      <protection/>
    </xf>
    <xf numFmtId="0" fontId="37" fillId="0" borderId="11" xfId="61" applyFont="1" applyBorder="1">
      <alignment/>
      <protection/>
    </xf>
    <xf numFmtId="0" fontId="37" fillId="0" borderId="0" xfId="61" applyFont="1" applyBorder="1" applyAlignment="1">
      <alignment horizontal="center"/>
      <protection/>
    </xf>
    <xf numFmtId="0" fontId="38" fillId="0" borderId="0" xfId="61" applyFont="1" applyBorder="1" applyAlignment="1" applyProtection="1">
      <alignment horizontal="left" vertical="top"/>
      <protection/>
    </xf>
    <xf numFmtId="0" fontId="37" fillId="0" borderId="0" xfId="61" applyFont="1" applyBorder="1" applyAlignment="1" applyProtection="1">
      <alignment horizontal="center"/>
      <protection/>
    </xf>
    <xf numFmtId="2" fontId="37" fillId="0" borderId="0" xfId="61" applyNumberFormat="1" applyFont="1" applyBorder="1" applyAlignment="1" applyProtection="1">
      <alignment horizontal="center"/>
      <protection/>
    </xf>
    <xf numFmtId="167" fontId="37" fillId="0" borderId="0" xfId="61" applyNumberFormat="1" applyFont="1" applyBorder="1" applyAlignment="1" applyProtection="1">
      <alignment horizontal="center"/>
      <protection/>
    </xf>
    <xf numFmtId="167" fontId="37" fillId="0" borderId="0" xfId="61" applyNumberFormat="1" applyFont="1" applyBorder="1" applyAlignment="1" applyProtection="1" quotePrefix="1">
      <alignment horizontal="center"/>
      <protection/>
    </xf>
    <xf numFmtId="2" fontId="39" fillId="0" borderId="0" xfId="61" applyNumberFormat="1" applyFont="1" applyBorder="1" applyAlignment="1">
      <alignment horizontal="center"/>
      <protection/>
    </xf>
    <xf numFmtId="167" fontId="40" fillId="0" borderId="0" xfId="61" applyNumberFormat="1" applyFont="1" applyBorder="1" applyAlignment="1" applyProtection="1" quotePrefix="1">
      <alignment horizontal="center"/>
      <protection/>
    </xf>
    <xf numFmtId="4" fontId="40" fillId="0" borderId="0" xfId="61" applyNumberFormat="1" applyFont="1" applyBorder="1" applyAlignment="1">
      <alignment horizontal="center"/>
      <protection/>
    </xf>
    <xf numFmtId="8" fontId="41" fillId="0" borderId="0" xfId="61" applyNumberFormat="1" applyFont="1" applyBorder="1" applyAlignment="1" applyProtection="1">
      <alignment horizontal="right"/>
      <protection locked="0"/>
    </xf>
    <xf numFmtId="2" fontId="37" fillId="0" borderId="12" xfId="61" applyNumberFormat="1" applyFont="1" applyBorder="1" applyAlignment="1">
      <alignment horizontal="center"/>
      <protection/>
    </xf>
    <xf numFmtId="0" fontId="7" fillId="0" borderId="26" xfId="61" applyFont="1" applyBorder="1">
      <alignment/>
      <protection/>
    </xf>
    <xf numFmtId="0" fontId="7" fillId="0" borderId="27" xfId="61" applyFont="1" applyBorder="1">
      <alignment/>
      <protection/>
    </xf>
    <xf numFmtId="0" fontId="7" fillId="0" borderId="28" xfId="61" applyFont="1" applyBorder="1">
      <alignment/>
      <protection/>
    </xf>
    <xf numFmtId="0" fontId="2" fillId="0" borderId="0" xfId="61" applyBorder="1">
      <alignment/>
      <protection/>
    </xf>
    <xf numFmtId="0" fontId="9" fillId="0" borderId="0" xfId="61" applyFont="1" applyFill="1">
      <alignment/>
      <protection/>
    </xf>
    <xf numFmtId="0" fontId="9" fillId="0" borderId="0" xfId="61" applyFont="1" applyFill="1" applyAlignment="1">
      <alignment horizontal="centerContinuous"/>
      <protection/>
    </xf>
    <xf numFmtId="0" fontId="7" fillId="0" borderId="0" xfId="61" applyFont="1" applyFill="1" applyAlignment="1">
      <alignment horizontal="centerContinuous"/>
      <protection/>
    </xf>
    <xf numFmtId="0" fontId="11" fillId="0" borderId="0" xfId="61" applyFont="1" applyFill="1" applyAlignment="1">
      <alignment horizontal="centerContinuous"/>
      <protection/>
    </xf>
    <xf numFmtId="0" fontId="11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7" fillId="0" borderId="13" xfId="61" applyFont="1" applyFill="1" applyBorder="1">
      <alignment/>
      <protection/>
    </xf>
    <xf numFmtId="0" fontId="7" fillId="0" borderId="14" xfId="61" applyFont="1" applyFill="1" applyBorder="1">
      <alignment/>
      <protection/>
    </xf>
    <xf numFmtId="0" fontId="7" fillId="0" borderId="15" xfId="61" applyFont="1" applyFill="1" applyBorder="1">
      <alignment/>
      <protection/>
    </xf>
    <xf numFmtId="0" fontId="16" fillId="0" borderId="11" xfId="61" applyFont="1" applyFill="1" applyBorder="1">
      <alignment/>
      <protection/>
    </xf>
    <xf numFmtId="0" fontId="16" fillId="0" borderId="0" xfId="61" applyFont="1" applyFill="1" applyBorder="1">
      <alignment/>
      <protection/>
    </xf>
    <xf numFmtId="0" fontId="17" fillId="0" borderId="0" xfId="61" applyFont="1" applyFill="1" applyBorder="1">
      <alignment/>
      <protection/>
    </xf>
    <xf numFmtId="0" fontId="16" fillId="0" borderId="0" xfId="61" applyFont="1" applyFill="1">
      <alignment/>
      <protection/>
    </xf>
    <xf numFmtId="0" fontId="16" fillId="0" borderId="12" xfId="61" applyFont="1" applyFill="1" applyBorder="1">
      <alignment/>
      <protection/>
    </xf>
    <xf numFmtId="0" fontId="7" fillId="0" borderId="11" xfId="61" applyFont="1" applyFill="1" applyBorder="1">
      <alignment/>
      <protection/>
    </xf>
    <xf numFmtId="0" fontId="7" fillId="0" borderId="12" xfId="61" applyFont="1" applyFill="1" applyBorder="1">
      <alignment/>
      <protection/>
    </xf>
    <xf numFmtId="0" fontId="4" fillId="0" borderId="0" xfId="61" applyFont="1" applyFill="1" applyBorder="1">
      <alignment/>
      <protection/>
    </xf>
    <xf numFmtId="0" fontId="17" fillId="0" borderId="0" xfId="61" applyFont="1" applyFill="1">
      <alignment/>
      <protection/>
    </xf>
    <xf numFmtId="0" fontId="16" fillId="0" borderId="0" xfId="61" applyFont="1" applyFill="1" applyBorder="1" applyProtection="1">
      <alignment/>
      <protection/>
    </xf>
    <xf numFmtId="0" fontId="7" fillId="0" borderId="0" xfId="61" applyFont="1" applyFill="1" applyBorder="1" applyAlignment="1" applyProtection="1">
      <alignment horizontal="left"/>
      <protection/>
    </xf>
    <xf numFmtId="164" fontId="7" fillId="0" borderId="0" xfId="61" applyNumberFormat="1" applyFont="1" applyFill="1" applyBorder="1" applyProtection="1">
      <alignment/>
      <protection/>
    </xf>
    <xf numFmtId="0" fontId="7" fillId="0" borderId="0" xfId="61" applyFont="1" applyFill="1" applyBorder="1" applyProtection="1">
      <alignment/>
      <protection/>
    </xf>
    <xf numFmtId="0" fontId="14" fillId="0" borderId="11" xfId="61" applyFont="1" applyFill="1" applyBorder="1" applyAlignment="1">
      <alignment horizontal="centerContinuous"/>
      <protection/>
    </xf>
    <xf numFmtId="0" fontId="14" fillId="0" borderId="0" xfId="61" applyFont="1" applyFill="1" applyBorder="1" applyAlignment="1">
      <alignment horizontal="centerContinuous"/>
      <protection/>
    </xf>
    <xf numFmtId="0" fontId="14" fillId="0" borderId="12" xfId="61" applyFont="1" applyFill="1" applyBorder="1" applyAlignment="1">
      <alignment horizontal="centerContinuous"/>
      <protection/>
    </xf>
    <xf numFmtId="0" fontId="7" fillId="0" borderId="0" xfId="61" applyFont="1" applyFill="1" applyBorder="1" applyAlignment="1">
      <alignment horizontal="center"/>
      <protection/>
    </xf>
    <xf numFmtId="0" fontId="15" fillId="0" borderId="0" xfId="61" applyFont="1" applyFill="1" applyBorder="1" applyAlignment="1">
      <alignment horizontal="left"/>
      <protection/>
    </xf>
    <xf numFmtId="0" fontId="2" fillId="0" borderId="16" xfId="61" applyFont="1" applyFill="1" applyBorder="1" applyAlignment="1" applyProtection="1">
      <alignment horizontal="left"/>
      <protection/>
    </xf>
    <xf numFmtId="0" fontId="2" fillId="0" borderId="25" xfId="61" applyFont="1" applyFill="1" applyBorder="1" applyAlignment="1" applyProtection="1">
      <alignment horizontal="center"/>
      <protection/>
    </xf>
    <xf numFmtId="0" fontId="2" fillId="0" borderId="25" xfId="61" applyFont="1" applyFill="1" applyBorder="1">
      <alignment/>
      <protection/>
    </xf>
    <xf numFmtId="0" fontId="2" fillId="0" borderId="16" xfId="61" applyFont="1" applyFill="1" applyBorder="1" applyAlignment="1" applyProtection="1" quotePrefix="1">
      <alignment horizontal="left"/>
      <protection/>
    </xf>
    <xf numFmtId="0" fontId="2" fillId="0" borderId="19" xfId="61" applyFont="1" applyFill="1" applyBorder="1" applyAlignment="1" applyProtection="1">
      <alignment horizontal="center"/>
      <protection/>
    </xf>
    <xf numFmtId="164" fontId="2" fillId="0" borderId="18" xfId="61" applyNumberFormat="1" applyFont="1" applyFill="1" applyBorder="1" applyAlignment="1" applyProtection="1">
      <alignment horizontal="center"/>
      <protection/>
    </xf>
    <xf numFmtId="0" fontId="7" fillId="0" borderId="0" xfId="61" applyFont="1" applyAlignment="1" applyProtection="1">
      <alignment/>
      <protection/>
    </xf>
    <xf numFmtId="22" fontId="7" fillId="0" borderId="0" xfId="61" applyNumberFormat="1" applyFont="1" applyFill="1" applyBorder="1">
      <alignment/>
      <protection/>
    </xf>
    <xf numFmtId="0" fontId="7" fillId="0" borderId="0" xfId="61" applyFont="1" applyAlignment="1">
      <alignment vertical="center"/>
      <protection/>
    </xf>
    <xf numFmtId="0" fontId="7" fillId="0" borderId="11" xfId="61" applyFont="1" applyFill="1" applyBorder="1" applyAlignment="1">
      <alignment vertical="center"/>
      <protection/>
    </xf>
    <xf numFmtId="0" fontId="18" fillId="0" borderId="18" xfId="61" applyFont="1" applyFill="1" applyBorder="1" applyAlignment="1" applyProtection="1">
      <alignment horizontal="center" vertical="center" wrapText="1"/>
      <protection/>
    </xf>
    <xf numFmtId="0" fontId="18" fillId="0" borderId="18" xfId="61" applyFont="1" applyFill="1" applyBorder="1" applyAlignment="1" applyProtection="1">
      <alignment horizontal="center" vertical="center"/>
      <protection/>
    </xf>
    <xf numFmtId="0" fontId="18" fillId="0" borderId="18" xfId="61" applyFont="1" applyFill="1" applyBorder="1" applyAlignment="1" applyProtection="1" quotePrefix="1">
      <alignment horizontal="center" vertical="center" wrapText="1"/>
      <protection/>
    </xf>
    <xf numFmtId="0" fontId="18" fillId="0" borderId="18" xfId="61" applyFont="1" applyFill="1" applyBorder="1" applyAlignment="1">
      <alignment horizontal="center" vertical="center" wrapText="1"/>
      <protection/>
    </xf>
    <xf numFmtId="0" fontId="19" fillId="32" borderId="18" xfId="61" applyFont="1" applyFill="1" applyBorder="1" applyAlignment="1" applyProtection="1">
      <alignment horizontal="center" vertical="center"/>
      <protection/>
    </xf>
    <xf numFmtId="0" fontId="27" fillId="37" borderId="18" xfId="61" applyFont="1" applyFill="1" applyBorder="1" applyAlignment="1" applyProtection="1">
      <alignment horizontal="center" vertical="center"/>
      <protection/>
    </xf>
    <xf numFmtId="0" fontId="22" fillId="36" borderId="18" xfId="61" applyFont="1" applyFill="1" applyBorder="1" applyAlignment="1">
      <alignment horizontal="center" vertical="center" wrapText="1"/>
      <protection/>
    </xf>
    <xf numFmtId="0" fontId="21" fillId="38" borderId="18" xfId="61" applyFont="1" applyFill="1" applyBorder="1" applyAlignment="1">
      <alignment horizontal="center" vertical="center" wrapText="1"/>
      <protection/>
    </xf>
    <xf numFmtId="0" fontId="21" fillId="33" borderId="16" xfId="61" applyFont="1" applyFill="1" applyBorder="1" applyAlignment="1" applyProtection="1">
      <alignment horizontal="centerContinuous" vertical="center" wrapText="1"/>
      <protection/>
    </xf>
    <xf numFmtId="0" fontId="21" fillId="33" borderId="17" xfId="61" applyFont="1" applyFill="1" applyBorder="1" applyAlignment="1">
      <alignment horizontal="centerContinuous" vertical="center"/>
      <protection/>
    </xf>
    <xf numFmtId="0" fontId="42" fillId="39" borderId="16" xfId="61" applyFont="1" applyFill="1" applyBorder="1" applyAlignment="1" applyProtection="1">
      <alignment horizontal="centerContinuous" vertical="center" wrapText="1"/>
      <protection/>
    </xf>
    <xf numFmtId="0" fontId="42" fillId="39" borderId="17" xfId="61" applyFont="1" applyFill="1" applyBorder="1" applyAlignment="1">
      <alignment horizontal="centerContinuous" vertical="center"/>
      <protection/>
    </xf>
    <xf numFmtId="0" fontId="26" fillId="40" borderId="18" xfId="61" applyFont="1" applyFill="1" applyBorder="1" applyAlignment="1">
      <alignment horizontal="center" vertical="center" wrapText="1"/>
      <protection/>
    </xf>
    <xf numFmtId="0" fontId="21" fillId="3" borderId="18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vertical="center"/>
      <protection/>
    </xf>
    <xf numFmtId="0" fontId="7" fillId="0" borderId="29" xfId="61" applyFont="1" applyFill="1" applyBorder="1" applyAlignment="1" applyProtection="1">
      <alignment horizontal="center"/>
      <protection locked="0"/>
    </xf>
    <xf numFmtId="0" fontId="7" fillId="0" borderId="20" xfId="61" applyFont="1" applyFill="1" applyBorder="1" applyAlignment="1" applyProtection="1">
      <alignment horizontal="center"/>
      <protection locked="0"/>
    </xf>
    <xf numFmtId="0" fontId="7" fillId="0" borderId="20" xfId="61" applyFont="1" applyFill="1" applyBorder="1" applyProtection="1">
      <alignment/>
      <protection locked="0"/>
    </xf>
    <xf numFmtId="0" fontId="43" fillId="32" borderId="20" xfId="61" applyFont="1" applyFill="1" applyBorder="1" applyProtection="1">
      <alignment/>
      <protection locked="0"/>
    </xf>
    <xf numFmtId="0" fontId="7" fillId="0" borderId="20" xfId="61" applyFont="1" applyFill="1" applyBorder="1" applyAlignment="1">
      <alignment horizontal="center"/>
      <protection/>
    </xf>
    <xf numFmtId="0" fontId="6" fillId="38" borderId="20" xfId="61" applyFont="1" applyFill="1" applyBorder="1" applyProtection="1">
      <alignment/>
      <protection locked="0"/>
    </xf>
    <xf numFmtId="0" fontId="6" fillId="33" borderId="30" xfId="61" applyFont="1" applyFill="1" applyBorder="1" applyAlignment="1" applyProtection="1">
      <alignment horizontal="center"/>
      <protection locked="0"/>
    </xf>
    <xf numFmtId="0" fontId="6" fillId="33" borderId="31" xfId="61" applyFont="1" applyFill="1" applyBorder="1" applyProtection="1">
      <alignment/>
      <protection locked="0"/>
    </xf>
    <xf numFmtId="0" fontId="44" fillId="39" borderId="30" xfId="61" applyFont="1" applyFill="1" applyBorder="1" applyAlignment="1" applyProtection="1">
      <alignment horizontal="center"/>
      <protection locked="0"/>
    </xf>
    <xf numFmtId="0" fontId="44" fillId="39" borderId="31" xfId="61" applyFont="1" applyFill="1" applyBorder="1" applyProtection="1">
      <alignment/>
      <protection locked="0"/>
    </xf>
    <xf numFmtId="0" fontId="33" fillId="40" borderId="20" xfId="61" applyFont="1" applyFill="1" applyBorder="1" applyProtection="1">
      <alignment/>
      <protection locked="0"/>
    </xf>
    <xf numFmtId="0" fontId="6" fillId="3" borderId="20" xfId="61" applyFont="1" applyFill="1" applyBorder="1" applyProtection="1">
      <alignment/>
      <protection locked="0"/>
    </xf>
    <xf numFmtId="171" fontId="35" fillId="0" borderId="20" xfId="61" applyNumberFormat="1" applyFont="1" applyFill="1" applyBorder="1" applyAlignment="1">
      <alignment horizontal="right"/>
      <protection/>
    </xf>
    <xf numFmtId="0" fontId="7" fillId="0" borderId="32" xfId="61" applyFont="1" applyFill="1" applyBorder="1" applyAlignment="1" applyProtection="1">
      <alignment horizontal="center"/>
      <protection locked="0"/>
    </xf>
    <xf numFmtId="0" fontId="7" fillId="0" borderId="21" xfId="61" applyFont="1" applyFill="1" applyBorder="1" applyAlignment="1" applyProtection="1">
      <alignment horizontal="center"/>
      <protection locked="0"/>
    </xf>
    <xf numFmtId="0" fontId="7" fillId="0" borderId="21" xfId="61" applyFont="1" applyFill="1" applyBorder="1" applyProtection="1">
      <alignment/>
      <protection locked="0"/>
    </xf>
    <xf numFmtId="0" fontId="43" fillId="32" borderId="21" xfId="61" applyFont="1" applyFill="1" applyBorder="1" applyProtection="1">
      <alignment/>
      <protection locked="0"/>
    </xf>
    <xf numFmtId="0" fontId="7" fillId="0" borderId="21" xfId="61" applyFont="1" applyFill="1" applyBorder="1" applyAlignment="1">
      <alignment horizontal="center"/>
      <protection/>
    </xf>
    <xf numFmtId="0" fontId="6" fillId="38" borderId="21" xfId="61" applyFont="1" applyFill="1" applyBorder="1" applyProtection="1">
      <alignment/>
      <protection locked="0"/>
    </xf>
    <xf numFmtId="0" fontId="6" fillId="33" borderId="33" xfId="61" applyFont="1" applyFill="1" applyBorder="1" applyAlignment="1" applyProtection="1">
      <alignment horizontal="center"/>
      <protection locked="0"/>
    </xf>
    <xf numFmtId="0" fontId="6" fillId="33" borderId="34" xfId="61" applyFont="1" applyFill="1" applyBorder="1" applyProtection="1">
      <alignment/>
      <protection locked="0"/>
    </xf>
    <xf numFmtId="0" fontId="44" fillId="39" borderId="33" xfId="61" applyFont="1" applyFill="1" applyBorder="1" applyAlignment="1" applyProtection="1">
      <alignment horizontal="center"/>
      <protection locked="0"/>
    </xf>
    <xf numFmtId="0" fontId="44" fillId="39" borderId="34" xfId="61" applyFont="1" applyFill="1" applyBorder="1" applyProtection="1">
      <alignment/>
      <protection locked="0"/>
    </xf>
    <xf numFmtId="0" fontId="33" fillId="40" borderId="21" xfId="61" applyFont="1" applyFill="1" applyBorder="1" applyProtection="1">
      <alignment/>
      <protection locked="0"/>
    </xf>
    <xf numFmtId="0" fontId="6" fillId="3" borderId="21" xfId="61" applyFont="1" applyFill="1" applyBorder="1" applyProtection="1">
      <alignment/>
      <protection locked="0"/>
    </xf>
    <xf numFmtId="0" fontId="35" fillId="0" borderId="34" xfId="61" applyFont="1" applyFill="1" applyBorder="1" applyAlignment="1">
      <alignment horizontal="right"/>
      <protection/>
    </xf>
    <xf numFmtId="165" fontId="7" fillId="0" borderId="22" xfId="61" applyNumberFormat="1" applyFont="1" applyBorder="1" applyAlignment="1" applyProtection="1" quotePrefix="1">
      <alignment horizontal="center"/>
      <protection locked="0"/>
    </xf>
    <xf numFmtId="2" fontId="7" fillId="0" borderId="22" xfId="61" applyNumberFormat="1" applyFont="1" applyBorder="1" applyAlignment="1" applyProtection="1" quotePrefix="1">
      <alignment horizontal="center"/>
      <protection locked="0"/>
    </xf>
    <xf numFmtId="167" fontId="43" fillId="32" borderId="21" xfId="61" applyNumberFormat="1" applyFont="1" applyFill="1" applyBorder="1" applyAlignment="1" applyProtection="1">
      <alignment horizontal="center"/>
      <protection locked="0"/>
    </xf>
    <xf numFmtId="2" fontId="7" fillId="0" borderId="21" xfId="61" applyNumberFormat="1" applyFont="1" applyFill="1" applyBorder="1" applyAlignment="1" applyProtection="1">
      <alignment horizontal="center"/>
      <protection/>
    </xf>
    <xf numFmtId="3" fontId="7" fillId="0" borderId="21" xfId="61" applyNumberFormat="1" applyFont="1" applyFill="1" applyBorder="1" applyAlignment="1" applyProtection="1">
      <alignment horizontal="center"/>
      <protection/>
    </xf>
    <xf numFmtId="167" fontId="7" fillId="0" borderId="21" xfId="61" applyNumberFormat="1" applyFont="1" applyFill="1" applyBorder="1" applyAlignment="1" applyProtection="1">
      <alignment horizontal="center"/>
      <protection locked="0"/>
    </xf>
    <xf numFmtId="167" fontId="7" fillId="0" borderId="21" xfId="61" applyNumberFormat="1" applyFont="1" applyFill="1" applyBorder="1" applyAlignment="1" applyProtection="1" quotePrefix="1">
      <alignment horizontal="center"/>
      <protection locked="0"/>
    </xf>
    <xf numFmtId="2" fontId="30" fillId="36" borderId="21" xfId="61" applyNumberFormat="1" applyFont="1" applyFill="1" applyBorder="1" applyAlignment="1" applyProtection="1">
      <alignment horizontal="center"/>
      <protection locked="0"/>
    </xf>
    <xf numFmtId="2" fontId="6" fillId="38" borderId="21" xfId="61" applyNumberFormat="1" applyFont="1" applyFill="1" applyBorder="1" applyAlignment="1" applyProtection="1">
      <alignment horizontal="center"/>
      <protection locked="0"/>
    </xf>
    <xf numFmtId="167" fontId="6" fillId="33" borderId="33" xfId="61" applyNumberFormat="1" applyFont="1" applyFill="1" applyBorder="1" applyAlignment="1" applyProtection="1" quotePrefix="1">
      <alignment horizontal="center"/>
      <protection locked="0"/>
    </xf>
    <xf numFmtId="167" fontId="6" fillId="33" borderId="35" xfId="61" applyNumberFormat="1" applyFont="1" applyFill="1" applyBorder="1" applyAlignment="1" applyProtection="1" quotePrefix="1">
      <alignment horizontal="center"/>
      <protection locked="0"/>
    </xf>
    <xf numFmtId="167" fontId="44" fillId="39" borderId="33" xfId="61" applyNumberFormat="1" applyFont="1" applyFill="1" applyBorder="1" applyAlignment="1" applyProtection="1" quotePrefix="1">
      <alignment horizontal="center"/>
      <protection locked="0"/>
    </xf>
    <xf numFmtId="167" fontId="44" fillId="39" borderId="35" xfId="61" applyNumberFormat="1" applyFont="1" applyFill="1" applyBorder="1" applyAlignment="1" applyProtection="1" quotePrefix="1">
      <alignment horizontal="center"/>
      <protection locked="0"/>
    </xf>
    <xf numFmtId="167" fontId="33" fillId="40" borderId="21" xfId="61" applyNumberFormat="1" applyFont="1" applyFill="1" applyBorder="1" applyAlignment="1" applyProtection="1" quotePrefix="1">
      <alignment horizontal="center"/>
      <protection locked="0"/>
    </xf>
    <xf numFmtId="167" fontId="6" fillId="3" borderId="22" xfId="61" applyNumberFormat="1" applyFont="1" applyFill="1" applyBorder="1" applyAlignment="1" applyProtection="1" quotePrefix="1">
      <alignment horizontal="center"/>
      <protection locked="0"/>
    </xf>
    <xf numFmtId="167" fontId="35" fillId="0" borderId="34" xfId="61" applyNumberFormat="1" applyFont="1" applyFill="1" applyBorder="1" applyAlignment="1">
      <alignment horizontal="right"/>
      <protection/>
    </xf>
    <xf numFmtId="2" fontId="7" fillId="0" borderId="12" xfId="61" applyNumberFormat="1" applyFont="1" applyFill="1" applyBorder="1">
      <alignment/>
      <protection/>
    </xf>
    <xf numFmtId="0" fontId="7" fillId="0" borderId="23" xfId="61" applyFont="1" applyFill="1" applyBorder="1">
      <alignment/>
      <protection/>
    </xf>
    <xf numFmtId="0" fontId="43" fillId="32" borderId="23" xfId="61" applyFont="1" applyFill="1" applyBorder="1">
      <alignment/>
      <protection/>
    </xf>
    <xf numFmtId="0" fontId="35" fillId="0" borderId="36" xfId="61" applyFont="1" applyFill="1" applyBorder="1" applyAlignment="1">
      <alignment horizontal="right"/>
      <protection/>
    </xf>
    <xf numFmtId="7" fontId="30" fillId="36" borderId="18" xfId="61" applyNumberFormat="1" applyFont="1" applyFill="1" applyBorder="1" applyAlignment="1">
      <alignment horizontal="center"/>
      <protection/>
    </xf>
    <xf numFmtId="7" fontId="6" fillId="38" borderId="18" xfId="61" applyNumberFormat="1" applyFont="1" applyFill="1" applyBorder="1" applyAlignment="1">
      <alignment horizontal="center"/>
      <protection/>
    </xf>
    <xf numFmtId="7" fontId="6" fillId="33" borderId="18" xfId="61" applyNumberFormat="1" applyFont="1" applyFill="1" applyBorder="1" applyAlignment="1">
      <alignment horizontal="center"/>
      <protection/>
    </xf>
    <xf numFmtId="7" fontId="6" fillId="33" borderId="37" xfId="61" applyNumberFormat="1" applyFont="1" applyFill="1" applyBorder="1" applyAlignment="1">
      <alignment horizontal="center"/>
      <protection/>
    </xf>
    <xf numFmtId="7" fontId="44" fillId="39" borderId="18" xfId="61" applyNumberFormat="1" applyFont="1" applyFill="1" applyBorder="1" applyAlignment="1">
      <alignment horizontal="center"/>
      <protection/>
    </xf>
    <xf numFmtId="7" fontId="33" fillId="40" borderId="18" xfId="61" applyNumberFormat="1" applyFont="1" applyFill="1" applyBorder="1" applyAlignment="1">
      <alignment horizontal="center"/>
      <protection/>
    </xf>
    <xf numFmtId="7" fontId="6" fillId="3" borderId="18" xfId="61" applyNumberFormat="1" applyFont="1" applyFill="1" applyBorder="1" applyAlignment="1">
      <alignment horizontal="center"/>
      <protection/>
    </xf>
    <xf numFmtId="0" fontId="7" fillId="0" borderId="38" xfId="61" applyFont="1" applyFill="1" applyBorder="1">
      <alignment/>
      <protection/>
    </xf>
    <xf numFmtId="0" fontId="37" fillId="0" borderId="11" xfId="61" applyFont="1" applyFill="1" applyBorder="1">
      <alignment/>
      <protection/>
    </xf>
    <xf numFmtId="0" fontId="37" fillId="0" borderId="0" xfId="61" applyFont="1" applyFill="1" applyBorder="1">
      <alignment/>
      <protection/>
    </xf>
    <xf numFmtId="7" fontId="37" fillId="0" borderId="0" xfId="61" applyNumberFormat="1" applyFont="1" applyFill="1" applyBorder="1" applyAlignment="1">
      <alignment horizontal="center"/>
      <protection/>
    </xf>
    <xf numFmtId="7" fontId="37" fillId="0" borderId="0" xfId="61" applyNumberFormat="1" applyFont="1" applyFill="1" applyBorder="1" applyAlignment="1" applyProtection="1">
      <alignment horizontal="right"/>
      <protection locked="0"/>
    </xf>
    <xf numFmtId="0" fontId="37" fillId="0" borderId="12" xfId="61" applyFont="1" applyFill="1" applyBorder="1">
      <alignment/>
      <protection/>
    </xf>
    <xf numFmtId="0" fontId="7" fillId="0" borderId="26" xfId="61" applyFont="1" applyFill="1" applyBorder="1">
      <alignment/>
      <protection/>
    </xf>
    <xf numFmtId="0" fontId="7" fillId="0" borderId="27" xfId="61" applyFont="1" applyFill="1" applyBorder="1">
      <alignment/>
      <protection/>
    </xf>
    <xf numFmtId="0" fontId="7" fillId="0" borderId="28" xfId="61" applyFont="1" applyFill="1" applyBorder="1">
      <alignment/>
      <protection/>
    </xf>
    <xf numFmtId="0" fontId="2" fillId="0" borderId="0" xfId="61" applyFill="1" applyBorder="1">
      <alignment/>
      <protection/>
    </xf>
    <xf numFmtId="0" fontId="0" fillId="0" borderId="0" xfId="61" applyFont="1" applyFill="1" applyBorder="1">
      <alignment/>
      <protection/>
    </xf>
    <xf numFmtId="0" fontId="9" fillId="0" borderId="0" xfId="61" applyFont="1" applyAlignment="1">
      <alignment horizontal="centerContinuous" vertical="center"/>
      <protection/>
    </xf>
    <xf numFmtId="0" fontId="7" fillId="0" borderId="0" xfId="61" applyFont="1" applyAlignment="1">
      <alignment horizontal="centerContinuous" vertical="center"/>
      <protection/>
    </xf>
    <xf numFmtId="0" fontId="11" fillId="0" borderId="0" xfId="61" applyFont="1" applyAlignment="1">
      <alignment horizontal="centerContinuous"/>
      <protection/>
    </xf>
    <xf numFmtId="0" fontId="45" fillId="0" borderId="0" xfId="61" applyFont="1" applyBorder="1">
      <alignment/>
      <protection/>
    </xf>
    <xf numFmtId="0" fontId="14" fillId="0" borderId="0" xfId="61" applyFont="1" applyFill="1" applyBorder="1" applyAlignment="1" applyProtection="1" quotePrefix="1">
      <alignment horizontal="centerContinuous"/>
      <protection locked="0"/>
    </xf>
    <xf numFmtId="0" fontId="2" fillId="0" borderId="16" xfId="61" applyFont="1" applyBorder="1" applyAlignment="1" applyProtection="1">
      <alignment horizontal="left"/>
      <protection/>
    </xf>
    <xf numFmtId="0" fontId="2" fillId="0" borderId="18" xfId="61" applyFont="1" applyBorder="1" applyAlignment="1">
      <alignment horizontal="center"/>
      <protection/>
    </xf>
    <xf numFmtId="22" fontId="7" fillId="0" borderId="0" xfId="61" applyNumberFormat="1" applyFont="1" applyBorder="1">
      <alignment/>
      <protection/>
    </xf>
    <xf numFmtId="0" fontId="2" fillId="0" borderId="16" xfId="61" applyFont="1" applyBorder="1">
      <alignment/>
      <protection/>
    </xf>
    <xf numFmtId="168" fontId="46" fillId="0" borderId="37" xfId="61" applyNumberFormat="1" applyFont="1" applyBorder="1" applyAlignment="1">
      <alignment horizontal="center"/>
      <protection/>
    </xf>
    <xf numFmtId="0" fontId="2" fillId="0" borderId="23" xfId="61" applyFont="1" applyBorder="1" applyAlignment="1">
      <alignment horizontal="center"/>
      <protection/>
    </xf>
    <xf numFmtId="0" fontId="7" fillId="0" borderId="0" xfId="61" applyFont="1" applyBorder="1" applyAlignment="1">
      <alignment horizontal="left"/>
      <protection/>
    </xf>
    <xf numFmtId="168" fontId="7" fillId="0" borderId="0" xfId="61" applyNumberFormat="1" applyFont="1" applyBorder="1">
      <alignment/>
      <protection/>
    </xf>
    <xf numFmtId="0" fontId="7" fillId="0" borderId="0" xfId="61" applyFont="1" applyBorder="1" applyAlignment="1" quotePrefix="1">
      <alignment horizontal="center"/>
      <protection/>
    </xf>
    <xf numFmtId="0" fontId="2" fillId="0" borderId="16" xfId="61" applyFont="1" applyBorder="1" applyAlignment="1">
      <alignment horizontal="left"/>
      <protection/>
    </xf>
    <xf numFmtId="1" fontId="2" fillId="0" borderId="23" xfId="61" applyNumberFormat="1" applyFont="1" applyBorder="1" applyAlignment="1">
      <alignment horizontal="center"/>
      <protection/>
    </xf>
    <xf numFmtId="0" fontId="18" fillId="0" borderId="0" xfId="61" applyFont="1">
      <alignment/>
      <protection/>
    </xf>
    <xf numFmtId="0" fontId="18" fillId="0" borderId="11" xfId="61" applyFont="1" applyBorder="1">
      <alignment/>
      <protection/>
    </xf>
    <xf numFmtId="0" fontId="21" fillId="3" borderId="18" xfId="61" applyFont="1" applyFill="1" applyBorder="1" applyAlignment="1" applyProtection="1">
      <alignment horizontal="center" vertical="center"/>
      <protection/>
    </xf>
    <xf numFmtId="0" fontId="47" fillId="40" borderId="18" xfId="61" applyFont="1" applyFill="1" applyBorder="1" applyAlignment="1">
      <alignment horizontal="center" vertical="center" wrapText="1"/>
      <protection/>
    </xf>
    <xf numFmtId="0" fontId="21" fillId="39" borderId="16" xfId="61" applyFont="1" applyFill="1" applyBorder="1" applyAlignment="1" applyProtection="1">
      <alignment horizontal="centerContinuous" vertical="center" wrapText="1"/>
      <protection/>
    </xf>
    <xf numFmtId="0" fontId="21" fillId="39" borderId="17" xfId="61" applyFont="1" applyFill="1" applyBorder="1" applyAlignment="1">
      <alignment horizontal="centerContinuous" vertical="center"/>
      <protection/>
    </xf>
    <xf numFmtId="0" fontId="22" fillId="41" borderId="18" xfId="61" applyFont="1" applyFill="1" applyBorder="1" applyAlignment="1">
      <alignment horizontal="center" vertical="center" wrapText="1"/>
      <protection/>
    </xf>
    <xf numFmtId="0" fontId="18" fillId="0" borderId="12" xfId="61" applyFont="1" applyFill="1" applyBorder="1">
      <alignment/>
      <protection/>
    </xf>
    <xf numFmtId="164" fontId="7" fillId="0" borderId="20" xfId="61" applyNumberFormat="1" applyFont="1" applyFill="1" applyBorder="1" applyAlignment="1" applyProtection="1">
      <alignment horizontal="center"/>
      <protection locked="0"/>
    </xf>
    <xf numFmtId="0" fontId="28" fillId="32" borderId="20" xfId="61" applyFont="1" applyFill="1" applyBorder="1" applyAlignment="1" applyProtection="1">
      <alignment horizontal="center"/>
      <protection locked="0"/>
    </xf>
    <xf numFmtId="0" fontId="29" fillId="3" borderId="20" xfId="61" applyFont="1" applyFill="1" applyBorder="1" applyAlignment="1" applyProtection="1">
      <alignment horizontal="center"/>
      <protection locked="0"/>
    </xf>
    <xf numFmtId="0" fontId="48" fillId="40" borderId="20" xfId="61" applyFont="1" applyFill="1" applyBorder="1" applyAlignment="1" applyProtection="1">
      <alignment horizontal="center"/>
      <protection locked="0"/>
    </xf>
    <xf numFmtId="167" fontId="6" fillId="39" borderId="30" xfId="61" applyNumberFormat="1" applyFont="1" applyFill="1" applyBorder="1" applyAlignment="1" applyProtection="1" quotePrefix="1">
      <alignment horizontal="center"/>
      <protection locked="0"/>
    </xf>
    <xf numFmtId="167" fontId="6" fillId="39" borderId="39" xfId="61" applyNumberFormat="1" applyFont="1" applyFill="1" applyBorder="1" applyAlignment="1" applyProtection="1" quotePrefix="1">
      <alignment horizontal="center"/>
      <protection locked="0"/>
    </xf>
    <xf numFmtId="167" fontId="30" fillId="41" borderId="20" xfId="61" applyNumberFormat="1" applyFont="1" applyFill="1" applyBorder="1" applyAlignment="1" applyProtection="1" quotePrefix="1">
      <alignment horizontal="center"/>
      <protection locked="0"/>
    </xf>
    <xf numFmtId="0" fontId="7" fillId="0" borderId="29" xfId="61" applyFont="1" applyFill="1" applyBorder="1" applyAlignment="1" applyProtection="1">
      <alignment horizontal="left"/>
      <protection locked="0"/>
    </xf>
    <xf numFmtId="0" fontId="49" fillId="0" borderId="32" xfId="61" applyFont="1" applyFill="1" applyBorder="1" applyAlignment="1" applyProtection="1">
      <alignment horizontal="center"/>
      <protection locked="0"/>
    </xf>
    <xf numFmtId="169" fontId="8" fillId="0" borderId="21" xfId="61" applyNumberFormat="1" applyFont="1" applyFill="1" applyBorder="1" applyAlignment="1" applyProtection="1">
      <alignment horizontal="center"/>
      <protection locked="0"/>
    </xf>
    <xf numFmtId="168" fontId="28" fillId="32" borderId="21" xfId="61" applyNumberFormat="1" applyFont="1" applyFill="1" applyBorder="1" applyAlignment="1" applyProtection="1">
      <alignment horizontal="center"/>
      <protection locked="0"/>
    </xf>
    <xf numFmtId="164" fontId="7" fillId="0" borderId="21" xfId="61" applyNumberFormat="1" applyFont="1" applyFill="1" applyBorder="1" applyAlignment="1" applyProtection="1" quotePrefix="1">
      <alignment horizontal="center"/>
      <protection/>
    </xf>
    <xf numFmtId="164" fontId="29" fillId="3" borderId="21" xfId="61" applyNumberFormat="1" applyFont="1" applyFill="1" applyBorder="1" applyAlignment="1" applyProtection="1">
      <alignment horizontal="center"/>
      <protection locked="0"/>
    </xf>
    <xf numFmtId="2" fontId="48" fillId="40" borderId="21" xfId="61" applyNumberFormat="1" applyFont="1" applyFill="1" applyBorder="1" applyAlignment="1" applyProtection="1">
      <alignment horizontal="center"/>
      <protection locked="0"/>
    </xf>
    <xf numFmtId="167" fontId="6" fillId="39" borderId="33" xfId="61" applyNumberFormat="1" applyFont="1" applyFill="1" applyBorder="1" applyAlignment="1" applyProtection="1" quotePrefix="1">
      <alignment horizontal="center"/>
      <protection locked="0"/>
    </xf>
    <xf numFmtId="167" fontId="6" fillId="39" borderId="35" xfId="61" applyNumberFormat="1" applyFont="1" applyFill="1" applyBorder="1" applyAlignment="1" applyProtection="1" quotePrefix="1">
      <alignment horizontal="center"/>
      <protection locked="0"/>
    </xf>
    <xf numFmtId="167" fontId="30" fillId="41" borderId="21" xfId="61" applyNumberFormat="1" applyFont="1" applyFill="1" applyBorder="1" applyAlignment="1" applyProtection="1" quotePrefix="1">
      <alignment horizontal="center"/>
      <protection locked="0"/>
    </xf>
    <xf numFmtId="167" fontId="7" fillId="0" borderId="32" xfId="61" applyNumberFormat="1" applyFont="1" applyFill="1" applyBorder="1" applyAlignment="1" applyProtection="1">
      <alignment horizontal="center"/>
      <protection locked="0"/>
    </xf>
    <xf numFmtId="167" fontId="35" fillId="0" borderId="21" xfId="61" applyNumberFormat="1" applyFont="1" applyFill="1" applyBorder="1" applyAlignment="1">
      <alignment horizontal="center"/>
      <protection/>
    </xf>
    <xf numFmtId="169" fontId="8" fillId="0" borderId="21" xfId="61" applyNumberFormat="1" applyFont="1" applyFill="1" applyBorder="1" applyAlignment="1" applyProtection="1" quotePrefix="1">
      <alignment horizontal="center"/>
      <protection locked="0"/>
    </xf>
    <xf numFmtId="167" fontId="35" fillId="0" borderId="21" xfId="61" applyNumberFormat="1" applyFont="1" applyFill="1" applyBorder="1" applyAlignment="1">
      <alignment horizontal="right"/>
      <protection/>
    </xf>
    <xf numFmtId="0" fontId="28" fillId="32" borderId="23" xfId="61" applyFont="1" applyFill="1" applyBorder="1">
      <alignment/>
      <protection/>
    </xf>
    <xf numFmtId="0" fontId="35" fillId="0" borderId="36" xfId="61" applyFont="1" applyFill="1" applyBorder="1">
      <alignment/>
      <protection/>
    </xf>
    <xf numFmtId="2" fontId="48" fillId="40" borderId="18" xfId="61" applyNumberFormat="1" applyFont="1" applyFill="1" applyBorder="1" applyAlignment="1">
      <alignment horizontal="center"/>
      <protection/>
    </xf>
    <xf numFmtId="2" fontId="6" fillId="39" borderId="18" xfId="61" applyNumberFormat="1" applyFont="1" applyFill="1" applyBorder="1" applyAlignment="1">
      <alignment horizontal="center"/>
      <protection/>
    </xf>
    <xf numFmtId="2" fontId="30" fillId="41" borderId="18" xfId="61" applyNumberFormat="1" applyFont="1" applyFill="1" applyBorder="1" applyAlignment="1">
      <alignment horizontal="center"/>
      <protection/>
    </xf>
    <xf numFmtId="7" fontId="7" fillId="0" borderId="0" xfId="61" applyNumberFormat="1" applyFont="1" applyFill="1" applyBorder="1" applyAlignment="1">
      <alignment horizontal="center"/>
      <protection/>
    </xf>
    <xf numFmtId="7" fontId="41" fillId="0" borderId="0" xfId="61" applyNumberFormat="1" applyFont="1" applyFill="1" applyBorder="1" applyAlignment="1" applyProtection="1">
      <alignment horizontal="center"/>
      <protection locked="0"/>
    </xf>
    <xf numFmtId="0" fontId="2" fillId="0" borderId="0" xfId="61" applyFont="1">
      <alignment/>
      <protection/>
    </xf>
    <xf numFmtId="0" fontId="50" fillId="0" borderId="0" xfId="61" applyFont="1" applyAlignment="1">
      <alignment horizontal="right" vertical="top"/>
      <protection/>
    </xf>
    <xf numFmtId="0" fontId="50" fillId="0" borderId="0" xfId="61" applyFont="1" applyFill="1" applyAlignment="1">
      <alignment horizontal="right" vertical="top"/>
      <protection/>
    </xf>
    <xf numFmtId="170" fontId="2" fillId="0" borderId="18" xfId="61" applyNumberFormat="1" applyFont="1" applyFill="1" applyBorder="1" applyAlignment="1">
      <alignment horizontal="center"/>
      <protection/>
    </xf>
    <xf numFmtId="0" fontId="7" fillId="0" borderId="23" xfId="61" applyFont="1" applyFill="1" applyBorder="1" applyProtection="1">
      <alignment/>
      <protection locked="0"/>
    </xf>
    <xf numFmtId="0" fontId="34" fillId="37" borderId="23" xfId="61" applyFont="1" applyFill="1" applyBorder="1" applyProtection="1">
      <alignment/>
      <protection locked="0"/>
    </xf>
    <xf numFmtId="0" fontId="30" fillId="36" borderId="23" xfId="61" applyFont="1" applyFill="1" applyBorder="1" applyProtection="1">
      <alignment/>
      <protection locked="0"/>
    </xf>
    <xf numFmtId="0" fontId="6" fillId="38" borderId="23" xfId="61" applyFont="1" applyFill="1" applyBorder="1" applyProtection="1">
      <alignment/>
      <protection locked="0"/>
    </xf>
    <xf numFmtId="0" fontId="6" fillId="33" borderId="40" xfId="61" applyFont="1" applyFill="1" applyBorder="1" applyProtection="1">
      <alignment/>
      <protection locked="0"/>
    </xf>
    <xf numFmtId="0" fontId="6" fillId="33" borderId="41" xfId="61" applyFont="1" applyFill="1" applyBorder="1" applyProtection="1">
      <alignment/>
      <protection locked="0"/>
    </xf>
    <xf numFmtId="0" fontId="44" fillId="39" borderId="40" xfId="61" applyFont="1" applyFill="1" applyBorder="1" applyProtection="1">
      <alignment/>
      <protection locked="0"/>
    </xf>
    <xf numFmtId="0" fontId="44" fillId="39" borderId="41" xfId="61" applyFont="1" applyFill="1" applyBorder="1" applyProtection="1">
      <alignment/>
      <protection locked="0"/>
    </xf>
    <xf numFmtId="0" fontId="33" fillId="40" borderId="23" xfId="61" applyFont="1" applyFill="1" applyBorder="1" applyProtection="1">
      <alignment/>
      <protection locked="0"/>
    </xf>
    <xf numFmtId="0" fontId="6" fillId="3" borderId="23" xfId="61" applyFont="1" applyFill="1" applyBorder="1" applyProtection="1">
      <alignment/>
      <protection locked="0"/>
    </xf>
    <xf numFmtId="0" fontId="29" fillId="3" borderId="23" xfId="61" applyFont="1" applyFill="1" applyBorder="1" applyProtection="1">
      <alignment/>
      <protection locked="0"/>
    </xf>
    <xf numFmtId="0" fontId="48" fillId="40" borderId="23" xfId="61" applyFont="1" applyFill="1" applyBorder="1" applyProtection="1">
      <alignment/>
      <protection locked="0"/>
    </xf>
    <xf numFmtId="0" fontId="6" fillId="39" borderId="40" xfId="61" applyFont="1" applyFill="1" applyBorder="1" applyProtection="1">
      <alignment/>
      <protection locked="0"/>
    </xf>
    <xf numFmtId="0" fontId="6" fillId="39" borderId="41" xfId="61" applyFont="1" applyFill="1" applyBorder="1" applyProtection="1">
      <alignment/>
      <protection locked="0"/>
    </xf>
    <xf numFmtId="0" fontId="30" fillId="41" borderId="23" xfId="61" applyFont="1" applyFill="1" applyBorder="1" applyProtection="1">
      <alignment/>
      <protection locked="0"/>
    </xf>
    <xf numFmtId="0" fontId="7" fillId="0" borderId="42" xfId="61" applyFont="1" applyBorder="1" applyAlignment="1" applyProtection="1">
      <alignment horizontal="center"/>
      <protection locked="0"/>
    </xf>
    <xf numFmtId="2" fontId="7" fillId="0" borderId="42" xfId="61" applyNumberFormat="1" applyFont="1" applyBorder="1" applyAlignment="1" applyProtection="1">
      <alignment horizontal="center"/>
      <protection locked="0"/>
    </xf>
    <xf numFmtId="167" fontId="7" fillId="0" borderId="23" xfId="61" applyNumberFormat="1" applyFont="1" applyBorder="1" applyAlignment="1" applyProtection="1">
      <alignment horizontal="center"/>
      <protection locked="0"/>
    </xf>
    <xf numFmtId="22" fontId="7" fillId="0" borderId="23" xfId="61" applyNumberFormat="1" applyFont="1" applyBorder="1" applyAlignment="1" applyProtection="1">
      <alignment horizontal="center"/>
      <protection locked="0"/>
    </xf>
    <xf numFmtId="22" fontId="29" fillId="33" borderId="23" xfId="61" applyNumberFormat="1" applyFont="1" applyFill="1" applyBorder="1" applyAlignment="1" applyProtection="1">
      <alignment horizontal="center"/>
      <protection locked="0"/>
    </xf>
    <xf numFmtId="167" fontId="30" fillId="34" borderId="23" xfId="61" applyNumberFormat="1" applyFont="1" applyFill="1" applyBorder="1" applyAlignment="1" applyProtection="1" quotePrefix="1">
      <alignment horizontal="center"/>
      <protection locked="0"/>
    </xf>
    <xf numFmtId="167" fontId="31" fillId="35" borderId="23" xfId="61" applyNumberFormat="1" applyFont="1" applyFill="1" applyBorder="1" applyAlignment="1" applyProtection="1" quotePrefix="1">
      <alignment horizontal="center"/>
      <protection locked="0"/>
    </xf>
    <xf numFmtId="167" fontId="32" fillId="32" borderId="23" xfId="61" applyNumberFormat="1" applyFont="1" applyFill="1" applyBorder="1" applyAlignment="1" applyProtection="1" quotePrefix="1">
      <alignment horizontal="center"/>
      <protection locked="0"/>
    </xf>
    <xf numFmtId="4" fontId="32" fillId="32" borderId="23" xfId="61" applyNumberFormat="1" applyFont="1" applyFill="1" applyBorder="1" applyAlignment="1" applyProtection="1">
      <alignment horizontal="center"/>
      <protection locked="0"/>
    </xf>
    <xf numFmtId="4" fontId="30" fillId="36" borderId="23" xfId="61" applyNumberFormat="1" applyFont="1" applyFill="1" applyBorder="1" applyAlignment="1" applyProtection="1">
      <alignment horizontal="center"/>
      <protection locked="0"/>
    </xf>
    <xf numFmtId="4" fontId="33" fillId="4" borderId="23" xfId="61" applyNumberFormat="1" applyFont="1" applyFill="1" applyBorder="1" applyAlignment="1" applyProtection="1">
      <alignment horizontal="center"/>
      <protection locked="0"/>
    </xf>
    <xf numFmtId="4" fontId="34" fillId="37" borderId="23" xfId="61" applyNumberFormat="1" applyFont="1" applyFill="1" applyBorder="1" applyAlignment="1" applyProtection="1">
      <alignment horizontal="center"/>
      <protection locked="0"/>
    </xf>
    <xf numFmtId="4" fontId="7" fillId="0" borderId="23" xfId="61" applyNumberFormat="1" applyFont="1" applyBorder="1" applyAlignment="1" applyProtection="1">
      <alignment horizontal="center"/>
      <protection locked="0"/>
    </xf>
    <xf numFmtId="0" fontId="9" fillId="0" borderId="0" xfId="59" applyFont="1">
      <alignment/>
      <protection/>
    </xf>
    <xf numFmtId="0" fontId="10" fillId="0" borderId="0" xfId="59" applyFont="1" applyAlignment="1">
      <alignment horizontal="centerContinuous"/>
      <protection/>
    </xf>
    <xf numFmtId="0" fontId="50" fillId="0" borderId="0" xfId="59" applyFont="1" applyAlignment="1">
      <alignment horizontal="right" vertical="top"/>
      <protection/>
    </xf>
    <xf numFmtId="0" fontId="9" fillId="0" borderId="0" xfId="59" applyFont="1" applyAlignment="1">
      <alignment horizontal="centerContinuous"/>
      <protection/>
    </xf>
    <xf numFmtId="0" fontId="7" fillId="0" borderId="0" xfId="59" applyFont="1">
      <alignment/>
      <protection/>
    </xf>
    <xf numFmtId="0" fontId="2" fillId="0" borderId="0" xfId="59">
      <alignment/>
      <protection/>
    </xf>
    <xf numFmtId="0" fontId="7" fillId="0" borderId="0" xfId="59" applyFont="1" applyAlignment="1">
      <alignment horizontal="centerContinuous"/>
      <protection/>
    </xf>
    <xf numFmtId="0" fontId="11" fillId="0" borderId="0" xfId="59" applyFont="1">
      <alignment/>
      <protection/>
    </xf>
    <xf numFmtId="0" fontId="11" fillId="0" borderId="0" xfId="59" applyFont="1" applyBorder="1">
      <alignment/>
      <protection/>
    </xf>
    <xf numFmtId="0" fontId="51" fillId="0" borderId="0" xfId="59" applyFont="1" applyFill="1" applyBorder="1" applyAlignment="1" applyProtection="1">
      <alignment horizontal="left"/>
      <protection/>
    </xf>
    <xf numFmtId="0" fontId="9" fillId="0" borderId="0" xfId="59" applyFont="1" applyBorder="1">
      <alignment/>
      <protection/>
    </xf>
    <xf numFmtId="0" fontId="16" fillId="0" borderId="0" xfId="59" applyFont="1">
      <alignment/>
      <protection/>
    </xf>
    <xf numFmtId="0" fontId="52" fillId="0" borderId="0" xfId="59" applyFont="1" applyBorder="1" applyAlignment="1">
      <alignment horizontal="centerContinuous"/>
      <protection/>
    </xf>
    <xf numFmtId="0" fontId="16" fillId="0" borderId="0" xfId="59" applyFont="1" applyAlignment="1">
      <alignment horizontal="centerContinuous"/>
      <protection/>
    </xf>
    <xf numFmtId="0" fontId="16" fillId="0" borderId="0" xfId="59" applyFont="1" applyBorder="1" applyAlignment="1">
      <alignment horizontal="centerContinuous"/>
      <protection/>
    </xf>
    <xf numFmtId="0" fontId="16" fillId="0" borderId="0" xfId="59" applyFont="1" applyBorder="1">
      <alignment/>
      <protection/>
    </xf>
    <xf numFmtId="0" fontId="7" fillId="0" borderId="0" xfId="59" applyFont="1" applyBorder="1">
      <alignment/>
      <protection/>
    </xf>
    <xf numFmtId="0" fontId="13" fillId="0" borderId="0" xfId="59" applyFont="1">
      <alignment/>
      <protection/>
    </xf>
    <xf numFmtId="0" fontId="17" fillId="0" borderId="0" xfId="59" applyFont="1" applyAlignment="1">
      <alignment horizontal="centerContinuous"/>
      <protection/>
    </xf>
    <xf numFmtId="0" fontId="53" fillId="0" borderId="0" xfId="59" applyFont="1">
      <alignment/>
      <protection/>
    </xf>
    <xf numFmtId="0" fontId="54" fillId="0" borderId="0" xfId="59" applyFont="1" applyBorder="1">
      <alignment/>
      <protection/>
    </xf>
    <xf numFmtId="0" fontId="53" fillId="0" borderId="0" xfId="59" applyFont="1" applyBorder="1">
      <alignment/>
      <protection/>
    </xf>
    <xf numFmtId="0" fontId="55" fillId="0" borderId="13" xfId="59" applyFont="1" applyBorder="1">
      <alignment/>
      <protection/>
    </xf>
    <xf numFmtId="0" fontId="55" fillId="0" borderId="14" xfId="56" applyFont="1" applyBorder="1">
      <alignment/>
      <protection/>
    </xf>
    <xf numFmtId="0" fontId="53" fillId="0" borderId="14" xfId="59" applyFont="1" applyBorder="1">
      <alignment/>
      <protection/>
    </xf>
    <xf numFmtId="0" fontId="53" fillId="0" borderId="15" xfId="59" applyFont="1" applyBorder="1">
      <alignment/>
      <protection/>
    </xf>
    <xf numFmtId="0" fontId="12" fillId="0" borderId="0" xfId="59" applyFont="1">
      <alignment/>
      <protection/>
    </xf>
    <xf numFmtId="0" fontId="14" fillId="0" borderId="11" xfId="59" applyFont="1" applyBorder="1" applyAlignment="1">
      <alignment horizontal="centerContinuous"/>
      <protection/>
    </xf>
    <xf numFmtId="0" fontId="2" fillId="0" borderId="0" xfId="59" applyNumberFormat="1" applyAlignment="1">
      <alignment horizontal="centerContinuous"/>
      <protection/>
    </xf>
    <xf numFmtId="0" fontId="12" fillId="0" borderId="0" xfId="59" applyNumberFormat="1" applyFont="1" applyAlignment="1">
      <alignment horizontal="centerContinuous"/>
      <protection/>
    </xf>
    <xf numFmtId="0" fontId="14" fillId="0" borderId="0" xfId="59" applyFont="1" applyBorder="1" applyAlignment="1">
      <alignment horizontal="centerContinuous"/>
      <protection/>
    </xf>
    <xf numFmtId="0" fontId="12" fillId="0" borderId="0" xfId="59" applyFont="1" applyBorder="1" applyAlignment="1">
      <alignment horizontal="centerContinuous"/>
      <protection/>
    </xf>
    <xf numFmtId="0" fontId="12" fillId="0" borderId="12" xfId="59" applyFont="1" applyBorder="1" applyAlignment="1">
      <alignment horizontal="centerContinuous"/>
      <protection/>
    </xf>
    <xf numFmtId="0" fontId="12" fillId="0" borderId="0" xfId="59" applyFont="1" applyBorder="1">
      <alignment/>
      <protection/>
    </xf>
    <xf numFmtId="0" fontId="12" fillId="0" borderId="11" xfId="59" applyFont="1" applyBorder="1">
      <alignment/>
      <protection/>
    </xf>
    <xf numFmtId="0" fontId="56" fillId="0" borderId="0" xfId="59" applyNumberFormat="1" applyFont="1" applyBorder="1" applyAlignment="1">
      <alignment horizontal="right"/>
      <protection/>
    </xf>
    <xf numFmtId="0" fontId="14" fillId="0" borderId="0" xfId="59" applyFont="1" applyBorder="1">
      <alignment/>
      <protection/>
    </xf>
    <xf numFmtId="0" fontId="12" fillId="0" borderId="12" xfId="59" applyFont="1" applyBorder="1">
      <alignment/>
      <protection/>
    </xf>
    <xf numFmtId="0" fontId="56" fillId="0" borderId="0" xfId="59" applyNumberFormat="1" applyFont="1" applyBorder="1" applyAlignment="1">
      <alignment horizontal="centerContinuous"/>
      <protection/>
    </xf>
    <xf numFmtId="0" fontId="2" fillId="0" borderId="0" xfId="59" applyAlignment="1">
      <alignment horizontal="centerContinuous"/>
      <protection/>
    </xf>
    <xf numFmtId="0" fontId="56" fillId="0" borderId="0" xfId="59" applyNumberFormat="1" applyFont="1" applyBorder="1" applyAlignment="1">
      <alignment horizontal="right"/>
      <protection/>
    </xf>
    <xf numFmtId="0" fontId="56" fillId="0" borderId="0" xfId="59" applyNumberFormat="1" applyFont="1" applyBorder="1" applyAlignment="1">
      <alignment/>
      <protection/>
    </xf>
    <xf numFmtId="0" fontId="7" fillId="0" borderId="11" xfId="59" applyFont="1" applyBorder="1">
      <alignment/>
      <protection/>
    </xf>
    <xf numFmtId="0" fontId="4" fillId="0" borderId="0" xfId="59" applyNumberFormat="1" applyFont="1" applyBorder="1" applyAlignment="1">
      <alignment horizontal="right"/>
      <protection/>
    </xf>
    <xf numFmtId="0" fontId="4" fillId="0" borderId="0" xfId="59" applyNumberFormat="1" applyFont="1" applyBorder="1" applyAlignment="1">
      <alignment/>
      <protection/>
    </xf>
    <xf numFmtId="0" fontId="15" fillId="0" borderId="0" xfId="59" applyFont="1" applyBorder="1">
      <alignment/>
      <protection/>
    </xf>
    <xf numFmtId="0" fontId="7" fillId="0" borderId="12" xfId="59" applyFont="1" applyBorder="1">
      <alignment/>
      <protection/>
    </xf>
    <xf numFmtId="0" fontId="56" fillId="0" borderId="0" xfId="59" applyFont="1" applyBorder="1">
      <alignment/>
      <protection/>
    </xf>
    <xf numFmtId="0" fontId="56" fillId="0" borderId="16" xfId="59" applyFont="1" applyBorder="1" applyAlignment="1">
      <alignment horizontal="center"/>
      <protection/>
    </xf>
    <xf numFmtId="7" fontId="56" fillId="0" borderId="17" xfId="59" applyNumberFormat="1" applyFont="1" applyBorder="1" applyAlignment="1">
      <alignment horizontal="center"/>
      <protection/>
    </xf>
    <xf numFmtId="0" fontId="56" fillId="0" borderId="0" xfId="59" applyFont="1" applyBorder="1" applyAlignment="1">
      <alignment horizontal="center"/>
      <protection/>
    </xf>
    <xf numFmtId="7" fontId="56" fillId="0" borderId="0" xfId="59" applyNumberFormat="1" applyFont="1" applyBorder="1" applyAlignment="1">
      <alignment horizontal="center"/>
      <protection/>
    </xf>
    <xf numFmtId="0" fontId="57" fillId="0" borderId="0" xfId="59" applyNumberFormat="1" applyFont="1" applyBorder="1" applyAlignment="1">
      <alignment horizontal="left"/>
      <protection/>
    </xf>
    <xf numFmtId="0" fontId="53" fillId="0" borderId="26" xfId="59" applyFont="1" applyBorder="1">
      <alignment/>
      <protection/>
    </xf>
    <xf numFmtId="0" fontId="53" fillId="0" borderId="27" xfId="59" applyFont="1" applyBorder="1">
      <alignment/>
      <protection/>
    </xf>
    <xf numFmtId="0" fontId="53" fillId="0" borderId="28" xfId="59" applyFont="1" applyBorder="1">
      <alignment/>
      <protection/>
    </xf>
    <xf numFmtId="49" fontId="7" fillId="0" borderId="20" xfId="61" applyNumberFormat="1" applyFont="1" applyFill="1" applyBorder="1" applyAlignment="1" applyProtection="1">
      <alignment horizontal="center"/>
      <protection locked="0"/>
    </xf>
    <xf numFmtId="49" fontId="7" fillId="0" borderId="20" xfId="61" applyNumberFormat="1" applyFont="1" applyFill="1" applyBorder="1" applyProtection="1">
      <alignment/>
      <protection locked="0"/>
    </xf>
    <xf numFmtId="49" fontId="7" fillId="0" borderId="23" xfId="61" applyNumberFormat="1" applyFont="1" applyFill="1" applyBorder="1" applyProtection="1">
      <alignment/>
      <protection locked="0"/>
    </xf>
    <xf numFmtId="49" fontId="7" fillId="0" borderId="31" xfId="61" applyNumberFormat="1" applyFont="1" applyFill="1" applyBorder="1" applyAlignment="1" applyProtection="1">
      <alignment horizontal="center"/>
      <protection locked="0"/>
    </xf>
    <xf numFmtId="7" fontId="56" fillId="0" borderId="0" xfId="59" applyNumberFormat="1" applyFont="1" applyBorder="1">
      <alignment/>
      <protection/>
    </xf>
    <xf numFmtId="0" fontId="17" fillId="0" borderId="0" xfId="57" applyFont="1" applyBorder="1">
      <alignment/>
      <protection/>
    </xf>
    <xf numFmtId="173" fontId="7" fillId="0" borderId="20" xfId="61" applyNumberFormat="1" applyFont="1" applyFill="1" applyBorder="1" applyProtection="1">
      <alignment/>
      <protection locked="0"/>
    </xf>
    <xf numFmtId="173" fontId="7" fillId="0" borderId="22" xfId="61" applyNumberFormat="1" applyFont="1" applyBorder="1" applyAlignment="1" applyProtection="1" quotePrefix="1">
      <alignment horizontal="center"/>
      <protection locked="0"/>
    </xf>
    <xf numFmtId="7" fontId="3" fillId="0" borderId="43" xfId="61" applyNumberFormat="1" applyFont="1" applyFill="1" applyBorder="1" applyAlignment="1" applyProtection="1">
      <alignment horizontal="right"/>
      <protection locked="0"/>
    </xf>
    <xf numFmtId="0" fontId="7" fillId="0" borderId="44" xfId="61" applyFont="1" applyFill="1" applyBorder="1" applyAlignment="1" applyProtection="1">
      <alignment horizontal="center"/>
      <protection locked="0"/>
    </xf>
    <xf numFmtId="167" fontId="43" fillId="32" borderId="22" xfId="61" applyNumberFormat="1" applyFont="1" applyFill="1" applyBorder="1" applyAlignment="1" applyProtection="1">
      <alignment horizontal="center"/>
      <protection locked="0"/>
    </xf>
    <xf numFmtId="8" fontId="3" fillId="0" borderId="18" xfId="61" applyNumberFormat="1" applyFont="1" applyBorder="1" applyAlignment="1" applyProtection="1">
      <alignment horizontal="right"/>
      <protection/>
    </xf>
    <xf numFmtId="7" fontId="3" fillId="0" borderId="18" xfId="61" applyNumberFormat="1" applyFont="1" applyFill="1" applyBorder="1" applyAlignment="1" applyProtection="1">
      <alignment horizontal="right"/>
      <protection/>
    </xf>
    <xf numFmtId="7" fontId="3" fillId="0" borderId="18" xfId="61" applyNumberFormat="1" applyFont="1" applyFill="1" applyBorder="1" applyAlignment="1" applyProtection="1">
      <alignment horizontal="right"/>
      <protection/>
    </xf>
    <xf numFmtId="0" fontId="7" fillId="0" borderId="29" xfId="61" applyFont="1" applyFill="1" applyBorder="1" applyProtection="1">
      <alignment/>
      <protection locked="0"/>
    </xf>
    <xf numFmtId="0" fontId="18" fillId="0" borderId="18" xfId="0" applyFont="1" applyBorder="1" applyAlignment="1">
      <alignment horizontal="center" vertical="center"/>
    </xf>
    <xf numFmtId="0" fontId="29" fillId="0" borderId="0" xfId="61" applyFont="1" applyBorder="1">
      <alignment/>
      <protection/>
    </xf>
    <xf numFmtId="0" fontId="29" fillId="0" borderId="0" xfId="61" applyFont="1" applyFill="1" applyBorder="1">
      <alignment/>
      <protection/>
    </xf>
    <xf numFmtId="167" fontId="7" fillId="0" borderId="21" xfId="0" applyNumberFormat="1" applyFont="1" applyFill="1" applyBorder="1" applyAlignment="1" applyProtection="1">
      <alignment horizontal="center"/>
      <protection/>
    </xf>
    <xf numFmtId="167" fontId="7" fillId="0" borderId="21" xfId="0" applyNumberFormat="1" applyFont="1" applyFill="1" applyBorder="1" applyAlignment="1" applyProtection="1" quotePrefix="1">
      <alignment horizontal="center"/>
      <protection/>
    </xf>
    <xf numFmtId="167" fontId="7" fillId="0" borderId="21" xfId="0" applyNumberFormat="1" applyFont="1" applyBorder="1" applyAlignment="1" applyProtection="1" quotePrefix="1">
      <alignment horizontal="center"/>
      <protection/>
    </xf>
    <xf numFmtId="4" fontId="7" fillId="0" borderId="34" xfId="0" applyNumberFormat="1" applyFont="1" applyBorder="1" applyAlignment="1" applyProtection="1">
      <alignment horizontal="center"/>
      <protection/>
    </xf>
    <xf numFmtId="167" fontId="7" fillId="0" borderId="22" xfId="0" applyNumberFormat="1" applyFont="1" applyFill="1" applyBorder="1" applyAlignment="1" applyProtection="1" quotePrefix="1">
      <alignment horizontal="center"/>
      <protection/>
    </xf>
    <xf numFmtId="167" fontId="7" fillId="0" borderId="22" xfId="0" applyNumberFormat="1" applyFont="1" applyFill="1" applyBorder="1" applyAlignment="1" applyProtection="1">
      <alignment horizontal="center"/>
      <protection/>
    </xf>
    <xf numFmtId="167" fontId="7" fillId="0" borderId="21" xfId="0" applyNumberFormat="1" applyFont="1" applyBorder="1" applyAlignment="1" applyProtection="1">
      <alignment horizontal="center"/>
      <protection/>
    </xf>
    <xf numFmtId="172" fontId="7" fillId="0" borderId="34" xfId="0" applyNumberFormat="1" applyFont="1" applyBorder="1" applyAlignment="1" applyProtection="1" quotePrefix="1">
      <alignment horizontal="center"/>
      <protection/>
    </xf>
    <xf numFmtId="22" fontId="7" fillId="0" borderId="21" xfId="61" applyNumberFormat="1" applyFont="1" applyFill="1" applyBorder="1" applyAlignment="1" applyProtection="1">
      <alignment horizontal="center"/>
      <protection locked="0"/>
    </xf>
    <xf numFmtId="22" fontId="7" fillId="0" borderId="21" xfId="61" applyNumberFormat="1" applyFont="1" applyFill="1" applyBorder="1" applyProtection="1">
      <alignment/>
      <protection locked="0"/>
    </xf>
    <xf numFmtId="22" fontId="7" fillId="0" borderId="22" xfId="61" applyNumberFormat="1" applyFont="1" applyFill="1" applyBorder="1" applyAlignment="1" applyProtection="1">
      <alignment horizontal="center"/>
      <protection locked="0"/>
    </xf>
    <xf numFmtId="22" fontId="7" fillId="0" borderId="35" xfId="61" applyNumberFormat="1" applyFont="1" applyFill="1" applyBorder="1" applyAlignment="1" applyProtection="1">
      <alignment horizontal="center"/>
      <protection locked="0"/>
    </xf>
    <xf numFmtId="168" fontId="2" fillId="0" borderId="37" xfId="61" applyNumberFormat="1" applyFont="1" applyFill="1" applyBorder="1" applyAlignment="1" applyProtection="1">
      <alignment horizontal="center"/>
      <protection/>
    </xf>
    <xf numFmtId="168" fontId="2" fillId="0" borderId="37" xfId="61" applyNumberFormat="1" applyFont="1" applyBorder="1" applyAlignment="1" applyProtection="1">
      <alignment horizontal="center"/>
      <protection/>
    </xf>
    <xf numFmtId="170" fontId="2" fillId="0" borderId="16" xfId="61" applyNumberFormat="1" applyFont="1" applyBorder="1" applyAlignment="1">
      <alignment horizontal="centerContinuous"/>
      <protection/>
    </xf>
    <xf numFmtId="0" fontId="60" fillId="0" borderId="0" xfId="59" applyFont="1" applyAlignment="1">
      <alignment horizontal="centerContinuous"/>
      <protection/>
    </xf>
    <xf numFmtId="0" fontId="61" fillId="0" borderId="0" xfId="59" applyFont="1" applyAlignment="1">
      <alignment horizontal="centerContinuous"/>
      <protection/>
    </xf>
    <xf numFmtId="0" fontId="9" fillId="0" borderId="0" xfId="60" applyFont="1" applyFill="1">
      <alignment/>
      <protection/>
    </xf>
    <xf numFmtId="0" fontId="9" fillId="0" borderId="0" xfId="60" applyFont="1">
      <alignment/>
      <protection/>
    </xf>
    <xf numFmtId="0" fontId="50" fillId="0" borderId="0" xfId="60" applyFont="1" applyAlignment="1">
      <alignment horizontal="right" vertical="top"/>
      <protection/>
    </xf>
    <xf numFmtId="0" fontId="10" fillId="0" borderId="0" xfId="60" applyFont="1" applyAlignment="1">
      <alignment horizontal="centerContinuous"/>
      <protection/>
    </xf>
    <xf numFmtId="0" fontId="10" fillId="0" borderId="0" xfId="60" applyFont="1" applyFill="1" applyAlignment="1">
      <alignment horizontal="centerContinuous"/>
      <protection/>
    </xf>
    <xf numFmtId="0" fontId="7" fillId="0" borderId="0" xfId="60" applyFont="1" applyFill="1">
      <alignment/>
      <protection/>
    </xf>
    <xf numFmtId="0" fontId="7" fillId="0" borderId="0" xfId="60" applyFont="1">
      <alignment/>
      <protection/>
    </xf>
    <xf numFmtId="0" fontId="5" fillId="0" borderId="0" xfId="60" applyFont="1" applyFill="1" applyBorder="1" applyAlignment="1" applyProtection="1">
      <alignment horizontal="centerContinuous"/>
      <protection/>
    </xf>
    <xf numFmtId="0" fontId="11" fillId="0" borderId="0" xfId="60" applyFont="1" applyAlignment="1">
      <alignment horizontal="centerContinuous"/>
      <protection/>
    </xf>
    <xf numFmtId="0" fontId="11" fillId="0" borderId="0" xfId="60" applyFont="1">
      <alignment/>
      <protection/>
    </xf>
    <xf numFmtId="0" fontId="11" fillId="0" borderId="0" xfId="60" applyFont="1" applyFill="1">
      <alignment/>
      <protection/>
    </xf>
    <xf numFmtId="0" fontId="7" fillId="0" borderId="13" xfId="60" applyFont="1" applyBorder="1">
      <alignment/>
      <protection/>
    </xf>
    <xf numFmtId="0" fontId="7" fillId="0" borderId="14" xfId="60" applyFont="1" applyBorder="1">
      <alignment/>
      <protection/>
    </xf>
    <xf numFmtId="0" fontId="7" fillId="0" borderId="14" xfId="60" applyFont="1" applyBorder="1" applyAlignment="1" applyProtection="1">
      <alignment horizontal="left"/>
      <protection/>
    </xf>
    <xf numFmtId="0" fontId="7" fillId="0" borderId="14" xfId="60" applyFont="1" applyFill="1" applyBorder="1">
      <alignment/>
      <protection/>
    </xf>
    <xf numFmtId="0" fontId="7" fillId="0" borderId="15" xfId="60" applyFont="1" applyFill="1" applyBorder="1">
      <alignment/>
      <protection/>
    </xf>
    <xf numFmtId="0" fontId="16" fillId="0" borderId="0" xfId="60" applyFont="1">
      <alignment/>
      <protection/>
    </xf>
    <xf numFmtId="0" fontId="16" fillId="0" borderId="11" xfId="60" applyFont="1" applyBorder="1">
      <alignment/>
      <protection/>
    </xf>
    <xf numFmtId="0" fontId="16" fillId="0" borderId="0" xfId="60" applyFont="1" applyBorder="1">
      <alignment/>
      <protection/>
    </xf>
    <xf numFmtId="0" fontId="17" fillId="0" borderId="0" xfId="62" applyFont="1" applyBorder="1">
      <alignment/>
      <protection/>
    </xf>
    <xf numFmtId="0" fontId="16" fillId="0" borderId="0" xfId="60" applyFont="1" applyFill="1">
      <alignment/>
      <protection/>
    </xf>
    <xf numFmtId="0" fontId="17" fillId="0" borderId="0" xfId="60" applyFont="1" applyBorder="1">
      <alignment/>
      <protection/>
    </xf>
    <xf numFmtId="0" fontId="16" fillId="0" borderId="0" xfId="60" applyFont="1" applyFill="1" applyBorder="1">
      <alignment/>
      <protection/>
    </xf>
    <xf numFmtId="0" fontId="16" fillId="0" borderId="12" xfId="60" applyFont="1" applyFill="1" applyBorder="1">
      <alignment/>
      <protection/>
    </xf>
    <xf numFmtId="0" fontId="7" fillId="0" borderId="11" xfId="60" applyFont="1" applyBorder="1">
      <alignment/>
      <protection/>
    </xf>
    <xf numFmtId="0" fontId="7" fillId="0" borderId="0" xfId="60" applyFont="1" applyBorder="1">
      <alignment/>
      <protection/>
    </xf>
    <xf numFmtId="0" fontId="7" fillId="0" borderId="0" xfId="60" applyFont="1" applyFill="1" applyBorder="1">
      <alignment/>
      <protection/>
    </xf>
    <xf numFmtId="0" fontId="7" fillId="0" borderId="12" xfId="60" applyFont="1" applyFill="1" applyBorder="1">
      <alignment/>
      <protection/>
    </xf>
    <xf numFmtId="0" fontId="17" fillId="0" borderId="0" xfId="60" applyFont="1" applyBorder="1" applyProtection="1">
      <alignment/>
      <protection locked="0"/>
    </xf>
    <xf numFmtId="0" fontId="12" fillId="0" borderId="0" xfId="60" applyFont="1">
      <alignment/>
      <protection/>
    </xf>
    <xf numFmtId="0" fontId="14" fillId="0" borderId="11" xfId="55" applyFont="1" applyBorder="1" applyAlignment="1">
      <alignment horizontal="centerContinuous"/>
      <protection/>
    </xf>
    <xf numFmtId="0" fontId="14" fillId="0" borderId="0" xfId="60" applyFont="1" applyBorder="1" applyAlignment="1">
      <alignment horizontal="centerContinuous"/>
      <protection/>
    </xf>
    <xf numFmtId="0" fontId="14" fillId="0" borderId="0" xfId="60" applyFont="1" applyFill="1" applyBorder="1" applyAlignment="1">
      <alignment horizontal="centerContinuous"/>
      <protection/>
    </xf>
    <xf numFmtId="0" fontId="14" fillId="0" borderId="0" xfId="60" applyFont="1" applyAlignment="1">
      <alignment horizontal="centerContinuous"/>
      <protection/>
    </xf>
    <xf numFmtId="0" fontId="14" fillId="0" borderId="12" xfId="60" applyFont="1" applyFill="1" applyBorder="1" applyAlignment="1">
      <alignment horizontal="centerContinuous"/>
      <protection/>
    </xf>
    <xf numFmtId="0" fontId="7" fillId="0" borderId="0" xfId="60" applyFont="1" applyBorder="1" applyAlignment="1">
      <alignment horizontal="center"/>
      <protection/>
    </xf>
    <xf numFmtId="0" fontId="15" fillId="0" borderId="0" xfId="60" applyFont="1" applyBorder="1" applyAlignment="1">
      <alignment horizontal="left"/>
      <protection/>
    </xf>
    <xf numFmtId="0" fontId="2" fillId="0" borderId="16" xfId="60" applyFont="1" applyBorder="1" applyAlignment="1" applyProtection="1">
      <alignment horizontal="center"/>
      <protection/>
    </xf>
    <xf numFmtId="170" fontId="35" fillId="0" borderId="0" xfId="54" applyNumberFormat="1" applyFont="1" applyBorder="1" applyAlignment="1">
      <alignment horizontal="center"/>
      <protection/>
    </xf>
    <xf numFmtId="0" fontId="4" fillId="42" borderId="13" xfId="60" applyFont="1" applyFill="1" applyBorder="1" applyAlignment="1">
      <alignment horizontal="left"/>
      <protection/>
    </xf>
    <xf numFmtId="2" fontId="7" fillId="42" borderId="14" xfId="60" applyNumberFormat="1" applyFont="1" applyFill="1" applyBorder="1" applyAlignment="1">
      <alignment horizontal="left"/>
      <protection/>
    </xf>
    <xf numFmtId="0" fontId="7" fillId="42" borderId="15" xfId="60" applyFont="1" applyFill="1" applyBorder="1" applyAlignment="1">
      <alignment horizontal="left"/>
      <protection/>
    </xf>
    <xf numFmtId="0" fontId="4" fillId="43" borderId="45" xfId="60" applyFont="1" applyFill="1" applyBorder="1">
      <alignment/>
      <protection/>
    </xf>
    <xf numFmtId="0" fontId="4" fillId="43" borderId="46" xfId="60" applyFont="1" applyFill="1" applyBorder="1">
      <alignment/>
      <protection/>
    </xf>
    <xf numFmtId="0" fontId="4" fillId="43" borderId="47" xfId="60" applyFont="1" applyFill="1" applyBorder="1">
      <alignment/>
      <protection/>
    </xf>
    <xf numFmtId="170" fontId="2" fillId="0" borderId="0" xfId="60" applyNumberFormat="1" applyFont="1" applyBorder="1" applyAlignment="1">
      <alignment horizontal="centerContinuous"/>
      <protection/>
    </xf>
    <xf numFmtId="0" fontId="7" fillId="42" borderId="11" xfId="60" applyFont="1" applyFill="1" applyBorder="1" applyAlignment="1">
      <alignment horizontal="left"/>
      <protection/>
    </xf>
    <xf numFmtId="0" fontId="7" fillId="42" borderId="0" xfId="60" applyFont="1" applyFill="1" applyBorder="1" applyAlignment="1">
      <alignment horizontal="left"/>
      <protection/>
    </xf>
    <xf numFmtId="22" fontId="7" fillId="42" borderId="12" xfId="60" applyNumberFormat="1" applyFont="1" applyFill="1" applyBorder="1" applyAlignment="1">
      <alignment horizontal="left"/>
      <protection/>
    </xf>
    <xf numFmtId="22" fontId="7" fillId="0" borderId="0" xfId="60" applyNumberFormat="1" applyFont="1" applyBorder="1">
      <alignment/>
      <protection/>
    </xf>
    <xf numFmtId="0" fontId="4" fillId="43" borderId="48" xfId="60" applyFont="1" applyFill="1" applyBorder="1">
      <alignment/>
      <protection/>
    </xf>
    <xf numFmtId="0" fontId="4" fillId="43" borderId="0" xfId="60" applyFont="1" applyFill="1" applyBorder="1">
      <alignment/>
      <protection/>
    </xf>
    <xf numFmtId="0" fontId="4" fillId="43" borderId="49" xfId="60" applyFont="1" applyFill="1" applyBorder="1">
      <alignment/>
      <protection/>
    </xf>
    <xf numFmtId="0" fontId="4" fillId="0" borderId="0" xfId="60" applyFont="1" applyFill="1" applyBorder="1">
      <alignment/>
      <protection/>
    </xf>
    <xf numFmtId="0" fontId="4" fillId="0" borderId="12" xfId="60" applyFont="1" applyFill="1" applyBorder="1">
      <alignment/>
      <protection/>
    </xf>
    <xf numFmtId="0" fontId="7" fillId="0" borderId="0" xfId="60" applyFont="1" applyBorder="1" applyAlignment="1" applyProtection="1">
      <alignment horizontal="center"/>
      <protection/>
    </xf>
    <xf numFmtId="0" fontId="7" fillId="0" borderId="50" xfId="60" applyFont="1" applyBorder="1">
      <alignment/>
      <protection/>
    </xf>
    <xf numFmtId="0" fontId="7" fillId="42" borderId="26" xfId="60" applyFont="1" applyFill="1" applyBorder="1" applyAlignment="1">
      <alignment horizontal="left"/>
      <protection/>
    </xf>
    <xf numFmtId="0" fontId="4" fillId="42" borderId="27" xfId="60" applyFont="1" applyFill="1" applyBorder="1" applyAlignment="1">
      <alignment horizontal="left"/>
      <protection/>
    </xf>
    <xf numFmtId="0" fontId="4" fillId="42" borderId="28" xfId="60" applyFont="1" applyFill="1" applyBorder="1" applyAlignment="1">
      <alignment horizontal="left"/>
      <protection/>
    </xf>
    <xf numFmtId="0" fontId="4" fillId="43" borderId="51" xfId="60" applyFont="1" applyFill="1" applyBorder="1">
      <alignment/>
      <protection/>
    </xf>
    <xf numFmtId="0" fontId="4" fillId="43" borderId="52" xfId="60" applyFont="1" applyFill="1" applyBorder="1">
      <alignment/>
      <protection/>
    </xf>
    <xf numFmtId="0" fontId="4" fillId="43" borderId="53" xfId="60" applyFont="1" applyFill="1" applyBorder="1">
      <alignment/>
      <protection/>
    </xf>
    <xf numFmtId="0" fontId="18" fillId="0" borderId="18" xfId="60" applyFont="1" applyBorder="1" applyAlignment="1" applyProtection="1">
      <alignment horizontal="center" vertical="center" textRotation="90" wrapText="1"/>
      <protection/>
    </xf>
    <xf numFmtId="0" fontId="18" fillId="0" borderId="18" xfId="60" applyFont="1" applyBorder="1" applyAlignment="1">
      <alignment horizontal="center" vertical="center"/>
      <protection/>
    </xf>
    <xf numFmtId="0" fontId="18" fillId="0" borderId="18" xfId="60" applyFont="1" applyBorder="1" applyAlignment="1" applyProtection="1">
      <alignment horizontal="center" vertical="center"/>
      <protection/>
    </xf>
    <xf numFmtId="164" fontId="18" fillId="0" borderId="18" xfId="60" applyNumberFormat="1" applyFont="1" applyBorder="1" applyAlignment="1" applyProtection="1">
      <alignment horizontal="center" vertical="center" wrapText="1"/>
      <protection/>
    </xf>
    <xf numFmtId="0" fontId="18" fillId="0" borderId="18" xfId="60" applyFont="1" applyBorder="1" applyAlignment="1" applyProtection="1">
      <alignment horizontal="center" vertical="center" wrapText="1"/>
      <protection/>
    </xf>
    <xf numFmtId="167" fontId="18" fillId="0" borderId="18" xfId="60" applyNumberFormat="1" applyFont="1" applyBorder="1" applyAlignment="1" applyProtection="1">
      <alignment horizontal="center" vertical="center"/>
      <protection/>
    </xf>
    <xf numFmtId="0" fontId="27" fillId="35" borderId="18" xfId="60" applyFont="1" applyFill="1" applyBorder="1" applyAlignment="1" applyProtection="1">
      <alignment horizontal="center" vertical="center"/>
      <protection/>
    </xf>
    <xf numFmtId="0" fontId="18" fillId="0" borderId="16" xfId="60" applyFont="1" applyBorder="1" applyAlignment="1" applyProtection="1">
      <alignment horizontal="center" vertical="center"/>
      <protection/>
    </xf>
    <xf numFmtId="0" fontId="18" fillId="0" borderId="16" xfId="60" applyFont="1" applyFill="1" applyBorder="1" applyAlignment="1" applyProtection="1">
      <alignment horizontal="center" vertical="center" wrapText="1"/>
      <protection/>
    </xf>
    <xf numFmtId="0" fontId="18" fillId="0" borderId="18" xfId="60" applyFont="1" applyFill="1" applyBorder="1" applyAlignment="1" applyProtection="1">
      <alignment horizontal="center" vertical="center" wrapText="1"/>
      <protection/>
    </xf>
    <xf numFmtId="0" fontId="18" fillId="0" borderId="16" xfId="60" applyFont="1" applyBorder="1" applyAlignment="1" applyProtection="1">
      <alignment horizontal="center" vertical="center" wrapText="1"/>
      <protection/>
    </xf>
    <xf numFmtId="0" fontId="24" fillId="32" borderId="54" xfId="60" applyFont="1" applyFill="1" applyBorder="1" applyAlignment="1" applyProtection="1">
      <alignment horizontal="centerContinuous" vertical="center" wrapText="1"/>
      <protection/>
    </xf>
    <xf numFmtId="0" fontId="25" fillId="32" borderId="50" xfId="60" applyFont="1" applyFill="1" applyBorder="1" applyAlignment="1">
      <alignment horizontal="centerContinuous"/>
      <protection/>
    </xf>
    <xf numFmtId="0" fontId="24" fillId="32" borderId="55" xfId="60" applyFont="1" applyFill="1" applyBorder="1" applyAlignment="1">
      <alignment horizontal="centerContinuous" vertical="center"/>
      <protection/>
    </xf>
    <xf numFmtId="0" fontId="18" fillId="0" borderId="18" xfId="60" applyFont="1" applyFill="1" applyBorder="1" applyAlignment="1">
      <alignment horizontal="center" vertical="center" wrapText="1"/>
      <protection/>
    </xf>
    <xf numFmtId="0" fontId="18" fillId="0" borderId="18" xfId="60" applyFont="1" applyBorder="1" applyAlignment="1">
      <alignment horizontal="center" vertical="center" wrapText="1"/>
      <protection/>
    </xf>
    <xf numFmtId="0" fontId="18" fillId="42" borderId="18" xfId="60" applyFont="1" applyFill="1" applyBorder="1" applyAlignment="1">
      <alignment horizontal="center" vertical="center" wrapText="1"/>
      <protection/>
    </xf>
    <xf numFmtId="0" fontId="7" fillId="0" borderId="12" xfId="60" applyFont="1" applyFill="1" applyBorder="1" applyAlignment="1">
      <alignment horizontal="center"/>
      <protection/>
    </xf>
    <xf numFmtId="0" fontId="7" fillId="0" borderId="20" xfId="60" applyFont="1" applyBorder="1">
      <alignment/>
      <protection/>
    </xf>
    <xf numFmtId="0" fontId="7" fillId="0" borderId="20" xfId="60" applyFont="1" applyBorder="1" applyAlignment="1">
      <alignment horizontal="center"/>
      <protection/>
    </xf>
    <xf numFmtId="0" fontId="63" fillId="44" borderId="20" xfId="60" applyFont="1" applyFill="1" applyBorder="1">
      <alignment/>
      <protection/>
    </xf>
    <xf numFmtId="0" fontId="64" fillId="35" borderId="20" xfId="60" applyFont="1" applyFill="1" applyBorder="1">
      <alignment/>
      <protection/>
    </xf>
    <xf numFmtId="0" fontId="7" fillId="0" borderId="20" xfId="60" applyFont="1" applyFill="1" applyBorder="1">
      <alignment/>
      <protection/>
    </xf>
    <xf numFmtId="0" fontId="7" fillId="10" borderId="20" xfId="60" applyFont="1" applyFill="1" applyBorder="1">
      <alignment/>
      <protection/>
    </xf>
    <xf numFmtId="0" fontId="7" fillId="32" borderId="30" xfId="60" applyFont="1" applyFill="1" applyBorder="1">
      <alignment/>
      <protection/>
    </xf>
    <xf numFmtId="0" fontId="7" fillId="32" borderId="56" xfId="60" applyFont="1" applyFill="1" applyBorder="1">
      <alignment/>
      <protection/>
    </xf>
    <xf numFmtId="0" fontId="7" fillId="32" borderId="39" xfId="60" applyFont="1" applyFill="1" applyBorder="1">
      <alignment/>
      <protection/>
    </xf>
    <xf numFmtId="7" fontId="35" fillId="0" borderId="20" xfId="60" applyNumberFormat="1" applyFont="1" applyFill="1" applyBorder="1" applyAlignment="1">
      <alignment/>
      <protection/>
    </xf>
    <xf numFmtId="7" fontId="35" fillId="0" borderId="0" xfId="60" applyNumberFormat="1" applyFont="1" applyBorder="1" applyAlignment="1">
      <alignment/>
      <protection/>
    </xf>
    <xf numFmtId="7" fontId="35" fillId="0" borderId="0" xfId="60" applyNumberFormat="1" applyFont="1" applyFill="1" applyBorder="1" applyAlignment="1">
      <alignment/>
      <protection/>
    </xf>
    <xf numFmtId="7" fontId="35" fillId="0" borderId="48" xfId="60" applyNumberFormat="1" applyFont="1" applyFill="1" applyBorder="1" applyAlignment="1">
      <alignment/>
      <protection/>
    </xf>
    <xf numFmtId="7" fontId="35" fillId="42" borderId="0" xfId="60" applyNumberFormat="1" applyFont="1" applyFill="1" applyBorder="1" applyAlignment="1">
      <alignment/>
      <protection/>
    </xf>
    <xf numFmtId="0" fontId="7" fillId="45" borderId="57" xfId="60" applyFont="1" applyFill="1" applyBorder="1">
      <alignment/>
      <protection/>
    </xf>
    <xf numFmtId="0" fontId="7" fillId="0" borderId="36" xfId="60" applyFont="1" applyBorder="1">
      <alignment/>
      <protection/>
    </xf>
    <xf numFmtId="0" fontId="7" fillId="0" borderId="58" xfId="60" applyFont="1" applyBorder="1">
      <alignment/>
      <protection/>
    </xf>
    <xf numFmtId="0" fontId="7" fillId="0" borderId="36" xfId="60" applyFont="1" applyFill="1" applyBorder="1">
      <alignment/>
      <protection/>
    </xf>
    <xf numFmtId="0" fontId="7" fillId="0" borderId="58" xfId="60" applyFont="1" applyFill="1" applyBorder="1" applyProtection="1">
      <alignment/>
      <protection locked="0"/>
    </xf>
    <xf numFmtId="167" fontId="8" fillId="0" borderId="24" xfId="60" applyNumberFormat="1" applyFont="1" applyFill="1" applyBorder="1" applyAlignment="1" applyProtection="1" quotePrefix="1">
      <alignment horizontal="center"/>
      <protection/>
    </xf>
    <xf numFmtId="4" fontId="8" fillId="0" borderId="24" xfId="60" applyNumberFormat="1" applyFont="1" applyFill="1" applyBorder="1" applyAlignment="1" applyProtection="1">
      <alignment horizontal="center"/>
      <protection/>
    </xf>
    <xf numFmtId="0" fontId="35" fillId="0" borderId="58" xfId="60" applyFont="1" applyFill="1" applyBorder="1">
      <alignment/>
      <protection/>
    </xf>
    <xf numFmtId="0" fontId="35" fillId="0" borderId="58" xfId="60" applyFont="1" applyFill="1" applyBorder="1" applyProtection="1">
      <alignment/>
      <protection locked="0"/>
    </xf>
    <xf numFmtId="0" fontId="35" fillId="0" borderId="59" xfId="60" applyFont="1" applyFill="1" applyBorder="1">
      <alignment/>
      <protection/>
    </xf>
    <xf numFmtId="0" fontId="35" fillId="0" borderId="58" xfId="60" applyFont="1" applyBorder="1">
      <alignment/>
      <protection/>
    </xf>
    <xf numFmtId="0" fontId="7" fillId="0" borderId="11" xfId="60" applyFont="1" applyFill="1" applyBorder="1">
      <alignment/>
      <protection/>
    </xf>
    <xf numFmtId="0" fontId="7" fillId="0" borderId="60" xfId="60" applyFont="1" applyFill="1" applyBorder="1" applyAlignment="1">
      <alignment horizontal="center"/>
      <protection/>
    </xf>
    <xf numFmtId="0" fontId="7" fillId="0" borderId="60" xfId="62" applyFont="1" applyBorder="1" applyAlignment="1" applyProtection="1">
      <alignment horizontal="center"/>
      <protection locked="0"/>
    </xf>
    <xf numFmtId="2" fontId="7" fillId="0" borderId="60" xfId="62" applyNumberFormat="1" applyFont="1" applyBorder="1" applyAlignment="1" applyProtection="1">
      <alignment horizontal="center"/>
      <protection locked="0"/>
    </xf>
    <xf numFmtId="0" fontId="7" fillId="0" borderId="60" xfId="54" applyFont="1" applyFill="1" applyBorder="1" applyAlignment="1" applyProtection="1">
      <alignment horizontal="center"/>
      <protection locked="0"/>
    </xf>
    <xf numFmtId="0" fontId="7" fillId="0" borderId="60" xfId="60" applyFont="1" applyFill="1" applyBorder="1" applyProtection="1">
      <alignment/>
      <protection locked="0"/>
    </xf>
    <xf numFmtId="0" fontId="64" fillId="0" borderId="60" xfId="60" applyFont="1" applyFill="1" applyBorder="1" applyProtection="1">
      <alignment/>
      <protection locked="0"/>
    </xf>
    <xf numFmtId="22" fontId="7" fillId="0" borderId="60" xfId="62" applyNumberFormat="1" applyFont="1" applyFill="1" applyBorder="1" applyAlignment="1" applyProtection="1">
      <alignment horizontal="center"/>
      <protection locked="0"/>
    </xf>
    <xf numFmtId="4" fontId="7" fillId="0" borderId="60" xfId="60" applyNumberFormat="1" applyFont="1" applyFill="1" applyBorder="1" applyAlignment="1" applyProtection="1" quotePrefix="1">
      <alignment horizontal="center"/>
      <protection/>
    </xf>
    <xf numFmtId="164" fontId="7" fillId="0" borderId="60" xfId="60" applyNumberFormat="1" applyFont="1" applyFill="1" applyBorder="1" applyAlignment="1" applyProtection="1" quotePrefix="1">
      <alignment horizontal="center"/>
      <protection/>
    </xf>
    <xf numFmtId="167" fontId="7" fillId="0" borderId="61" xfId="60" applyNumberFormat="1" applyFont="1" applyFill="1" applyBorder="1" applyAlignment="1" applyProtection="1">
      <alignment horizontal="center"/>
      <protection locked="0"/>
    </xf>
    <xf numFmtId="172" fontId="7" fillId="0" borderId="60" xfId="60" applyNumberFormat="1" applyFont="1" applyFill="1" applyBorder="1" applyAlignment="1" applyProtection="1" quotePrefix="1">
      <alignment horizontal="center"/>
      <protection/>
    </xf>
    <xf numFmtId="167" fontId="7" fillId="0" borderId="60" xfId="60" applyNumberFormat="1" applyFont="1" applyFill="1" applyBorder="1" applyAlignment="1" applyProtection="1">
      <alignment horizontal="center"/>
      <protection/>
    </xf>
    <xf numFmtId="167" fontId="8" fillId="0" borderId="60" xfId="60" applyNumberFormat="1" applyFont="1" applyFill="1" applyBorder="1" applyAlignment="1" applyProtection="1" quotePrefix="1">
      <alignment horizontal="center"/>
      <protection/>
    </xf>
    <xf numFmtId="4" fontId="8" fillId="0" borderId="60" xfId="60" applyNumberFormat="1" applyFont="1" applyFill="1" applyBorder="1" applyAlignment="1" applyProtection="1">
      <alignment horizontal="center"/>
      <protection/>
    </xf>
    <xf numFmtId="4" fontId="35" fillId="0" borderId="61" xfId="60" applyNumberFormat="1" applyFont="1" applyFill="1" applyBorder="1" applyAlignment="1">
      <alignment horizontal="right"/>
      <protection/>
    </xf>
    <xf numFmtId="4" fontId="7" fillId="0" borderId="60" xfId="60" applyNumberFormat="1" applyFont="1" applyFill="1" applyBorder="1" applyAlignment="1" applyProtection="1">
      <alignment horizontal="center"/>
      <protection/>
    </xf>
    <xf numFmtId="192" fontId="35" fillId="0" borderId="61" xfId="60" applyNumberFormat="1" applyFont="1" applyFill="1" applyBorder="1" applyAlignment="1" applyProtection="1">
      <alignment horizontal="right"/>
      <protection locked="0"/>
    </xf>
    <xf numFmtId="3" fontId="35" fillId="0" borderId="62" xfId="60" applyNumberFormat="1" applyFont="1" applyFill="1" applyBorder="1" applyAlignment="1">
      <alignment horizontal="right"/>
      <protection/>
    </xf>
    <xf numFmtId="4" fontId="35" fillId="0" borderId="63" xfId="60" applyNumberFormat="1" applyFont="1" applyFill="1" applyBorder="1" applyAlignment="1" applyProtection="1">
      <alignment horizontal="center"/>
      <protection locked="0"/>
    </xf>
    <xf numFmtId="187" fontId="35" fillId="0" borderId="63" xfId="60" applyNumberFormat="1" applyFont="1" applyFill="1" applyBorder="1" applyAlignment="1">
      <alignment horizontal="center"/>
      <protection/>
    </xf>
    <xf numFmtId="4" fontId="35" fillId="0" borderId="62" xfId="60" applyNumberFormat="1" applyFont="1" applyFill="1" applyBorder="1" applyAlignment="1">
      <alignment horizontal="right"/>
      <protection/>
    </xf>
    <xf numFmtId="4" fontId="35" fillId="0" borderId="64" xfId="60" applyNumberFormat="1" applyFont="1" applyFill="1" applyBorder="1" applyAlignment="1">
      <alignment horizontal="right"/>
      <protection/>
    </xf>
    <xf numFmtId="4" fontId="65" fillId="0" borderId="61" xfId="60" applyNumberFormat="1" applyFont="1" applyFill="1" applyBorder="1" applyAlignment="1">
      <alignment horizontal="right"/>
      <protection/>
    </xf>
    <xf numFmtId="193" fontId="65" fillId="0" borderId="61" xfId="60" applyNumberFormat="1" applyFont="1" applyFill="1" applyBorder="1" applyAlignment="1">
      <alignment horizontal="right"/>
      <protection/>
    </xf>
    <xf numFmtId="4" fontId="35" fillId="0" borderId="60" xfId="60" applyNumberFormat="1" applyFont="1" applyFill="1" applyBorder="1" applyAlignment="1">
      <alignment horizontal="right"/>
      <protection/>
    </xf>
    <xf numFmtId="2" fontId="7" fillId="0" borderId="12" xfId="60" applyNumberFormat="1" applyFont="1" applyFill="1" applyBorder="1" applyAlignment="1">
      <alignment horizontal="center"/>
      <protection/>
    </xf>
    <xf numFmtId="0" fontId="7" fillId="0" borderId="22" xfId="60" applyFont="1" applyFill="1" applyBorder="1" applyAlignment="1">
      <alignment horizontal="center"/>
      <protection/>
    </xf>
    <xf numFmtId="0" fontId="7" fillId="0" borderId="65" xfId="60" applyFont="1" applyFill="1" applyBorder="1" applyAlignment="1">
      <alignment horizontal="center"/>
      <protection/>
    </xf>
    <xf numFmtId="0" fontId="7" fillId="0" borderId="22" xfId="54" applyFont="1" applyFill="1" applyBorder="1" applyAlignment="1" applyProtection="1">
      <alignment horizontal="center"/>
      <protection locked="0"/>
    </xf>
    <xf numFmtId="164" fontId="7" fillId="0" borderId="22" xfId="54" applyNumberFormat="1" applyFont="1" applyFill="1" applyBorder="1" applyAlignment="1" applyProtection="1">
      <alignment horizontal="center"/>
      <protection locked="0"/>
    </xf>
    <xf numFmtId="165" fontId="7" fillId="0" borderId="22" xfId="54" applyNumberFormat="1" applyFont="1" applyFill="1" applyBorder="1" applyAlignment="1" applyProtection="1">
      <alignment horizontal="center"/>
      <protection locked="0"/>
    </xf>
    <xf numFmtId="0" fontId="63" fillId="0" borderId="22" xfId="60" applyFont="1" applyFill="1" applyBorder="1" applyProtection="1">
      <alignment/>
      <protection locked="0"/>
    </xf>
    <xf numFmtId="22" fontId="7" fillId="0" borderId="22" xfId="54" applyNumberFormat="1" applyFont="1" applyFill="1" applyBorder="1" applyAlignment="1" applyProtection="1">
      <alignment horizontal="center"/>
      <protection locked="0"/>
    </xf>
    <xf numFmtId="4" fontId="7" fillId="0" borderId="22" xfId="60" applyNumberFormat="1" applyFont="1" applyFill="1" applyBorder="1" applyAlignment="1" applyProtection="1" quotePrefix="1">
      <alignment horizontal="center"/>
      <protection/>
    </xf>
    <xf numFmtId="164" fontId="7" fillId="0" borderId="22" xfId="60" applyNumberFormat="1" applyFont="1" applyFill="1" applyBorder="1" applyAlignment="1" applyProtection="1" quotePrefix="1">
      <alignment horizontal="center"/>
      <protection/>
    </xf>
    <xf numFmtId="167" fontId="7" fillId="0" borderId="22" xfId="60" applyNumberFormat="1" applyFont="1" applyFill="1" applyBorder="1" applyAlignment="1" applyProtection="1">
      <alignment horizontal="center"/>
      <protection locked="0"/>
    </xf>
    <xf numFmtId="172" fontId="7" fillId="0" borderId="22" xfId="60" applyNumberFormat="1" applyFont="1" applyFill="1" applyBorder="1" applyAlignment="1" applyProtection="1" quotePrefix="1">
      <alignment horizontal="center"/>
      <protection/>
    </xf>
    <xf numFmtId="167" fontId="7" fillId="0" borderId="22" xfId="60" applyNumberFormat="1" applyFont="1" applyFill="1" applyBorder="1" applyAlignment="1" applyProtection="1">
      <alignment horizontal="center"/>
      <protection/>
    </xf>
    <xf numFmtId="167" fontId="8" fillId="0" borderId="22" xfId="60" applyNumberFormat="1" applyFont="1" applyFill="1" applyBorder="1" applyAlignment="1" applyProtection="1" quotePrefix="1">
      <alignment horizontal="center"/>
      <protection/>
    </xf>
    <xf numFmtId="4" fontId="8" fillId="0" borderId="22" xfId="60" applyNumberFormat="1" applyFont="1" applyFill="1" applyBorder="1" applyAlignment="1" applyProtection="1">
      <alignment horizontal="center"/>
      <protection/>
    </xf>
    <xf numFmtId="4" fontId="35" fillId="0" borderId="22" xfId="60" applyNumberFormat="1" applyFont="1" applyFill="1" applyBorder="1" applyAlignment="1">
      <alignment horizontal="right"/>
      <protection/>
    </xf>
    <xf numFmtId="192" fontId="35" fillId="0" borderId="22" xfId="60" applyNumberFormat="1" applyFont="1" applyFill="1" applyBorder="1" applyAlignment="1" applyProtection="1">
      <alignment horizontal="right"/>
      <protection locked="0"/>
    </xf>
    <xf numFmtId="3" fontId="35" fillId="0" borderId="65" xfId="60" applyNumberFormat="1" applyFont="1" applyFill="1" applyBorder="1" applyAlignment="1">
      <alignment horizontal="right"/>
      <protection/>
    </xf>
    <xf numFmtId="4" fontId="35" fillId="0" borderId="22" xfId="60" applyNumberFormat="1" applyFont="1" applyFill="1" applyBorder="1" applyAlignment="1" applyProtection="1">
      <alignment horizontal="center"/>
      <protection locked="0"/>
    </xf>
    <xf numFmtId="187" fontId="35" fillId="0" borderId="34" xfId="60" applyNumberFormat="1" applyFont="1" applyFill="1" applyBorder="1" applyAlignment="1">
      <alignment horizontal="center"/>
      <protection/>
    </xf>
    <xf numFmtId="4" fontId="35" fillId="0" borderId="65" xfId="60" applyNumberFormat="1" applyFont="1" applyFill="1" applyBorder="1" applyAlignment="1">
      <alignment horizontal="right"/>
      <protection/>
    </xf>
    <xf numFmtId="193" fontId="35" fillId="0" borderId="22" xfId="60" applyNumberFormat="1" applyFont="1" applyFill="1" applyBorder="1" applyAlignment="1">
      <alignment horizontal="right"/>
      <protection/>
    </xf>
    <xf numFmtId="0" fontId="7" fillId="0" borderId="66" xfId="60" applyFont="1" applyFill="1" applyBorder="1" applyAlignment="1">
      <alignment horizontal="center"/>
      <protection/>
    </xf>
    <xf numFmtId="0" fontId="7" fillId="0" borderId="67" xfId="60" applyFont="1" applyFill="1" applyBorder="1" applyAlignment="1">
      <alignment horizontal="center"/>
      <protection/>
    </xf>
    <xf numFmtId="0" fontId="7" fillId="0" borderId="66" xfId="54" applyFont="1" applyFill="1" applyBorder="1" applyAlignment="1" applyProtection="1">
      <alignment horizontal="center"/>
      <protection locked="0"/>
    </xf>
    <xf numFmtId="164" fontId="7" fillId="0" borderId="66" xfId="54" applyNumberFormat="1" applyFont="1" applyFill="1" applyBorder="1" applyAlignment="1" applyProtection="1">
      <alignment horizontal="center"/>
      <protection locked="0"/>
    </xf>
    <xf numFmtId="165" fontId="7" fillId="0" borderId="66" xfId="54" applyNumberFormat="1" applyFont="1" applyFill="1" applyBorder="1" applyAlignment="1" applyProtection="1">
      <alignment horizontal="center"/>
      <protection locked="0"/>
    </xf>
    <xf numFmtId="0" fontId="63" fillId="0" borderId="66" xfId="60" applyFont="1" applyFill="1" applyBorder="1" applyProtection="1">
      <alignment/>
      <protection locked="0"/>
    </xf>
    <xf numFmtId="0" fontId="64" fillId="0" borderId="68" xfId="60" applyFont="1" applyFill="1" applyBorder="1" applyProtection="1">
      <alignment/>
      <protection locked="0"/>
    </xf>
    <xf numFmtId="22" fontId="7" fillId="0" borderId="66" xfId="54" applyNumberFormat="1" applyFont="1" applyFill="1" applyBorder="1" applyAlignment="1" applyProtection="1">
      <alignment horizontal="center"/>
      <protection locked="0"/>
    </xf>
    <xf numFmtId="4" fontId="7" fillId="0" borderId="66" xfId="60" applyNumberFormat="1" applyFont="1" applyFill="1" applyBorder="1" applyAlignment="1" applyProtection="1" quotePrefix="1">
      <alignment horizontal="center"/>
      <protection/>
    </xf>
    <xf numFmtId="164" fontId="7" fillId="0" borderId="66" xfId="60" applyNumberFormat="1" applyFont="1" applyFill="1" applyBorder="1" applyAlignment="1" applyProtection="1" quotePrefix="1">
      <alignment horizontal="center"/>
      <protection/>
    </xf>
    <xf numFmtId="167" fontId="7" fillId="0" borderId="66" xfId="60" applyNumberFormat="1" applyFont="1" applyFill="1" applyBorder="1" applyAlignment="1" applyProtection="1">
      <alignment horizontal="center"/>
      <protection locked="0"/>
    </xf>
    <xf numFmtId="172" fontId="7" fillId="0" borderId="66" xfId="60" applyNumberFormat="1" applyFont="1" applyFill="1" applyBorder="1" applyAlignment="1" applyProtection="1" quotePrefix="1">
      <alignment horizontal="center"/>
      <protection/>
    </xf>
    <xf numFmtId="167" fontId="7" fillId="0" borderId="66" xfId="60" applyNumberFormat="1" applyFont="1" applyFill="1" applyBorder="1" applyAlignment="1" applyProtection="1">
      <alignment horizontal="center"/>
      <protection/>
    </xf>
    <xf numFmtId="167" fontId="8" fillId="0" borderId="66" xfId="60" applyNumberFormat="1" applyFont="1" applyFill="1" applyBorder="1" applyAlignment="1" applyProtection="1" quotePrefix="1">
      <alignment horizontal="center"/>
      <protection/>
    </xf>
    <xf numFmtId="4" fontId="8" fillId="0" borderId="66" xfId="60" applyNumberFormat="1" applyFont="1" applyFill="1" applyBorder="1" applyAlignment="1" applyProtection="1">
      <alignment horizontal="center"/>
      <protection/>
    </xf>
    <xf numFmtId="4" fontId="35" fillId="0" borderId="66" xfId="60" applyNumberFormat="1" applyFont="1" applyFill="1" applyBorder="1" applyAlignment="1">
      <alignment horizontal="right"/>
      <protection/>
    </xf>
    <xf numFmtId="192" fontId="35" fillId="0" borderId="66" xfId="60" applyNumberFormat="1" applyFont="1" applyFill="1" applyBorder="1" applyAlignment="1" applyProtection="1">
      <alignment horizontal="right"/>
      <protection locked="0"/>
    </xf>
    <xf numFmtId="3" fontId="35" fillId="0" borderId="66" xfId="60" applyNumberFormat="1" applyFont="1" applyFill="1" applyBorder="1" applyAlignment="1">
      <alignment horizontal="right"/>
      <protection/>
    </xf>
    <xf numFmtId="4" fontId="35" fillId="0" borderId="66" xfId="60" applyNumberFormat="1" applyFont="1" applyFill="1" applyBorder="1" applyAlignment="1" applyProtection="1">
      <alignment horizontal="center"/>
      <protection locked="0"/>
    </xf>
    <xf numFmtId="187" fontId="35" fillId="0" borderId="69" xfId="60" applyNumberFormat="1" applyFont="1" applyFill="1" applyBorder="1" applyAlignment="1">
      <alignment horizontal="center"/>
      <protection/>
    </xf>
    <xf numFmtId="4" fontId="35" fillId="0" borderId="67" xfId="60" applyNumberFormat="1" applyFont="1" applyFill="1" applyBorder="1" applyAlignment="1">
      <alignment horizontal="right"/>
      <protection/>
    </xf>
    <xf numFmtId="193" fontId="35" fillId="0" borderId="66" xfId="60" applyNumberFormat="1" applyFont="1" applyFill="1" applyBorder="1" applyAlignment="1">
      <alignment horizontal="right"/>
      <protection/>
    </xf>
    <xf numFmtId="167" fontId="8" fillId="0" borderId="68" xfId="60" applyNumberFormat="1" applyFont="1" applyFill="1" applyBorder="1" applyAlignment="1" applyProtection="1" quotePrefix="1">
      <alignment horizontal="center"/>
      <protection/>
    </xf>
    <xf numFmtId="4" fontId="8" fillId="0" borderId="68" xfId="60" applyNumberFormat="1" applyFont="1" applyFill="1" applyBorder="1" applyAlignment="1" applyProtection="1">
      <alignment horizontal="center"/>
      <protection/>
    </xf>
    <xf numFmtId="0" fontId="7" fillId="0" borderId="61" xfId="60" applyFont="1" applyFill="1" applyBorder="1" applyAlignment="1">
      <alignment horizontal="center"/>
      <protection/>
    </xf>
    <xf numFmtId="0" fontId="7" fillId="0" borderId="24" xfId="58" applyFont="1" applyFill="1" applyBorder="1" applyAlignment="1" applyProtection="1">
      <alignment horizontal="center"/>
      <protection locked="0"/>
    </xf>
    <xf numFmtId="164" fontId="7" fillId="0" borderId="24" xfId="58" applyNumberFormat="1" applyFont="1" applyFill="1" applyBorder="1" applyAlignment="1" applyProtection="1">
      <alignment horizontal="center"/>
      <protection locked="0"/>
    </xf>
    <xf numFmtId="165" fontId="7" fillId="0" borderId="24" xfId="58" applyNumberFormat="1" applyFont="1" applyFill="1" applyBorder="1" applyAlignment="1" applyProtection="1">
      <alignment horizontal="center"/>
      <protection locked="0"/>
    </xf>
    <xf numFmtId="0" fontId="63" fillId="0" borderId="60" xfId="60" applyFont="1" applyFill="1" applyBorder="1" applyProtection="1">
      <alignment/>
      <protection locked="0"/>
    </xf>
    <xf numFmtId="22" fontId="7" fillId="0" borderId="70" xfId="58" applyNumberFormat="1" applyFont="1" applyFill="1" applyBorder="1" applyAlignment="1" applyProtection="1">
      <alignment horizontal="center"/>
      <protection locked="0"/>
    </xf>
    <xf numFmtId="22" fontId="7" fillId="0" borderId="71" xfId="58" applyNumberFormat="1" applyFont="1" applyFill="1" applyBorder="1" applyAlignment="1" applyProtection="1">
      <alignment horizontal="center"/>
      <protection locked="0"/>
    </xf>
    <xf numFmtId="3" fontId="35" fillId="0" borderId="61" xfId="60" applyNumberFormat="1" applyFont="1" applyFill="1" applyBorder="1" applyAlignment="1">
      <alignment horizontal="right"/>
      <protection/>
    </xf>
    <xf numFmtId="4" fontId="35" fillId="0" borderId="60" xfId="60" applyNumberFormat="1" applyFont="1" applyFill="1" applyBorder="1" applyAlignment="1" applyProtection="1">
      <alignment horizontal="center"/>
      <protection locked="0"/>
    </xf>
    <xf numFmtId="187" fontId="35" fillId="0" borderId="60" xfId="60" applyNumberFormat="1" applyFont="1" applyFill="1" applyBorder="1" applyAlignment="1">
      <alignment horizontal="center"/>
      <protection/>
    </xf>
    <xf numFmtId="22" fontId="7" fillId="0" borderId="65" xfId="54" applyNumberFormat="1" applyFont="1" applyFill="1" applyBorder="1" applyAlignment="1" applyProtection="1">
      <alignment horizontal="center"/>
      <protection locked="0"/>
    </xf>
    <xf numFmtId="22" fontId="7" fillId="0" borderId="72" xfId="54" applyNumberFormat="1" applyFont="1" applyFill="1" applyBorder="1" applyAlignment="1" applyProtection="1">
      <alignment horizontal="center"/>
      <protection locked="0"/>
    </xf>
    <xf numFmtId="167" fontId="7" fillId="0" borderId="65" xfId="60" applyNumberFormat="1" applyFont="1" applyFill="1" applyBorder="1" applyAlignment="1" applyProtection="1">
      <alignment horizontal="center"/>
      <protection locked="0"/>
    </xf>
    <xf numFmtId="192" fontId="35" fillId="0" borderId="65" xfId="60" applyNumberFormat="1" applyFont="1" applyFill="1" applyBorder="1" applyAlignment="1" applyProtection="1">
      <alignment horizontal="right"/>
      <protection locked="0"/>
    </xf>
    <xf numFmtId="4" fontId="35" fillId="0" borderId="34" xfId="60" applyNumberFormat="1" applyFont="1" applyFill="1" applyBorder="1" applyAlignment="1" applyProtection="1">
      <alignment horizontal="center"/>
      <protection locked="0"/>
    </xf>
    <xf numFmtId="4" fontId="35" fillId="0" borderId="73" xfId="60" applyNumberFormat="1" applyFont="1" applyFill="1" applyBorder="1" applyAlignment="1">
      <alignment horizontal="right"/>
      <protection/>
    </xf>
    <xf numFmtId="4" fontId="35" fillId="0" borderId="34" xfId="60" applyNumberFormat="1" applyFont="1" applyFill="1" applyBorder="1" applyAlignment="1">
      <alignment horizontal="right"/>
      <protection/>
    </xf>
    <xf numFmtId="193" fontId="35" fillId="0" borderId="65" xfId="60" applyNumberFormat="1" applyFont="1" applyFill="1" applyBorder="1" applyAlignment="1">
      <alignment horizontal="right"/>
      <protection/>
    </xf>
    <xf numFmtId="4" fontId="35" fillId="0" borderId="21" xfId="60" applyNumberFormat="1" applyFont="1" applyFill="1" applyBorder="1" applyAlignment="1">
      <alignment horizontal="right"/>
      <protection/>
    </xf>
    <xf numFmtId="3" fontId="35" fillId="0" borderId="22" xfId="60" applyNumberFormat="1" applyFont="1" applyFill="1" applyBorder="1" applyAlignment="1">
      <alignment horizontal="right"/>
      <protection/>
    </xf>
    <xf numFmtId="187" fontId="35" fillId="0" borderId="66" xfId="60" applyNumberFormat="1" applyFont="1" applyFill="1" applyBorder="1" applyAlignment="1">
      <alignment horizontal="center"/>
      <protection/>
    </xf>
    <xf numFmtId="0" fontId="7" fillId="45" borderId="23" xfId="60" applyFont="1" applyFill="1" applyBorder="1">
      <alignment/>
      <protection/>
    </xf>
    <xf numFmtId="0" fontId="7" fillId="0" borderId="23" xfId="60" applyFont="1" applyBorder="1" applyAlignment="1">
      <alignment horizontal="center"/>
      <protection/>
    </xf>
    <xf numFmtId="0" fontId="7" fillId="0" borderId="55" xfId="60" applyFont="1" applyBorder="1" applyAlignment="1">
      <alignment horizontal="center"/>
      <protection/>
    </xf>
    <xf numFmtId="0" fontId="7" fillId="0" borderId="23" xfId="60" applyFont="1" applyFill="1" applyBorder="1" applyAlignment="1" applyProtection="1">
      <alignment horizontal="center"/>
      <protection locked="0"/>
    </xf>
    <xf numFmtId="164" fontId="8" fillId="0" borderId="23" xfId="60" applyNumberFormat="1" applyFont="1" applyFill="1" applyBorder="1" applyAlignment="1" applyProtection="1">
      <alignment horizontal="center"/>
      <protection locked="0"/>
    </xf>
    <xf numFmtId="165" fontId="7" fillId="0" borderId="23" xfId="60" applyNumberFormat="1" applyFont="1" applyFill="1" applyBorder="1" applyAlignment="1" applyProtection="1">
      <alignment horizontal="center"/>
      <protection locked="0"/>
    </xf>
    <xf numFmtId="0" fontId="63" fillId="0" borderId="23" xfId="60" applyFont="1" applyFill="1" applyBorder="1" applyAlignment="1" applyProtection="1">
      <alignment horizontal="center"/>
      <protection locked="0"/>
    </xf>
    <xf numFmtId="170" fontId="64" fillId="0" borderId="23" xfId="60" applyNumberFormat="1" applyFont="1" applyFill="1" applyBorder="1" applyAlignment="1" applyProtection="1">
      <alignment horizontal="center"/>
      <protection locked="0"/>
    </xf>
    <xf numFmtId="167" fontId="7" fillId="0" borderId="23" xfId="60" applyNumberFormat="1" applyFont="1" applyFill="1" applyBorder="1" applyAlignment="1" applyProtection="1">
      <alignment horizontal="center"/>
      <protection locked="0"/>
    </xf>
    <xf numFmtId="167" fontId="7" fillId="0" borderId="23" xfId="60" applyNumberFormat="1" applyFont="1" applyFill="1" applyBorder="1" applyAlignment="1" applyProtection="1">
      <alignment horizontal="center"/>
      <protection/>
    </xf>
    <xf numFmtId="172" fontId="7" fillId="0" borderId="23" xfId="60" applyNumberFormat="1" applyFont="1" applyFill="1" applyBorder="1" applyAlignment="1" applyProtection="1" quotePrefix="1">
      <alignment horizontal="center"/>
      <protection/>
    </xf>
    <xf numFmtId="167" fontId="32" fillId="0" borderId="42" xfId="60" applyNumberFormat="1" applyFont="1" applyFill="1" applyBorder="1" applyAlignment="1" applyProtection="1" quotePrefix="1">
      <alignment horizontal="center"/>
      <protection/>
    </xf>
    <xf numFmtId="4" fontId="32" fillId="0" borderId="42" xfId="60" applyNumberFormat="1" applyFont="1" applyFill="1" applyBorder="1" applyAlignment="1" applyProtection="1">
      <alignment horizontal="center"/>
      <protection/>
    </xf>
    <xf numFmtId="2" fontId="35" fillId="0" borderId="23" xfId="60" applyNumberFormat="1" applyFont="1" applyFill="1" applyBorder="1" applyAlignment="1">
      <alignment horizontal="right"/>
      <protection/>
    </xf>
    <xf numFmtId="4" fontId="8" fillId="0" borderId="23" xfId="60" applyNumberFormat="1" applyFont="1" applyFill="1" applyBorder="1" applyAlignment="1" applyProtection="1">
      <alignment horizontal="center"/>
      <protection/>
    </xf>
    <xf numFmtId="0" fontId="35" fillId="0" borderId="23" xfId="60" applyFont="1" applyFill="1" applyBorder="1" applyProtection="1">
      <alignment/>
      <protection locked="0"/>
    </xf>
    <xf numFmtId="0" fontId="35" fillId="0" borderId="23" xfId="60" applyFont="1" applyFill="1" applyBorder="1">
      <alignment/>
      <protection/>
    </xf>
    <xf numFmtId="0" fontId="35" fillId="0" borderId="23" xfId="60" applyFont="1" applyFill="1" applyBorder="1" applyAlignment="1" applyProtection="1">
      <alignment horizontal="center"/>
      <protection locked="0"/>
    </xf>
    <xf numFmtId="187" fontId="35" fillId="0" borderId="23" xfId="60" applyNumberFormat="1" applyFont="1" applyFill="1" applyBorder="1" applyAlignment="1">
      <alignment horizontal="center"/>
      <protection/>
    </xf>
    <xf numFmtId="4" fontId="35" fillId="0" borderId="23" xfId="60" applyNumberFormat="1" applyFont="1" applyFill="1" applyBorder="1" applyAlignment="1">
      <alignment horizontal="right"/>
      <protection/>
    </xf>
    <xf numFmtId="167" fontId="32" fillId="0" borderId="23" xfId="60" applyNumberFormat="1" applyFont="1" applyFill="1" applyBorder="1" applyAlignment="1" applyProtection="1" quotePrefix="1">
      <alignment horizontal="center"/>
      <protection/>
    </xf>
    <xf numFmtId="4" fontId="32" fillId="0" borderId="23" xfId="60" applyNumberFormat="1" applyFont="1" applyFill="1" applyBorder="1" applyAlignment="1" applyProtection="1">
      <alignment horizontal="center"/>
      <protection/>
    </xf>
    <xf numFmtId="0" fontId="35" fillId="0" borderId="36" xfId="60" applyFont="1" applyBorder="1">
      <alignment/>
      <protection/>
    </xf>
    <xf numFmtId="0" fontId="37" fillId="0" borderId="25" xfId="60" applyFont="1" applyBorder="1" applyAlignment="1">
      <alignment horizontal="center"/>
      <protection/>
    </xf>
    <xf numFmtId="0" fontId="38" fillId="0" borderId="0" xfId="60" applyFont="1" applyBorder="1" applyAlignment="1" applyProtection="1">
      <alignment horizontal="left"/>
      <protection/>
    </xf>
    <xf numFmtId="164" fontId="8" fillId="0" borderId="0" xfId="60" applyNumberFormat="1" applyFont="1" applyBorder="1" applyAlignment="1" applyProtection="1">
      <alignment horizontal="center"/>
      <protection/>
    </xf>
    <xf numFmtId="165" fontId="7" fillId="0" borderId="0" xfId="60" applyNumberFormat="1" applyFont="1" applyBorder="1" applyAlignment="1" applyProtection="1">
      <alignment horizontal="center"/>
      <protection/>
    </xf>
    <xf numFmtId="167" fontId="7" fillId="0" borderId="0" xfId="60" applyNumberFormat="1" applyFont="1" applyBorder="1" applyAlignment="1" applyProtection="1">
      <alignment horizontal="center"/>
      <protection/>
    </xf>
    <xf numFmtId="167" fontId="7" fillId="0" borderId="0" xfId="60" applyNumberFormat="1" applyFont="1" applyFill="1" applyBorder="1" applyAlignment="1" applyProtection="1">
      <alignment horizontal="center"/>
      <protection/>
    </xf>
    <xf numFmtId="172" fontId="7" fillId="0" borderId="0" xfId="60" applyNumberFormat="1" applyFont="1" applyBorder="1" applyAlignment="1" applyProtection="1" quotePrefix="1">
      <alignment horizontal="center"/>
      <protection/>
    </xf>
    <xf numFmtId="2" fontId="32" fillId="32" borderId="23" xfId="60" applyNumberFormat="1" applyFont="1" applyFill="1" applyBorder="1" applyAlignment="1" applyProtection="1">
      <alignment horizontal="center"/>
      <protection/>
    </xf>
    <xf numFmtId="7" fontId="3" fillId="0" borderId="0" xfId="60" applyNumberFormat="1" applyFont="1" applyFill="1" applyBorder="1" applyAlignment="1" applyProtection="1">
      <alignment horizontal="right"/>
      <protection/>
    </xf>
    <xf numFmtId="2" fontId="66" fillId="0" borderId="0" xfId="60" applyNumberFormat="1" applyFont="1" applyBorder="1" applyAlignment="1" applyProtection="1">
      <alignment horizontal="center"/>
      <protection/>
    </xf>
    <xf numFmtId="7" fontId="3" fillId="0" borderId="43" xfId="60" applyNumberFormat="1" applyFont="1" applyFill="1" applyBorder="1" applyAlignment="1" applyProtection="1">
      <alignment horizontal="right"/>
      <protection/>
    </xf>
    <xf numFmtId="0" fontId="2" fillId="0" borderId="11" xfId="60" applyBorder="1">
      <alignment/>
      <protection/>
    </xf>
    <xf numFmtId="0" fontId="2" fillId="0" borderId="0" xfId="60" applyBorder="1">
      <alignment/>
      <protection/>
    </xf>
    <xf numFmtId="0" fontId="2" fillId="0" borderId="0" xfId="60">
      <alignment/>
      <protection/>
    </xf>
    <xf numFmtId="0" fontId="2" fillId="0" borderId="0" xfId="60" applyFont="1">
      <alignment/>
      <protection/>
    </xf>
    <xf numFmtId="0" fontId="2" fillId="0" borderId="0" xfId="60" applyFont="1" applyFill="1">
      <alignment/>
      <protection/>
    </xf>
    <xf numFmtId="0" fontId="2" fillId="0" borderId="0" xfId="60" applyFill="1">
      <alignment/>
      <protection/>
    </xf>
    <xf numFmtId="0" fontId="2" fillId="0" borderId="12" xfId="60" applyBorder="1">
      <alignment/>
      <protection/>
    </xf>
    <xf numFmtId="0" fontId="7" fillId="0" borderId="26" xfId="60" applyFont="1" applyBorder="1">
      <alignment/>
      <protection/>
    </xf>
    <xf numFmtId="0" fontId="7" fillId="0" borderId="27" xfId="60" applyFont="1" applyBorder="1">
      <alignment/>
      <protection/>
    </xf>
    <xf numFmtId="0" fontId="2" fillId="0" borderId="27" xfId="60" applyFont="1" applyBorder="1">
      <alignment/>
      <protection/>
    </xf>
    <xf numFmtId="0" fontId="2" fillId="0" borderId="27" xfId="60" applyFont="1" applyFill="1" applyBorder="1">
      <alignment/>
      <protection/>
    </xf>
    <xf numFmtId="0" fontId="7" fillId="0" borderId="28" xfId="60" applyFont="1" applyBorder="1">
      <alignment/>
      <protection/>
    </xf>
    <xf numFmtId="0" fontId="67" fillId="0" borderId="0" xfId="60" applyFont="1">
      <alignment/>
      <protection/>
    </xf>
    <xf numFmtId="0" fontId="67" fillId="0" borderId="0" xfId="60" applyFont="1" applyFill="1">
      <alignment/>
      <protection/>
    </xf>
    <xf numFmtId="0" fontId="5" fillId="0" borderId="0" xfId="59" applyFont="1" applyFill="1" applyBorder="1" applyAlignment="1" applyProtection="1">
      <alignment horizontal="center"/>
      <protection/>
    </xf>
    <xf numFmtId="170" fontId="2" fillId="0" borderId="16" xfId="61" applyNumberFormat="1" applyFont="1" applyBorder="1" applyAlignment="1">
      <alignment horizontal="center"/>
      <protection/>
    </xf>
    <xf numFmtId="170" fontId="2" fillId="0" borderId="17" xfId="61" applyNumberFormat="1" applyFont="1" applyBorder="1" applyAlignment="1">
      <alignment horizontal="center"/>
      <protection/>
    </xf>
    <xf numFmtId="0" fontId="7" fillId="45" borderId="63" xfId="60" applyFont="1" applyFill="1" applyBorder="1" applyAlignment="1">
      <alignment horizontal="center" vertical="center" textRotation="90"/>
      <protection/>
    </xf>
    <xf numFmtId="0" fontId="7" fillId="45" borderId="36" xfId="60" applyFont="1" applyFill="1" applyBorder="1" applyAlignment="1">
      <alignment horizontal="center" vertical="center" textRotation="90"/>
      <protection/>
    </xf>
    <xf numFmtId="0" fontId="7" fillId="45" borderId="74" xfId="60" applyFont="1" applyFill="1" applyBorder="1" applyAlignment="1">
      <alignment horizontal="center" vertical="center" textRotation="90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313_TEMPORAL" xfId="54"/>
    <cellStyle name="Normal_a0401NER Anexo I1" xfId="55"/>
    <cellStyle name="Normal_EDN-EDS-ELP-SGE" xfId="56"/>
    <cellStyle name="Normal_F0407NER" xfId="57"/>
    <cellStyle name="Normal_info-penalizaciones-iii" xfId="58"/>
    <cellStyle name="Normal_PAFTT Anexo 28" xfId="59"/>
    <cellStyle name="Normal_TRANS" xfId="60"/>
    <cellStyle name="Normal_TRANSBA" xfId="61"/>
    <cellStyle name="Normal_TRANSBA_A1212TBA Anexo I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809625</xdr:colOff>
      <xdr:row>0</xdr:row>
      <xdr:rowOff>0</xdr:rowOff>
    </xdr:from>
    <xdr:to>
      <xdr:col>1</xdr:col>
      <xdr:colOff>485775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9525</xdr:rowOff>
    </xdr:from>
    <xdr:to>
      <xdr:col>2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9525</xdr:rowOff>
    </xdr:from>
    <xdr:to>
      <xdr:col>2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1362075</xdr:colOff>
      <xdr:row>0</xdr:row>
      <xdr:rowOff>0</xdr:rowOff>
    </xdr:from>
    <xdr:to>
      <xdr:col>1</xdr:col>
      <xdr:colOff>304800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0"/>
          <a:ext cx="5143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209550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209550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0</xdr:rowOff>
    </xdr:from>
    <xdr:to>
      <xdr:col>2</xdr:col>
      <xdr:colOff>219075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0</xdr:rowOff>
    </xdr:from>
    <xdr:to>
      <xdr:col>2</xdr:col>
      <xdr:colOff>219075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19050</xdr:rowOff>
    </xdr:from>
    <xdr:to>
      <xdr:col>2</xdr:col>
      <xdr:colOff>219075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="80" zoomScaleNormal="80" zoomScalePageLayoutView="0" workbookViewId="0" topLeftCell="A1">
      <selection activeCell="B3" sqref="B3"/>
    </sheetView>
  </sheetViews>
  <sheetFormatPr defaultColWidth="11.421875" defaultRowHeight="12.75"/>
  <cols>
    <col min="1" max="1" width="12.140625" style="346" customWidth="1"/>
    <col min="2" max="2" width="17.8515625" style="346" customWidth="1"/>
    <col min="3" max="3" width="10.8515625" style="346" customWidth="1"/>
    <col min="4" max="4" width="6.7109375" style="346" customWidth="1"/>
    <col min="5" max="5" width="17.8515625" style="346" customWidth="1"/>
    <col min="6" max="6" width="16.7109375" style="346" customWidth="1"/>
    <col min="7" max="7" width="23.140625" style="346" customWidth="1"/>
    <col min="8" max="8" width="14.00390625" style="346" customWidth="1"/>
    <col min="9" max="9" width="19.8515625" style="346" customWidth="1"/>
    <col min="10" max="10" width="14.28125" style="346" customWidth="1"/>
    <col min="11" max="11" width="15.7109375" style="346" customWidth="1"/>
    <col min="12" max="16384" width="11.421875" style="346" customWidth="1"/>
  </cols>
  <sheetData>
    <row r="1" spans="2:11" s="342" customFormat="1" ht="26.25">
      <c r="B1" s="343"/>
      <c r="K1" s="344"/>
    </row>
    <row r="2" spans="2:10" s="342" customFormat="1" ht="26.25">
      <c r="B2" s="343" t="s">
        <v>218</v>
      </c>
      <c r="C2" s="431"/>
      <c r="D2" s="345"/>
      <c r="E2" s="345"/>
      <c r="F2" s="345"/>
      <c r="G2" s="345"/>
      <c r="H2" s="345"/>
      <c r="I2" s="345"/>
      <c r="J2" s="345"/>
    </row>
    <row r="3" spans="3:10" ht="12.75">
      <c r="C3" s="347"/>
      <c r="D3" s="348"/>
      <c r="E3" s="348"/>
      <c r="F3" s="348"/>
      <c r="G3" s="348"/>
      <c r="H3" s="348"/>
      <c r="I3" s="348"/>
      <c r="J3" s="348"/>
    </row>
    <row r="4" spans="1:11" s="349" customFormat="1" ht="11.25">
      <c r="A4" s="680" t="s">
        <v>3</v>
      </c>
      <c r="B4" s="680"/>
      <c r="D4" s="350"/>
      <c r="E4" s="350"/>
      <c r="F4" s="350"/>
      <c r="G4" s="350"/>
      <c r="H4" s="350"/>
      <c r="I4" s="350"/>
      <c r="J4" s="350"/>
      <c r="K4" s="350"/>
    </row>
    <row r="5" spans="1:11" s="349" customFormat="1" ht="11.25">
      <c r="A5" s="680" t="s">
        <v>4</v>
      </c>
      <c r="B5" s="680"/>
      <c r="D5" s="350"/>
      <c r="E5" s="350"/>
      <c r="F5" s="350"/>
      <c r="G5" s="350"/>
      <c r="H5" s="350"/>
      <c r="I5" s="350"/>
      <c r="J5" s="350"/>
      <c r="K5" s="350"/>
    </row>
    <row r="6" spans="2:11" s="342" customFormat="1" ht="11.25" customHeight="1">
      <c r="B6" s="351"/>
      <c r="D6" s="352"/>
      <c r="E6" s="352"/>
      <c r="F6" s="352"/>
      <c r="G6" s="352"/>
      <c r="H6" s="352"/>
      <c r="I6" s="352"/>
      <c r="J6" s="352"/>
      <c r="K6" s="352"/>
    </row>
    <row r="7" spans="2:11" s="353" customFormat="1" ht="20.25">
      <c r="B7" s="354" t="s">
        <v>56</v>
      </c>
      <c r="C7" s="432"/>
      <c r="D7" s="355"/>
      <c r="E7" s="355"/>
      <c r="F7" s="355"/>
      <c r="G7" s="356"/>
      <c r="H7" s="356"/>
      <c r="I7" s="356"/>
      <c r="J7" s="356"/>
      <c r="K7" s="357"/>
    </row>
    <row r="8" spans="9:11" ht="12.75">
      <c r="I8" s="358"/>
      <c r="J8" s="358"/>
      <c r="K8" s="358"/>
    </row>
    <row r="9" spans="2:11" s="353" customFormat="1" ht="20.25">
      <c r="B9" s="354" t="s">
        <v>0</v>
      </c>
      <c r="C9" s="432"/>
      <c r="D9" s="355"/>
      <c r="E9" s="355"/>
      <c r="F9" s="355"/>
      <c r="G9" s="355"/>
      <c r="H9" s="355"/>
      <c r="I9" s="356"/>
      <c r="J9" s="356"/>
      <c r="K9" s="357"/>
    </row>
    <row r="10" spans="4:11" ht="12.75">
      <c r="D10" s="359"/>
      <c r="E10" s="359"/>
      <c r="F10" s="359"/>
      <c r="I10" s="358"/>
      <c r="J10" s="358"/>
      <c r="K10" s="358"/>
    </row>
    <row r="11" spans="2:11" s="353" customFormat="1" ht="20.25">
      <c r="B11" s="354" t="s">
        <v>162</v>
      </c>
      <c r="C11" s="360"/>
      <c r="D11" s="360"/>
      <c r="E11" s="360"/>
      <c r="F11" s="360"/>
      <c r="G11" s="355"/>
      <c r="H11" s="355"/>
      <c r="I11" s="356"/>
      <c r="J11" s="356"/>
      <c r="K11" s="357"/>
    </row>
    <row r="12" spans="4:11" s="361" customFormat="1" ht="16.5" thickBot="1">
      <c r="D12" s="362"/>
      <c r="E12" s="362"/>
      <c r="F12" s="362"/>
      <c r="I12" s="363"/>
      <c r="J12" s="363"/>
      <c r="K12" s="363"/>
    </row>
    <row r="13" spans="2:11" s="361" customFormat="1" ht="16.5" thickTop="1">
      <c r="B13" s="364">
        <v>1</v>
      </c>
      <c r="C13" s="365" t="b">
        <v>0</v>
      </c>
      <c r="D13" s="366"/>
      <c r="E13" s="366"/>
      <c r="F13" s="366"/>
      <c r="G13" s="366"/>
      <c r="H13" s="366"/>
      <c r="I13" s="366"/>
      <c r="J13" s="367"/>
      <c r="K13" s="363"/>
    </row>
    <row r="14" spans="2:11" s="368" customFormat="1" ht="19.5">
      <c r="B14" s="369" t="s">
        <v>74</v>
      </c>
      <c r="C14" s="370"/>
      <c r="D14" s="371"/>
      <c r="E14" s="372"/>
      <c r="F14" s="372"/>
      <c r="G14" s="372"/>
      <c r="H14" s="372"/>
      <c r="I14" s="373"/>
      <c r="J14" s="374"/>
      <c r="K14" s="375"/>
    </row>
    <row r="15" spans="2:11" s="368" customFormat="1" ht="19.5" hidden="1">
      <c r="B15" s="376"/>
      <c r="C15" s="377"/>
      <c r="D15" s="377"/>
      <c r="E15" s="375"/>
      <c r="F15" s="375"/>
      <c r="G15" s="378"/>
      <c r="H15" s="378"/>
      <c r="I15" s="375"/>
      <c r="J15" s="379"/>
      <c r="K15" s="375"/>
    </row>
    <row r="16" spans="2:11" s="368" customFormat="1" ht="19.5" hidden="1">
      <c r="B16" s="369" t="s">
        <v>57</v>
      </c>
      <c r="C16" s="380"/>
      <c r="D16" s="380"/>
      <c r="E16" s="373"/>
      <c r="F16" s="372"/>
      <c r="G16" s="372"/>
      <c r="H16" s="373"/>
      <c r="I16" s="381"/>
      <c r="J16" s="374"/>
      <c r="K16" s="375"/>
    </row>
    <row r="17" spans="2:11" s="368" customFormat="1" ht="19.5">
      <c r="B17" s="376"/>
      <c r="C17" s="377"/>
      <c r="D17" s="377"/>
      <c r="E17" s="375"/>
      <c r="F17" s="378"/>
      <c r="G17" s="378"/>
      <c r="H17" s="375"/>
      <c r="I17" s="347"/>
      <c r="J17" s="379"/>
      <c r="K17" s="375"/>
    </row>
    <row r="18" spans="2:11" s="368" customFormat="1" ht="19.5">
      <c r="B18" s="376"/>
      <c r="C18" s="382" t="s">
        <v>58</v>
      </c>
      <c r="D18" s="383" t="s">
        <v>1</v>
      </c>
      <c r="E18" s="375"/>
      <c r="F18" s="375"/>
      <c r="G18" s="378"/>
      <c r="I18" s="402">
        <f>'LI-02 (2)'!AC42</f>
        <v>72649.92</v>
      </c>
      <c r="J18" s="379"/>
      <c r="K18" s="375"/>
    </row>
    <row r="19" spans="2:11" s="368" customFormat="1" ht="19.5">
      <c r="B19" s="376"/>
      <c r="C19" s="382"/>
      <c r="D19" s="383" t="s">
        <v>210</v>
      </c>
      <c r="E19" s="375"/>
      <c r="F19" s="375"/>
      <c r="G19" s="378"/>
      <c r="I19" s="402">
        <f>'Condiciones Climaticas 313-01'!AM32</f>
        <v>0</v>
      </c>
      <c r="J19" s="379"/>
      <c r="K19" s="375"/>
    </row>
    <row r="20" spans="2:11" ht="18.75">
      <c r="B20" s="384"/>
      <c r="C20" s="385"/>
      <c r="D20" s="386"/>
      <c r="E20" s="358"/>
      <c r="F20" s="358"/>
      <c r="G20" s="387"/>
      <c r="H20" s="387"/>
      <c r="I20" s="402"/>
      <c r="J20" s="388"/>
      <c r="K20" s="358"/>
    </row>
    <row r="21" spans="2:11" s="368" customFormat="1" ht="19.5">
      <c r="B21" s="376"/>
      <c r="C21" s="382" t="s">
        <v>59</v>
      </c>
      <c r="D21" s="383" t="s">
        <v>60</v>
      </c>
      <c r="E21" s="375"/>
      <c r="F21" s="375"/>
      <c r="G21" s="378"/>
      <c r="H21" s="378"/>
      <c r="I21" s="402"/>
      <c r="J21" s="379"/>
      <c r="K21" s="375"/>
    </row>
    <row r="22" spans="2:11" ht="18.75">
      <c r="B22" s="384"/>
      <c r="C22" s="385"/>
      <c r="D22" s="385"/>
      <c r="E22" s="358"/>
      <c r="F22" s="358"/>
      <c r="G22" s="387"/>
      <c r="H22" s="387"/>
      <c r="I22" s="402"/>
      <c r="J22" s="388"/>
      <c r="K22" s="358"/>
    </row>
    <row r="23" spans="2:11" s="368" customFormat="1" ht="19.5">
      <c r="B23" s="376"/>
      <c r="C23" s="382"/>
      <c r="D23" s="382" t="s">
        <v>61</v>
      </c>
      <c r="E23" s="389" t="s">
        <v>62</v>
      </c>
      <c r="F23" s="389"/>
      <c r="G23" s="378"/>
      <c r="I23" s="402">
        <f>'T-02 (2)'!AC43</f>
        <v>12897.23</v>
      </c>
      <c r="J23" s="379"/>
      <c r="K23" s="375"/>
    </row>
    <row r="24" spans="2:11" ht="18.75">
      <c r="B24" s="384"/>
      <c r="C24" s="385"/>
      <c r="D24" s="385"/>
      <c r="E24" s="358"/>
      <c r="F24" s="358"/>
      <c r="G24" s="387"/>
      <c r="H24" s="387"/>
      <c r="I24" s="402"/>
      <c r="J24" s="388"/>
      <c r="K24" s="358"/>
    </row>
    <row r="25" spans="2:11" s="368" customFormat="1" ht="19.5">
      <c r="B25" s="376"/>
      <c r="C25" s="382"/>
      <c r="D25" s="382" t="s">
        <v>63</v>
      </c>
      <c r="E25" s="389" t="s">
        <v>64</v>
      </c>
      <c r="F25" s="389"/>
      <c r="G25" s="378"/>
      <c r="H25" s="378"/>
      <c r="I25" s="402">
        <f>'SA-02 (2)'!V43</f>
        <v>8369.29</v>
      </c>
      <c r="J25" s="379"/>
      <c r="K25" s="375"/>
    </row>
    <row r="26" spans="2:11" s="368" customFormat="1" ht="19.5">
      <c r="B26" s="376"/>
      <c r="C26" s="377"/>
      <c r="D26" s="377"/>
      <c r="E26" s="389"/>
      <c r="F26" s="389"/>
      <c r="G26" s="378"/>
      <c r="H26" s="378"/>
      <c r="I26" s="402"/>
      <c r="J26" s="379"/>
      <c r="K26" s="375"/>
    </row>
    <row r="27" spans="2:11" s="368" customFormat="1" ht="19.5">
      <c r="B27" s="376"/>
      <c r="C27" s="382" t="s">
        <v>69</v>
      </c>
      <c r="D27" s="383" t="s">
        <v>70</v>
      </c>
      <c r="E27" s="375"/>
      <c r="F27" s="375"/>
      <c r="G27" s="378"/>
      <c r="H27" s="378"/>
      <c r="I27" s="402">
        <f>'RE-02 (1)'!AD43</f>
        <v>0</v>
      </c>
      <c r="J27" s="379"/>
      <c r="K27" s="375"/>
    </row>
    <row r="28" spans="2:11" s="368" customFormat="1" ht="20.25" thickBot="1">
      <c r="B28" s="376"/>
      <c r="C28" s="377"/>
      <c r="D28" s="377"/>
      <c r="E28" s="375"/>
      <c r="F28" s="375"/>
      <c r="G28" s="378"/>
      <c r="H28" s="378"/>
      <c r="I28" s="375"/>
      <c r="J28" s="379"/>
      <c r="K28" s="375"/>
    </row>
    <row r="29" spans="2:11" s="368" customFormat="1" ht="20.25" thickBot="1" thickTop="1">
      <c r="B29" s="376"/>
      <c r="C29" s="382"/>
      <c r="D29" s="382"/>
      <c r="E29" s="347"/>
      <c r="F29" s="390" t="s">
        <v>65</v>
      </c>
      <c r="G29" s="391">
        <f>ROUND(SUM(I18:I27),2)</f>
        <v>93916.44</v>
      </c>
      <c r="H29" s="347"/>
      <c r="J29" s="379"/>
      <c r="K29" s="375"/>
    </row>
    <row r="30" spans="2:11" s="368" customFormat="1" ht="9" customHeight="1" thickTop="1">
      <c r="B30" s="376"/>
      <c r="C30" s="382"/>
      <c r="D30" s="382"/>
      <c r="E30" s="347"/>
      <c r="F30" s="392"/>
      <c r="G30" s="393"/>
      <c r="H30" s="347"/>
      <c r="J30" s="379"/>
      <c r="K30" s="375"/>
    </row>
    <row r="31" spans="2:11" s="368" customFormat="1" ht="18.75">
      <c r="B31" s="376"/>
      <c r="C31" s="394" t="s">
        <v>71</v>
      </c>
      <c r="D31" s="382"/>
      <c r="E31" s="347"/>
      <c r="F31" s="392"/>
      <c r="G31" s="393"/>
      <c r="H31" s="347"/>
      <c r="J31" s="379"/>
      <c r="K31" s="375"/>
    </row>
    <row r="32" spans="2:11" s="361" customFormat="1" ht="9" customHeight="1" thickBot="1">
      <c r="B32" s="395"/>
      <c r="C32" s="396"/>
      <c r="D32" s="396"/>
      <c r="E32" s="396"/>
      <c r="F32" s="396"/>
      <c r="G32" s="396"/>
      <c r="H32" s="396"/>
      <c r="I32" s="396"/>
      <c r="J32" s="397"/>
      <c r="K32" s="363"/>
    </row>
    <row r="33" ht="13.5" thickTop="1"/>
  </sheetData>
  <sheetProtection/>
  <mergeCells count="2">
    <mergeCell ref="A4:B4"/>
    <mergeCell ref="A5:B5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93" r:id="rId2"/>
  <headerFooter alignWithMargins="0">
    <oddFooter>&amp;L&amp;"Times New Roman,Normal"&amp;5&amp;F  - TRANSPORTE de ENERGÍA ELÉCTRICA - PJL -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4"/>
  <sheetViews>
    <sheetView zoomScale="70" zoomScaleNormal="70" zoomScalePageLayoutView="0" workbookViewId="0" topLeftCell="A16">
      <selection activeCell="A30" sqref="A30:IV30"/>
    </sheetView>
  </sheetViews>
  <sheetFormatPr defaultColWidth="11.421875" defaultRowHeight="12.75"/>
  <cols>
    <col min="1" max="2" width="4.140625" style="5" customWidth="1"/>
    <col min="3" max="3" width="5.421875" style="5" customWidth="1"/>
    <col min="4" max="5" width="13.7109375" style="5" customWidth="1"/>
    <col min="6" max="6" width="45.7109375" style="5" customWidth="1"/>
    <col min="7" max="8" width="8.7109375" style="5" customWidth="1"/>
    <col min="9" max="9" width="10.140625" style="5" customWidth="1"/>
    <col min="10" max="10" width="5.7109375" style="5" hidden="1" customWidth="1"/>
    <col min="11" max="12" width="15.7109375" style="5" customWidth="1"/>
    <col min="13" max="15" width="9.7109375" style="5" customWidth="1"/>
    <col min="16" max="16" width="8.7109375" style="5" customWidth="1"/>
    <col min="17" max="17" width="8.8515625" style="5" hidden="1" customWidth="1"/>
    <col min="18" max="19" width="12.140625" style="5" hidden="1" customWidth="1"/>
    <col min="20" max="25" width="6.8515625" style="5" hidden="1" customWidth="1"/>
    <col min="26" max="27" width="11.710937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31" width="11.421875" style="5" hidden="1" customWidth="1"/>
    <col min="32" max="34" width="11.421875" style="5" customWidth="1"/>
    <col min="35" max="37" width="11.28125" style="5" customWidth="1"/>
    <col min="38" max="16384" width="11.421875" style="5" customWidth="1"/>
  </cols>
  <sheetData>
    <row r="1" s="3" customFormat="1" ht="29.25" customHeight="1">
      <c r="AD1" s="311"/>
    </row>
    <row r="2" spans="2:30" s="3" customFormat="1" ht="26.25">
      <c r="B2" s="16" t="str">
        <f>'TOT-0215'!B2</f>
        <v>ANEXO III al Memorándum D.T.E.E. N° 814   / 2015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30" s="1" customFormat="1" ht="12.75"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2" s="9" customFormat="1" ht="11.25">
      <c r="A4" s="18" t="s">
        <v>3</v>
      </c>
      <c r="B4" s="18"/>
    </row>
    <row r="5" spans="1:2" s="9" customFormat="1" ht="11.25">
      <c r="A5" s="18" t="s">
        <v>4</v>
      </c>
      <c r="B5" s="18"/>
    </row>
    <row r="6" s="1" customFormat="1" ht="16.5" customHeight="1" thickBot="1"/>
    <row r="7" spans="2:30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1"/>
    </row>
    <row r="8" spans="2:30" s="22" customFormat="1" ht="20.25">
      <c r="B8" s="23"/>
      <c r="F8" s="24" t="s">
        <v>5</v>
      </c>
      <c r="G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6"/>
    </row>
    <row r="9" spans="2:30" s="1" customFormat="1" ht="16.5" customHeight="1">
      <c r="B9" s="13"/>
      <c r="F9" s="27"/>
      <c r="G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14"/>
    </row>
    <row r="10" spans="2:30" s="22" customFormat="1" ht="20.25">
      <c r="B10" s="23"/>
      <c r="F10" s="24" t="s">
        <v>6</v>
      </c>
      <c r="G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6"/>
    </row>
    <row r="11" spans="2:30" s="1" customFormat="1" ht="16.5" customHeight="1">
      <c r="B11" s="13"/>
      <c r="C11" s="27"/>
      <c r="D11" s="27"/>
      <c r="E11" s="27"/>
      <c r="G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14"/>
    </row>
    <row r="12" spans="2:30" s="10" customFormat="1" ht="19.5">
      <c r="B12" s="11" t="str">
        <f>+'TOT-0215'!B14</f>
        <v>Desde el 01 al 28 de febrero de 2015</v>
      </c>
      <c r="C12" s="28"/>
      <c r="D12" s="28"/>
      <c r="E12" s="28"/>
      <c r="F12" s="12"/>
      <c r="G12" s="12"/>
      <c r="H12" s="29"/>
      <c r="I12" s="29"/>
      <c r="J12" s="30"/>
      <c r="K12" s="29"/>
      <c r="L12" s="30"/>
      <c r="M12" s="30"/>
      <c r="N12" s="30"/>
      <c r="O12" s="30"/>
      <c r="P12" s="30"/>
      <c r="Q12" s="30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31"/>
    </row>
    <row r="13" spans="2:30" s="1" customFormat="1" ht="16.5" customHeight="1" thickBot="1">
      <c r="B13" s="13"/>
      <c r="C13" s="7"/>
      <c r="D13" s="7"/>
      <c r="E13" s="7"/>
      <c r="F13" s="7"/>
      <c r="G13" s="32"/>
      <c r="H13" s="33"/>
      <c r="I13" s="33"/>
      <c r="J13" s="34"/>
      <c r="K13" s="34"/>
      <c r="L13" s="34"/>
      <c r="M13" s="34"/>
      <c r="N13" s="34"/>
      <c r="O13" s="34"/>
      <c r="P13" s="34"/>
      <c r="Q13" s="34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14"/>
    </row>
    <row r="14" spans="2:30" s="1" customFormat="1" ht="16.5" customHeight="1" thickBot="1" thickTop="1">
      <c r="B14" s="13"/>
      <c r="C14" s="7"/>
      <c r="D14" s="7"/>
      <c r="E14" s="7"/>
      <c r="F14" s="35" t="s">
        <v>7</v>
      </c>
      <c r="G14" s="681">
        <v>335.458</v>
      </c>
      <c r="H14" s="682"/>
      <c r="I14" s="36"/>
      <c r="J14" s="34"/>
      <c r="K14" s="34"/>
      <c r="L14" s="37" t="s">
        <v>8</v>
      </c>
      <c r="M14" s="38">
        <f>150*'TOT-0215'!B13</f>
        <v>150</v>
      </c>
      <c r="N14" s="39" t="str">
        <f>IF(M14=150," ",IF(M14=300,"Coeficiente duplicado por tasa de falla &gt;4 Sal. x año/100 km.","REVISAR COEFICIENTE"))</f>
        <v> </v>
      </c>
      <c r="O14" s="34"/>
      <c r="P14" s="34"/>
      <c r="Q14" s="34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14"/>
    </row>
    <row r="15" spans="2:30" s="1" customFormat="1" ht="16.5" customHeight="1" thickBot="1" thickTop="1">
      <c r="B15" s="13"/>
      <c r="C15" s="7"/>
      <c r="D15" s="7"/>
      <c r="E15" s="7"/>
      <c r="F15" s="35" t="s">
        <v>9</v>
      </c>
      <c r="G15" s="430">
        <v>320.552</v>
      </c>
      <c r="H15" s="40"/>
      <c r="I15" s="41"/>
      <c r="J15" s="7"/>
      <c r="K15" s="42"/>
      <c r="L15" s="37" t="s">
        <v>10</v>
      </c>
      <c r="M15" s="38">
        <f>50*'TOT-0215'!B13</f>
        <v>50</v>
      </c>
      <c r="N15" s="39" t="str">
        <f>IF(M15=50," ",IF(M15=100,"Coeficiente duplicado por tasa de falla &gt;4 Sal. x año/100 km.","REVISAR COEFICIENTE"))</f>
        <v> 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4"/>
    </row>
    <row r="16" spans="2:30" s="1" customFormat="1" ht="16.5" customHeight="1" thickBot="1" thickTop="1">
      <c r="B16" s="13"/>
      <c r="C16" s="7"/>
      <c r="D16" s="7"/>
      <c r="E16" s="7"/>
      <c r="F16" s="35" t="s">
        <v>11</v>
      </c>
      <c r="G16" s="430">
        <v>320.552</v>
      </c>
      <c r="H16" s="40"/>
      <c r="I16" s="41"/>
      <c r="J16" s="7"/>
      <c r="K16" s="7"/>
      <c r="L16" s="37" t="s">
        <v>12</v>
      </c>
      <c r="M16" s="38">
        <f>10*'TOT-0215'!B13</f>
        <v>10</v>
      </c>
      <c r="N16" s="39" t="str">
        <f>IF(M16=10," ",IF(M16=20,"Coeficiente duplicado por tasa de falla &gt;4 Sal. x año/100 km.","REVISAR COEFICIENTE"))</f>
        <v> 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14"/>
    </row>
    <row r="17" spans="2:30" s="1" customFormat="1" ht="16.5" customHeight="1" thickBot="1" thickTop="1">
      <c r="B17" s="13"/>
      <c r="C17" s="414">
        <v>3</v>
      </c>
      <c r="D17" s="414">
        <v>4</v>
      </c>
      <c r="E17" s="414">
        <v>5</v>
      </c>
      <c r="F17" s="414">
        <v>6</v>
      </c>
      <c r="G17" s="414">
        <v>7</v>
      </c>
      <c r="H17" s="414">
        <v>8</v>
      </c>
      <c r="I17" s="414">
        <v>9</v>
      </c>
      <c r="J17" s="414">
        <v>10</v>
      </c>
      <c r="K17" s="414">
        <v>11</v>
      </c>
      <c r="L17" s="414">
        <v>12</v>
      </c>
      <c r="M17" s="414">
        <v>13</v>
      </c>
      <c r="N17" s="414">
        <v>14</v>
      </c>
      <c r="O17" s="414">
        <v>15</v>
      </c>
      <c r="P17" s="414">
        <v>16</v>
      </c>
      <c r="Q17" s="414">
        <v>17</v>
      </c>
      <c r="R17" s="414">
        <v>18</v>
      </c>
      <c r="S17" s="414">
        <v>19</v>
      </c>
      <c r="T17" s="414">
        <v>20</v>
      </c>
      <c r="U17" s="414">
        <v>21</v>
      </c>
      <c r="V17" s="414">
        <v>22</v>
      </c>
      <c r="W17" s="414">
        <v>23</v>
      </c>
      <c r="X17" s="414">
        <v>24</v>
      </c>
      <c r="Y17" s="414">
        <v>25</v>
      </c>
      <c r="Z17" s="414">
        <v>26</v>
      </c>
      <c r="AA17" s="414">
        <v>27</v>
      </c>
      <c r="AB17" s="414">
        <v>28</v>
      </c>
      <c r="AC17" s="414">
        <v>29</v>
      </c>
      <c r="AD17" s="14"/>
    </row>
    <row r="18" spans="2:30" s="43" customFormat="1" ht="34.5" customHeight="1" thickBot="1" thickTop="1">
      <c r="B18" s="44"/>
      <c r="C18" s="413" t="s">
        <v>13</v>
      </c>
      <c r="D18" s="413" t="s">
        <v>72</v>
      </c>
      <c r="E18" s="413" t="s">
        <v>73</v>
      </c>
      <c r="F18" s="45" t="s">
        <v>1</v>
      </c>
      <c r="G18" s="46" t="s">
        <v>14</v>
      </c>
      <c r="H18" s="46" t="s">
        <v>15</v>
      </c>
      <c r="I18" s="46" t="s">
        <v>2</v>
      </c>
      <c r="J18" s="47" t="s">
        <v>16</v>
      </c>
      <c r="K18" s="45" t="s">
        <v>17</v>
      </c>
      <c r="L18" s="45" t="s">
        <v>18</v>
      </c>
      <c r="M18" s="46" t="s">
        <v>19</v>
      </c>
      <c r="N18" s="46" t="s">
        <v>20</v>
      </c>
      <c r="O18" s="46" t="s">
        <v>54</v>
      </c>
      <c r="P18" s="46" t="s">
        <v>21</v>
      </c>
      <c r="Q18" s="48" t="s">
        <v>22</v>
      </c>
      <c r="R18" s="49" t="s">
        <v>23</v>
      </c>
      <c r="S18" s="50" t="s">
        <v>24</v>
      </c>
      <c r="T18" s="51" t="s">
        <v>25</v>
      </c>
      <c r="U18" s="52"/>
      <c r="V18" s="53"/>
      <c r="W18" s="54" t="s">
        <v>26</v>
      </c>
      <c r="X18" s="55"/>
      <c r="Y18" s="56"/>
      <c r="Z18" s="57" t="s">
        <v>27</v>
      </c>
      <c r="AA18" s="58" t="s">
        <v>28</v>
      </c>
      <c r="AB18" s="59" t="s">
        <v>29</v>
      </c>
      <c r="AC18" s="59" t="s">
        <v>30</v>
      </c>
      <c r="AD18" s="60"/>
    </row>
    <row r="19" spans="2:30" s="1" customFormat="1" ht="16.5" customHeight="1" thickTop="1">
      <c r="B19" s="13"/>
      <c r="C19" s="61"/>
      <c r="D19" s="61"/>
      <c r="E19" s="61"/>
      <c r="F19" s="62"/>
      <c r="G19" s="61"/>
      <c r="H19" s="61"/>
      <c r="I19" s="61"/>
      <c r="J19" s="63"/>
      <c r="K19" s="398"/>
      <c r="L19" s="399"/>
      <c r="M19" s="64"/>
      <c r="N19" s="64"/>
      <c r="O19" s="61"/>
      <c r="P19" s="61"/>
      <c r="Q19" s="65"/>
      <c r="R19" s="66"/>
      <c r="S19" s="67"/>
      <c r="T19" s="68"/>
      <c r="U19" s="69"/>
      <c r="V19" s="69"/>
      <c r="W19" s="70"/>
      <c r="X19" s="70"/>
      <c r="Y19" s="70"/>
      <c r="Z19" s="71"/>
      <c r="AA19" s="72"/>
      <c r="AB19" s="61"/>
      <c r="AC19" s="73"/>
      <c r="AD19" s="14"/>
    </row>
    <row r="20" spans="2:30" s="1" customFormat="1" ht="16.5" customHeight="1">
      <c r="B20" s="13"/>
      <c r="C20" s="74"/>
      <c r="D20" s="74"/>
      <c r="E20" s="74"/>
      <c r="F20" s="75"/>
      <c r="G20" s="75"/>
      <c r="H20" s="74"/>
      <c r="I20" s="74"/>
      <c r="J20" s="76"/>
      <c r="K20" s="424"/>
      <c r="L20" s="425"/>
      <c r="M20" s="78"/>
      <c r="N20" s="78"/>
      <c r="O20" s="74"/>
      <c r="P20" s="74"/>
      <c r="Q20" s="79"/>
      <c r="R20" s="80"/>
      <c r="S20" s="81"/>
      <c r="T20" s="82"/>
      <c r="U20" s="83"/>
      <c r="V20" s="83"/>
      <c r="W20" s="84"/>
      <c r="X20" s="84"/>
      <c r="Y20" s="84"/>
      <c r="Z20" s="85"/>
      <c r="AA20" s="86"/>
      <c r="AB20" s="74"/>
      <c r="AC20" s="87"/>
      <c r="AD20" s="14"/>
    </row>
    <row r="21" spans="2:30" s="1" customFormat="1" ht="16.5" customHeight="1">
      <c r="B21" s="13"/>
      <c r="C21" s="77" t="s">
        <v>204</v>
      </c>
      <c r="D21" s="77">
        <v>284421</v>
      </c>
      <c r="E21" s="77">
        <v>1433</v>
      </c>
      <c r="F21" s="75" t="s">
        <v>75</v>
      </c>
      <c r="G21" s="75">
        <v>132</v>
      </c>
      <c r="H21" s="88">
        <v>2.200000047683716</v>
      </c>
      <c r="I21" s="89" t="s">
        <v>76</v>
      </c>
      <c r="J21" s="90">
        <f aca="true" t="shared" si="0" ref="J21:J44">IF(G21=220,$G$14,IF(G21=132,$G$15,$G$16))*IF(H21&gt;25,H21,25)/100</f>
        <v>80.138</v>
      </c>
      <c r="K21" s="424">
        <v>42036</v>
      </c>
      <c r="L21" s="424">
        <v>42059.74722222222</v>
      </c>
      <c r="M21" s="92">
        <f aca="true" t="shared" si="1" ref="M21:M44">IF(F21="","",(L21-K21)*24)</f>
        <v>569.9333333332906</v>
      </c>
      <c r="N21" s="93">
        <f aca="true" t="shared" si="2" ref="N21:N44">IF(F21="","",ROUND((L21-K21)*24*60,0))</f>
        <v>34196</v>
      </c>
      <c r="O21" s="94" t="s">
        <v>77</v>
      </c>
      <c r="P21" s="422" t="s">
        <v>79</v>
      </c>
      <c r="Q21" s="95">
        <f aca="true" t="shared" si="3" ref="Q21:Q44">IF(I21="A",$M$14,IF(I21="B",$M$15,$M$16))</f>
        <v>10</v>
      </c>
      <c r="R21" s="96">
        <f aca="true" t="shared" si="4" ref="R21:R43">IF(O21="P",ROUND(N21/60,2)*J21*Q21*0.01,"--")</f>
        <v>4567.305034000001</v>
      </c>
      <c r="S21" s="97" t="str">
        <f aca="true" t="shared" si="5" ref="S21:S44">IF(O21="RP",ROUND(N21/60,2)*J21*Q21*0.01*P21/100,"--")</f>
        <v>--</v>
      </c>
      <c r="T21" s="98" t="str">
        <f aca="true" t="shared" si="6" ref="T21:T44">IF(O21="F",J21*Q21,"--")</f>
        <v>--</v>
      </c>
      <c r="U21" s="98" t="str">
        <f aca="true" t="shared" si="7" ref="U21:U44">IF(AND(N21&gt;10,O21="F"),J21*Q21*IF(N21&gt;180,3,ROUND((N21)/60,2)),"--")</f>
        <v>--</v>
      </c>
      <c r="V21" s="99" t="str">
        <f aca="true" t="shared" si="8" ref="V21:V44">IF(AND(O21="F",N21&gt;180),(ROUND(N21/60,2)-3)*J21*Q21*0.1,"--")</f>
        <v>--</v>
      </c>
      <c r="W21" s="100" t="str">
        <f aca="true" t="shared" si="9" ref="W21:W44">IF(O21="R",J21*Q21*P21/100,"--")</f>
        <v>--</v>
      </c>
      <c r="X21" s="100" t="str">
        <f aca="true" t="shared" si="10" ref="X21:X44">IF(AND(N21&gt;10,O21="R"),Q21*J21*P21/100*IF(N21&gt;180,3,ROUND((N21)/60,2)),"--")</f>
        <v>--</v>
      </c>
      <c r="Y21" s="101" t="str">
        <f aca="true" t="shared" si="11" ref="Y21:Y44">IF(AND(O21="R",N21&gt;180),(ROUND(N21/60,2)-3)*J21*Q21*0.1*P21/100,"--")</f>
        <v>--</v>
      </c>
      <c r="Z21" s="102" t="str">
        <f aca="true" t="shared" si="12" ref="Z21:Z44">IF(O21="RF",ROUND(N21/60,2)*J21*Q21*0.1,"--")</f>
        <v>--</v>
      </c>
      <c r="AA21" s="103" t="str">
        <f aca="true" t="shared" si="13" ref="AA21:AA44">IF(O21="RR",ROUND(N21/60,2)*J21*Q21*0.1*P21/100,"--")</f>
        <v>--</v>
      </c>
      <c r="AB21" s="419" t="s">
        <v>78</v>
      </c>
      <c r="AC21" s="104">
        <v>0</v>
      </c>
      <c r="AD21" s="105"/>
    </row>
    <row r="22" spans="2:30" s="1" customFormat="1" ht="16.5" customHeight="1">
      <c r="B22" s="13"/>
      <c r="C22" s="77">
        <v>2</v>
      </c>
      <c r="D22" s="77">
        <v>284671</v>
      </c>
      <c r="E22" s="77">
        <v>1524</v>
      </c>
      <c r="F22" s="75" t="s">
        <v>156</v>
      </c>
      <c r="G22" s="75">
        <v>132</v>
      </c>
      <c r="H22" s="88">
        <v>77.3</v>
      </c>
      <c r="I22" s="89" t="s">
        <v>76</v>
      </c>
      <c r="J22" s="90">
        <f>IF(G22=220,$G$14,IF(G22=132,$G$15,$G$16))*IF(H22&gt;25,H22,25)/100</f>
        <v>247.786696</v>
      </c>
      <c r="K22" s="424">
        <v>42037.39513888889</v>
      </c>
      <c r="L22" s="424">
        <v>42037.697222222225</v>
      </c>
      <c r="M22" s="92">
        <f>IF(F22="","",(L22-K22)*24)</f>
        <v>7.250000000058208</v>
      </c>
      <c r="N22" s="93">
        <f>IF(F22="","",ROUND((L22-K22)*24*60,0))</f>
        <v>435</v>
      </c>
      <c r="O22" s="94" t="s">
        <v>77</v>
      </c>
      <c r="P22" s="422" t="s">
        <v>79</v>
      </c>
      <c r="Q22" s="95">
        <f>IF(I22="A",$M$14,IF(I22="B",$M$15,$M$16))</f>
        <v>10</v>
      </c>
      <c r="R22" s="96">
        <f>IF(O22="P",ROUND(N22/60,2)*J22*Q22*0.01,"--")</f>
        <v>179.6453546</v>
      </c>
      <c r="S22" s="97" t="str">
        <f>IF(O22="RP",ROUND(N22/60,2)*J22*Q22*0.01*P22/100,"--")</f>
        <v>--</v>
      </c>
      <c r="T22" s="98" t="str">
        <f>IF(O22="F",J22*Q22,"--")</f>
        <v>--</v>
      </c>
      <c r="U22" s="98" t="str">
        <f>IF(AND(N22&gt;10,O22="F"),J22*Q22*IF(N22&gt;180,3,ROUND((N22)/60,2)),"--")</f>
        <v>--</v>
      </c>
      <c r="V22" s="99" t="str">
        <f>IF(AND(O22="F",N22&gt;180),(ROUND(N22/60,2)-3)*J22*Q22*0.1,"--")</f>
        <v>--</v>
      </c>
      <c r="W22" s="100" t="str">
        <f>IF(O22="R",J22*Q22*P22/100,"--")</f>
        <v>--</v>
      </c>
      <c r="X22" s="100" t="str">
        <f>IF(AND(N22&gt;10,O22="R"),Q22*J22*P22/100*IF(N22&gt;180,3,ROUND((N22)/60,2)),"--")</f>
        <v>--</v>
      </c>
      <c r="Y22" s="101" t="str">
        <f>IF(AND(O22="R",N22&gt;180),(ROUND(N22/60,2)-3)*J22*Q22*0.1*P22/100,"--")</f>
        <v>--</v>
      </c>
      <c r="Z22" s="102" t="str">
        <f>IF(O22="RF",ROUND(N22/60,2)*J22*Q22*0.1,"--")</f>
        <v>--</v>
      </c>
      <c r="AA22" s="103" t="str">
        <f>IF(O22="RR",ROUND(N22/60,2)*J22*Q22*0.1*P22/100,"--")</f>
        <v>--</v>
      </c>
      <c r="AB22" s="419" t="s">
        <v>78</v>
      </c>
      <c r="AC22" s="104">
        <f>IF(F22="","",SUM(R22:AA22)*IF(AB22="SI",1,2))</f>
        <v>179.6453546</v>
      </c>
      <c r="AD22" s="105"/>
    </row>
    <row r="23" spans="2:30" s="1" customFormat="1" ht="16.5" customHeight="1">
      <c r="B23" s="13"/>
      <c r="C23" s="77">
        <v>3</v>
      </c>
      <c r="D23" s="77">
        <v>284672</v>
      </c>
      <c r="E23" s="77">
        <v>1524</v>
      </c>
      <c r="F23" s="75" t="s">
        <v>156</v>
      </c>
      <c r="G23" s="75">
        <v>132</v>
      </c>
      <c r="H23" s="88">
        <v>77.3</v>
      </c>
      <c r="I23" s="89" t="s">
        <v>76</v>
      </c>
      <c r="J23" s="90">
        <f>IF(G23=220,$G$14,IF(G23=132,$G$15,$G$16))*IF(H23&gt;25,H23,25)/100</f>
        <v>247.786696</v>
      </c>
      <c r="K23" s="424">
        <v>42038.31458333333</v>
      </c>
      <c r="L23" s="424">
        <v>42038.67291666667</v>
      </c>
      <c r="M23" s="92">
        <f>IF(F23="","",(L23-K23)*24)</f>
        <v>8.600000000093132</v>
      </c>
      <c r="N23" s="93">
        <f>IF(F23="","",ROUND((L23-K23)*24*60,0))</f>
        <v>516</v>
      </c>
      <c r="O23" s="94" t="s">
        <v>77</v>
      </c>
      <c r="P23" s="422" t="s">
        <v>79</v>
      </c>
      <c r="Q23" s="95">
        <f>IF(I23="A",$M$14,IF(I23="B",$M$15,$M$16))</f>
        <v>10</v>
      </c>
      <c r="R23" s="96">
        <f>IF(O23="P",ROUND(N23/60,2)*J23*Q23*0.01,"--")</f>
        <v>213.09655855999998</v>
      </c>
      <c r="S23" s="97" t="str">
        <f>IF(O23="RP",ROUND(N23/60,2)*J23*Q23*0.01*P23/100,"--")</f>
        <v>--</v>
      </c>
      <c r="T23" s="98" t="str">
        <f>IF(O23="F",J23*Q23,"--")</f>
        <v>--</v>
      </c>
      <c r="U23" s="98" t="str">
        <f>IF(AND(N23&gt;10,O23="F"),J23*Q23*IF(N23&gt;180,3,ROUND((N23)/60,2)),"--")</f>
        <v>--</v>
      </c>
      <c r="V23" s="99" t="str">
        <f>IF(AND(O23="F",N23&gt;180),(ROUND(N23/60,2)-3)*J23*Q23*0.1,"--")</f>
        <v>--</v>
      </c>
      <c r="W23" s="100" t="str">
        <f>IF(O23="R",J23*Q23*P23/100,"--")</f>
        <v>--</v>
      </c>
      <c r="X23" s="100" t="str">
        <f>IF(AND(N23&gt;10,O23="R"),Q23*J23*P23/100*IF(N23&gt;180,3,ROUND((N23)/60,2)),"--")</f>
        <v>--</v>
      </c>
      <c r="Y23" s="101" t="str">
        <f>IF(AND(O23="R",N23&gt;180),(ROUND(N23/60,2)-3)*J23*Q23*0.1*P23/100,"--")</f>
        <v>--</v>
      </c>
      <c r="Z23" s="102" t="str">
        <f>IF(O23="RF",ROUND(N23/60,2)*J23*Q23*0.1,"--")</f>
        <v>--</v>
      </c>
      <c r="AA23" s="103" t="str">
        <f>IF(O23="RR",ROUND(N23/60,2)*J23*Q23*0.1*P23/100,"--")</f>
        <v>--</v>
      </c>
      <c r="AB23" s="419" t="s">
        <v>78</v>
      </c>
      <c r="AC23" s="104">
        <f>IF(F23="","",SUM(R23:AA23)*IF(AB23="SI",1,2))</f>
        <v>213.09655855999998</v>
      </c>
      <c r="AD23" s="105"/>
    </row>
    <row r="24" spans="2:30" s="1" customFormat="1" ht="16.5" customHeight="1">
      <c r="B24" s="13"/>
      <c r="C24" s="77">
        <v>4</v>
      </c>
      <c r="D24" s="77">
        <v>284673</v>
      </c>
      <c r="E24" s="77">
        <v>3797</v>
      </c>
      <c r="F24" s="75" t="s">
        <v>80</v>
      </c>
      <c r="G24" s="75">
        <v>66</v>
      </c>
      <c r="H24" s="88">
        <v>49.79999923706055</v>
      </c>
      <c r="I24" s="89" t="s">
        <v>76</v>
      </c>
      <c r="J24" s="90">
        <f t="shared" si="0"/>
        <v>159.63489355438233</v>
      </c>
      <c r="K24" s="424">
        <v>42038.32986111111</v>
      </c>
      <c r="L24" s="424">
        <v>42038.62569444445</v>
      </c>
      <c r="M24" s="92">
        <f t="shared" si="1"/>
        <v>7.100000000093132</v>
      </c>
      <c r="N24" s="93">
        <f t="shared" si="2"/>
        <v>426</v>
      </c>
      <c r="O24" s="94" t="s">
        <v>77</v>
      </c>
      <c r="P24" s="422" t="s">
        <v>79</v>
      </c>
      <c r="Q24" s="95">
        <f t="shared" si="3"/>
        <v>10</v>
      </c>
      <c r="R24" s="96">
        <f t="shared" si="4"/>
        <v>113.34077442361144</v>
      </c>
      <c r="S24" s="97" t="str">
        <f t="shared" si="5"/>
        <v>--</v>
      </c>
      <c r="T24" s="98" t="str">
        <f t="shared" si="6"/>
        <v>--</v>
      </c>
      <c r="U24" s="98" t="str">
        <f t="shared" si="7"/>
        <v>--</v>
      </c>
      <c r="V24" s="99" t="str">
        <f t="shared" si="8"/>
        <v>--</v>
      </c>
      <c r="W24" s="100" t="str">
        <f t="shared" si="9"/>
        <v>--</v>
      </c>
      <c r="X24" s="100" t="str">
        <f t="shared" si="10"/>
        <v>--</v>
      </c>
      <c r="Y24" s="101" t="str">
        <f t="shared" si="11"/>
        <v>--</v>
      </c>
      <c r="Z24" s="102" t="str">
        <f t="shared" si="12"/>
        <v>--</v>
      </c>
      <c r="AA24" s="103" t="str">
        <f t="shared" si="13"/>
        <v>--</v>
      </c>
      <c r="AB24" s="419" t="s">
        <v>78</v>
      </c>
      <c r="AC24" s="104">
        <f aca="true" t="shared" si="14" ref="AC24:AC44">IF(F24="","",SUM(R24:AA24)*IF(AB24="SI",1,2))</f>
        <v>113.34077442361144</v>
      </c>
      <c r="AD24" s="105"/>
    </row>
    <row r="25" spans="2:30" s="1" customFormat="1" ht="16.5" customHeight="1">
      <c r="B25" s="13"/>
      <c r="C25" s="77">
        <v>5</v>
      </c>
      <c r="D25" s="77">
        <v>284682</v>
      </c>
      <c r="E25" s="77">
        <v>1440</v>
      </c>
      <c r="F25" s="75" t="s">
        <v>157</v>
      </c>
      <c r="G25" s="75">
        <v>132</v>
      </c>
      <c r="H25" s="88">
        <v>55</v>
      </c>
      <c r="I25" s="89" t="s">
        <v>76</v>
      </c>
      <c r="J25" s="90">
        <f>IF(G25=220,$G$14,IF(G25=132,$G$15,$G$16))*IF(H25&gt;25,H25,25)/100</f>
        <v>176.30360000000002</v>
      </c>
      <c r="K25" s="424">
        <v>42039.34305555555</v>
      </c>
      <c r="L25" s="424">
        <v>42039.69583333333</v>
      </c>
      <c r="M25" s="92">
        <f>IF(F25="","",(L25-K25)*24)</f>
        <v>8.466666666674428</v>
      </c>
      <c r="N25" s="93">
        <f>IF(F25="","",ROUND((L25-K25)*24*60,0))</f>
        <v>508</v>
      </c>
      <c r="O25" s="94" t="s">
        <v>77</v>
      </c>
      <c r="P25" s="422" t="s">
        <v>79</v>
      </c>
      <c r="Q25" s="95">
        <f>IF(I25="A",$M$14,IF(I25="B",$M$15,$M$16))</f>
        <v>10</v>
      </c>
      <c r="R25" s="96">
        <f>IF(O25="P",ROUND(N25/60,2)*J25*Q25*0.01,"--")</f>
        <v>149.32914920000005</v>
      </c>
      <c r="S25" s="97" t="str">
        <f>IF(O25="RP",ROUND(N25/60,2)*J25*Q25*0.01*P25/100,"--")</f>
        <v>--</v>
      </c>
      <c r="T25" s="98" t="str">
        <f>IF(O25="F",J25*Q25,"--")</f>
        <v>--</v>
      </c>
      <c r="U25" s="98" t="str">
        <f>IF(AND(N25&gt;10,O25="F"),J25*Q25*IF(N25&gt;180,3,ROUND((N25)/60,2)),"--")</f>
        <v>--</v>
      </c>
      <c r="V25" s="99" t="str">
        <f>IF(AND(O25="F",N25&gt;180),(ROUND(N25/60,2)-3)*J25*Q25*0.1,"--")</f>
        <v>--</v>
      </c>
      <c r="W25" s="100" t="str">
        <f>IF(O25="R",J25*Q25*P25/100,"--")</f>
        <v>--</v>
      </c>
      <c r="X25" s="100" t="str">
        <f>IF(AND(N25&gt;10,O25="R"),Q25*J25*P25/100*IF(N25&gt;180,3,ROUND((N25)/60,2)),"--")</f>
        <v>--</v>
      </c>
      <c r="Y25" s="101" t="str">
        <f>IF(AND(O25="R",N25&gt;180),(ROUND(N25/60,2)-3)*J25*Q25*0.1*P25/100,"--")</f>
        <v>--</v>
      </c>
      <c r="Z25" s="102" t="str">
        <f>IF(O25="RF",ROUND(N25/60,2)*J25*Q25*0.1,"--")</f>
        <v>--</v>
      </c>
      <c r="AA25" s="103" t="str">
        <f>IF(O25="RR",ROUND(N25/60,2)*J25*Q25*0.1*P25/100,"--")</f>
        <v>--</v>
      </c>
      <c r="AB25" s="419" t="s">
        <v>78</v>
      </c>
      <c r="AC25" s="104">
        <f>IF(F25="","",SUM(R25:AA25)*IF(AB25="SI",1,2))</f>
        <v>149.32914920000005</v>
      </c>
      <c r="AD25" s="105"/>
    </row>
    <row r="26" spans="2:30" s="1" customFormat="1" ht="16.5" customHeight="1">
      <c r="B26" s="13"/>
      <c r="C26" s="77">
        <v>6</v>
      </c>
      <c r="D26" s="77">
        <v>284685</v>
      </c>
      <c r="E26" s="77">
        <v>1440</v>
      </c>
      <c r="F26" s="75" t="s">
        <v>157</v>
      </c>
      <c r="G26" s="75">
        <v>132</v>
      </c>
      <c r="H26" s="88">
        <v>55</v>
      </c>
      <c r="I26" s="89" t="s">
        <v>76</v>
      </c>
      <c r="J26" s="90">
        <f>IF(G26=220,$G$14,IF(G26=132,$G$15,$G$16))*IF(H26&gt;25,H26,25)/100</f>
        <v>176.30360000000002</v>
      </c>
      <c r="K26" s="424">
        <v>42040.31319444445</v>
      </c>
      <c r="L26" s="424">
        <v>42040.70277777778</v>
      </c>
      <c r="M26" s="92">
        <f>IF(F26="","",(L26-K26)*24)</f>
        <v>9.34999999991851</v>
      </c>
      <c r="N26" s="93">
        <f>IF(F26="","",ROUND((L26-K26)*24*60,0))</f>
        <v>561</v>
      </c>
      <c r="O26" s="94" t="s">
        <v>77</v>
      </c>
      <c r="P26" s="422" t="s">
        <v>79</v>
      </c>
      <c r="Q26" s="95">
        <f>IF(I26="A",$M$14,IF(I26="B",$M$15,$M$16))</f>
        <v>10</v>
      </c>
      <c r="R26" s="96">
        <f>IF(O26="P",ROUND(N26/60,2)*J26*Q26*0.01,"--")</f>
        <v>164.84386600000002</v>
      </c>
      <c r="S26" s="97" t="str">
        <f>IF(O26="RP",ROUND(N26/60,2)*J26*Q26*0.01*P26/100,"--")</f>
        <v>--</v>
      </c>
      <c r="T26" s="98" t="str">
        <f>IF(O26="F",J26*Q26,"--")</f>
        <v>--</v>
      </c>
      <c r="U26" s="98" t="str">
        <f>IF(AND(N26&gt;10,O26="F"),J26*Q26*IF(N26&gt;180,3,ROUND((N26)/60,2)),"--")</f>
        <v>--</v>
      </c>
      <c r="V26" s="99" t="str">
        <f>IF(AND(O26="F",N26&gt;180),(ROUND(N26/60,2)-3)*J26*Q26*0.1,"--")</f>
        <v>--</v>
      </c>
      <c r="W26" s="100" t="str">
        <f>IF(O26="R",J26*Q26*P26/100,"--")</f>
        <v>--</v>
      </c>
      <c r="X26" s="100" t="str">
        <f>IF(AND(N26&gt;10,O26="R"),Q26*J26*P26/100*IF(N26&gt;180,3,ROUND((N26)/60,2)),"--")</f>
        <v>--</v>
      </c>
      <c r="Y26" s="101" t="str">
        <f>IF(AND(O26="R",N26&gt;180),(ROUND(N26/60,2)-3)*J26*Q26*0.1*P26/100,"--")</f>
        <v>--</v>
      </c>
      <c r="Z26" s="102" t="str">
        <f>IF(O26="RF",ROUND(N26/60,2)*J26*Q26*0.1,"--")</f>
        <v>--</v>
      </c>
      <c r="AA26" s="103" t="str">
        <f>IF(O26="RR",ROUND(N26/60,2)*J26*Q26*0.1*P26/100,"--")</f>
        <v>--</v>
      </c>
      <c r="AB26" s="419" t="s">
        <v>78</v>
      </c>
      <c r="AC26" s="104">
        <f>IF(F26="","",SUM(R26:AA26)*IF(AB26="SI",1,2))</f>
        <v>164.84386600000002</v>
      </c>
      <c r="AD26" s="105"/>
    </row>
    <row r="27" spans="2:30" s="1" customFormat="1" ht="16.5" customHeight="1">
      <c r="B27" s="13"/>
      <c r="C27" s="77">
        <v>7</v>
      </c>
      <c r="D27" s="77">
        <v>284687</v>
      </c>
      <c r="E27" s="77">
        <v>3797</v>
      </c>
      <c r="F27" s="75" t="s">
        <v>80</v>
      </c>
      <c r="G27" s="75">
        <v>66</v>
      </c>
      <c r="H27" s="88">
        <v>49.79999923706055</v>
      </c>
      <c r="I27" s="89" t="s">
        <v>76</v>
      </c>
      <c r="J27" s="90">
        <f t="shared" si="0"/>
        <v>159.63489355438233</v>
      </c>
      <c r="K27" s="424">
        <v>42040.345138888886</v>
      </c>
      <c r="L27" s="424">
        <v>42040.623611111114</v>
      </c>
      <c r="M27" s="92">
        <f t="shared" si="1"/>
        <v>6.683333333465271</v>
      </c>
      <c r="N27" s="93">
        <f t="shared" si="2"/>
        <v>401</v>
      </c>
      <c r="O27" s="94" t="s">
        <v>77</v>
      </c>
      <c r="P27" s="422" t="s">
        <v>79</v>
      </c>
      <c r="Q27" s="95">
        <f t="shared" si="3"/>
        <v>10</v>
      </c>
      <c r="R27" s="96">
        <f t="shared" si="4"/>
        <v>106.63610889432739</v>
      </c>
      <c r="S27" s="97" t="str">
        <f t="shared" si="5"/>
        <v>--</v>
      </c>
      <c r="T27" s="98" t="str">
        <f t="shared" si="6"/>
        <v>--</v>
      </c>
      <c r="U27" s="98" t="str">
        <f t="shared" si="7"/>
        <v>--</v>
      </c>
      <c r="V27" s="99" t="str">
        <f t="shared" si="8"/>
        <v>--</v>
      </c>
      <c r="W27" s="100" t="str">
        <f t="shared" si="9"/>
        <v>--</v>
      </c>
      <c r="X27" s="100" t="str">
        <f t="shared" si="10"/>
        <v>--</v>
      </c>
      <c r="Y27" s="101" t="str">
        <f t="shared" si="11"/>
        <v>--</v>
      </c>
      <c r="Z27" s="102" t="str">
        <f t="shared" si="12"/>
        <v>--</v>
      </c>
      <c r="AA27" s="103" t="str">
        <f t="shared" si="13"/>
        <v>--</v>
      </c>
      <c r="AB27" s="419" t="s">
        <v>78</v>
      </c>
      <c r="AC27" s="104">
        <f t="shared" si="14"/>
        <v>106.63610889432739</v>
      </c>
      <c r="AD27" s="105"/>
    </row>
    <row r="28" spans="2:30" s="1" customFormat="1" ht="16.5" customHeight="1">
      <c r="B28" s="13"/>
      <c r="C28" s="77">
        <v>8</v>
      </c>
      <c r="D28" s="77">
        <v>284690</v>
      </c>
      <c r="E28" s="77">
        <v>1440</v>
      </c>
      <c r="F28" s="75" t="s">
        <v>157</v>
      </c>
      <c r="G28" s="75">
        <v>132</v>
      </c>
      <c r="H28" s="88">
        <v>55</v>
      </c>
      <c r="I28" s="89" t="s">
        <v>76</v>
      </c>
      <c r="J28" s="90">
        <f t="shared" si="0"/>
        <v>176.30360000000002</v>
      </c>
      <c r="K28" s="424">
        <v>42041.3125</v>
      </c>
      <c r="L28" s="424">
        <v>42041.66388888889</v>
      </c>
      <c r="M28" s="92">
        <f t="shared" si="1"/>
        <v>8.433333333407063</v>
      </c>
      <c r="N28" s="93">
        <f t="shared" si="2"/>
        <v>506</v>
      </c>
      <c r="O28" s="94" t="s">
        <v>77</v>
      </c>
      <c r="P28" s="422" t="s">
        <v>79</v>
      </c>
      <c r="Q28" s="95">
        <f t="shared" si="3"/>
        <v>10</v>
      </c>
      <c r="R28" s="96">
        <f t="shared" si="4"/>
        <v>148.6239348</v>
      </c>
      <c r="S28" s="97" t="str">
        <f t="shared" si="5"/>
        <v>--</v>
      </c>
      <c r="T28" s="98" t="str">
        <f t="shared" si="6"/>
        <v>--</v>
      </c>
      <c r="U28" s="98" t="str">
        <f t="shared" si="7"/>
        <v>--</v>
      </c>
      <c r="V28" s="99" t="str">
        <f t="shared" si="8"/>
        <v>--</v>
      </c>
      <c r="W28" s="100" t="str">
        <f t="shared" si="9"/>
        <v>--</v>
      </c>
      <c r="X28" s="100" t="str">
        <f t="shared" si="10"/>
        <v>--</v>
      </c>
      <c r="Y28" s="101" t="str">
        <f t="shared" si="11"/>
        <v>--</v>
      </c>
      <c r="Z28" s="102" t="str">
        <f t="shared" si="12"/>
        <v>--</v>
      </c>
      <c r="AA28" s="103" t="str">
        <f t="shared" si="13"/>
        <v>--</v>
      </c>
      <c r="AB28" s="419" t="s">
        <v>78</v>
      </c>
      <c r="AC28" s="104">
        <f t="shared" si="14"/>
        <v>148.6239348</v>
      </c>
      <c r="AD28" s="105"/>
    </row>
    <row r="29" spans="2:30" s="1" customFormat="1" ht="16.5" customHeight="1">
      <c r="B29" s="13"/>
      <c r="C29" s="77">
        <v>9</v>
      </c>
      <c r="D29" s="77">
        <v>284691</v>
      </c>
      <c r="E29" s="77">
        <v>3797</v>
      </c>
      <c r="F29" s="75" t="s">
        <v>80</v>
      </c>
      <c r="G29" s="75">
        <v>66</v>
      </c>
      <c r="H29" s="88">
        <v>49.79999923706055</v>
      </c>
      <c r="I29" s="89" t="s">
        <v>76</v>
      </c>
      <c r="J29" s="90">
        <f t="shared" si="0"/>
        <v>159.63489355438233</v>
      </c>
      <c r="K29" s="424">
        <v>42041.34652777778</v>
      </c>
      <c r="L29" s="424">
        <v>42041.61388888889</v>
      </c>
      <c r="M29" s="92">
        <f t="shared" si="1"/>
        <v>6.416666666627862</v>
      </c>
      <c r="N29" s="93">
        <f t="shared" si="2"/>
        <v>385</v>
      </c>
      <c r="O29" s="94" t="s">
        <v>77</v>
      </c>
      <c r="P29" s="422" t="s">
        <v>79</v>
      </c>
      <c r="Q29" s="95">
        <f t="shared" si="3"/>
        <v>10</v>
      </c>
      <c r="R29" s="96">
        <f t="shared" si="4"/>
        <v>102.48560166191346</v>
      </c>
      <c r="S29" s="97" t="str">
        <f t="shared" si="5"/>
        <v>--</v>
      </c>
      <c r="T29" s="98" t="str">
        <f t="shared" si="6"/>
        <v>--</v>
      </c>
      <c r="U29" s="98" t="str">
        <f t="shared" si="7"/>
        <v>--</v>
      </c>
      <c r="V29" s="99" t="str">
        <f t="shared" si="8"/>
        <v>--</v>
      </c>
      <c r="W29" s="100" t="str">
        <f t="shared" si="9"/>
        <v>--</v>
      </c>
      <c r="X29" s="100" t="str">
        <f t="shared" si="10"/>
        <v>--</v>
      </c>
      <c r="Y29" s="101" t="str">
        <f t="shared" si="11"/>
        <v>--</v>
      </c>
      <c r="Z29" s="102" t="str">
        <f t="shared" si="12"/>
        <v>--</v>
      </c>
      <c r="AA29" s="103" t="str">
        <f t="shared" si="13"/>
        <v>--</v>
      </c>
      <c r="AB29" s="419" t="s">
        <v>78</v>
      </c>
      <c r="AC29" s="104">
        <f t="shared" si="14"/>
        <v>102.48560166191346</v>
      </c>
      <c r="AD29" s="105"/>
    </row>
    <row r="30" spans="2:30" s="1" customFormat="1" ht="16.5" customHeight="1">
      <c r="B30" s="13"/>
      <c r="C30" s="77">
        <v>11</v>
      </c>
      <c r="D30" s="77">
        <v>284785</v>
      </c>
      <c r="E30" s="77">
        <v>1401</v>
      </c>
      <c r="F30" s="75" t="s">
        <v>84</v>
      </c>
      <c r="G30" s="75">
        <v>132</v>
      </c>
      <c r="H30" s="88">
        <v>126.9000015258789</v>
      </c>
      <c r="I30" s="89" t="s">
        <v>76</v>
      </c>
      <c r="J30" s="90">
        <f t="shared" si="0"/>
        <v>406.7804928912354</v>
      </c>
      <c r="K30" s="424">
        <v>42044.37430555555</v>
      </c>
      <c r="L30" s="424">
        <v>42044.43402777778</v>
      </c>
      <c r="M30" s="92">
        <f t="shared" si="1"/>
        <v>1.4333333334652707</v>
      </c>
      <c r="N30" s="93">
        <f t="shared" si="2"/>
        <v>86</v>
      </c>
      <c r="O30" s="91" t="s">
        <v>77</v>
      </c>
      <c r="P30" s="422" t="s">
        <v>79</v>
      </c>
      <c r="Q30" s="95">
        <f t="shared" si="3"/>
        <v>10</v>
      </c>
      <c r="R30" s="96">
        <f t="shared" si="4"/>
        <v>58.16961048344666</v>
      </c>
      <c r="S30" s="97" t="str">
        <f t="shared" si="5"/>
        <v>--</v>
      </c>
      <c r="T30" s="98" t="str">
        <f t="shared" si="6"/>
        <v>--</v>
      </c>
      <c r="U30" s="98" t="str">
        <f t="shared" si="7"/>
        <v>--</v>
      </c>
      <c r="V30" s="99" t="str">
        <f t="shared" si="8"/>
        <v>--</v>
      </c>
      <c r="W30" s="100" t="str">
        <f t="shared" si="9"/>
        <v>--</v>
      </c>
      <c r="X30" s="100" t="str">
        <f t="shared" si="10"/>
        <v>--</v>
      </c>
      <c r="Y30" s="101" t="str">
        <f t="shared" si="11"/>
        <v>--</v>
      </c>
      <c r="Z30" s="102" t="str">
        <f t="shared" si="12"/>
        <v>--</v>
      </c>
      <c r="AA30" s="103" t="str">
        <f t="shared" si="13"/>
        <v>--</v>
      </c>
      <c r="AB30" s="419" t="s">
        <v>78</v>
      </c>
      <c r="AC30" s="104">
        <f t="shared" si="14"/>
        <v>58.16961048344666</v>
      </c>
      <c r="AD30" s="105"/>
    </row>
    <row r="31" spans="2:30" s="1" customFormat="1" ht="16.5" customHeight="1">
      <c r="B31" s="13"/>
      <c r="C31" s="77">
        <v>12</v>
      </c>
      <c r="D31" s="77">
        <v>284786</v>
      </c>
      <c r="E31" s="77">
        <v>1436</v>
      </c>
      <c r="F31" s="75" t="s">
        <v>85</v>
      </c>
      <c r="G31" s="75">
        <v>66</v>
      </c>
      <c r="H31" s="88">
        <v>80.0999984741211</v>
      </c>
      <c r="I31" s="89" t="s">
        <v>82</v>
      </c>
      <c r="J31" s="90">
        <f t="shared" si="0"/>
        <v>256.7621471087647</v>
      </c>
      <c r="K31" s="424">
        <v>42044.40833333333</v>
      </c>
      <c r="L31" s="424">
        <v>42044.55069444444</v>
      </c>
      <c r="M31" s="92">
        <f t="shared" si="1"/>
        <v>3.4166666666278616</v>
      </c>
      <c r="N31" s="93">
        <f t="shared" si="2"/>
        <v>205</v>
      </c>
      <c r="O31" s="91" t="s">
        <v>83</v>
      </c>
      <c r="P31" s="422" t="s">
        <v>79</v>
      </c>
      <c r="Q31" s="95">
        <f t="shared" si="3"/>
        <v>50</v>
      </c>
      <c r="R31" s="96" t="str">
        <f t="shared" si="4"/>
        <v>--</v>
      </c>
      <c r="S31" s="97" t="str">
        <f t="shared" si="5"/>
        <v>--</v>
      </c>
      <c r="T31" s="98">
        <f t="shared" si="6"/>
        <v>12838.107355438235</v>
      </c>
      <c r="U31" s="98">
        <f t="shared" si="7"/>
        <v>38514.32206631471</v>
      </c>
      <c r="V31" s="99">
        <f t="shared" si="8"/>
        <v>539.2005089284057</v>
      </c>
      <c r="W31" s="100" t="str">
        <f t="shared" si="9"/>
        <v>--</v>
      </c>
      <c r="X31" s="100" t="str">
        <f t="shared" si="10"/>
        <v>--</v>
      </c>
      <c r="Y31" s="101" t="str">
        <f t="shared" si="11"/>
        <v>--</v>
      </c>
      <c r="Z31" s="102" t="str">
        <f t="shared" si="12"/>
        <v>--</v>
      </c>
      <c r="AA31" s="103" t="str">
        <f t="shared" si="13"/>
        <v>--</v>
      </c>
      <c r="AB31" s="419" t="s">
        <v>78</v>
      </c>
      <c r="AC31" s="104">
        <f t="shared" si="14"/>
        <v>51891.629930681345</v>
      </c>
      <c r="AD31" s="105"/>
    </row>
    <row r="32" spans="2:30" s="1" customFormat="1" ht="16.5" customHeight="1">
      <c r="B32" s="13"/>
      <c r="C32" s="77">
        <v>13</v>
      </c>
      <c r="D32" s="77">
        <v>284788</v>
      </c>
      <c r="E32" s="77">
        <v>1546</v>
      </c>
      <c r="F32" s="75" t="s">
        <v>86</v>
      </c>
      <c r="G32" s="75">
        <v>132</v>
      </c>
      <c r="H32" s="88">
        <v>3.200000047683716</v>
      </c>
      <c r="I32" s="89" t="s">
        <v>76</v>
      </c>
      <c r="J32" s="90">
        <f t="shared" si="0"/>
        <v>80.138</v>
      </c>
      <c r="K32" s="424">
        <v>42044.51875</v>
      </c>
      <c r="L32" s="424">
        <v>42044.70208333333</v>
      </c>
      <c r="M32" s="92">
        <f t="shared" si="1"/>
        <v>4.39999999984866</v>
      </c>
      <c r="N32" s="93">
        <f t="shared" si="2"/>
        <v>264</v>
      </c>
      <c r="O32" s="91" t="s">
        <v>77</v>
      </c>
      <c r="P32" s="422" t="s">
        <v>79</v>
      </c>
      <c r="Q32" s="95">
        <f t="shared" si="3"/>
        <v>10</v>
      </c>
      <c r="R32" s="96">
        <f t="shared" si="4"/>
        <v>35.26072</v>
      </c>
      <c r="S32" s="97" t="str">
        <f t="shared" si="5"/>
        <v>--</v>
      </c>
      <c r="T32" s="98" t="str">
        <f t="shared" si="6"/>
        <v>--</v>
      </c>
      <c r="U32" s="98" t="str">
        <f t="shared" si="7"/>
        <v>--</v>
      </c>
      <c r="V32" s="99" t="str">
        <f t="shared" si="8"/>
        <v>--</v>
      </c>
      <c r="W32" s="100" t="str">
        <f t="shared" si="9"/>
        <v>--</v>
      </c>
      <c r="X32" s="100" t="str">
        <f t="shared" si="10"/>
        <v>--</v>
      </c>
      <c r="Y32" s="101" t="str">
        <f t="shared" si="11"/>
        <v>--</v>
      </c>
      <c r="Z32" s="102" t="str">
        <f t="shared" si="12"/>
        <v>--</v>
      </c>
      <c r="AA32" s="103" t="str">
        <f t="shared" si="13"/>
        <v>--</v>
      </c>
      <c r="AB32" s="419" t="s">
        <v>78</v>
      </c>
      <c r="AC32" s="104">
        <f t="shared" si="14"/>
        <v>35.26072</v>
      </c>
      <c r="AD32" s="105"/>
    </row>
    <row r="33" spans="2:30" s="1" customFormat="1" ht="16.5" customHeight="1">
      <c r="B33" s="13"/>
      <c r="C33" s="77">
        <v>14</v>
      </c>
      <c r="D33" s="77">
        <v>284789</v>
      </c>
      <c r="E33" s="77">
        <v>1450</v>
      </c>
      <c r="F33" s="75" t="s">
        <v>87</v>
      </c>
      <c r="G33" s="75">
        <v>132</v>
      </c>
      <c r="H33" s="88">
        <v>51.400001525878906</v>
      </c>
      <c r="I33" s="89" t="s">
        <v>76</v>
      </c>
      <c r="J33" s="90">
        <f t="shared" si="0"/>
        <v>164.76373289123538</v>
      </c>
      <c r="K33" s="424">
        <v>42044.61388888889</v>
      </c>
      <c r="L33" s="424">
        <v>42044.75902777778</v>
      </c>
      <c r="M33" s="92">
        <f t="shared" si="1"/>
        <v>3.483333333337214</v>
      </c>
      <c r="N33" s="93">
        <f t="shared" si="2"/>
        <v>209</v>
      </c>
      <c r="O33" s="91" t="s">
        <v>83</v>
      </c>
      <c r="P33" s="422" t="s">
        <v>79</v>
      </c>
      <c r="Q33" s="95">
        <f t="shared" si="3"/>
        <v>10</v>
      </c>
      <c r="R33" s="96" t="str">
        <f t="shared" si="4"/>
        <v>--</v>
      </c>
      <c r="S33" s="97" t="str">
        <f t="shared" si="5"/>
        <v>--</v>
      </c>
      <c r="T33" s="98">
        <f t="shared" si="6"/>
        <v>1647.6373289123537</v>
      </c>
      <c r="U33" s="98">
        <f t="shared" si="7"/>
        <v>4942.911986737061</v>
      </c>
      <c r="V33" s="99">
        <f t="shared" si="8"/>
        <v>79.086591787793</v>
      </c>
      <c r="W33" s="100" t="str">
        <f t="shared" si="9"/>
        <v>--</v>
      </c>
      <c r="X33" s="100" t="str">
        <f t="shared" si="10"/>
        <v>--</v>
      </c>
      <c r="Y33" s="101" t="str">
        <f t="shared" si="11"/>
        <v>--</v>
      </c>
      <c r="Z33" s="102" t="str">
        <f t="shared" si="12"/>
        <v>--</v>
      </c>
      <c r="AA33" s="103" t="str">
        <f t="shared" si="13"/>
        <v>--</v>
      </c>
      <c r="AB33" s="419" t="s">
        <v>78</v>
      </c>
      <c r="AC33" s="104">
        <f t="shared" si="14"/>
        <v>6669.635907437208</v>
      </c>
      <c r="AD33" s="105"/>
    </row>
    <row r="34" spans="2:30" s="1" customFormat="1" ht="16.5" customHeight="1">
      <c r="B34" s="13"/>
      <c r="C34" s="77">
        <v>15</v>
      </c>
      <c r="D34" s="77">
        <v>284790</v>
      </c>
      <c r="E34" s="77">
        <v>1401</v>
      </c>
      <c r="F34" s="75" t="s">
        <v>84</v>
      </c>
      <c r="G34" s="75">
        <v>132</v>
      </c>
      <c r="H34" s="88">
        <v>126.9000015258789</v>
      </c>
      <c r="I34" s="89" t="s">
        <v>76</v>
      </c>
      <c r="J34" s="90">
        <f t="shared" si="0"/>
        <v>406.7804928912354</v>
      </c>
      <c r="K34" s="424">
        <v>42045.356944444444</v>
      </c>
      <c r="L34" s="424">
        <v>42045.584027777775</v>
      </c>
      <c r="M34" s="92">
        <f t="shared" si="1"/>
        <v>5.449999999953434</v>
      </c>
      <c r="N34" s="93">
        <f t="shared" si="2"/>
        <v>327</v>
      </c>
      <c r="O34" s="91" t="s">
        <v>77</v>
      </c>
      <c r="P34" s="422" t="s">
        <v>79</v>
      </c>
      <c r="Q34" s="95">
        <f t="shared" si="3"/>
        <v>10</v>
      </c>
      <c r="R34" s="96">
        <f t="shared" si="4"/>
        <v>221.69536862572332</v>
      </c>
      <c r="S34" s="97" t="str">
        <f t="shared" si="5"/>
        <v>--</v>
      </c>
      <c r="T34" s="98" t="str">
        <f t="shared" si="6"/>
        <v>--</v>
      </c>
      <c r="U34" s="98" t="str">
        <f t="shared" si="7"/>
        <v>--</v>
      </c>
      <c r="V34" s="99" t="str">
        <f t="shared" si="8"/>
        <v>--</v>
      </c>
      <c r="W34" s="100" t="str">
        <f t="shared" si="9"/>
        <v>--</v>
      </c>
      <c r="X34" s="100" t="str">
        <f t="shared" si="10"/>
        <v>--</v>
      </c>
      <c r="Y34" s="101" t="str">
        <f t="shared" si="11"/>
        <v>--</v>
      </c>
      <c r="Z34" s="102" t="str">
        <f t="shared" si="12"/>
        <v>--</v>
      </c>
      <c r="AA34" s="103" t="str">
        <f t="shared" si="13"/>
        <v>--</v>
      </c>
      <c r="AB34" s="419" t="s">
        <v>78</v>
      </c>
      <c r="AC34" s="104">
        <f t="shared" si="14"/>
        <v>221.69536862572332</v>
      </c>
      <c r="AD34" s="105"/>
    </row>
    <row r="35" spans="2:30" s="1" customFormat="1" ht="16.5" customHeight="1">
      <c r="B35" s="13"/>
      <c r="C35" s="77">
        <v>16</v>
      </c>
      <c r="D35" s="77">
        <v>284791</v>
      </c>
      <c r="E35" s="77">
        <v>1547</v>
      </c>
      <c r="F35" s="75" t="s">
        <v>88</v>
      </c>
      <c r="G35" s="75">
        <v>132</v>
      </c>
      <c r="H35" s="88">
        <v>1.899999976158142</v>
      </c>
      <c r="I35" s="89" t="s">
        <v>76</v>
      </c>
      <c r="J35" s="90">
        <f t="shared" si="0"/>
        <v>80.138</v>
      </c>
      <c r="K35" s="424">
        <v>42045.37847222222</v>
      </c>
      <c r="L35" s="424">
        <v>42045.60208333333</v>
      </c>
      <c r="M35" s="92">
        <f t="shared" si="1"/>
        <v>5.366666666697711</v>
      </c>
      <c r="N35" s="93">
        <f t="shared" si="2"/>
        <v>322</v>
      </c>
      <c r="O35" s="91" t="s">
        <v>77</v>
      </c>
      <c r="P35" s="422" t="s">
        <v>79</v>
      </c>
      <c r="Q35" s="95">
        <f t="shared" si="3"/>
        <v>10</v>
      </c>
      <c r="R35" s="96">
        <f t="shared" si="4"/>
        <v>43.034106</v>
      </c>
      <c r="S35" s="97" t="str">
        <f t="shared" si="5"/>
        <v>--</v>
      </c>
      <c r="T35" s="98" t="str">
        <f t="shared" si="6"/>
        <v>--</v>
      </c>
      <c r="U35" s="98" t="str">
        <f t="shared" si="7"/>
        <v>--</v>
      </c>
      <c r="V35" s="99" t="str">
        <f t="shared" si="8"/>
        <v>--</v>
      </c>
      <c r="W35" s="100" t="str">
        <f t="shared" si="9"/>
        <v>--</v>
      </c>
      <c r="X35" s="100" t="str">
        <f t="shared" si="10"/>
        <v>--</v>
      </c>
      <c r="Y35" s="101" t="str">
        <f t="shared" si="11"/>
        <v>--</v>
      </c>
      <c r="Z35" s="102" t="str">
        <f t="shared" si="12"/>
        <v>--</v>
      </c>
      <c r="AA35" s="103" t="str">
        <f t="shared" si="13"/>
        <v>--</v>
      </c>
      <c r="AB35" s="419" t="s">
        <v>78</v>
      </c>
      <c r="AC35" s="104">
        <f t="shared" si="14"/>
        <v>43.034106</v>
      </c>
      <c r="AD35" s="105"/>
    </row>
    <row r="36" spans="2:30" s="1" customFormat="1" ht="16.5" customHeight="1">
      <c r="B36" s="13"/>
      <c r="C36" s="77">
        <v>17</v>
      </c>
      <c r="D36" s="77">
        <v>284798</v>
      </c>
      <c r="E36" s="77">
        <v>2617</v>
      </c>
      <c r="F36" s="75" t="s">
        <v>89</v>
      </c>
      <c r="G36" s="75">
        <v>132</v>
      </c>
      <c r="H36" s="88">
        <v>2.700000047683716</v>
      </c>
      <c r="I36" s="89" t="s">
        <v>76</v>
      </c>
      <c r="J36" s="90">
        <f t="shared" si="0"/>
        <v>80.138</v>
      </c>
      <c r="K36" s="424">
        <v>42046.32152777778</v>
      </c>
      <c r="L36" s="424">
        <v>42046.69930555556</v>
      </c>
      <c r="M36" s="92">
        <f t="shared" si="1"/>
        <v>9.066666666709352</v>
      </c>
      <c r="N36" s="93">
        <f t="shared" si="2"/>
        <v>544</v>
      </c>
      <c r="O36" s="91" t="s">
        <v>77</v>
      </c>
      <c r="P36" s="422" t="s">
        <v>79</v>
      </c>
      <c r="Q36" s="95">
        <f t="shared" si="3"/>
        <v>10</v>
      </c>
      <c r="R36" s="96">
        <f t="shared" si="4"/>
        <v>72.68516600000001</v>
      </c>
      <c r="S36" s="97" t="str">
        <f t="shared" si="5"/>
        <v>--</v>
      </c>
      <c r="T36" s="98" t="str">
        <f t="shared" si="6"/>
        <v>--</v>
      </c>
      <c r="U36" s="98" t="str">
        <f t="shared" si="7"/>
        <v>--</v>
      </c>
      <c r="V36" s="99" t="str">
        <f t="shared" si="8"/>
        <v>--</v>
      </c>
      <c r="W36" s="100" t="str">
        <f t="shared" si="9"/>
        <v>--</v>
      </c>
      <c r="X36" s="100" t="str">
        <f t="shared" si="10"/>
        <v>--</v>
      </c>
      <c r="Y36" s="101" t="str">
        <f t="shared" si="11"/>
        <v>--</v>
      </c>
      <c r="Z36" s="102" t="str">
        <f t="shared" si="12"/>
        <v>--</v>
      </c>
      <c r="AA36" s="103" t="str">
        <f t="shared" si="13"/>
        <v>--</v>
      </c>
      <c r="AB36" s="419" t="s">
        <v>78</v>
      </c>
      <c r="AC36" s="104">
        <f t="shared" si="14"/>
        <v>72.68516600000001</v>
      </c>
      <c r="AD36" s="105"/>
    </row>
    <row r="37" spans="2:30" s="1" customFormat="1" ht="16.5" customHeight="1">
      <c r="B37" s="13"/>
      <c r="C37" s="77">
        <v>18</v>
      </c>
      <c r="D37" s="77">
        <v>284799</v>
      </c>
      <c r="E37" s="77">
        <v>1547</v>
      </c>
      <c r="F37" s="75" t="s">
        <v>88</v>
      </c>
      <c r="G37" s="75">
        <v>132</v>
      </c>
      <c r="H37" s="88">
        <v>1.899999976158142</v>
      </c>
      <c r="I37" s="89" t="s">
        <v>76</v>
      </c>
      <c r="J37" s="90">
        <f t="shared" si="0"/>
        <v>80.138</v>
      </c>
      <c r="K37" s="424">
        <v>42046.34583333333</v>
      </c>
      <c r="L37" s="424">
        <v>42046.5625</v>
      </c>
      <c r="M37" s="92">
        <f t="shared" si="1"/>
        <v>5.2000000000116415</v>
      </c>
      <c r="N37" s="93">
        <f t="shared" si="2"/>
        <v>312</v>
      </c>
      <c r="O37" s="91" t="s">
        <v>77</v>
      </c>
      <c r="P37" s="422" t="s">
        <v>79</v>
      </c>
      <c r="Q37" s="95">
        <f t="shared" si="3"/>
        <v>10</v>
      </c>
      <c r="R37" s="96">
        <f t="shared" si="4"/>
        <v>41.671760000000006</v>
      </c>
      <c r="S37" s="97" t="str">
        <f t="shared" si="5"/>
        <v>--</v>
      </c>
      <c r="T37" s="98" t="str">
        <f t="shared" si="6"/>
        <v>--</v>
      </c>
      <c r="U37" s="98" t="str">
        <f t="shared" si="7"/>
        <v>--</v>
      </c>
      <c r="V37" s="99" t="str">
        <f t="shared" si="8"/>
        <v>--</v>
      </c>
      <c r="W37" s="100" t="str">
        <f t="shared" si="9"/>
        <v>--</v>
      </c>
      <c r="X37" s="100" t="str">
        <f t="shared" si="10"/>
        <v>--</v>
      </c>
      <c r="Y37" s="101" t="str">
        <f t="shared" si="11"/>
        <v>--</v>
      </c>
      <c r="Z37" s="102" t="str">
        <f t="shared" si="12"/>
        <v>--</v>
      </c>
      <c r="AA37" s="103" t="str">
        <f t="shared" si="13"/>
        <v>--</v>
      </c>
      <c r="AB37" s="419" t="s">
        <v>78</v>
      </c>
      <c r="AC37" s="104">
        <f t="shared" si="14"/>
        <v>41.671760000000006</v>
      </c>
      <c r="AD37" s="105"/>
    </row>
    <row r="38" spans="2:30" s="1" customFormat="1" ht="16.5" customHeight="1">
      <c r="B38" s="106"/>
      <c r="C38" s="77" t="s">
        <v>205</v>
      </c>
      <c r="D38" s="77">
        <v>284800</v>
      </c>
      <c r="E38" s="77">
        <v>2741</v>
      </c>
      <c r="F38" s="75" t="s">
        <v>90</v>
      </c>
      <c r="G38" s="75">
        <v>132</v>
      </c>
      <c r="H38" s="88">
        <v>12.859999656677246</v>
      </c>
      <c r="I38" s="89" t="s">
        <v>76</v>
      </c>
      <c r="J38" s="90">
        <f t="shared" si="0"/>
        <v>80.138</v>
      </c>
      <c r="K38" s="424">
        <v>42046.35208333333</v>
      </c>
      <c r="L38" s="424">
        <v>42046.72638888889</v>
      </c>
      <c r="M38" s="92">
        <f t="shared" si="1"/>
        <v>8.98333333345363</v>
      </c>
      <c r="N38" s="93">
        <f t="shared" si="2"/>
        <v>539</v>
      </c>
      <c r="O38" s="91" t="s">
        <v>77</v>
      </c>
      <c r="P38" s="422" t="s">
        <v>79</v>
      </c>
      <c r="Q38" s="95">
        <f t="shared" si="3"/>
        <v>10</v>
      </c>
      <c r="R38" s="96">
        <f t="shared" si="4"/>
        <v>71.963924</v>
      </c>
      <c r="S38" s="97" t="str">
        <f t="shared" si="5"/>
        <v>--</v>
      </c>
      <c r="T38" s="98" t="str">
        <f t="shared" si="6"/>
        <v>--</v>
      </c>
      <c r="U38" s="98" t="str">
        <f t="shared" si="7"/>
        <v>--</v>
      </c>
      <c r="V38" s="99" t="str">
        <f t="shared" si="8"/>
        <v>--</v>
      </c>
      <c r="W38" s="100" t="str">
        <f t="shared" si="9"/>
        <v>--</v>
      </c>
      <c r="X38" s="100" t="str">
        <f t="shared" si="10"/>
        <v>--</v>
      </c>
      <c r="Y38" s="101" t="str">
        <f t="shared" si="11"/>
        <v>--</v>
      </c>
      <c r="Z38" s="102" t="str">
        <f t="shared" si="12"/>
        <v>--</v>
      </c>
      <c r="AA38" s="103" t="str">
        <f t="shared" si="13"/>
        <v>--</v>
      </c>
      <c r="AB38" s="419" t="s">
        <v>78</v>
      </c>
      <c r="AC38" s="104">
        <v>0</v>
      </c>
      <c r="AD38" s="105"/>
    </row>
    <row r="39" spans="2:30" s="1" customFormat="1" ht="16.5" customHeight="1">
      <c r="B39" s="106"/>
      <c r="C39" s="77">
        <v>20</v>
      </c>
      <c r="D39" s="77">
        <v>284801</v>
      </c>
      <c r="E39" s="77">
        <v>1401</v>
      </c>
      <c r="F39" s="75" t="s">
        <v>84</v>
      </c>
      <c r="G39" s="75">
        <v>132</v>
      </c>
      <c r="H39" s="88">
        <v>126.9000015258789</v>
      </c>
      <c r="I39" s="89" t="s">
        <v>76</v>
      </c>
      <c r="J39" s="90">
        <f t="shared" si="0"/>
        <v>406.7804928912354</v>
      </c>
      <c r="K39" s="424">
        <v>42046.37013888889</v>
      </c>
      <c r="L39" s="424">
        <v>42046.589583333334</v>
      </c>
      <c r="M39" s="92">
        <f t="shared" si="1"/>
        <v>5.266666666720994</v>
      </c>
      <c r="N39" s="93">
        <f t="shared" si="2"/>
        <v>316</v>
      </c>
      <c r="O39" s="91" t="s">
        <v>77</v>
      </c>
      <c r="P39" s="422" t="s">
        <v>79</v>
      </c>
      <c r="Q39" s="95">
        <f t="shared" si="3"/>
        <v>10</v>
      </c>
      <c r="R39" s="96">
        <f t="shared" si="4"/>
        <v>214.37331975368102</v>
      </c>
      <c r="S39" s="97" t="str">
        <f t="shared" si="5"/>
        <v>--</v>
      </c>
      <c r="T39" s="98" t="str">
        <f t="shared" si="6"/>
        <v>--</v>
      </c>
      <c r="U39" s="98" t="str">
        <f t="shared" si="7"/>
        <v>--</v>
      </c>
      <c r="V39" s="99" t="str">
        <f t="shared" si="8"/>
        <v>--</v>
      </c>
      <c r="W39" s="100" t="str">
        <f t="shared" si="9"/>
        <v>--</v>
      </c>
      <c r="X39" s="100" t="str">
        <f t="shared" si="10"/>
        <v>--</v>
      </c>
      <c r="Y39" s="101" t="str">
        <f t="shared" si="11"/>
        <v>--</v>
      </c>
      <c r="Z39" s="102" t="str">
        <f t="shared" si="12"/>
        <v>--</v>
      </c>
      <c r="AA39" s="103" t="str">
        <f t="shared" si="13"/>
        <v>--</v>
      </c>
      <c r="AB39" s="419" t="s">
        <v>78</v>
      </c>
      <c r="AC39" s="104">
        <f t="shared" si="14"/>
        <v>214.37331975368102</v>
      </c>
      <c r="AD39" s="105"/>
    </row>
    <row r="40" spans="2:30" s="1" customFormat="1" ht="16.5" customHeight="1">
      <c r="B40" s="106"/>
      <c r="C40" s="77">
        <v>21</v>
      </c>
      <c r="D40" s="77">
        <v>284804</v>
      </c>
      <c r="E40" s="77">
        <v>2617</v>
      </c>
      <c r="F40" s="75" t="s">
        <v>89</v>
      </c>
      <c r="G40" s="75">
        <v>132</v>
      </c>
      <c r="H40" s="88">
        <v>2.700000047683716</v>
      </c>
      <c r="I40" s="89" t="s">
        <v>76</v>
      </c>
      <c r="J40" s="90">
        <f t="shared" si="0"/>
        <v>80.138</v>
      </c>
      <c r="K40" s="424">
        <v>42047.30486111111</v>
      </c>
      <c r="L40" s="424">
        <v>42047.69027777778</v>
      </c>
      <c r="M40" s="92">
        <f t="shared" si="1"/>
        <v>9.250000000116415</v>
      </c>
      <c r="N40" s="93">
        <f t="shared" si="2"/>
        <v>555</v>
      </c>
      <c r="O40" s="91" t="s">
        <v>77</v>
      </c>
      <c r="P40" s="422" t="s">
        <v>79</v>
      </c>
      <c r="Q40" s="95">
        <f t="shared" si="3"/>
        <v>10</v>
      </c>
      <c r="R40" s="96">
        <f t="shared" si="4"/>
        <v>74.12765</v>
      </c>
      <c r="S40" s="97" t="str">
        <f t="shared" si="5"/>
        <v>--</v>
      </c>
      <c r="T40" s="98" t="str">
        <f t="shared" si="6"/>
        <v>--</v>
      </c>
      <c r="U40" s="98" t="str">
        <f t="shared" si="7"/>
        <v>--</v>
      </c>
      <c r="V40" s="99" t="str">
        <f t="shared" si="8"/>
        <v>--</v>
      </c>
      <c r="W40" s="100" t="str">
        <f t="shared" si="9"/>
        <v>--</v>
      </c>
      <c r="X40" s="100" t="str">
        <f t="shared" si="10"/>
        <v>--</v>
      </c>
      <c r="Y40" s="101" t="str">
        <f t="shared" si="11"/>
        <v>--</v>
      </c>
      <c r="Z40" s="102" t="str">
        <f t="shared" si="12"/>
        <v>--</v>
      </c>
      <c r="AA40" s="103" t="str">
        <f t="shared" si="13"/>
        <v>--</v>
      </c>
      <c r="AB40" s="419" t="s">
        <v>78</v>
      </c>
      <c r="AC40" s="104">
        <f t="shared" si="14"/>
        <v>74.12765</v>
      </c>
      <c r="AD40" s="105"/>
    </row>
    <row r="41" spans="2:30" s="1" customFormat="1" ht="16.5" customHeight="1">
      <c r="B41" s="106"/>
      <c r="C41" s="77">
        <v>22</v>
      </c>
      <c r="D41" s="77">
        <v>284806</v>
      </c>
      <c r="E41" s="77">
        <v>1546</v>
      </c>
      <c r="F41" s="75" t="s">
        <v>86</v>
      </c>
      <c r="G41" s="75">
        <v>132</v>
      </c>
      <c r="H41" s="88">
        <v>3.200000047683716</v>
      </c>
      <c r="I41" s="89" t="s">
        <v>76</v>
      </c>
      <c r="J41" s="90">
        <f t="shared" si="0"/>
        <v>80.138</v>
      </c>
      <c r="K41" s="424">
        <v>42047.347916666666</v>
      </c>
      <c r="L41" s="424">
        <v>42047.57847222222</v>
      </c>
      <c r="M41" s="92">
        <f t="shared" si="1"/>
        <v>5.53333333338378</v>
      </c>
      <c r="N41" s="93">
        <f t="shared" si="2"/>
        <v>332</v>
      </c>
      <c r="O41" s="91" t="s">
        <v>77</v>
      </c>
      <c r="P41" s="422" t="s">
        <v>79</v>
      </c>
      <c r="Q41" s="95">
        <f t="shared" si="3"/>
        <v>10</v>
      </c>
      <c r="R41" s="96">
        <f t="shared" si="4"/>
        <v>44.316314000000006</v>
      </c>
      <c r="S41" s="97" t="str">
        <f t="shared" si="5"/>
        <v>--</v>
      </c>
      <c r="T41" s="98" t="str">
        <f t="shared" si="6"/>
        <v>--</v>
      </c>
      <c r="U41" s="98" t="str">
        <f t="shared" si="7"/>
        <v>--</v>
      </c>
      <c r="V41" s="99" t="str">
        <f t="shared" si="8"/>
        <v>--</v>
      </c>
      <c r="W41" s="100" t="str">
        <f t="shared" si="9"/>
        <v>--</v>
      </c>
      <c r="X41" s="100" t="str">
        <f t="shared" si="10"/>
        <v>--</v>
      </c>
      <c r="Y41" s="101" t="str">
        <f t="shared" si="11"/>
        <v>--</v>
      </c>
      <c r="Z41" s="102" t="str">
        <f t="shared" si="12"/>
        <v>--</v>
      </c>
      <c r="AA41" s="103" t="str">
        <f t="shared" si="13"/>
        <v>--</v>
      </c>
      <c r="AB41" s="419" t="s">
        <v>78</v>
      </c>
      <c r="AC41" s="104">
        <f t="shared" si="14"/>
        <v>44.316314000000006</v>
      </c>
      <c r="AD41" s="105"/>
    </row>
    <row r="42" spans="2:30" s="1" customFormat="1" ht="16.5" customHeight="1">
      <c r="B42" s="106"/>
      <c r="C42" s="77">
        <v>23</v>
      </c>
      <c r="D42" s="77">
        <v>284807</v>
      </c>
      <c r="E42" s="77">
        <v>1401</v>
      </c>
      <c r="F42" s="75" t="s">
        <v>84</v>
      </c>
      <c r="G42" s="75">
        <v>132</v>
      </c>
      <c r="H42" s="88">
        <v>126.9000015258789</v>
      </c>
      <c r="I42" s="89" t="s">
        <v>76</v>
      </c>
      <c r="J42" s="90">
        <f t="shared" si="0"/>
        <v>406.7804928912354</v>
      </c>
      <c r="K42" s="424">
        <v>42047.35138888889</v>
      </c>
      <c r="L42" s="424">
        <v>42047.59027777778</v>
      </c>
      <c r="M42" s="92">
        <f t="shared" si="1"/>
        <v>5.733333333337214</v>
      </c>
      <c r="N42" s="93">
        <f t="shared" si="2"/>
        <v>344</v>
      </c>
      <c r="O42" s="91" t="s">
        <v>77</v>
      </c>
      <c r="P42" s="422" t="s">
        <v>79</v>
      </c>
      <c r="Q42" s="95">
        <f t="shared" si="3"/>
        <v>10</v>
      </c>
      <c r="R42" s="96">
        <f t="shared" si="4"/>
        <v>233.08522242667792</v>
      </c>
      <c r="S42" s="97" t="str">
        <f t="shared" si="5"/>
        <v>--</v>
      </c>
      <c r="T42" s="98" t="str">
        <f t="shared" si="6"/>
        <v>--</v>
      </c>
      <c r="U42" s="98" t="str">
        <f t="shared" si="7"/>
        <v>--</v>
      </c>
      <c r="V42" s="99" t="str">
        <f t="shared" si="8"/>
        <v>--</v>
      </c>
      <c r="W42" s="100" t="str">
        <f t="shared" si="9"/>
        <v>--</v>
      </c>
      <c r="X42" s="100" t="str">
        <f t="shared" si="10"/>
        <v>--</v>
      </c>
      <c r="Y42" s="101" t="str">
        <f t="shared" si="11"/>
        <v>--</v>
      </c>
      <c r="Z42" s="102" t="str">
        <f t="shared" si="12"/>
        <v>--</v>
      </c>
      <c r="AA42" s="103" t="str">
        <f t="shared" si="13"/>
        <v>--</v>
      </c>
      <c r="AB42" s="419" t="s">
        <v>78</v>
      </c>
      <c r="AC42" s="104">
        <f t="shared" si="14"/>
        <v>233.08522242667792</v>
      </c>
      <c r="AD42" s="105"/>
    </row>
    <row r="43" spans="2:30" s="1" customFormat="1" ht="16.5" customHeight="1">
      <c r="B43" s="106"/>
      <c r="C43" s="77" t="s">
        <v>206</v>
      </c>
      <c r="D43" s="77">
        <v>284808</v>
      </c>
      <c r="E43" s="77">
        <v>2741</v>
      </c>
      <c r="F43" s="75" t="s">
        <v>90</v>
      </c>
      <c r="G43" s="75">
        <v>132</v>
      </c>
      <c r="H43" s="88">
        <v>12.859999656677246</v>
      </c>
      <c r="I43" s="89" t="s">
        <v>76</v>
      </c>
      <c r="J43" s="90">
        <f t="shared" si="0"/>
        <v>80.138</v>
      </c>
      <c r="K43" s="424">
        <v>42047.37222222222</v>
      </c>
      <c r="L43" s="424">
        <v>42047.63611111111</v>
      </c>
      <c r="M43" s="92">
        <f t="shared" si="1"/>
        <v>6.333333333372138</v>
      </c>
      <c r="N43" s="93">
        <f t="shared" si="2"/>
        <v>380</v>
      </c>
      <c r="O43" s="91" t="s">
        <v>77</v>
      </c>
      <c r="P43" s="422" t="s">
        <v>79</v>
      </c>
      <c r="Q43" s="95">
        <f t="shared" si="3"/>
        <v>10</v>
      </c>
      <c r="R43" s="96">
        <f t="shared" si="4"/>
        <v>50.727354000000005</v>
      </c>
      <c r="S43" s="97" t="str">
        <f t="shared" si="5"/>
        <v>--</v>
      </c>
      <c r="T43" s="98" t="str">
        <f t="shared" si="6"/>
        <v>--</v>
      </c>
      <c r="U43" s="98" t="str">
        <f t="shared" si="7"/>
        <v>--</v>
      </c>
      <c r="V43" s="99" t="str">
        <f t="shared" si="8"/>
        <v>--</v>
      </c>
      <c r="W43" s="100" t="str">
        <f t="shared" si="9"/>
        <v>--</v>
      </c>
      <c r="X43" s="100" t="str">
        <f t="shared" si="10"/>
        <v>--</v>
      </c>
      <c r="Y43" s="101" t="str">
        <f t="shared" si="11"/>
        <v>--</v>
      </c>
      <c r="Z43" s="102" t="str">
        <f t="shared" si="12"/>
        <v>--</v>
      </c>
      <c r="AA43" s="103" t="str">
        <f t="shared" si="13"/>
        <v>--</v>
      </c>
      <c r="AB43" s="419" t="s">
        <v>78</v>
      </c>
      <c r="AC43" s="104">
        <v>0</v>
      </c>
      <c r="AD43" s="105"/>
    </row>
    <row r="44" spans="2:30" s="1" customFormat="1" ht="16.5" customHeight="1">
      <c r="B44" s="106"/>
      <c r="C44" s="77"/>
      <c r="D44" s="77"/>
      <c r="E44" s="77"/>
      <c r="F44" s="75"/>
      <c r="G44" s="75"/>
      <c r="H44" s="88"/>
      <c r="I44" s="89"/>
      <c r="J44" s="90">
        <f t="shared" si="0"/>
        <v>80.138</v>
      </c>
      <c r="K44" s="424"/>
      <c r="L44" s="424"/>
      <c r="M44" s="92">
        <f t="shared" si="1"/>
      </c>
      <c r="N44" s="93">
        <f t="shared" si="2"/>
      </c>
      <c r="O44" s="91"/>
      <c r="P44" s="418">
        <f>IF(F44="","","--")</f>
      </c>
      <c r="Q44" s="95">
        <f t="shared" si="3"/>
        <v>10</v>
      </c>
      <c r="R44" s="96" t="str">
        <f>IF(O44="P",ROUND(N44/60,2)*J44*Q44*0.01,"--")</f>
        <v>--</v>
      </c>
      <c r="S44" s="97" t="str">
        <f t="shared" si="5"/>
        <v>--</v>
      </c>
      <c r="T44" s="98" t="str">
        <f t="shared" si="6"/>
        <v>--</v>
      </c>
      <c r="U44" s="98" t="str">
        <f t="shared" si="7"/>
        <v>--</v>
      </c>
      <c r="V44" s="99" t="str">
        <f t="shared" si="8"/>
        <v>--</v>
      </c>
      <c r="W44" s="100" t="str">
        <f t="shared" si="9"/>
        <v>--</v>
      </c>
      <c r="X44" s="100" t="str">
        <f t="shared" si="10"/>
        <v>--</v>
      </c>
      <c r="Y44" s="101" t="str">
        <f t="shared" si="11"/>
        <v>--</v>
      </c>
      <c r="Z44" s="102" t="str">
        <f t="shared" si="12"/>
        <v>--</v>
      </c>
      <c r="AA44" s="103" t="str">
        <f t="shared" si="13"/>
        <v>--</v>
      </c>
      <c r="AB44" s="419">
        <f>IF(F44="","","SI")</f>
      </c>
      <c r="AC44" s="104">
        <f t="shared" si="14"/>
      </c>
      <c r="AD44" s="105"/>
    </row>
    <row r="45" spans="2:30" s="1" customFormat="1" ht="16.5" customHeight="1" thickBot="1">
      <c r="B45" s="13"/>
      <c r="C45" s="107"/>
      <c r="D45" s="107"/>
      <c r="E45" s="107"/>
      <c r="F45" s="329"/>
      <c r="G45" s="330"/>
      <c r="H45" s="331"/>
      <c r="I45" s="331"/>
      <c r="J45" s="109"/>
      <c r="K45" s="400"/>
      <c r="L45" s="400"/>
      <c r="M45" s="108"/>
      <c r="N45" s="108"/>
      <c r="O45" s="331"/>
      <c r="P45" s="332"/>
      <c r="Q45" s="333"/>
      <c r="R45" s="334"/>
      <c r="S45" s="335"/>
      <c r="T45" s="336"/>
      <c r="U45" s="337"/>
      <c r="V45" s="337"/>
      <c r="W45" s="338"/>
      <c r="X45" s="338"/>
      <c r="Y45" s="338"/>
      <c r="Z45" s="339"/>
      <c r="AA45" s="340"/>
      <c r="AB45" s="341"/>
      <c r="AC45" s="110"/>
      <c r="AD45" s="105"/>
    </row>
    <row r="46" spans="2:30" s="1" customFormat="1" ht="16.5" customHeight="1" thickBot="1" thickTop="1">
      <c r="B46" s="13"/>
      <c r="C46" s="111" t="s">
        <v>55</v>
      </c>
      <c r="D46" s="127"/>
      <c r="E46" s="127"/>
      <c r="F46" s="112"/>
      <c r="G46" s="113"/>
      <c r="H46" s="114"/>
      <c r="I46" s="114"/>
      <c r="J46" s="115"/>
      <c r="K46" s="115"/>
      <c r="L46" s="115"/>
      <c r="M46" s="115"/>
      <c r="N46" s="115"/>
      <c r="O46" s="115"/>
      <c r="P46" s="116"/>
      <c r="Q46" s="116"/>
      <c r="R46" s="117">
        <f aca="true" t="shared" si="15" ref="R46:AA46">SUM(R19:R45)</f>
        <v>6906.416897429382</v>
      </c>
      <c r="S46" s="118">
        <f t="shared" si="15"/>
        <v>0</v>
      </c>
      <c r="T46" s="119">
        <f t="shared" si="15"/>
        <v>14485.744684350588</v>
      </c>
      <c r="U46" s="119">
        <f t="shared" si="15"/>
        <v>43457.23405305177</v>
      </c>
      <c r="V46" s="119">
        <f t="shared" si="15"/>
        <v>618.2871007161987</v>
      </c>
      <c r="W46" s="120">
        <f t="shared" si="15"/>
        <v>0</v>
      </c>
      <c r="X46" s="120">
        <f t="shared" si="15"/>
        <v>0</v>
      </c>
      <c r="Y46" s="120">
        <f t="shared" si="15"/>
        <v>0</v>
      </c>
      <c r="Z46" s="121">
        <f t="shared" si="15"/>
        <v>0</v>
      </c>
      <c r="AA46" s="122">
        <f t="shared" si="15"/>
        <v>0</v>
      </c>
      <c r="AB46" s="123"/>
      <c r="AC46" s="409">
        <f>ROUND(SUM(AC19:AC45),2)</f>
        <v>60777.69</v>
      </c>
      <c r="AD46" s="124"/>
    </row>
    <row r="47" spans="2:30" s="125" customFormat="1" ht="9.75" thickTop="1">
      <c r="B47" s="126"/>
      <c r="C47" s="127" t="s">
        <v>164</v>
      </c>
      <c r="D47" s="127" t="s">
        <v>163</v>
      </c>
      <c r="E47" s="127"/>
      <c r="F47" s="128"/>
      <c r="G47" s="129"/>
      <c r="H47" s="130"/>
      <c r="I47" s="130"/>
      <c r="J47" s="131"/>
      <c r="K47" s="131"/>
      <c r="L47" s="131"/>
      <c r="M47" s="131"/>
      <c r="N47" s="131"/>
      <c r="O47" s="131"/>
      <c r="P47" s="132"/>
      <c r="Q47" s="132"/>
      <c r="R47" s="133"/>
      <c r="S47" s="133"/>
      <c r="T47" s="134"/>
      <c r="U47" s="134"/>
      <c r="V47" s="135"/>
      <c r="W47" s="135"/>
      <c r="X47" s="135"/>
      <c r="Y47" s="135"/>
      <c r="Z47" s="135"/>
      <c r="AA47" s="135"/>
      <c r="AB47" s="135"/>
      <c r="AC47" s="136"/>
      <c r="AD47" s="137"/>
    </row>
    <row r="48" spans="2:30" s="1" customFormat="1" ht="16.5" customHeight="1" thickBot="1">
      <c r="B48" s="138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40"/>
    </row>
    <row r="49" spans="2:30" ht="13.5" thickTop="1">
      <c r="B49" s="141"/>
      <c r="AD49" s="141"/>
    </row>
    <row r="94" ht="12.75">
      <c r="B94" s="141"/>
    </row>
  </sheetData>
  <sheetProtection/>
  <mergeCells count="1">
    <mergeCell ref="G14:H14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8" r:id="rId3"/>
  <headerFooter alignWithMargins="0">
    <oddFooter>&amp;L&amp;"Times New Roman,Normal"&amp;5&amp;F  - TRANSPORTE de ENERGÍA ELÉCTRICA - PJL - &amp;P/&amp;N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zoomScale="70" zoomScaleNormal="70" zoomScalePageLayoutView="0" workbookViewId="0" topLeftCell="A13">
      <selection activeCell="C43" sqref="C43:D43"/>
    </sheetView>
  </sheetViews>
  <sheetFormatPr defaultColWidth="11.421875" defaultRowHeight="12.75"/>
  <cols>
    <col min="1" max="2" width="4.140625" style="5" customWidth="1"/>
    <col min="3" max="3" width="5.421875" style="5" customWidth="1"/>
    <col min="4" max="5" width="13.7109375" style="5" customWidth="1"/>
    <col min="6" max="6" width="45.7109375" style="5" customWidth="1"/>
    <col min="7" max="7" width="8.7109375" style="5" customWidth="1"/>
    <col min="8" max="8" width="9.7109375" style="5" customWidth="1"/>
    <col min="9" max="9" width="7.421875" style="5" customWidth="1"/>
    <col min="10" max="10" width="5.7109375" style="5" hidden="1" customWidth="1"/>
    <col min="11" max="12" width="15.7109375" style="5" customWidth="1"/>
    <col min="13" max="15" width="9.7109375" style="5" customWidth="1"/>
    <col min="16" max="16" width="8.7109375" style="5" customWidth="1"/>
    <col min="17" max="17" width="8.8515625" style="5" hidden="1" customWidth="1"/>
    <col min="18" max="19" width="12.140625" style="5" hidden="1" customWidth="1"/>
    <col min="20" max="25" width="6.8515625" style="5" hidden="1" customWidth="1"/>
    <col min="26" max="27" width="11.710937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31" width="11.421875" style="5" hidden="1" customWidth="1"/>
    <col min="32" max="34" width="11.421875" style="5" customWidth="1"/>
    <col min="35" max="37" width="11.28125" style="5" customWidth="1"/>
    <col min="38" max="16384" width="11.421875" style="5" customWidth="1"/>
  </cols>
  <sheetData>
    <row r="1" s="3" customFormat="1" ht="29.25" customHeight="1">
      <c r="AD1" s="311"/>
    </row>
    <row r="2" spans="2:30" s="3" customFormat="1" ht="26.25">
      <c r="B2" s="16" t="str">
        <f>'TOT-0215'!B2</f>
        <v>ANEXO III al Memorándum D.T.E.E. N° 814   / 2015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30" s="1" customFormat="1" ht="12.75"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2" s="9" customFormat="1" ht="11.25">
      <c r="A4" s="18" t="s">
        <v>3</v>
      </c>
      <c r="B4" s="18"/>
    </row>
    <row r="5" spans="1:2" s="9" customFormat="1" ht="11.25">
      <c r="A5" s="18" t="s">
        <v>4</v>
      </c>
      <c r="B5" s="18"/>
    </row>
    <row r="6" s="1" customFormat="1" ht="16.5" customHeight="1" thickBot="1"/>
    <row r="7" spans="2:30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1"/>
    </row>
    <row r="8" spans="2:30" s="22" customFormat="1" ht="20.25">
      <c r="B8" s="23"/>
      <c r="F8" s="24" t="s">
        <v>5</v>
      </c>
      <c r="G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6"/>
    </row>
    <row r="9" spans="2:30" s="1" customFormat="1" ht="16.5" customHeight="1">
      <c r="B9" s="13"/>
      <c r="F9" s="27"/>
      <c r="G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14"/>
    </row>
    <row r="10" spans="2:30" s="22" customFormat="1" ht="20.25">
      <c r="B10" s="23"/>
      <c r="F10" s="24" t="s">
        <v>6</v>
      </c>
      <c r="G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6"/>
    </row>
    <row r="11" spans="2:30" s="1" customFormat="1" ht="16.5" customHeight="1">
      <c r="B11" s="13"/>
      <c r="C11" s="27"/>
      <c r="D11" s="27"/>
      <c r="E11" s="27"/>
      <c r="G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14"/>
    </row>
    <row r="12" spans="2:30" s="10" customFormat="1" ht="19.5">
      <c r="B12" s="11" t="str">
        <f>+'TOT-0215'!B14</f>
        <v>Desde el 01 al 28 de febrero de 2015</v>
      </c>
      <c r="C12" s="28"/>
      <c r="D12" s="28"/>
      <c r="E12" s="28"/>
      <c r="F12" s="12"/>
      <c r="G12" s="12"/>
      <c r="H12" s="29"/>
      <c r="I12" s="29"/>
      <c r="J12" s="30"/>
      <c r="K12" s="29"/>
      <c r="L12" s="30"/>
      <c r="M12" s="30"/>
      <c r="N12" s="30"/>
      <c r="O12" s="30"/>
      <c r="P12" s="30"/>
      <c r="Q12" s="30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31"/>
    </row>
    <row r="13" spans="2:30" s="1" customFormat="1" ht="16.5" customHeight="1" thickBot="1">
      <c r="B13" s="13"/>
      <c r="C13" s="7"/>
      <c r="D13" s="7"/>
      <c r="E13" s="7"/>
      <c r="F13" s="7"/>
      <c r="G13" s="32"/>
      <c r="H13" s="33"/>
      <c r="I13" s="33"/>
      <c r="J13" s="34"/>
      <c r="K13" s="34"/>
      <c r="L13" s="34"/>
      <c r="M13" s="34"/>
      <c r="N13" s="34"/>
      <c r="O13" s="34"/>
      <c r="P13" s="34"/>
      <c r="Q13" s="34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14"/>
    </row>
    <row r="14" spans="2:30" s="1" customFormat="1" ht="16.5" customHeight="1" thickBot="1" thickTop="1">
      <c r="B14" s="13"/>
      <c r="C14" s="7"/>
      <c r="D14" s="7"/>
      <c r="E14" s="7"/>
      <c r="F14" s="35" t="s">
        <v>7</v>
      </c>
      <c r="G14" s="681">
        <v>335.458</v>
      </c>
      <c r="H14" s="682"/>
      <c r="I14" s="36"/>
      <c r="J14" s="34"/>
      <c r="K14" s="34"/>
      <c r="L14" s="37" t="s">
        <v>8</v>
      </c>
      <c r="M14" s="38">
        <f>150*'TOT-0215'!B13</f>
        <v>150</v>
      </c>
      <c r="N14" s="39" t="str">
        <f>IF(M14=150," ",IF(M14=300,"Coeficiente duplicado por tasa de falla &gt;4 Sal. x año/100 km.","REVISAR COEFICIENTE"))</f>
        <v> </v>
      </c>
      <c r="O14" s="34"/>
      <c r="P14" s="34"/>
      <c r="Q14" s="34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14"/>
    </row>
    <row r="15" spans="2:30" s="1" customFormat="1" ht="16.5" customHeight="1" thickBot="1" thickTop="1">
      <c r="B15" s="13"/>
      <c r="C15" s="7"/>
      <c r="D15" s="7"/>
      <c r="E15" s="7"/>
      <c r="F15" s="35" t="s">
        <v>9</v>
      </c>
      <c r="G15" s="430">
        <v>320.552</v>
      </c>
      <c r="H15" s="40"/>
      <c r="I15" s="41"/>
      <c r="J15" s="7"/>
      <c r="K15" s="42"/>
      <c r="L15" s="37" t="s">
        <v>10</v>
      </c>
      <c r="M15" s="38">
        <f>50*'TOT-0215'!B13</f>
        <v>50</v>
      </c>
      <c r="N15" s="39" t="str">
        <f>IF(M15=50," ",IF(M15=100,"Coeficiente duplicado por tasa de falla &gt;4 Sal. x año/100 km.","REVISAR COEFICIENTE"))</f>
        <v> 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4"/>
    </row>
    <row r="16" spans="2:30" s="1" customFormat="1" ht="16.5" customHeight="1" thickBot="1" thickTop="1">
      <c r="B16" s="13"/>
      <c r="C16" s="7"/>
      <c r="D16" s="7"/>
      <c r="E16" s="7"/>
      <c r="F16" s="35" t="s">
        <v>11</v>
      </c>
      <c r="G16" s="430">
        <v>320.552</v>
      </c>
      <c r="H16" s="40"/>
      <c r="I16" s="41"/>
      <c r="J16" s="7"/>
      <c r="K16" s="7"/>
      <c r="L16" s="37" t="s">
        <v>12</v>
      </c>
      <c r="M16" s="38">
        <f>10*'TOT-0215'!B13</f>
        <v>10</v>
      </c>
      <c r="N16" s="39" t="str">
        <f>IF(M16=10," ",IF(M16=20,"Coeficiente duplicado por tasa de falla &gt;4 Sal. x año/100 km.","REVISAR COEFICIENTE"))</f>
        <v> 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14"/>
    </row>
    <row r="17" spans="2:30" s="1" customFormat="1" ht="16.5" customHeight="1" thickBot="1" thickTop="1">
      <c r="B17" s="13"/>
      <c r="C17" s="414">
        <v>3</v>
      </c>
      <c r="D17" s="414">
        <v>4</v>
      </c>
      <c r="E17" s="414">
        <v>5</v>
      </c>
      <c r="F17" s="414">
        <v>6</v>
      </c>
      <c r="G17" s="414">
        <v>7</v>
      </c>
      <c r="H17" s="414">
        <v>8</v>
      </c>
      <c r="I17" s="414">
        <v>9</v>
      </c>
      <c r="J17" s="414">
        <v>10</v>
      </c>
      <c r="K17" s="414">
        <v>11</v>
      </c>
      <c r="L17" s="414">
        <v>12</v>
      </c>
      <c r="M17" s="414">
        <v>13</v>
      </c>
      <c r="N17" s="414">
        <v>14</v>
      </c>
      <c r="O17" s="414">
        <v>15</v>
      </c>
      <c r="P17" s="414">
        <v>16</v>
      </c>
      <c r="Q17" s="414">
        <v>17</v>
      </c>
      <c r="R17" s="414">
        <v>18</v>
      </c>
      <c r="S17" s="414">
        <v>19</v>
      </c>
      <c r="T17" s="414">
        <v>20</v>
      </c>
      <c r="U17" s="414">
        <v>21</v>
      </c>
      <c r="V17" s="414">
        <v>22</v>
      </c>
      <c r="W17" s="414">
        <v>23</v>
      </c>
      <c r="X17" s="414">
        <v>24</v>
      </c>
      <c r="Y17" s="414">
        <v>25</v>
      </c>
      <c r="Z17" s="414">
        <v>26</v>
      </c>
      <c r="AA17" s="414">
        <v>27</v>
      </c>
      <c r="AB17" s="414">
        <v>28</v>
      </c>
      <c r="AC17" s="414">
        <v>29</v>
      </c>
      <c r="AD17" s="14"/>
    </row>
    <row r="18" spans="2:30" s="43" customFormat="1" ht="34.5" customHeight="1" thickBot="1" thickTop="1">
      <c r="B18" s="44"/>
      <c r="C18" s="413" t="s">
        <v>13</v>
      </c>
      <c r="D18" s="413" t="s">
        <v>72</v>
      </c>
      <c r="E18" s="413" t="s">
        <v>73</v>
      </c>
      <c r="F18" s="45" t="s">
        <v>1</v>
      </c>
      <c r="G18" s="46" t="s">
        <v>14</v>
      </c>
      <c r="H18" s="46" t="s">
        <v>15</v>
      </c>
      <c r="I18" s="46" t="s">
        <v>2</v>
      </c>
      <c r="J18" s="47" t="s">
        <v>16</v>
      </c>
      <c r="K18" s="45" t="s">
        <v>17</v>
      </c>
      <c r="L18" s="45" t="s">
        <v>18</v>
      </c>
      <c r="M18" s="46" t="s">
        <v>19</v>
      </c>
      <c r="N18" s="46" t="s">
        <v>20</v>
      </c>
      <c r="O18" s="46" t="s">
        <v>54</v>
      </c>
      <c r="P18" s="46" t="s">
        <v>21</v>
      </c>
      <c r="Q18" s="48" t="s">
        <v>22</v>
      </c>
      <c r="R18" s="49" t="s">
        <v>23</v>
      </c>
      <c r="S18" s="50" t="s">
        <v>24</v>
      </c>
      <c r="T18" s="51" t="s">
        <v>25</v>
      </c>
      <c r="U18" s="52"/>
      <c r="V18" s="53"/>
      <c r="W18" s="54" t="s">
        <v>26</v>
      </c>
      <c r="X18" s="55"/>
      <c r="Y18" s="56"/>
      <c r="Z18" s="57" t="s">
        <v>27</v>
      </c>
      <c r="AA18" s="58" t="s">
        <v>28</v>
      </c>
      <c r="AB18" s="59" t="s">
        <v>29</v>
      </c>
      <c r="AC18" s="59" t="s">
        <v>30</v>
      </c>
      <c r="AD18" s="60"/>
    </row>
    <row r="19" spans="2:30" s="1" customFormat="1" ht="16.5" customHeight="1" thickTop="1">
      <c r="B19" s="13"/>
      <c r="C19" s="61"/>
      <c r="D19" s="61"/>
      <c r="E19" s="61"/>
      <c r="F19" s="62"/>
      <c r="G19" s="61"/>
      <c r="H19" s="61"/>
      <c r="I19" s="61"/>
      <c r="J19" s="63"/>
      <c r="K19" s="398"/>
      <c r="L19" s="399"/>
      <c r="M19" s="64"/>
      <c r="N19" s="64"/>
      <c r="O19" s="61"/>
      <c r="P19" s="61"/>
      <c r="Q19" s="65"/>
      <c r="R19" s="66"/>
      <c r="S19" s="67"/>
      <c r="T19" s="68"/>
      <c r="U19" s="69"/>
      <c r="V19" s="69"/>
      <c r="W19" s="70"/>
      <c r="X19" s="70"/>
      <c r="Y19" s="70"/>
      <c r="Z19" s="71"/>
      <c r="AA19" s="72"/>
      <c r="AB19" s="61"/>
      <c r="AC19" s="73">
        <f>'LI-02 (1)'!AC46</f>
        <v>60777.69</v>
      </c>
      <c r="AD19" s="14"/>
    </row>
    <row r="20" spans="2:30" s="1" customFormat="1" ht="16.5" customHeight="1">
      <c r="B20" s="13"/>
      <c r="C20" s="74"/>
      <c r="D20" s="74"/>
      <c r="E20" s="74"/>
      <c r="F20" s="75"/>
      <c r="G20" s="75"/>
      <c r="H20" s="74"/>
      <c r="I20" s="74"/>
      <c r="J20" s="76"/>
      <c r="K20" s="424"/>
      <c r="L20" s="425"/>
      <c r="M20" s="78"/>
      <c r="N20" s="78"/>
      <c r="O20" s="74"/>
      <c r="P20" s="74"/>
      <c r="Q20" s="79"/>
      <c r="R20" s="80"/>
      <c r="S20" s="81"/>
      <c r="T20" s="82"/>
      <c r="U20" s="83"/>
      <c r="V20" s="83"/>
      <c r="W20" s="84"/>
      <c r="X20" s="84"/>
      <c r="Y20" s="84"/>
      <c r="Z20" s="85"/>
      <c r="AA20" s="86"/>
      <c r="AB20" s="74"/>
      <c r="AC20" s="87"/>
      <c r="AD20" s="14"/>
    </row>
    <row r="21" spans="2:30" s="1" customFormat="1" ht="16.5" customHeight="1">
      <c r="B21" s="13"/>
      <c r="C21" s="77">
        <v>25</v>
      </c>
      <c r="D21" s="77">
        <v>284820</v>
      </c>
      <c r="E21" s="77">
        <v>2617</v>
      </c>
      <c r="F21" s="75" t="s">
        <v>89</v>
      </c>
      <c r="G21" s="75">
        <v>132</v>
      </c>
      <c r="H21" s="88">
        <v>2.700000047683716</v>
      </c>
      <c r="I21" s="89" t="s">
        <v>76</v>
      </c>
      <c r="J21" s="90">
        <f aca="true" t="shared" si="0" ref="J21:J40">IF(G21=220,$G$14,IF(G21=132,$G$15,$G$16))*IF(H21&gt;25,H21,25)/100</f>
        <v>80.138</v>
      </c>
      <c r="K21" s="424">
        <v>42048.30972222222</v>
      </c>
      <c r="L21" s="424">
        <v>42048.63680555556</v>
      </c>
      <c r="M21" s="92">
        <f aca="true" t="shared" si="1" ref="M21:M40">IF(F21="","",(L21-K21)*24)</f>
        <v>7.850000000093132</v>
      </c>
      <c r="N21" s="93">
        <f aca="true" t="shared" si="2" ref="N21:N40">IF(F21="","",ROUND((L21-K21)*24*60,0))</f>
        <v>471</v>
      </c>
      <c r="O21" s="94" t="s">
        <v>77</v>
      </c>
      <c r="P21" s="422" t="s">
        <v>79</v>
      </c>
      <c r="Q21" s="95">
        <f aca="true" t="shared" si="3" ref="Q21:Q40">IF(I21="A",$M$14,IF(I21="B",$M$15,$M$16))</f>
        <v>10</v>
      </c>
      <c r="R21" s="96">
        <f aca="true" t="shared" si="4" ref="R21:R39">IF(O21="P",ROUND(N21/60,2)*J21*Q21*0.01,"--")</f>
        <v>62.90833000000001</v>
      </c>
      <c r="S21" s="97" t="str">
        <f aca="true" t="shared" si="5" ref="S21:S40">IF(O21="RP",ROUND(N21/60,2)*J21*Q21*0.01*P21/100,"--")</f>
        <v>--</v>
      </c>
      <c r="T21" s="98" t="str">
        <f aca="true" t="shared" si="6" ref="T21:T40">IF(O21="F",J21*Q21,"--")</f>
        <v>--</v>
      </c>
      <c r="U21" s="98" t="str">
        <f aca="true" t="shared" si="7" ref="U21:U40">IF(AND(N21&gt;10,O21="F"),J21*Q21*IF(N21&gt;180,3,ROUND((N21)/60,2)),"--")</f>
        <v>--</v>
      </c>
      <c r="V21" s="99" t="str">
        <f aca="true" t="shared" si="8" ref="V21:V40">IF(AND(O21="F",N21&gt;180),(ROUND(N21/60,2)-3)*J21*Q21*0.1,"--")</f>
        <v>--</v>
      </c>
      <c r="W21" s="100" t="str">
        <f aca="true" t="shared" si="9" ref="W21:W40">IF(O21="R",J21*Q21*P21/100,"--")</f>
        <v>--</v>
      </c>
      <c r="X21" s="100" t="str">
        <f aca="true" t="shared" si="10" ref="X21:X40">IF(AND(N21&gt;10,O21="R"),Q21*J21*P21/100*IF(N21&gt;180,3,ROUND((N21)/60,2)),"--")</f>
        <v>--</v>
      </c>
      <c r="Y21" s="101" t="str">
        <f aca="true" t="shared" si="11" ref="Y21:Y40">IF(AND(O21="R",N21&gt;180),(ROUND(N21/60,2)-3)*J21*Q21*0.1*P21/100,"--")</f>
        <v>--</v>
      </c>
      <c r="Z21" s="102" t="str">
        <f aca="true" t="shared" si="12" ref="Z21:Z40">IF(O21="RF",ROUND(N21/60,2)*J21*Q21*0.1,"--")</f>
        <v>--</v>
      </c>
      <c r="AA21" s="103" t="str">
        <f aca="true" t="shared" si="13" ref="AA21:AA40">IF(O21="RR",ROUND(N21/60,2)*J21*Q21*0.1*P21/100,"--")</f>
        <v>--</v>
      </c>
      <c r="AB21" s="419" t="s">
        <v>78</v>
      </c>
      <c r="AC21" s="104">
        <f aca="true" t="shared" si="14" ref="AC21:AC40">IF(F21="","",SUM(R21:AA21)*IF(AB21="SI",1,2))</f>
        <v>62.90833000000001</v>
      </c>
      <c r="AD21" s="105"/>
    </row>
    <row r="22" spans="2:30" s="1" customFormat="1" ht="16.5" customHeight="1">
      <c r="B22" s="13"/>
      <c r="C22" s="77">
        <v>26</v>
      </c>
      <c r="D22" s="77">
        <v>284821</v>
      </c>
      <c r="E22" s="77">
        <v>1407</v>
      </c>
      <c r="F22" s="75" t="s">
        <v>91</v>
      </c>
      <c r="G22" s="75">
        <v>132</v>
      </c>
      <c r="H22" s="88">
        <v>76.30000305175781</v>
      </c>
      <c r="I22" s="89" t="s">
        <v>76</v>
      </c>
      <c r="J22" s="90">
        <f t="shared" si="0"/>
        <v>244.5811857824707</v>
      </c>
      <c r="K22" s="424">
        <v>42048.34375</v>
      </c>
      <c r="L22" s="424">
        <v>42048.46875</v>
      </c>
      <c r="M22" s="92">
        <f t="shared" si="1"/>
        <v>3</v>
      </c>
      <c r="N22" s="93">
        <f t="shared" si="2"/>
        <v>180</v>
      </c>
      <c r="O22" s="94" t="s">
        <v>77</v>
      </c>
      <c r="P22" s="422" t="s">
        <v>79</v>
      </c>
      <c r="Q22" s="95">
        <f t="shared" si="3"/>
        <v>10</v>
      </c>
      <c r="R22" s="96">
        <f t="shared" si="4"/>
        <v>73.37435573474121</v>
      </c>
      <c r="S22" s="97" t="str">
        <f t="shared" si="5"/>
        <v>--</v>
      </c>
      <c r="T22" s="98" t="str">
        <f t="shared" si="6"/>
        <v>--</v>
      </c>
      <c r="U22" s="98" t="str">
        <f t="shared" si="7"/>
        <v>--</v>
      </c>
      <c r="V22" s="99" t="str">
        <f t="shared" si="8"/>
        <v>--</v>
      </c>
      <c r="W22" s="100" t="str">
        <f t="shared" si="9"/>
        <v>--</v>
      </c>
      <c r="X22" s="100" t="str">
        <f t="shared" si="10"/>
        <v>--</v>
      </c>
      <c r="Y22" s="101" t="str">
        <f t="shared" si="11"/>
        <v>--</v>
      </c>
      <c r="Z22" s="102" t="str">
        <f t="shared" si="12"/>
        <v>--</v>
      </c>
      <c r="AA22" s="103" t="str">
        <f t="shared" si="13"/>
        <v>--</v>
      </c>
      <c r="AB22" s="419" t="s">
        <v>78</v>
      </c>
      <c r="AC22" s="104">
        <f t="shared" si="14"/>
        <v>73.37435573474121</v>
      </c>
      <c r="AD22" s="105"/>
    </row>
    <row r="23" spans="2:30" s="1" customFormat="1" ht="16.5" customHeight="1">
      <c r="B23" s="13"/>
      <c r="C23" s="77">
        <v>27</v>
      </c>
      <c r="D23" s="77">
        <v>284822</v>
      </c>
      <c r="E23" s="77">
        <v>1401</v>
      </c>
      <c r="F23" s="75" t="s">
        <v>84</v>
      </c>
      <c r="G23" s="75">
        <v>132</v>
      </c>
      <c r="H23" s="88">
        <v>126.9000015258789</v>
      </c>
      <c r="I23" s="89" t="s">
        <v>76</v>
      </c>
      <c r="J23" s="90">
        <f t="shared" si="0"/>
        <v>406.7804928912354</v>
      </c>
      <c r="K23" s="424">
        <v>42048.361805555556</v>
      </c>
      <c r="L23" s="424">
        <v>42048.59930555556</v>
      </c>
      <c r="M23" s="92">
        <f t="shared" si="1"/>
        <v>5.700000000069849</v>
      </c>
      <c r="N23" s="93">
        <f t="shared" si="2"/>
        <v>342</v>
      </c>
      <c r="O23" s="94" t="s">
        <v>77</v>
      </c>
      <c r="P23" s="422" t="s">
        <v>79</v>
      </c>
      <c r="Q23" s="95">
        <f t="shared" si="3"/>
        <v>10</v>
      </c>
      <c r="R23" s="96">
        <f t="shared" si="4"/>
        <v>231.86488094800416</v>
      </c>
      <c r="S23" s="97" t="str">
        <f t="shared" si="5"/>
        <v>--</v>
      </c>
      <c r="T23" s="98" t="str">
        <f t="shared" si="6"/>
        <v>--</v>
      </c>
      <c r="U23" s="98" t="str">
        <f t="shared" si="7"/>
        <v>--</v>
      </c>
      <c r="V23" s="99" t="str">
        <f t="shared" si="8"/>
        <v>--</v>
      </c>
      <c r="W23" s="100" t="str">
        <f t="shared" si="9"/>
        <v>--</v>
      </c>
      <c r="X23" s="100" t="str">
        <f t="shared" si="10"/>
        <v>--</v>
      </c>
      <c r="Y23" s="101" t="str">
        <f t="shared" si="11"/>
        <v>--</v>
      </c>
      <c r="Z23" s="102" t="str">
        <f t="shared" si="12"/>
        <v>--</v>
      </c>
      <c r="AA23" s="103" t="str">
        <f t="shared" si="13"/>
        <v>--</v>
      </c>
      <c r="AB23" s="419" t="s">
        <v>78</v>
      </c>
      <c r="AC23" s="104">
        <f t="shared" si="14"/>
        <v>231.86488094800416</v>
      </c>
      <c r="AD23" s="105"/>
    </row>
    <row r="24" spans="2:30" s="1" customFormat="1" ht="16.5" customHeight="1">
      <c r="B24" s="13"/>
      <c r="C24" s="77">
        <v>28</v>
      </c>
      <c r="D24" s="77">
        <v>284823</v>
      </c>
      <c r="E24" s="77">
        <v>3797</v>
      </c>
      <c r="F24" s="75" t="s">
        <v>80</v>
      </c>
      <c r="G24" s="75">
        <v>66</v>
      </c>
      <c r="H24" s="88">
        <v>49.79999923706055</v>
      </c>
      <c r="I24" s="89" t="s">
        <v>76</v>
      </c>
      <c r="J24" s="90">
        <f t="shared" si="0"/>
        <v>159.63489355438233</v>
      </c>
      <c r="K24" s="424">
        <v>42048.36666666667</v>
      </c>
      <c r="L24" s="424">
        <v>42048.6125</v>
      </c>
      <c r="M24" s="92">
        <f t="shared" si="1"/>
        <v>5.900000000023283</v>
      </c>
      <c r="N24" s="93">
        <f t="shared" si="2"/>
        <v>354</v>
      </c>
      <c r="O24" s="94" t="s">
        <v>77</v>
      </c>
      <c r="P24" s="422" t="s">
        <v>79</v>
      </c>
      <c r="Q24" s="95">
        <f t="shared" si="3"/>
        <v>10</v>
      </c>
      <c r="R24" s="96">
        <f t="shared" si="4"/>
        <v>94.18458719708559</v>
      </c>
      <c r="S24" s="97" t="str">
        <f t="shared" si="5"/>
        <v>--</v>
      </c>
      <c r="T24" s="98" t="str">
        <f t="shared" si="6"/>
        <v>--</v>
      </c>
      <c r="U24" s="98" t="str">
        <f t="shared" si="7"/>
        <v>--</v>
      </c>
      <c r="V24" s="99" t="str">
        <f t="shared" si="8"/>
        <v>--</v>
      </c>
      <c r="W24" s="100" t="str">
        <f t="shared" si="9"/>
        <v>--</v>
      </c>
      <c r="X24" s="100" t="str">
        <f t="shared" si="10"/>
        <v>--</v>
      </c>
      <c r="Y24" s="101" t="str">
        <f t="shared" si="11"/>
        <v>--</v>
      </c>
      <c r="Z24" s="102" t="str">
        <f t="shared" si="12"/>
        <v>--</v>
      </c>
      <c r="AA24" s="103" t="str">
        <f t="shared" si="13"/>
        <v>--</v>
      </c>
      <c r="AB24" s="419" t="s">
        <v>78</v>
      </c>
      <c r="AC24" s="104">
        <f t="shared" si="14"/>
        <v>94.18458719708559</v>
      </c>
      <c r="AD24" s="105"/>
    </row>
    <row r="25" spans="2:30" s="1" customFormat="1" ht="16.5" customHeight="1">
      <c r="B25" s="13"/>
      <c r="C25" s="77">
        <v>29</v>
      </c>
      <c r="D25" s="77">
        <v>284825</v>
      </c>
      <c r="E25" s="77">
        <v>1441</v>
      </c>
      <c r="F25" s="75" t="s">
        <v>92</v>
      </c>
      <c r="G25" s="75">
        <v>66</v>
      </c>
      <c r="H25" s="88">
        <v>43.79999923706055</v>
      </c>
      <c r="I25" s="89" t="s">
        <v>82</v>
      </c>
      <c r="J25" s="90">
        <f t="shared" si="0"/>
        <v>140.40177355438232</v>
      </c>
      <c r="K25" s="424">
        <v>42050.36944444444</v>
      </c>
      <c r="L25" s="424">
        <v>42050.739583333336</v>
      </c>
      <c r="M25" s="92">
        <f t="shared" si="1"/>
        <v>8.883333333476912</v>
      </c>
      <c r="N25" s="93">
        <f t="shared" si="2"/>
        <v>533</v>
      </c>
      <c r="O25" s="94" t="s">
        <v>77</v>
      </c>
      <c r="P25" s="422" t="s">
        <v>79</v>
      </c>
      <c r="Q25" s="95">
        <f t="shared" si="3"/>
        <v>50</v>
      </c>
      <c r="R25" s="96">
        <f t="shared" si="4"/>
        <v>623.3838745814576</v>
      </c>
      <c r="S25" s="97" t="str">
        <f t="shared" si="5"/>
        <v>--</v>
      </c>
      <c r="T25" s="98" t="str">
        <f t="shared" si="6"/>
        <v>--</v>
      </c>
      <c r="U25" s="98" t="str">
        <f t="shared" si="7"/>
        <v>--</v>
      </c>
      <c r="V25" s="99" t="str">
        <f t="shared" si="8"/>
        <v>--</v>
      </c>
      <c r="W25" s="100" t="str">
        <f t="shared" si="9"/>
        <v>--</v>
      </c>
      <c r="X25" s="100" t="str">
        <f t="shared" si="10"/>
        <v>--</v>
      </c>
      <c r="Y25" s="101" t="str">
        <f t="shared" si="11"/>
        <v>--</v>
      </c>
      <c r="Z25" s="102" t="str">
        <f t="shared" si="12"/>
        <v>--</v>
      </c>
      <c r="AA25" s="103" t="str">
        <f t="shared" si="13"/>
        <v>--</v>
      </c>
      <c r="AB25" s="419" t="str">
        <f>IF(F25="","","SI")</f>
        <v>SI</v>
      </c>
      <c r="AC25" s="104">
        <f t="shared" si="14"/>
        <v>623.3838745814576</v>
      </c>
      <c r="AD25" s="105"/>
    </row>
    <row r="26" spans="2:30" s="1" customFormat="1" ht="16.5" customHeight="1">
      <c r="B26" s="13"/>
      <c r="C26" s="77" t="s">
        <v>211</v>
      </c>
      <c r="D26" s="77">
        <v>284826</v>
      </c>
      <c r="E26" s="77">
        <v>1997</v>
      </c>
      <c r="F26" s="75" t="s">
        <v>93</v>
      </c>
      <c r="G26" s="75">
        <v>132</v>
      </c>
      <c r="H26" s="88">
        <v>13.600000381469727</v>
      </c>
      <c r="I26" s="89" t="s">
        <v>82</v>
      </c>
      <c r="J26" s="90">
        <f t="shared" si="0"/>
        <v>80.138</v>
      </c>
      <c r="K26" s="424">
        <v>42052.18194444444</v>
      </c>
      <c r="L26" s="424">
        <v>42052.19305555556</v>
      </c>
      <c r="M26" s="92">
        <f t="shared" si="1"/>
        <v>0.26666666683740914</v>
      </c>
      <c r="N26" s="93">
        <f t="shared" si="2"/>
        <v>16</v>
      </c>
      <c r="O26" s="91" t="s">
        <v>83</v>
      </c>
      <c r="P26" s="422" t="s">
        <v>79</v>
      </c>
      <c r="Q26" s="95">
        <f t="shared" si="3"/>
        <v>50</v>
      </c>
      <c r="R26" s="96" t="str">
        <f t="shared" si="4"/>
        <v>--</v>
      </c>
      <c r="S26" s="97" t="str">
        <f t="shared" si="5"/>
        <v>--</v>
      </c>
      <c r="T26" s="98">
        <f t="shared" si="6"/>
        <v>4006.9</v>
      </c>
      <c r="U26" s="98">
        <f t="shared" si="7"/>
        <v>1081.863</v>
      </c>
      <c r="V26" s="99" t="str">
        <f t="shared" si="8"/>
        <v>--</v>
      </c>
      <c r="W26" s="100" t="str">
        <f t="shared" si="9"/>
        <v>--</v>
      </c>
      <c r="X26" s="100" t="str">
        <f t="shared" si="10"/>
        <v>--</v>
      </c>
      <c r="Y26" s="101" t="str">
        <f t="shared" si="11"/>
        <v>--</v>
      </c>
      <c r="Z26" s="102" t="str">
        <f t="shared" si="12"/>
        <v>--</v>
      </c>
      <c r="AA26" s="103" t="str">
        <f t="shared" si="13"/>
        <v>--</v>
      </c>
      <c r="AB26" s="419" t="s">
        <v>78</v>
      </c>
      <c r="AC26" s="104">
        <v>0</v>
      </c>
      <c r="AD26" s="105"/>
    </row>
    <row r="27" spans="2:30" s="1" customFormat="1" ht="16.5" customHeight="1">
      <c r="B27" s="13"/>
      <c r="C27" s="77">
        <v>31</v>
      </c>
      <c r="D27" s="77">
        <v>284827</v>
      </c>
      <c r="E27" s="77">
        <v>1410</v>
      </c>
      <c r="F27" s="75" t="s">
        <v>94</v>
      </c>
      <c r="G27" s="75">
        <v>132</v>
      </c>
      <c r="H27" s="88">
        <v>41.29999923706055</v>
      </c>
      <c r="I27" s="89" t="s">
        <v>82</v>
      </c>
      <c r="J27" s="90">
        <f t="shared" si="0"/>
        <v>132.38797355438234</v>
      </c>
      <c r="K27" s="424">
        <v>42052.37291666667</v>
      </c>
      <c r="L27" s="424">
        <v>42052.75833333333</v>
      </c>
      <c r="M27" s="92">
        <f t="shared" si="1"/>
        <v>9.249999999941792</v>
      </c>
      <c r="N27" s="93">
        <f t="shared" si="2"/>
        <v>555</v>
      </c>
      <c r="O27" s="91" t="s">
        <v>77</v>
      </c>
      <c r="P27" s="422" t="s">
        <v>79</v>
      </c>
      <c r="Q27" s="95">
        <f t="shared" si="3"/>
        <v>50</v>
      </c>
      <c r="R27" s="96">
        <f t="shared" si="4"/>
        <v>612.2943776890183</v>
      </c>
      <c r="S27" s="97" t="str">
        <f t="shared" si="5"/>
        <v>--</v>
      </c>
      <c r="T27" s="98" t="str">
        <f t="shared" si="6"/>
        <v>--</v>
      </c>
      <c r="U27" s="98" t="str">
        <f t="shared" si="7"/>
        <v>--</v>
      </c>
      <c r="V27" s="99" t="str">
        <f t="shared" si="8"/>
        <v>--</v>
      </c>
      <c r="W27" s="100" t="str">
        <f t="shared" si="9"/>
        <v>--</v>
      </c>
      <c r="X27" s="100" t="str">
        <f t="shared" si="10"/>
        <v>--</v>
      </c>
      <c r="Y27" s="101" t="str">
        <f t="shared" si="11"/>
        <v>--</v>
      </c>
      <c r="Z27" s="102" t="str">
        <f t="shared" si="12"/>
        <v>--</v>
      </c>
      <c r="AA27" s="103" t="str">
        <f t="shared" si="13"/>
        <v>--</v>
      </c>
      <c r="AB27" s="419" t="s">
        <v>78</v>
      </c>
      <c r="AC27" s="104">
        <f t="shared" si="14"/>
        <v>612.2943776890183</v>
      </c>
      <c r="AD27" s="105"/>
    </row>
    <row r="28" spans="2:30" s="1" customFormat="1" ht="16.5" customHeight="1">
      <c r="B28" s="13"/>
      <c r="C28" s="77" t="s">
        <v>207</v>
      </c>
      <c r="D28" s="77">
        <v>285214</v>
      </c>
      <c r="E28" s="77">
        <v>1532</v>
      </c>
      <c r="F28" s="75" t="s">
        <v>81</v>
      </c>
      <c r="G28" s="75">
        <v>132</v>
      </c>
      <c r="H28" s="88">
        <v>141</v>
      </c>
      <c r="I28" s="89" t="s">
        <v>82</v>
      </c>
      <c r="J28" s="90">
        <f t="shared" si="0"/>
        <v>451.97832</v>
      </c>
      <c r="K28" s="424">
        <v>42054.25902777778</v>
      </c>
      <c r="L28" s="424">
        <v>42054.68472222222</v>
      </c>
      <c r="M28" s="92">
        <f t="shared" si="1"/>
        <v>10.21666666661622</v>
      </c>
      <c r="N28" s="93">
        <f t="shared" si="2"/>
        <v>613</v>
      </c>
      <c r="O28" s="91" t="s">
        <v>77</v>
      </c>
      <c r="P28" s="422" t="s">
        <v>79</v>
      </c>
      <c r="Q28" s="95">
        <f t="shared" si="3"/>
        <v>50</v>
      </c>
      <c r="R28" s="96">
        <f t="shared" si="4"/>
        <v>2309.6092152</v>
      </c>
      <c r="S28" s="97" t="str">
        <f t="shared" si="5"/>
        <v>--</v>
      </c>
      <c r="T28" s="98" t="str">
        <f t="shared" si="6"/>
        <v>--</v>
      </c>
      <c r="U28" s="98" t="str">
        <f t="shared" si="7"/>
        <v>--</v>
      </c>
      <c r="V28" s="99" t="str">
        <f t="shared" si="8"/>
        <v>--</v>
      </c>
      <c r="W28" s="100" t="str">
        <f t="shared" si="9"/>
        <v>--</v>
      </c>
      <c r="X28" s="100" t="str">
        <f t="shared" si="10"/>
        <v>--</v>
      </c>
      <c r="Y28" s="101" t="str">
        <f t="shared" si="11"/>
        <v>--</v>
      </c>
      <c r="Z28" s="102" t="str">
        <f t="shared" si="12"/>
        <v>--</v>
      </c>
      <c r="AA28" s="103" t="str">
        <f t="shared" si="13"/>
        <v>--</v>
      </c>
      <c r="AB28" s="419" t="s">
        <v>78</v>
      </c>
      <c r="AC28" s="104">
        <v>0</v>
      </c>
      <c r="AD28" s="105"/>
    </row>
    <row r="29" spans="2:30" s="1" customFormat="1" ht="16.5" customHeight="1">
      <c r="B29" s="13"/>
      <c r="C29" s="77" t="s">
        <v>208</v>
      </c>
      <c r="D29" s="77">
        <v>285219</v>
      </c>
      <c r="E29" s="77">
        <v>1532</v>
      </c>
      <c r="F29" s="75" t="s">
        <v>81</v>
      </c>
      <c r="G29" s="75">
        <v>132</v>
      </c>
      <c r="H29" s="88">
        <v>141</v>
      </c>
      <c r="I29" s="89" t="s">
        <v>82</v>
      </c>
      <c r="J29" s="90">
        <f t="shared" si="0"/>
        <v>451.97832</v>
      </c>
      <c r="K29" s="424">
        <v>42055.25625</v>
      </c>
      <c r="L29" s="424">
        <v>42055.779861111114</v>
      </c>
      <c r="M29" s="92">
        <f t="shared" si="1"/>
        <v>12.56666666676756</v>
      </c>
      <c r="N29" s="93">
        <f t="shared" si="2"/>
        <v>754</v>
      </c>
      <c r="O29" s="91" t="s">
        <v>77</v>
      </c>
      <c r="P29" s="422" t="s">
        <v>79</v>
      </c>
      <c r="Q29" s="95">
        <f t="shared" si="3"/>
        <v>50</v>
      </c>
      <c r="R29" s="96">
        <f t="shared" si="4"/>
        <v>2840.6837412</v>
      </c>
      <c r="S29" s="97" t="str">
        <f t="shared" si="5"/>
        <v>--</v>
      </c>
      <c r="T29" s="98" t="str">
        <f t="shared" si="6"/>
        <v>--</v>
      </c>
      <c r="U29" s="98" t="str">
        <f t="shared" si="7"/>
        <v>--</v>
      </c>
      <c r="V29" s="99" t="str">
        <f t="shared" si="8"/>
        <v>--</v>
      </c>
      <c r="W29" s="100" t="str">
        <f t="shared" si="9"/>
        <v>--</v>
      </c>
      <c r="X29" s="100" t="str">
        <f t="shared" si="10"/>
        <v>--</v>
      </c>
      <c r="Y29" s="101" t="str">
        <f t="shared" si="11"/>
        <v>--</v>
      </c>
      <c r="Z29" s="102" t="str">
        <f t="shared" si="12"/>
        <v>--</v>
      </c>
      <c r="AA29" s="103" t="str">
        <f t="shared" si="13"/>
        <v>--</v>
      </c>
      <c r="AB29" s="419" t="s">
        <v>78</v>
      </c>
      <c r="AC29" s="104">
        <v>0</v>
      </c>
      <c r="AD29" s="105"/>
    </row>
    <row r="30" spans="2:30" s="1" customFormat="1" ht="16.5" customHeight="1">
      <c r="B30" s="13"/>
      <c r="C30" s="77" t="s">
        <v>209</v>
      </c>
      <c r="D30" s="77">
        <v>285222</v>
      </c>
      <c r="E30" s="77">
        <v>1532</v>
      </c>
      <c r="F30" s="75" t="s">
        <v>81</v>
      </c>
      <c r="G30" s="75">
        <v>132</v>
      </c>
      <c r="H30" s="88">
        <v>141</v>
      </c>
      <c r="I30" s="89" t="s">
        <v>82</v>
      </c>
      <c r="J30" s="90">
        <f t="shared" si="0"/>
        <v>451.97832</v>
      </c>
      <c r="K30" s="424">
        <v>42056.37152777778</v>
      </c>
      <c r="L30" s="424">
        <v>42056.759722222225</v>
      </c>
      <c r="M30" s="92">
        <f t="shared" si="1"/>
        <v>9.316666666651145</v>
      </c>
      <c r="N30" s="93">
        <f t="shared" si="2"/>
        <v>559</v>
      </c>
      <c r="O30" s="91" t="s">
        <v>77</v>
      </c>
      <c r="P30" s="422" t="s">
        <v>79</v>
      </c>
      <c r="Q30" s="95">
        <f t="shared" si="3"/>
        <v>50</v>
      </c>
      <c r="R30" s="96">
        <f t="shared" si="4"/>
        <v>2106.2189712</v>
      </c>
      <c r="S30" s="97" t="str">
        <f t="shared" si="5"/>
        <v>--</v>
      </c>
      <c r="T30" s="98" t="str">
        <f t="shared" si="6"/>
        <v>--</v>
      </c>
      <c r="U30" s="98" t="str">
        <f t="shared" si="7"/>
        <v>--</v>
      </c>
      <c r="V30" s="99" t="str">
        <f t="shared" si="8"/>
        <v>--</v>
      </c>
      <c r="W30" s="100" t="str">
        <f t="shared" si="9"/>
        <v>--</v>
      </c>
      <c r="X30" s="100" t="str">
        <f t="shared" si="10"/>
        <v>--</v>
      </c>
      <c r="Y30" s="101" t="str">
        <f t="shared" si="11"/>
        <v>--</v>
      </c>
      <c r="Z30" s="102" t="str">
        <f t="shared" si="12"/>
        <v>--</v>
      </c>
      <c r="AA30" s="103" t="str">
        <f t="shared" si="13"/>
        <v>--</v>
      </c>
      <c r="AB30" s="419" t="s">
        <v>78</v>
      </c>
      <c r="AC30" s="104">
        <v>0</v>
      </c>
      <c r="AD30" s="105"/>
    </row>
    <row r="31" spans="2:30" s="1" customFormat="1" ht="16.5" customHeight="1">
      <c r="B31" s="13"/>
      <c r="C31" s="77">
        <v>35</v>
      </c>
      <c r="D31" s="77">
        <v>285362</v>
      </c>
      <c r="E31" s="77">
        <v>1532</v>
      </c>
      <c r="F31" s="75" t="s">
        <v>81</v>
      </c>
      <c r="G31" s="75">
        <v>132</v>
      </c>
      <c r="H31" s="88">
        <v>141</v>
      </c>
      <c r="I31" s="89" t="s">
        <v>82</v>
      </c>
      <c r="J31" s="90">
        <f t="shared" si="0"/>
        <v>451.97832</v>
      </c>
      <c r="K31" s="424">
        <v>42058.40694444445</v>
      </c>
      <c r="L31" s="424">
        <v>42058.59375</v>
      </c>
      <c r="M31" s="92">
        <f t="shared" si="1"/>
        <v>4.483333333279006</v>
      </c>
      <c r="N31" s="93">
        <f t="shared" si="2"/>
        <v>269</v>
      </c>
      <c r="O31" s="91" t="s">
        <v>77</v>
      </c>
      <c r="P31" s="422" t="s">
        <v>79</v>
      </c>
      <c r="Q31" s="95">
        <f t="shared" si="3"/>
        <v>50</v>
      </c>
      <c r="R31" s="96">
        <f t="shared" si="4"/>
        <v>1012.4314368000001</v>
      </c>
      <c r="S31" s="97" t="str">
        <f t="shared" si="5"/>
        <v>--</v>
      </c>
      <c r="T31" s="98" t="str">
        <f t="shared" si="6"/>
        <v>--</v>
      </c>
      <c r="U31" s="98" t="str">
        <f t="shared" si="7"/>
        <v>--</v>
      </c>
      <c r="V31" s="99" t="str">
        <f t="shared" si="8"/>
        <v>--</v>
      </c>
      <c r="W31" s="100" t="str">
        <f t="shared" si="9"/>
        <v>--</v>
      </c>
      <c r="X31" s="100" t="str">
        <f t="shared" si="10"/>
        <v>--</v>
      </c>
      <c r="Y31" s="101" t="str">
        <f t="shared" si="11"/>
        <v>--</v>
      </c>
      <c r="Z31" s="102" t="str">
        <f t="shared" si="12"/>
        <v>--</v>
      </c>
      <c r="AA31" s="103" t="str">
        <f t="shared" si="13"/>
        <v>--</v>
      </c>
      <c r="AB31" s="419" t="s">
        <v>78</v>
      </c>
      <c r="AC31" s="104">
        <f t="shared" si="14"/>
        <v>1012.4314368000001</v>
      </c>
      <c r="AD31" s="105"/>
    </row>
    <row r="32" spans="2:30" s="1" customFormat="1" ht="16.5" customHeight="1">
      <c r="B32" s="13"/>
      <c r="C32" s="77">
        <v>36</v>
      </c>
      <c r="D32" s="77">
        <v>285376</v>
      </c>
      <c r="E32" s="77">
        <v>4070</v>
      </c>
      <c r="F32" s="75" t="s">
        <v>95</v>
      </c>
      <c r="G32" s="75">
        <v>132</v>
      </c>
      <c r="H32" s="88">
        <v>89.13999938964844</v>
      </c>
      <c r="I32" s="89" t="s">
        <v>76</v>
      </c>
      <c r="J32" s="90">
        <f t="shared" si="0"/>
        <v>285.7400508435059</v>
      </c>
      <c r="K32" s="424">
        <v>42060.30486111111</v>
      </c>
      <c r="L32" s="424">
        <v>42060.7125</v>
      </c>
      <c r="M32" s="92">
        <f t="shared" si="1"/>
        <v>9.783333333441988</v>
      </c>
      <c r="N32" s="93">
        <f t="shared" si="2"/>
        <v>587</v>
      </c>
      <c r="O32" s="91" t="s">
        <v>77</v>
      </c>
      <c r="P32" s="422" t="s">
        <v>79</v>
      </c>
      <c r="Q32" s="95">
        <f t="shared" si="3"/>
        <v>10</v>
      </c>
      <c r="R32" s="96">
        <f t="shared" si="4"/>
        <v>279.4537697249488</v>
      </c>
      <c r="S32" s="97" t="str">
        <f t="shared" si="5"/>
        <v>--</v>
      </c>
      <c r="T32" s="98" t="str">
        <f t="shared" si="6"/>
        <v>--</v>
      </c>
      <c r="U32" s="98" t="str">
        <f t="shared" si="7"/>
        <v>--</v>
      </c>
      <c r="V32" s="99" t="str">
        <f t="shared" si="8"/>
        <v>--</v>
      </c>
      <c r="W32" s="100" t="str">
        <f t="shared" si="9"/>
        <v>--</v>
      </c>
      <c r="X32" s="100" t="str">
        <f t="shared" si="10"/>
        <v>--</v>
      </c>
      <c r="Y32" s="101" t="str">
        <f t="shared" si="11"/>
        <v>--</v>
      </c>
      <c r="Z32" s="102" t="str">
        <f t="shared" si="12"/>
        <v>--</v>
      </c>
      <c r="AA32" s="103" t="str">
        <f t="shared" si="13"/>
        <v>--</v>
      </c>
      <c r="AB32" s="419" t="s">
        <v>78</v>
      </c>
      <c r="AC32" s="104">
        <f t="shared" si="14"/>
        <v>279.4537697249488</v>
      </c>
      <c r="AD32" s="105"/>
    </row>
    <row r="33" spans="2:30" s="1" customFormat="1" ht="16.5" customHeight="1">
      <c r="B33" s="13"/>
      <c r="C33" s="77">
        <v>37</v>
      </c>
      <c r="D33" s="77">
        <v>285377</v>
      </c>
      <c r="E33" s="77">
        <v>1532</v>
      </c>
      <c r="F33" s="75" t="s">
        <v>81</v>
      </c>
      <c r="G33" s="75">
        <v>132</v>
      </c>
      <c r="H33" s="88">
        <v>141</v>
      </c>
      <c r="I33" s="89" t="s">
        <v>82</v>
      </c>
      <c r="J33" s="90">
        <f t="shared" si="0"/>
        <v>451.97832</v>
      </c>
      <c r="K33" s="424">
        <v>42060.30763888889</v>
      </c>
      <c r="L33" s="424">
        <v>42060.603472222225</v>
      </c>
      <c r="M33" s="92">
        <f t="shared" si="1"/>
        <v>7.100000000093132</v>
      </c>
      <c r="N33" s="93">
        <f t="shared" si="2"/>
        <v>426</v>
      </c>
      <c r="O33" s="91" t="s">
        <v>77</v>
      </c>
      <c r="P33" s="422" t="s">
        <v>79</v>
      </c>
      <c r="Q33" s="95">
        <f t="shared" si="3"/>
        <v>50</v>
      </c>
      <c r="R33" s="96">
        <f t="shared" si="4"/>
        <v>1604.5230359999998</v>
      </c>
      <c r="S33" s="97" t="str">
        <f t="shared" si="5"/>
        <v>--</v>
      </c>
      <c r="T33" s="98" t="str">
        <f t="shared" si="6"/>
        <v>--</v>
      </c>
      <c r="U33" s="98" t="str">
        <f t="shared" si="7"/>
        <v>--</v>
      </c>
      <c r="V33" s="99" t="str">
        <f t="shared" si="8"/>
        <v>--</v>
      </c>
      <c r="W33" s="100" t="str">
        <f t="shared" si="9"/>
        <v>--</v>
      </c>
      <c r="X33" s="100" t="str">
        <f t="shared" si="10"/>
        <v>--</v>
      </c>
      <c r="Y33" s="101" t="str">
        <f t="shared" si="11"/>
        <v>--</v>
      </c>
      <c r="Z33" s="102" t="str">
        <f t="shared" si="12"/>
        <v>--</v>
      </c>
      <c r="AA33" s="103" t="str">
        <f t="shared" si="13"/>
        <v>--</v>
      </c>
      <c r="AB33" s="419" t="s">
        <v>78</v>
      </c>
      <c r="AC33" s="104">
        <f t="shared" si="14"/>
        <v>1604.5230359999998</v>
      </c>
      <c r="AD33" s="105"/>
    </row>
    <row r="34" spans="2:30" s="1" customFormat="1" ht="16.5" customHeight="1">
      <c r="B34" s="106"/>
      <c r="C34" s="77">
        <v>38</v>
      </c>
      <c r="D34" s="77">
        <v>285378</v>
      </c>
      <c r="E34" s="77">
        <v>1407</v>
      </c>
      <c r="F34" s="75" t="s">
        <v>91</v>
      </c>
      <c r="G34" s="75">
        <v>132</v>
      </c>
      <c r="H34" s="88">
        <v>76.30000305175781</v>
      </c>
      <c r="I34" s="89" t="s">
        <v>76</v>
      </c>
      <c r="J34" s="90">
        <f t="shared" si="0"/>
        <v>244.5811857824707</v>
      </c>
      <c r="K34" s="424">
        <v>42060.34305555555</v>
      </c>
      <c r="L34" s="424">
        <v>42060.64791666667</v>
      </c>
      <c r="M34" s="92">
        <f t="shared" si="1"/>
        <v>7.31666666676756</v>
      </c>
      <c r="N34" s="93">
        <f t="shared" si="2"/>
        <v>439</v>
      </c>
      <c r="O34" s="91" t="s">
        <v>77</v>
      </c>
      <c r="P34" s="422" t="s">
        <v>79</v>
      </c>
      <c r="Q34" s="95">
        <f t="shared" si="3"/>
        <v>10</v>
      </c>
      <c r="R34" s="96">
        <f t="shared" si="4"/>
        <v>179.03342799276857</v>
      </c>
      <c r="S34" s="97" t="str">
        <f t="shared" si="5"/>
        <v>--</v>
      </c>
      <c r="T34" s="98" t="str">
        <f t="shared" si="6"/>
        <v>--</v>
      </c>
      <c r="U34" s="98" t="str">
        <f t="shared" si="7"/>
        <v>--</v>
      </c>
      <c r="V34" s="99" t="str">
        <f t="shared" si="8"/>
        <v>--</v>
      </c>
      <c r="W34" s="100" t="str">
        <f t="shared" si="9"/>
        <v>--</v>
      </c>
      <c r="X34" s="100" t="str">
        <f t="shared" si="10"/>
        <v>--</v>
      </c>
      <c r="Y34" s="101" t="str">
        <f t="shared" si="11"/>
        <v>--</v>
      </c>
      <c r="Z34" s="102" t="str">
        <f t="shared" si="12"/>
        <v>--</v>
      </c>
      <c r="AA34" s="103" t="str">
        <f t="shared" si="13"/>
        <v>--</v>
      </c>
      <c r="AB34" s="419" t="s">
        <v>78</v>
      </c>
      <c r="AC34" s="104">
        <f t="shared" si="14"/>
        <v>179.03342799276857</v>
      </c>
      <c r="AD34" s="105"/>
    </row>
    <row r="35" spans="2:30" s="1" customFormat="1" ht="16.5" customHeight="1">
      <c r="B35" s="106"/>
      <c r="C35" s="77">
        <v>39</v>
      </c>
      <c r="D35" s="77">
        <v>285384</v>
      </c>
      <c r="E35" s="77">
        <v>1532</v>
      </c>
      <c r="F35" s="75" t="s">
        <v>81</v>
      </c>
      <c r="G35" s="75">
        <v>132</v>
      </c>
      <c r="H35" s="88">
        <v>141</v>
      </c>
      <c r="I35" s="89" t="s">
        <v>82</v>
      </c>
      <c r="J35" s="90">
        <f t="shared" si="0"/>
        <v>451.97832</v>
      </c>
      <c r="K35" s="424">
        <v>42061.3</v>
      </c>
      <c r="L35" s="424">
        <v>42061.614583333336</v>
      </c>
      <c r="M35" s="92">
        <f t="shared" si="1"/>
        <v>7.5499999999883585</v>
      </c>
      <c r="N35" s="93">
        <f t="shared" si="2"/>
        <v>453</v>
      </c>
      <c r="O35" s="91" t="s">
        <v>77</v>
      </c>
      <c r="P35" s="422" t="s">
        <v>79</v>
      </c>
      <c r="Q35" s="95">
        <f t="shared" si="3"/>
        <v>50</v>
      </c>
      <c r="R35" s="96">
        <f t="shared" si="4"/>
        <v>1706.218158</v>
      </c>
      <c r="S35" s="97" t="str">
        <f t="shared" si="5"/>
        <v>--</v>
      </c>
      <c r="T35" s="98" t="str">
        <f t="shared" si="6"/>
        <v>--</v>
      </c>
      <c r="U35" s="98" t="str">
        <f t="shared" si="7"/>
        <v>--</v>
      </c>
      <c r="V35" s="99" t="str">
        <f t="shared" si="8"/>
        <v>--</v>
      </c>
      <c r="W35" s="100" t="str">
        <f t="shared" si="9"/>
        <v>--</v>
      </c>
      <c r="X35" s="100" t="str">
        <f t="shared" si="10"/>
        <v>--</v>
      </c>
      <c r="Y35" s="101" t="str">
        <f t="shared" si="11"/>
        <v>--</v>
      </c>
      <c r="Z35" s="102" t="str">
        <f t="shared" si="12"/>
        <v>--</v>
      </c>
      <c r="AA35" s="103" t="str">
        <f t="shared" si="13"/>
        <v>--</v>
      </c>
      <c r="AB35" s="419" t="s">
        <v>78</v>
      </c>
      <c r="AC35" s="104">
        <f t="shared" si="14"/>
        <v>1706.218158</v>
      </c>
      <c r="AD35" s="105"/>
    </row>
    <row r="36" spans="2:30" s="1" customFormat="1" ht="16.5" customHeight="1">
      <c r="B36" s="106"/>
      <c r="C36" s="77">
        <v>40</v>
      </c>
      <c r="D36" s="77">
        <v>285385</v>
      </c>
      <c r="E36" s="77">
        <v>1407</v>
      </c>
      <c r="F36" s="75" t="s">
        <v>91</v>
      </c>
      <c r="G36" s="75">
        <v>132</v>
      </c>
      <c r="H36" s="88">
        <v>76.30000305175781</v>
      </c>
      <c r="I36" s="89" t="s">
        <v>76</v>
      </c>
      <c r="J36" s="90">
        <f t="shared" si="0"/>
        <v>244.5811857824707</v>
      </c>
      <c r="K36" s="424">
        <v>42061.3375</v>
      </c>
      <c r="L36" s="424">
        <v>42061.60833333333</v>
      </c>
      <c r="M36" s="92">
        <f t="shared" si="1"/>
        <v>6.499999999883585</v>
      </c>
      <c r="N36" s="93">
        <f t="shared" si="2"/>
        <v>390</v>
      </c>
      <c r="O36" s="91" t="s">
        <v>77</v>
      </c>
      <c r="P36" s="422" t="s">
        <v>79</v>
      </c>
      <c r="Q36" s="95">
        <f t="shared" si="3"/>
        <v>10</v>
      </c>
      <c r="R36" s="96">
        <f t="shared" si="4"/>
        <v>158.97777075860594</v>
      </c>
      <c r="S36" s="97" t="str">
        <f t="shared" si="5"/>
        <v>--</v>
      </c>
      <c r="T36" s="98" t="str">
        <f t="shared" si="6"/>
        <v>--</v>
      </c>
      <c r="U36" s="98" t="str">
        <f t="shared" si="7"/>
        <v>--</v>
      </c>
      <c r="V36" s="99" t="str">
        <f t="shared" si="8"/>
        <v>--</v>
      </c>
      <c r="W36" s="100" t="str">
        <f t="shared" si="9"/>
        <v>--</v>
      </c>
      <c r="X36" s="100" t="str">
        <f t="shared" si="10"/>
        <v>--</v>
      </c>
      <c r="Y36" s="101" t="str">
        <f t="shared" si="11"/>
        <v>--</v>
      </c>
      <c r="Z36" s="102" t="str">
        <f t="shared" si="12"/>
        <v>--</v>
      </c>
      <c r="AA36" s="103" t="str">
        <f t="shared" si="13"/>
        <v>--</v>
      </c>
      <c r="AB36" s="419" t="s">
        <v>78</v>
      </c>
      <c r="AC36" s="104">
        <f t="shared" si="14"/>
        <v>158.97777075860594</v>
      </c>
      <c r="AD36" s="105"/>
    </row>
    <row r="37" spans="2:30" s="1" customFormat="1" ht="16.5" customHeight="1">
      <c r="B37" s="106"/>
      <c r="C37" s="77">
        <v>41</v>
      </c>
      <c r="D37" s="77">
        <v>285388</v>
      </c>
      <c r="E37" s="77">
        <v>1515</v>
      </c>
      <c r="F37" s="75" t="s">
        <v>96</v>
      </c>
      <c r="G37" s="75">
        <v>132</v>
      </c>
      <c r="H37" s="88">
        <v>40.220001220703125</v>
      </c>
      <c r="I37" s="89" t="s">
        <v>76</v>
      </c>
      <c r="J37" s="90">
        <f t="shared" si="0"/>
        <v>128.92601831298828</v>
      </c>
      <c r="K37" s="424">
        <v>42062.197222222225</v>
      </c>
      <c r="L37" s="424">
        <v>42062.36041666667</v>
      </c>
      <c r="M37" s="92">
        <f t="shared" si="1"/>
        <v>3.916666666686069</v>
      </c>
      <c r="N37" s="93">
        <f t="shared" si="2"/>
        <v>235</v>
      </c>
      <c r="O37" s="91" t="s">
        <v>77</v>
      </c>
      <c r="P37" s="422" t="s">
        <v>79</v>
      </c>
      <c r="Q37" s="95">
        <f t="shared" si="3"/>
        <v>10</v>
      </c>
      <c r="R37" s="96">
        <f t="shared" si="4"/>
        <v>50.538999178691405</v>
      </c>
      <c r="S37" s="97" t="str">
        <f t="shared" si="5"/>
        <v>--</v>
      </c>
      <c r="T37" s="98" t="str">
        <f t="shared" si="6"/>
        <v>--</v>
      </c>
      <c r="U37" s="98" t="str">
        <f t="shared" si="7"/>
        <v>--</v>
      </c>
      <c r="V37" s="99" t="str">
        <f t="shared" si="8"/>
        <v>--</v>
      </c>
      <c r="W37" s="100" t="str">
        <f t="shared" si="9"/>
        <v>--</v>
      </c>
      <c r="X37" s="100" t="str">
        <f t="shared" si="10"/>
        <v>--</v>
      </c>
      <c r="Y37" s="101" t="str">
        <f t="shared" si="11"/>
        <v>--</v>
      </c>
      <c r="Z37" s="102" t="str">
        <f t="shared" si="12"/>
        <v>--</v>
      </c>
      <c r="AA37" s="103" t="str">
        <f t="shared" si="13"/>
        <v>--</v>
      </c>
      <c r="AB37" s="419" t="s">
        <v>78</v>
      </c>
      <c r="AC37" s="104">
        <f t="shared" si="14"/>
        <v>50.538999178691405</v>
      </c>
      <c r="AD37" s="105"/>
    </row>
    <row r="38" spans="2:30" s="1" customFormat="1" ht="16.5" customHeight="1">
      <c r="B38" s="106"/>
      <c r="C38" s="77">
        <v>42</v>
      </c>
      <c r="D38" s="77">
        <v>285389</v>
      </c>
      <c r="E38" s="77">
        <v>3483</v>
      </c>
      <c r="F38" s="75" t="s">
        <v>97</v>
      </c>
      <c r="G38" s="75">
        <v>132</v>
      </c>
      <c r="H38" s="88">
        <v>29.799999237060547</v>
      </c>
      <c r="I38" s="89" t="s">
        <v>76</v>
      </c>
      <c r="J38" s="90">
        <f t="shared" si="0"/>
        <v>95.52449355438233</v>
      </c>
      <c r="K38" s="424">
        <v>42062.27013888889</v>
      </c>
      <c r="L38" s="424">
        <v>42062.479166666664</v>
      </c>
      <c r="M38" s="92">
        <f t="shared" si="1"/>
        <v>5.0166666666045785</v>
      </c>
      <c r="N38" s="93">
        <f t="shared" si="2"/>
        <v>301</v>
      </c>
      <c r="O38" s="91" t="s">
        <v>83</v>
      </c>
      <c r="P38" s="422" t="s">
        <v>79</v>
      </c>
      <c r="Q38" s="95">
        <f t="shared" si="3"/>
        <v>10</v>
      </c>
      <c r="R38" s="96" t="str">
        <f t="shared" si="4"/>
        <v>--</v>
      </c>
      <c r="S38" s="97" t="str">
        <f t="shared" si="5"/>
        <v>--</v>
      </c>
      <c r="T38" s="98">
        <f t="shared" si="6"/>
        <v>955.2449355438233</v>
      </c>
      <c r="U38" s="98">
        <f t="shared" si="7"/>
        <v>2865.73480663147</v>
      </c>
      <c r="V38" s="99">
        <f t="shared" si="8"/>
        <v>192.9594769798523</v>
      </c>
      <c r="W38" s="100" t="str">
        <f t="shared" si="9"/>
        <v>--</v>
      </c>
      <c r="X38" s="100" t="str">
        <f t="shared" si="10"/>
        <v>--</v>
      </c>
      <c r="Y38" s="101" t="str">
        <f t="shared" si="11"/>
        <v>--</v>
      </c>
      <c r="Z38" s="102" t="str">
        <f t="shared" si="12"/>
        <v>--</v>
      </c>
      <c r="AA38" s="103" t="str">
        <f t="shared" si="13"/>
        <v>--</v>
      </c>
      <c r="AB38" s="419" t="s">
        <v>78</v>
      </c>
      <c r="AC38" s="104">
        <f t="shared" si="14"/>
        <v>4013.9392191551456</v>
      </c>
      <c r="AD38" s="105"/>
    </row>
    <row r="39" spans="2:30" s="1" customFormat="1" ht="16.5" customHeight="1">
      <c r="B39" s="106"/>
      <c r="C39" s="77">
        <v>43</v>
      </c>
      <c r="D39" s="77">
        <v>285393</v>
      </c>
      <c r="E39" s="77">
        <v>1407</v>
      </c>
      <c r="F39" s="75" t="s">
        <v>91</v>
      </c>
      <c r="G39" s="75">
        <v>132</v>
      </c>
      <c r="H39" s="88">
        <v>76.30000305175781</v>
      </c>
      <c r="I39" s="89" t="s">
        <v>76</v>
      </c>
      <c r="J39" s="90">
        <f t="shared" si="0"/>
        <v>244.5811857824707</v>
      </c>
      <c r="K39" s="424">
        <v>42062.345138888886</v>
      </c>
      <c r="L39" s="424">
        <v>42062.53888888889</v>
      </c>
      <c r="M39" s="92">
        <f t="shared" si="1"/>
        <v>4.650000000139698</v>
      </c>
      <c r="N39" s="93">
        <f t="shared" si="2"/>
        <v>279</v>
      </c>
      <c r="O39" s="91" t="s">
        <v>77</v>
      </c>
      <c r="P39" s="422" t="s">
        <v>79</v>
      </c>
      <c r="Q39" s="95">
        <f t="shared" si="3"/>
        <v>10</v>
      </c>
      <c r="R39" s="96">
        <f t="shared" si="4"/>
        <v>113.73025138884888</v>
      </c>
      <c r="S39" s="97" t="str">
        <f t="shared" si="5"/>
        <v>--</v>
      </c>
      <c r="T39" s="98" t="str">
        <f t="shared" si="6"/>
        <v>--</v>
      </c>
      <c r="U39" s="98" t="str">
        <f t="shared" si="7"/>
        <v>--</v>
      </c>
      <c r="V39" s="99" t="str">
        <f t="shared" si="8"/>
        <v>--</v>
      </c>
      <c r="W39" s="100" t="str">
        <f t="shared" si="9"/>
        <v>--</v>
      </c>
      <c r="X39" s="100" t="str">
        <f t="shared" si="10"/>
        <v>--</v>
      </c>
      <c r="Y39" s="101" t="str">
        <f t="shared" si="11"/>
        <v>--</v>
      </c>
      <c r="Z39" s="102" t="str">
        <f t="shared" si="12"/>
        <v>--</v>
      </c>
      <c r="AA39" s="103" t="str">
        <f t="shared" si="13"/>
        <v>--</v>
      </c>
      <c r="AB39" s="419" t="s">
        <v>78</v>
      </c>
      <c r="AC39" s="104">
        <f t="shared" si="14"/>
        <v>113.73025138884888</v>
      </c>
      <c r="AD39" s="105"/>
    </row>
    <row r="40" spans="2:30" s="1" customFormat="1" ht="16.5" customHeight="1">
      <c r="B40" s="106"/>
      <c r="C40" s="77">
        <v>44</v>
      </c>
      <c r="D40" s="77">
        <v>285394</v>
      </c>
      <c r="E40" s="77">
        <v>1532</v>
      </c>
      <c r="F40" s="75" t="s">
        <v>81</v>
      </c>
      <c r="G40" s="75">
        <v>132</v>
      </c>
      <c r="H40" s="88">
        <v>141</v>
      </c>
      <c r="I40" s="89" t="s">
        <v>82</v>
      </c>
      <c r="J40" s="90">
        <f t="shared" si="0"/>
        <v>451.97832</v>
      </c>
      <c r="K40" s="424">
        <v>42062.35833333333</v>
      </c>
      <c r="L40" s="424">
        <v>42062.552777777775</v>
      </c>
      <c r="M40" s="92">
        <f t="shared" si="1"/>
        <v>4.666666666686069</v>
      </c>
      <c r="N40" s="93">
        <f t="shared" si="2"/>
        <v>280</v>
      </c>
      <c r="O40" s="91" t="s">
        <v>77</v>
      </c>
      <c r="P40" s="422" t="s">
        <v>79</v>
      </c>
      <c r="Q40" s="95">
        <f t="shared" si="3"/>
        <v>50</v>
      </c>
      <c r="R40" s="96">
        <f>IF(O40="P",ROUND(N40/60,2)*J40*Q40*0.01,"--")</f>
        <v>1055.3693772</v>
      </c>
      <c r="S40" s="97" t="str">
        <f t="shared" si="5"/>
        <v>--</v>
      </c>
      <c r="T40" s="98" t="str">
        <f t="shared" si="6"/>
        <v>--</v>
      </c>
      <c r="U40" s="98" t="str">
        <f t="shared" si="7"/>
        <v>--</v>
      </c>
      <c r="V40" s="99" t="str">
        <f t="shared" si="8"/>
        <v>--</v>
      </c>
      <c r="W40" s="100" t="str">
        <f t="shared" si="9"/>
        <v>--</v>
      </c>
      <c r="X40" s="100" t="str">
        <f t="shared" si="10"/>
        <v>--</v>
      </c>
      <c r="Y40" s="101" t="str">
        <f t="shared" si="11"/>
        <v>--</v>
      </c>
      <c r="Z40" s="102" t="str">
        <f t="shared" si="12"/>
        <v>--</v>
      </c>
      <c r="AA40" s="103" t="str">
        <f t="shared" si="13"/>
        <v>--</v>
      </c>
      <c r="AB40" s="419" t="s">
        <v>78</v>
      </c>
      <c r="AC40" s="104">
        <f t="shared" si="14"/>
        <v>1055.3693772</v>
      </c>
      <c r="AD40" s="105"/>
    </row>
    <row r="41" spans="2:30" s="1" customFormat="1" ht="16.5" customHeight="1" thickBot="1">
      <c r="B41" s="13"/>
      <c r="C41" s="107"/>
      <c r="D41" s="107"/>
      <c r="E41" s="107"/>
      <c r="F41" s="329"/>
      <c r="G41" s="330"/>
      <c r="H41" s="331"/>
      <c r="I41" s="331"/>
      <c r="J41" s="109"/>
      <c r="K41" s="400"/>
      <c r="L41" s="400"/>
      <c r="M41" s="108"/>
      <c r="N41" s="108"/>
      <c r="O41" s="331"/>
      <c r="P41" s="332"/>
      <c r="Q41" s="333"/>
      <c r="R41" s="334"/>
      <c r="S41" s="335"/>
      <c r="T41" s="336"/>
      <c r="U41" s="337"/>
      <c r="V41" s="337"/>
      <c r="W41" s="338"/>
      <c r="X41" s="338"/>
      <c r="Y41" s="338"/>
      <c r="Z41" s="339"/>
      <c r="AA41" s="340"/>
      <c r="AB41" s="341"/>
      <c r="AC41" s="110"/>
      <c r="AD41" s="105"/>
    </row>
    <row r="42" spans="2:30" s="1" customFormat="1" ht="16.5" customHeight="1" thickBot="1" thickTop="1">
      <c r="B42" s="13"/>
      <c r="C42" s="111" t="s">
        <v>55</v>
      </c>
      <c r="D42" s="127"/>
      <c r="E42" s="127"/>
      <c r="F42" s="112"/>
      <c r="G42" s="113"/>
      <c r="H42" s="114"/>
      <c r="I42" s="114"/>
      <c r="J42" s="115"/>
      <c r="K42" s="115"/>
      <c r="L42" s="115"/>
      <c r="M42" s="115"/>
      <c r="N42" s="115"/>
      <c r="O42" s="115"/>
      <c r="P42" s="116"/>
      <c r="Q42" s="116"/>
      <c r="R42" s="117">
        <f aca="true" t="shared" si="15" ref="R42:AA42">SUM(R19:R41)</f>
        <v>15114.798560794168</v>
      </c>
      <c r="S42" s="118">
        <f t="shared" si="15"/>
        <v>0</v>
      </c>
      <c r="T42" s="119">
        <f t="shared" si="15"/>
        <v>4962.1449355438235</v>
      </c>
      <c r="U42" s="119">
        <f t="shared" si="15"/>
        <v>3947.59780663147</v>
      </c>
      <c r="V42" s="119">
        <f t="shared" si="15"/>
        <v>192.9594769798523</v>
      </c>
      <c r="W42" s="120">
        <f t="shared" si="15"/>
        <v>0</v>
      </c>
      <c r="X42" s="120">
        <f t="shared" si="15"/>
        <v>0</v>
      </c>
      <c r="Y42" s="120">
        <f t="shared" si="15"/>
        <v>0</v>
      </c>
      <c r="Z42" s="121">
        <f t="shared" si="15"/>
        <v>0</v>
      </c>
      <c r="AA42" s="122">
        <f t="shared" si="15"/>
        <v>0</v>
      </c>
      <c r="AB42" s="123"/>
      <c r="AC42" s="409">
        <f>ROUND(SUM(AC19:AC41),2)</f>
        <v>72649.92</v>
      </c>
      <c r="AD42" s="124"/>
    </row>
    <row r="43" spans="2:30" s="125" customFormat="1" ht="9.75" thickTop="1">
      <c r="B43" s="126"/>
      <c r="C43" s="127" t="s">
        <v>164</v>
      </c>
      <c r="D43" s="127" t="s">
        <v>163</v>
      </c>
      <c r="E43" s="127"/>
      <c r="F43" s="128"/>
      <c r="G43" s="129"/>
      <c r="H43" s="130"/>
      <c r="I43" s="130"/>
      <c r="J43" s="131"/>
      <c r="K43" s="131"/>
      <c r="L43" s="131"/>
      <c r="M43" s="131"/>
      <c r="N43" s="131"/>
      <c r="O43" s="131"/>
      <c r="P43" s="132"/>
      <c r="Q43" s="132"/>
      <c r="R43" s="133"/>
      <c r="S43" s="133"/>
      <c r="T43" s="134"/>
      <c r="U43" s="134"/>
      <c r="V43" s="135"/>
      <c r="W43" s="135"/>
      <c r="X43" s="135"/>
      <c r="Y43" s="135"/>
      <c r="Z43" s="135"/>
      <c r="AA43" s="135"/>
      <c r="AB43" s="135"/>
      <c r="AC43" s="136"/>
      <c r="AD43" s="137"/>
    </row>
    <row r="44" spans="2:30" s="1" customFormat="1" ht="16.5" customHeight="1" thickBot="1">
      <c r="B44" s="138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40"/>
    </row>
    <row r="45" spans="2:30" ht="13.5" thickTop="1">
      <c r="B45" s="141"/>
      <c r="AD45" s="141"/>
    </row>
    <row r="90" ht="12.75">
      <c r="B90" s="141"/>
    </row>
  </sheetData>
  <sheetProtection/>
  <mergeCells count="1">
    <mergeCell ref="G14:H14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Roman,Normal"&amp;5&amp;F  - TRANSPORTE de ENERGÍA ELÉCTRICA - PJL - &amp;P/&amp;N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2"/>
  <sheetViews>
    <sheetView zoomScale="75" zoomScaleNormal="75" zoomScalePageLayoutView="0" workbookViewId="0" topLeftCell="A1">
      <selection activeCell="F12" sqref="F12"/>
    </sheetView>
  </sheetViews>
  <sheetFormatPr defaultColWidth="11.421875" defaultRowHeight="12.75"/>
  <cols>
    <col min="1" max="1" width="23.57421875" style="668" customWidth="1"/>
    <col min="2" max="2" width="15.7109375" style="668" customWidth="1"/>
    <col min="3" max="3" width="3.421875" style="668" customWidth="1"/>
    <col min="4" max="4" width="3.57421875" style="668" customWidth="1"/>
    <col min="5" max="5" width="4.7109375" style="668" customWidth="1"/>
    <col min="6" max="6" width="31.57421875" style="668" customWidth="1"/>
    <col min="7" max="7" width="5.8515625" style="668" customWidth="1"/>
    <col min="8" max="8" width="7.140625" style="668" bestFit="1" customWidth="1"/>
    <col min="9" max="9" width="3.7109375" style="668" customWidth="1"/>
    <col min="10" max="10" width="3.140625" style="668" customWidth="1"/>
    <col min="11" max="11" width="8.00390625" style="668" hidden="1" customWidth="1"/>
    <col min="12" max="13" width="16.28125" style="668" customWidth="1"/>
    <col min="14" max="14" width="8.140625" style="670" customWidth="1"/>
    <col min="15" max="15" width="8.140625" style="668" customWidth="1"/>
    <col min="16" max="16" width="7.140625" style="668" customWidth="1"/>
    <col min="17" max="17" width="6.57421875" style="668" customWidth="1"/>
    <col min="18" max="18" width="5.421875" style="668" customWidth="1"/>
    <col min="19" max="19" width="6.00390625" style="668" bestFit="1" customWidth="1"/>
    <col min="20" max="20" width="48.00390625" style="668" hidden="1" customWidth="1"/>
    <col min="21" max="22" width="9.140625" style="668" hidden="1" customWidth="1"/>
    <col min="23" max="23" width="13.28125" style="671" customWidth="1"/>
    <col min="24" max="24" width="8.57421875" style="668" customWidth="1"/>
    <col min="25" max="25" width="7.421875" style="668" bestFit="1" customWidth="1"/>
    <col min="26" max="26" width="7.28125" style="671" customWidth="1"/>
    <col min="27" max="27" width="8.57421875" style="671" customWidth="1"/>
    <col min="28" max="28" width="4.140625" style="671" bestFit="1" customWidth="1"/>
    <col min="29" max="29" width="8.57421875" style="671" bestFit="1" customWidth="1"/>
    <col min="30" max="30" width="7.57421875" style="671" bestFit="1" customWidth="1"/>
    <col min="31" max="31" width="12.00390625" style="671" bestFit="1" customWidth="1"/>
    <col min="32" max="32" width="16.57421875" style="671" hidden="1" customWidth="1"/>
    <col min="33" max="33" width="15.7109375" style="668" hidden="1" customWidth="1"/>
    <col min="34" max="34" width="9.8515625" style="668" hidden="1" customWidth="1"/>
    <col min="35" max="35" width="48.140625" style="668" hidden="1" customWidth="1"/>
    <col min="36" max="36" width="9.140625" style="668" hidden="1" customWidth="1"/>
    <col min="37" max="37" width="7.57421875" style="668" hidden="1" customWidth="1"/>
    <col min="38" max="38" width="18.28125" style="668" bestFit="1" customWidth="1"/>
    <col min="39" max="39" width="13.140625" style="668" bestFit="1" customWidth="1"/>
    <col min="40" max="40" width="3.8515625" style="668" customWidth="1"/>
    <col min="41" max="41" width="30.421875" style="668" customWidth="1"/>
    <col min="42" max="42" width="3.140625" style="668" customWidth="1"/>
    <col min="43" max="43" width="3.57421875" style="668" customWidth="1"/>
    <col min="44" max="44" width="24.28125" style="668" customWidth="1"/>
    <col min="45" max="45" width="4.7109375" style="668" customWidth="1"/>
    <col min="46" max="46" width="7.57421875" style="668" customWidth="1"/>
    <col min="47" max="48" width="4.140625" style="668" customWidth="1"/>
    <col min="49" max="49" width="7.140625" style="668" customWidth="1"/>
    <col min="50" max="50" width="5.28125" style="668" customWidth="1"/>
    <col min="51" max="51" width="5.421875" style="668" customWidth="1"/>
    <col min="52" max="52" width="4.7109375" style="668" customWidth="1"/>
    <col min="53" max="53" width="5.28125" style="668" customWidth="1"/>
    <col min="54" max="55" width="13.28125" style="668" customWidth="1"/>
    <col min="56" max="56" width="6.57421875" style="668" customWidth="1"/>
    <col min="57" max="57" width="6.421875" style="668" customWidth="1"/>
    <col min="58" max="61" width="11.421875" style="668" customWidth="1"/>
    <col min="62" max="62" width="12.7109375" style="668" customWidth="1"/>
    <col min="63" max="65" width="11.421875" style="668" customWidth="1"/>
    <col min="66" max="66" width="21.00390625" style="668" customWidth="1"/>
    <col min="67" max="16384" width="11.421875" style="668" customWidth="1"/>
  </cols>
  <sheetData>
    <row r="1" spans="1:40" s="434" customFormat="1" ht="26.25">
      <c r="A1" s="433"/>
      <c r="N1" s="433"/>
      <c r="W1" s="433"/>
      <c r="Z1" s="433"/>
      <c r="AA1" s="433"/>
      <c r="AB1" s="433"/>
      <c r="AC1" s="433"/>
      <c r="AD1" s="433"/>
      <c r="AE1" s="433"/>
      <c r="AF1" s="433"/>
      <c r="AN1" s="435"/>
    </row>
    <row r="2" spans="1:40" s="434" customFormat="1" ht="26.25">
      <c r="A2" s="433"/>
      <c r="B2" s="436" t="str">
        <f>'TOT-0215'!B2</f>
        <v>ANEXO III al Memorándum D.T.E.E. N° 814   / 2015</v>
      </c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7"/>
      <c r="O2" s="436"/>
      <c r="P2" s="436"/>
      <c r="Q2" s="436"/>
      <c r="R2" s="436"/>
      <c r="S2" s="436"/>
      <c r="T2" s="436"/>
      <c r="U2" s="436"/>
      <c r="V2" s="436"/>
      <c r="W2" s="437"/>
      <c r="X2" s="436"/>
      <c r="Y2" s="436"/>
      <c r="Z2" s="437"/>
      <c r="AA2" s="437"/>
      <c r="AB2" s="437"/>
      <c r="AC2" s="437"/>
      <c r="AD2" s="437"/>
      <c r="AE2" s="437"/>
      <c r="AF2" s="437"/>
      <c r="AG2" s="436"/>
      <c r="AH2" s="436"/>
      <c r="AI2" s="436"/>
      <c r="AJ2" s="436"/>
      <c r="AK2" s="436"/>
      <c r="AL2" s="436"/>
      <c r="AM2" s="436"/>
      <c r="AN2" s="436"/>
    </row>
    <row r="3" spans="1:32" s="439" customFormat="1" ht="12.75">
      <c r="A3" s="438"/>
      <c r="N3" s="438"/>
      <c r="W3" s="438"/>
      <c r="Z3" s="438"/>
      <c r="AA3" s="438"/>
      <c r="AB3" s="438"/>
      <c r="AC3" s="438"/>
      <c r="AD3" s="438"/>
      <c r="AE3" s="438"/>
      <c r="AF3" s="438"/>
    </row>
    <row r="4" spans="1:32" s="442" customFormat="1" ht="11.25">
      <c r="A4" s="440" t="s">
        <v>3</v>
      </c>
      <c r="B4" s="441"/>
      <c r="C4" s="441"/>
      <c r="D4" s="441"/>
      <c r="N4" s="443"/>
      <c r="W4" s="443"/>
      <c r="Z4" s="443"/>
      <c r="AA4" s="443"/>
      <c r="AB4" s="443"/>
      <c r="AC4" s="443"/>
      <c r="AD4" s="443"/>
      <c r="AE4" s="443"/>
      <c r="AF4" s="443"/>
    </row>
    <row r="5" spans="1:32" s="442" customFormat="1" ht="11.25">
      <c r="A5" s="440" t="s">
        <v>4</v>
      </c>
      <c r="B5" s="441"/>
      <c r="C5" s="441"/>
      <c r="D5" s="441"/>
      <c r="N5" s="443"/>
      <c r="W5" s="443"/>
      <c r="Z5" s="443"/>
      <c r="AA5" s="443"/>
      <c r="AB5" s="443"/>
      <c r="AC5" s="443"/>
      <c r="AD5" s="443"/>
      <c r="AE5" s="443"/>
      <c r="AF5" s="443"/>
    </row>
    <row r="6" spans="1:32" s="442" customFormat="1" ht="11.25">
      <c r="A6" s="440"/>
      <c r="B6" s="441"/>
      <c r="C6" s="441"/>
      <c r="D6" s="441"/>
      <c r="N6" s="443"/>
      <c r="W6" s="443"/>
      <c r="Z6" s="443"/>
      <c r="AA6" s="443"/>
      <c r="AB6" s="443"/>
      <c r="AC6" s="443"/>
      <c r="AD6" s="443"/>
      <c r="AE6" s="443"/>
      <c r="AF6" s="443"/>
    </row>
    <row r="7" spans="1:32" s="442" customFormat="1" ht="11.25">
      <c r="A7" s="440"/>
      <c r="B7" s="441"/>
      <c r="C7" s="441"/>
      <c r="D7" s="441"/>
      <c r="N7" s="443"/>
      <c r="W7" s="443"/>
      <c r="Z7" s="443"/>
      <c r="AA7" s="443"/>
      <c r="AB7" s="443"/>
      <c r="AC7" s="443"/>
      <c r="AD7" s="443"/>
      <c r="AE7" s="443"/>
      <c r="AF7" s="443"/>
    </row>
    <row r="8" spans="1:32" s="442" customFormat="1" ht="12" thickBot="1">
      <c r="A8" s="440"/>
      <c r="B8" s="441"/>
      <c r="C8" s="441"/>
      <c r="D8" s="441"/>
      <c r="N8" s="443"/>
      <c r="W8" s="443"/>
      <c r="Z8" s="443"/>
      <c r="AA8" s="443"/>
      <c r="AB8" s="443"/>
      <c r="AC8" s="443"/>
      <c r="AD8" s="443"/>
      <c r="AE8" s="443"/>
      <c r="AF8" s="443"/>
    </row>
    <row r="9" spans="2:40" s="439" customFormat="1" ht="13.5" thickTop="1">
      <c r="B9" s="444"/>
      <c r="C9" s="445"/>
      <c r="D9" s="445"/>
      <c r="E9" s="445"/>
      <c r="F9" s="445"/>
      <c r="G9" s="446"/>
      <c r="H9" s="445"/>
      <c r="I9" s="445"/>
      <c r="J9" s="445"/>
      <c r="K9" s="445"/>
      <c r="L9" s="445"/>
      <c r="M9" s="445"/>
      <c r="N9" s="447"/>
      <c r="O9" s="445"/>
      <c r="P9" s="445"/>
      <c r="Q9" s="445"/>
      <c r="R9" s="445"/>
      <c r="S9" s="445"/>
      <c r="T9" s="445"/>
      <c r="U9" s="445"/>
      <c r="V9" s="445"/>
      <c r="W9" s="447"/>
      <c r="X9" s="445"/>
      <c r="Y9" s="445"/>
      <c r="Z9" s="447"/>
      <c r="AA9" s="447"/>
      <c r="AB9" s="447"/>
      <c r="AC9" s="447"/>
      <c r="AD9" s="447"/>
      <c r="AE9" s="447"/>
      <c r="AF9" s="447"/>
      <c r="AG9" s="445"/>
      <c r="AH9" s="445"/>
      <c r="AI9" s="445"/>
      <c r="AJ9" s="445"/>
      <c r="AK9" s="445"/>
      <c r="AL9" s="445"/>
      <c r="AM9" s="445"/>
      <c r="AN9" s="448"/>
    </row>
    <row r="10" spans="2:40" s="449" customFormat="1" ht="20.25">
      <c r="B10" s="450"/>
      <c r="C10" s="451"/>
      <c r="D10" s="451"/>
      <c r="E10" s="451"/>
      <c r="F10" s="452" t="s">
        <v>5</v>
      </c>
      <c r="G10" s="451"/>
      <c r="H10" s="451"/>
      <c r="I10" s="451"/>
      <c r="J10" s="451"/>
      <c r="N10" s="453"/>
      <c r="P10" s="451"/>
      <c r="Q10" s="451"/>
      <c r="R10" s="454"/>
      <c r="S10" s="454"/>
      <c r="T10" s="451"/>
      <c r="U10" s="451"/>
      <c r="V10" s="451"/>
      <c r="W10" s="455"/>
      <c r="X10" s="451"/>
      <c r="Y10" s="451"/>
      <c r="Z10" s="455"/>
      <c r="AA10" s="455"/>
      <c r="AB10" s="455"/>
      <c r="AC10" s="455"/>
      <c r="AD10" s="455"/>
      <c r="AE10" s="455"/>
      <c r="AF10" s="455"/>
      <c r="AG10" s="451"/>
      <c r="AH10" s="451"/>
      <c r="AI10" s="451"/>
      <c r="AJ10" s="451"/>
      <c r="AK10" s="451"/>
      <c r="AL10" s="451"/>
      <c r="AM10" s="451"/>
      <c r="AN10" s="456"/>
    </row>
    <row r="11" spans="2:40" s="439" customFormat="1" ht="12.75">
      <c r="B11" s="457"/>
      <c r="C11" s="458"/>
      <c r="D11" s="458"/>
      <c r="E11" s="458"/>
      <c r="F11" s="458"/>
      <c r="G11" s="458"/>
      <c r="H11" s="458"/>
      <c r="I11" s="458"/>
      <c r="J11" s="458"/>
      <c r="K11" s="458"/>
      <c r="L11" s="458"/>
      <c r="M11" s="458"/>
      <c r="N11" s="459"/>
      <c r="O11" s="458"/>
      <c r="P11" s="458"/>
      <c r="Q11" s="458"/>
      <c r="R11" s="458"/>
      <c r="S11" s="458"/>
      <c r="T11" s="458"/>
      <c r="U11" s="458"/>
      <c r="V11" s="458"/>
      <c r="W11" s="459"/>
      <c r="X11" s="458"/>
      <c r="Y11" s="458"/>
      <c r="Z11" s="459"/>
      <c r="AA11" s="459"/>
      <c r="AB11" s="459"/>
      <c r="AC11" s="459"/>
      <c r="AD11" s="459"/>
      <c r="AE11" s="459"/>
      <c r="AF11" s="459"/>
      <c r="AG11" s="458"/>
      <c r="AH11" s="458"/>
      <c r="AI11" s="458"/>
      <c r="AJ11" s="458"/>
      <c r="AK11" s="458"/>
      <c r="AL11" s="458"/>
      <c r="AM11" s="458"/>
      <c r="AN11" s="460"/>
    </row>
    <row r="12" spans="2:40" s="449" customFormat="1" ht="20.25">
      <c r="B12" s="450"/>
      <c r="C12" s="451"/>
      <c r="D12" s="451"/>
      <c r="E12" s="451"/>
      <c r="F12" s="461" t="s">
        <v>166</v>
      </c>
      <c r="G12" s="451"/>
      <c r="H12" s="451"/>
      <c r="I12" s="451"/>
      <c r="J12" s="451"/>
      <c r="K12" s="451"/>
      <c r="L12" s="451"/>
      <c r="M12" s="451"/>
      <c r="N12" s="455"/>
      <c r="O12" s="451"/>
      <c r="P12" s="451"/>
      <c r="Q12" s="451"/>
      <c r="R12" s="451"/>
      <c r="S12" s="451"/>
      <c r="T12" s="451"/>
      <c r="U12" s="451"/>
      <c r="V12" s="451"/>
      <c r="W12" s="455"/>
      <c r="X12" s="451"/>
      <c r="Y12" s="451"/>
      <c r="Z12" s="455"/>
      <c r="AA12" s="455"/>
      <c r="AB12" s="455"/>
      <c r="AC12" s="455"/>
      <c r="AD12" s="455"/>
      <c r="AE12" s="455"/>
      <c r="AF12" s="455"/>
      <c r="AG12" s="451"/>
      <c r="AH12" s="451"/>
      <c r="AI12" s="451"/>
      <c r="AJ12" s="451"/>
      <c r="AK12" s="451"/>
      <c r="AL12" s="451"/>
      <c r="AM12" s="451"/>
      <c r="AN12" s="456"/>
    </row>
    <row r="13" spans="2:40" s="439" customFormat="1" ht="12.75">
      <c r="B13" s="457"/>
      <c r="C13" s="458"/>
      <c r="D13" s="458"/>
      <c r="E13" s="458"/>
      <c r="F13" s="458"/>
      <c r="G13" s="458"/>
      <c r="H13" s="458"/>
      <c r="I13" s="458"/>
      <c r="J13" s="458"/>
      <c r="K13" s="458"/>
      <c r="L13" s="458"/>
      <c r="M13" s="458"/>
      <c r="N13" s="459"/>
      <c r="O13" s="458"/>
      <c r="P13" s="458"/>
      <c r="Q13" s="458"/>
      <c r="R13" s="458"/>
      <c r="S13" s="458"/>
      <c r="T13" s="458"/>
      <c r="U13" s="458"/>
      <c r="V13" s="458"/>
      <c r="W13" s="459"/>
      <c r="X13" s="458"/>
      <c r="Y13" s="458"/>
      <c r="Z13" s="459"/>
      <c r="AA13" s="459"/>
      <c r="AB13" s="459"/>
      <c r="AC13" s="459"/>
      <c r="AD13" s="459"/>
      <c r="AE13" s="459"/>
      <c r="AF13" s="459"/>
      <c r="AG13" s="458"/>
      <c r="AH13" s="458"/>
      <c r="AI13" s="458"/>
      <c r="AJ13" s="458"/>
      <c r="AK13" s="458"/>
      <c r="AL13" s="458"/>
      <c r="AM13" s="458"/>
      <c r="AN13" s="460"/>
    </row>
    <row r="14" spans="2:40" s="439" customFormat="1" ht="12.75">
      <c r="B14" s="457"/>
      <c r="C14" s="458"/>
      <c r="D14" s="458"/>
      <c r="E14" s="458"/>
      <c r="F14" s="458"/>
      <c r="G14" s="458"/>
      <c r="H14" s="458"/>
      <c r="I14" s="458"/>
      <c r="J14" s="458"/>
      <c r="K14" s="458"/>
      <c r="L14" s="458"/>
      <c r="M14" s="458"/>
      <c r="N14" s="459"/>
      <c r="O14" s="458"/>
      <c r="P14" s="458"/>
      <c r="Q14" s="458"/>
      <c r="R14" s="458"/>
      <c r="S14" s="458"/>
      <c r="T14" s="458"/>
      <c r="U14" s="458"/>
      <c r="V14" s="458"/>
      <c r="W14" s="459"/>
      <c r="X14" s="458"/>
      <c r="Y14" s="458"/>
      <c r="Z14" s="459"/>
      <c r="AA14" s="459"/>
      <c r="AB14" s="459"/>
      <c r="AC14" s="459"/>
      <c r="AD14" s="459"/>
      <c r="AE14" s="459"/>
      <c r="AF14" s="459"/>
      <c r="AG14" s="458"/>
      <c r="AH14" s="458"/>
      <c r="AI14" s="458"/>
      <c r="AJ14" s="458"/>
      <c r="AK14" s="458"/>
      <c r="AL14" s="458"/>
      <c r="AM14" s="458"/>
      <c r="AN14" s="460"/>
    </row>
    <row r="15" spans="2:40" s="462" customFormat="1" ht="19.5">
      <c r="B15" s="463" t="str">
        <f>'TOT-0215'!B14</f>
        <v>Desde el 01 al 28 de febrero de 2015</v>
      </c>
      <c r="C15" s="464"/>
      <c r="D15" s="464"/>
      <c r="E15" s="464"/>
      <c r="F15" s="464"/>
      <c r="G15" s="464"/>
      <c r="H15" s="464"/>
      <c r="I15" s="464"/>
      <c r="J15" s="464"/>
      <c r="K15" s="464"/>
      <c r="L15" s="464"/>
      <c r="M15" s="464"/>
      <c r="N15" s="465"/>
      <c r="O15" s="464"/>
      <c r="P15" s="466"/>
      <c r="Q15" s="466"/>
      <c r="R15" s="464"/>
      <c r="S15" s="464"/>
      <c r="T15" s="464"/>
      <c r="U15" s="464"/>
      <c r="V15" s="464"/>
      <c r="W15" s="465"/>
      <c r="X15" s="464"/>
      <c r="Y15" s="464"/>
      <c r="Z15" s="465"/>
      <c r="AA15" s="465"/>
      <c r="AB15" s="465"/>
      <c r="AC15" s="465"/>
      <c r="AD15" s="465"/>
      <c r="AE15" s="465"/>
      <c r="AF15" s="465"/>
      <c r="AG15" s="464"/>
      <c r="AH15" s="464"/>
      <c r="AI15" s="464"/>
      <c r="AJ15" s="464"/>
      <c r="AK15" s="464"/>
      <c r="AL15" s="464"/>
      <c r="AM15" s="464"/>
      <c r="AN15" s="467"/>
    </row>
    <row r="16" spans="2:40" s="439" customFormat="1" ht="16.5" customHeight="1" thickBot="1">
      <c r="B16" s="457"/>
      <c r="C16" s="458"/>
      <c r="D16" s="458"/>
      <c r="E16" s="458"/>
      <c r="F16" s="458"/>
      <c r="G16" s="468"/>
      <c r="H16" s="468"/>
      <c r="I16" s="458"/>
      <c r="J16" s="458"/>
      <c r="K16" s="458"/>
      <c r="L16" s="469"/>
      <c r="M16" s="458"/>
      <c r="N16" s="459"/>
      <c r="O16" s="458"/>
      <c r="R16" s="458"/>
      <c r="S16" s="458"/>
      <c r="T16" s="458"/>
      <c r="U16" s="458"/>
      <c r="V16" s="458"/>
      <c r="W16" s="459"/>
      <c r="X16" s="458"/>
      <c r="Y16" s="458"/>
      <c r="Z16" s="459"/>
      <c r="AA16" s="459"/>
      <c r="AB16" s="459"/>
      <c r="AC16" s="459"/>
      <c r="AD16" s="459"/>
      <c r="AE16" s="459"/>
      <c r="AF16" s="459"/>
      <c r="AG16" s="458"/>
      <c r="AH16" s="458"/>
      <c r="AI16" s="458"/>
      <c r="AJ16" s="458"/>
      <c r="AK16" s="458"/>
      <c r="AL16" s="458"/>
      <c r="AM16" s="458"/>
      <c r="AN16" s="460"/>
    </row>
    <row r="17" spans="2:40" s="439" customFormat="1" ht="16.5" customHeight="1" thickBot="1" thickTop="1">
      <c r="B17" s="457"/>
      <c r="C17" s="458"/>
      <c r="D17" s="458"/>
      <c r="E17" s="458"/>
      <c r="F17" s="470" t="s">
        <v>167</v>
      </c>
      <c r="G17" s="681">
        <v>335.458</v>
      </c>
      <c r="H17" s="682"/>
      <c r="I17" s="458"/>
      <c r="J17" s="458"/>
      <c r="K17" s="458"/>
      <c r="L17" s="471"/>
      <c r="M17" s="458"/>
      <c r="N17" s="459"/>
      <c r="O17" s="458"/>
      <c r="P17" s="458"/>
      <c r="Q17" s="458"/>
      <c r="R17" s="458"/>
      <c r="S17" s="458"/>
      <c r="T17" s="472" t="s">
        <v>168</v>
      </c>
      <c r="U17" s="473"/>
      <c r="V17" s="474"/>
      <c r="W17" s="459"/>
      <c r="X17" s="458"/>
      <c r="Y17" s="458"/>
      <c r="Z17" s="459"/>
      <c r="AA17" s="459"/>
      <c r="AB17" s="459"/>
      <c r="AC17" s="459"/>
      <c r="AD17" s="459"/>
      <c r="AE17" s="459"/>
      <c r="AF17" s="459"/>
      <c r="AG17" s="458"/>
      <c r="AH17" s="458"/>
      <c r="AI17" s="475" t="s">
        <v>168</v>
      </c>
      <c r="AJ17" s="476"/>
      <c r="AK17" s="477"/>
      <c r="AL17" s="458"/>
      <c r="AM17" s="458"/>
      <c r="AN17" s="460"/>
    </row>
    <row r="18" spans="2:40" s="439" customFormat="1" ht="16.5" customHeight="1" thickBot="1" thickTop="1">
      <c r="B18" s="457"/>
      <c r="C18" s="458"/>
      <c r="D18" s="458"/>
      <c r="E18" s="458"/>
      <c r="F18" s="470" t="s">
        <v>169</v>
      </c>
      <c r="G18" s="430">
        <v>320.552</v>
      </c>
      <c r="H18" s="40"/>
      <c r="I18" s="458"/>
      <c r="J18" s="458"/>
      <c r="K18" s="458"/>
      <c r="L18" s="471"/>
      <c r="M18" s="478"/>
      <c r="N18" s="459"/>
      <c r="O18" s="458"/>
      <c r="P18" s="458"/>
      <c r="Q18" s="458"/>
      <c r="R18" s="458"/>
      <c r="S18" s="458"/>
      <c r="T18" s="479" t="s">
        <v>170</v>
      </c>
      <c r="U18" s="480"/>
      <c r="V18" s="481"/>
      <c r="W18" s="438"/>
      <c r="X18" s="482"/>
      <c r="Z18" s="438"/>
      <c r="AA18" s="438"/>
      <c r="AB18" s="438"/>
      <c r="AC18" s="438"/>
      <c r="AD18" s="438"/>
      <c r="AE18" s="438"/>
      <c r="AF18" s="438"/>
      <c r="AI18" s="483" t="s">
        <v>171</v>
      </c>
      <c r="AJ18" s="484"/>
      <c r="AK18" s="485"/>
      <c r="AL18" s="486"/>
      <c r="AM18" s="486"/>
      <c r="AN18" s="487"/>
    </row>
    <row r="19" spans="2:40" s="439" customFormat="1" ht="16.5" customHeight="1" thickBot="1" thickTop="1">
      <c r="B19" s="457"/>
      <c r="C19" s="458"/>
      <c r="D19" s="458"/>
      <c r="E19" s="458"/>
      <c r="F19" s="470" t="s">
        <v>172</v>
      </c>
      <c r="G19" s="430">
        <v>320.552</v>
      </c>
      <c r="H19" s="40"/>
      <c r="I19" s="458"/>
      <c r="J19" s="458"/>
      <c r="K19" s="458"/>
      <c r="L19" s="471"/>
      <c r="M19" s="478"/>
      <c r="N19" s="459"/>
      <c r="O19" s="458"/>
      <c r="P19" s="458"/>
      <c r="Q19" s="458"/>
      <c r="R19" s="458"/>
      <c r="S19" s="458"/>
      <c r="T19" s="479"/>
      <c r="U19" s="480"/>
      <c r="V19" s="481"/>
      <c r="W19" s="438"/>
      <c r="X19" s="482"/>
      <c r="Z19" s="438"/>
      <c r="AA19" s="438"/>
      <c r="AB19" s="438"/>
      <c r="AC19" s="438"/>
      <c r="AD19" s="438"/>
      <c r="AE19" s="438"/>
      <c r="AF19" s="438"/>
      <c r="AI19" s="483"/>
      <c r="AJ19" s="484"/>
      <c r="AK19" s="485"/>
      <c r="AL19" s="486"/>
      <c r="AM19" s="486"/>
      <c r="AN19" s="487"/>
    </row>
    <row r="20" spans="2:40" s="439" customFormat="1" ht="16.5" customHeight="1" thickBot="1" thickTop="1">
      <c r="B20" s="457"/>
      <c r="C20" s="458"/>
      <c r="D20" s="458"/>
      <c r="E20" s="458"/>
      <c r="F20" s="458"/>
      <c r="G20" s="488"/>
      <c r="H20" s="458"/>
      <c r="I20" s="458"/>
      <c r="J20" s="458"/>
      <c r="K20" s="458"/>
      <c r="L20" s="458"/>
      <c r="M20" s="458"/>
      <c r="N20" s="459"/>
      <c r="O20" s="458"/>
      <c r="P20" s="489"/>
      <c r="Q20" s="458"/>
      <c r="R20" s="458"/>
      <c r="S20" s="458"/>
      <c r="T20" s="490" t="s">
        <v>173</v>
      </c>
      <c r="U20" s="491"/>
      <c r="V20" s="492"/>
      <c r="W20" s="459"/>
      <c r="X20" s="458"/>
      <c r="Y20" s="458"/>
      <c r="Z20" s="459"/>
      <c r="AA20" s="459"/>
      <c r="AB20" s="459"/>
      <c r="AC20" s="459"/>
      <c r="AD20" s="459"/>
      <c r="AE20" s="459"/>
      <c r="AF20" s="459"/>
      <c r="AG20" s="458"/>
      <c r="AH20" s="458"/>
      <c r="AI20" s="493" t="s">
        <v>174</v>
      </c>
      <c r="AJ20" s="494"/>
      <c r="AK20" s="495"/>
      <c r="AL20" s="458"/>
      <c r="AM20" s="458"/>
      <c r="AN20" s="460"/>
    </row>
    <row r="21" spans="2:40" s="439" customFormat="1" ht="40.5" customHeight="1" thickBot="1" thickTop="1">
      <c r="B21" s="457"/>
      <c r="C21" s="458"/>
      <c r="D21" s="496" t="s">
        <v>175</v>
      </c>
      <c r="E21" s="497" t="s">
        <v>13</v>
      </c>
      <c r="F21" s="498" t="s">
        <v>1</v>
      </c>
      <c r="G21" s="499" t="s">
        <v>14</v>
      </c>
      <c r="H21" s="500" t="s">
        <v>15</v>
      </c>
      <c r="I21" s="501" t="s">
        <v>176</v>
      </c>
      <c r="J21" s="498" t="s">
        <v>177</v>
      </c>
      <c r="K21" s="502" t="s">
        <v>16</v>
      </c>
      <c r="L21" s="498" t="s">
        <v>17</v>
      </c>
      <c r="M21" s="503" t="s">
        <v>18</v>
      </c>
      <c r="N21" s="504" t="s">
        <v>178</v>
      </c>
      <c r="O21" s="505" t="s">
        <v>179</v>
      </c>
      <c r="P21" s="506" t="s">
        <v>54</v>
      </c>
      <c r="Q21" s="500" t="s">
        <v>180</v>
      </c>
      <c r="R21" s="503" t="s">
        <v>181</v>
      </c>
      <c r="S21" s="498" t="s">
        <v>40</v>
      </c>
      <c r="T21" s="507" t="s">
        <v>182</v>
      </c>
      <c r="U21" s="508"/>
      <c r="V21" s="509"/>
      <c r="W21" s="510" t="s">
        <v>183</v>
      </c>
      <c r="X21" s="511" t="s">
        <v>29</v>
      </c>
      <c r="Y21" s="511" t="s">
        <v>184</v>
      </c>
      <c r="Z21" s="510" t="s">
        <v>185</v>
      </c>
      <c r="AA21" s="510" t="s">
        <v>186</v>
      </c>
      <c r="AB21" s="510" t="s">
        <v>187</v>
      </c>
      <c r="AC21" s="510" t="s">
        <v>188</v>
      </c>
      <c r="AD21" s="510" t="s">
        <v>189</v>
      </c>
      <c r="AE21" s="510" t="s">
        <v>190</v>
      </c>
      <c r="AF21" s="512" t="s">
        <v>191</v>
      </c>
      <c r="AG21" s="512" t="s">
        <v>192</v>
      </c>
      <c r="AH21" s="512" t="s">
        <v>193</v>
      </c>
      <c r="AI21" s="507" t="s">
        <v>182</v>
      </c>
      <c r="AJ21" s="508"/>
      <c r="AK21" s="509"/>
      <c r="AL21" s="510" t="s">
        <v>194</v>
      </c>
      <c r="AM21" s="511" t="s">
        <v>30</v>
      </c>
      <c r="AN21" s="513"/>
    </row>
    <row r="22" spans="2:40" s="439" customFormat="1" ht="16.5" customHeight="1" hidden="1">
      <c r="B22" s="457"/>
      <c r="C22" s="458"/>
      <c r="D22" s="458"/>
      <c r="E22" s="514"/>
      <c r="F22" s="515"/>
      <c r="G22" s="515"/>
      <c r="H22" s="514"/>
      <c r="I22" s="514"/>
      <c r="J22" s="516"/>
      <c r="K22" s="517"/>
      <c r="L22" s="514"/>
      <c r="M22" s="514"/>
      <c r="N22" s="518"/>
      <c r="O22" s="519"/>
      <c r="P22" s="514"/>
      <c r="Q22" s="514"/>
      <c r="R22" s="514"/>
      <c r="S22" s="514"/>
      <c r="T22" s="520"/>
      <c r="U22" s="521"/>
      <c r="V22" s="522"/>
      <c r="W22" s="523"/>
      <c r="X22" s="514"/>
      <c r="Y22" s="524"/>
      <c r="Z22" s="525"/>
      <c r="AA22" s="524"/>
      <c r="AB22" s="524"/>
      <c r="AC22" s="525"/>
      <c r="AD22" s="525"/>
      <c r="AE22" s="526"/>
      <c r="AF22" s="527"/>
      <c r="AG22" s="527"/>
      <c r="AH22" s="527"/>
      <c r="AI22" s="520"/>
      <c r="AJ22" s="521"/>
      <c r="AK22" s="522"/>
      <c r="AL22" s="525"/>
      <c r="AM22" s="524"/>
      <c r="AN22" s="460"/>
    </row>
    <row r="23" spans="2:40" s="439" customFormat="1" ht="16.5" thickBot="1" thickTop="1">
      <c r="B23" s="457"/>
      <c r="C23" s="528"/>
      <c r="D23" s="529"/>
      <c r="E23" s="530"/>
      <c r="F23" s="531"/>
      <c r="G23" s="531"/>
      <c r="H23" s="531"/>
      <c r="I23" s="531"/>
      <c r="J23" s="531"/>
      <c r="K23" s="531"/>
      <c r="L23" s="531"/>
      <c r="M23" s="531"/>
      <c r="N23" s="531"/>
      <c r="O23" s="531"/>
      <c r="P23" s="532"/>
      <c r="Q23" s="531"/>
      <c r="R23" s="531"/>
      <c r="S23" s="531"/>
      <c r="T23" s="533"/>
      <c r="U23" s="533"/>
      <c r="V23" s="534"/>
      <c r="W23" s="535"/>
      <c r="X23" s="531"/>
      <c r="Y23" s="536"/>
      <c r="Z23" s="535"/>
      <c r="AA23" s="536"/>
      <c r="AB23" s="535"/>
      <c r="AC23" s="535"/>
      <c r="AD23" s="535"/>
      <c r="AE23" s="537"/>
      <c r="AF23" s="535"/>
      <c r="AG23" s="535"/>
      <c r="AH23" s="535"/>
      <c r="AI23" s="533"/>
      <c r="AJ23" s="533"/>
      <c r="AK23" s="534"/>
      <c r="AL23" s="535"/>
      <c r="AM23" s="538"/>
      <c r="AN23" s="460"/>
    </row>
    <row r="24" spans="2:40" s="438" customFormat="1" ht="18" customHeight="1" thickBot="1">
      <c r="B24" s="539"/>
      <c r="C24" s="683" t="s">
        <v>195</v>
      </c>
      <c r="D24" s="540">
        <v>1</v>
      </c>
      <c r="E24" s="541">
        <v>10</v>
      </c>
      <c r="F24" s="541" t="s">
        <v>81</v>
      </c>
      <c r="G24" s="541">
        <v>132</v>
      </c>
      <c r="H24" s="542">
        <v>141</v>
      </c>
      <c r="I24" s="543" t="s">
        <v>82</v>
      </c>
      <c r="J24" s="544">
        <f>IF(I24="A",150,IF(I24="B",50,10))</f>
        <v>50</v>
      </c>
      <c r="K24" s="545">
        <f>IF(G24=220,$G$17,IF(G24=132,$G$18,$G$19)*IF(H24&gt;25,H24,25)/100)</f>
        <v>451.97832</v>
      </c>
      <c r="L24" s="546">
        <v>42043.17222222222</v>
      </c>
      <c r="M24" s="546">
        <v>42044.78125</v>
      </c>
      <c r="N24" s="547">
        <f aca="true" t="shared" si="0" ref="N24:N30">IF(F24="","",(M24-L24)*24)</f>
        <v>38.6166666666395</v>
      </c>
      <c r="O24" s="548">
        <f aca="true" t="shared" si="1" ref="O24:O30">IF(F24="","",ROUND((M24-L24)*24*60,0))</f>
        <v>2317</v>
      </c>
      <c r="P24" s="549" t="s">
        <v>83</v>
      </c>
      <c r="Q24" s="550" t="str">
        <f aca="true" t="shared" si="2" ref="Q24:Q30">IF(F24="","","--")</f>
        <v>--</v>
      </c>
      <c r="R24" s="551" t="str">
        <f aca="true" t="shared" si="3" ref="R24:R30">IF(F24="","","NO")</f>
        <v>NO</v>
      </c>
      <c r="S24" s="551" t="str">
        <f aca="true" t="shared" si="4" ref="S24:S30">IF(F24="","",IF(OR(P24="P",P24="RP"),"--","NO"))</f>
        <v>NO</v>
      </c>
      <c r="T24" s="552">
        <f>IF(AND(P24="F",S24="NO"),K24*J24*IF(R24="SI",1.2,1),"--")</f>
        <v>22598.916</v>
      </c>
      <c r="U24" s="552">
        <f>IF(AND(P24="F",AF24&gt;=10),K24*J24*IF(R24="SI",1.2,1)*IF(AF24&lt;=180,ROUND(AF24/60,2),3),"--")</f>
        <v>67796.748</v>
      </c>
      <c r="V24" s="553">
        <f>IF(AND(P24="F",AF24&gt;180),(ROUND(AF24/60,2)-3)*K24*J24*0.1*IF(R24="SI",1.2,1),"--")</f>
        <v>150508.78055999998</v>
      </c>
      <c r="W24" s="554">
        <f aca="true" t="shared" si="5" ref="W24:W30">IF(F24="","",SUM(T24:V24)*IF(X24="SI",1,2))</f>
        <v>240904.44455999997</v>
      </c>
      <c r="X24" s="555" t="str">
        <f aca="true" t="shared" si="6" ref="X24:X30">IF(F24="","","SI")</f>
        <v>SI</v>
      </c>
      <c r="Y24" s="556">
        <v>1</v>
      </c>
      <c r="Z24" s="557">
        <f>IF(F24="","",IF(Y24&lt;=10,48,72))</f>
        <v>48</v>
      </c>
      <c r="AA24" s="558">
        <v>0</v>
      </c>
      <c r="AB24" s="559">
        <f>IF(F24="","",0.9)</f>
        <v>0.9</v>
      </c>
      <c r="AC24" s="560">
        <f>IF(F24="","",Z24+AA24)</f>
        <v>48</v>
      </c>
      <c r="AD24" s="554">
        <f>IF(F24="","",AB24*24*Y24)</f>
        <v>21.6</v>
      </c>
      <c r="AE24" s="561">
        <f aca="true" t="shared" si="7" ref="AE24:AE30">IF(F24="","",AD24+AC24)</f>
        <v>69.6</v>
      </c>
      <c r="AF24" s="562">
        <f>AE24*60</f>
        <v>4176</v>
      </c>
      <c r="AG24" s="563">
        <f>LOG(W24)/LOG(AD24)</f>
        <v>4.032994630150948</v>
      </c>
      <c r="AH24" s="563">
        <f>1/(2*Y24)</f>
        <v>0.5</v>
      </c>
      <c r="AI24" s="552">
        <f>IF(AND(P24="F",S24="NO"),K24*J24*IF(R24="SI",1.2,1),"--")</f>
        <v>22598.916</v>
      </c>
      <c r="AJ24" s="552">
        <f>IF(AND(P24="F",O24&gt;=10),K24*J24*IF(R24="SI",1.2,1)*IF(O24&lt;=180,ROUND(O24/60,2),3),"--")</f>
        <v>67796.748</v>
      </c>
      <c r="AK24" s="553">
        <f>IF(AND(P24="F",O24&gt;180),(ROUND(O24/60,2)-3)*K24*J24*0.1*IF(R24="SI",1.2,1),"--")</f>
        <v>80497.338792</v>
      </c>
      <c r="AL24" s="554">
        <f aca="true" t="shared" si="8" ref="AL24:AL30">IF(F24="","",SUM(AI24:AK24)*IF(X24="SI",1,2))</f>
        <v>170893.002792</v>
      </c>
      <c r="AM24" s="564">
        <f aca="true" t="shared" si="9" ref="AM24:AM30">IF(F24=""," ",IF(N24&lt;=AC24,0,(IF(N24&gt;AE24,AL24,(N24-AC24)^AG24*1/(1-AH24*(N24-AE24))))))</f>
        <v>0</v>
      </c>
      <c r="AN24" s="565"/>
    </row>
    <row r="25" spans="2:40" s="438" customFormat="1" ht="20.25" customHeight="1" thickBot="1">
      <c r="B25" s="539"/>
      <c r="C25" s="684"/>
      <c r="D25" s="566"/>
      <c r="E25" s="567"/>
      <c r="F25" s="568"/>
      <c r="G25" s="569"/>
      <c r="H25" s="570"/>
      <c r="I25" s="569"/>
      <c r="J25" s="571"/>
      <c r="K25" s="545"/>
      <c r="L25" s="572"/>
      <c r="M25" s="572"/>
      <c r="N25" s="573">
        <f t="shared" si="0"/>
      </c>
      <c r="O25" s="574">
        <f t="shared" si="1"/>
      </c>
      <c r="P25" s="575"/>
      <c r="Q25" s="576">
        <f t="shared" si="2"/>
      </c>
      <c r="R25" s="577">
        <f t="shared" si="3"/>
      </c>
      <c r="S25" s="577">
        <f t="shared" si="4"/>
      </c>
      <c r="T25" s="578"/>
      <c r="U25" s="578"/>
      <c r="V25" s="579"/>
      <c r="W25" s="580">
        <f t="shared" si="5"/>
      </c>
      <c r="X25" s="579">
        <f t="shared" si="6"/>
      </c>
      <c r="Y25" s="581"/>
      <c r="Z25" s="582">
        <f>IF(F25="","",IF(#REF!&lt;=#REF!,0,IF(Y25&lt;=10,48,72)))</f>
      </c>
      <c r="AA25" s="583"/>
      <c r="AB25" s="584">
        <f>IF(F25="","",IF(#REF!&lt;=#REF!,1,0.9))</f>
      </c>
      <c r="AC25" s="580">
        <f>IF(F25="","",IF(#REF!&lt;=#REF!,#REF!+AA25,Z25+AA25))</f>
      </c>
      <c r="AD25" s="585">
        <f>IF(F25="","",IF(#REF!&lt;=#REF!,AB25*Y25*24,AB25*Y25*24))</f>
      </c>
      <c r="AE25" s="580">
        <f t="shared" si="7"/>
      </c>
      <c r="AF25" s="580"/>
      <c r="AG25" s="586"/>
      <c r="AH25" s="586"/>
      <c r="AI25" s="552"/>
      <c r="AJ25" s="552"/>
      <c r="AK25" s="553"/>
      <c r="AL25" s="580">
        <f t="shared" si="8"/>
      </c>
      <c r="AM25" s="580" t="str">
        <f t="shared" si="9"/>
        <v> </v>
      </c>
      <c r="AN25" s="565"/>
    </row>
    <row r="26" spans="2:40" s="459" customFormat="1" ht="22.5" customHeight="1" thickBot="1">
      <c r="B26" s="539"/>
      <c r="C26" s="685"/>
      <c r="D26" s="587"/>
      <c r="E26" s="588"/>
      <c r="F26" s="589"/>
      <c r="G26" s="590"/>
      <c r="H26" s="591"/>
      <c r="I26" s="590"/>
      <c r="J26" s="592"/>
      <c r="K26" s="593"/>
      <c r="L26" s="594"/>
      <c r="M26" s="594"/>
      <c r="N26" s="595">
        <f t="shared" si="0"/>
      </c>
      <c r="O26" s="596">
        <f t="shared" si="1"/>
      </c>
      <c r="P26" s="597"/>
      <c r="Q26" s="598">
        <f t="shared" si="2"/>
      </c>
      <c r="R26" s="599">
        <f t="shared" si="3"/>
      </c>
      <c r="S26" s="599">
        <f t="shared" si="4"/>
      </c>
      <c r="T26" s="600"/>
      <c r="U26" s="600"/>
      <c r="V26" s="601"/>
      <c r="W26" s="602">
        <f t="shared" si="5"/>
      </c>
      <c r="X26" s="601">
        <f t="shared" si="6"/>
      </c>
      <c r="Y26" s="603"/>
      <c r="Z26" s="604">
        <f>IF(F26="","",IF(N25&lt;=AE25,0,IF(Y26&lt;=10,48,72)))</f>
      </c>
      <c r="AA26" s="605"/>
      <c r="AB26" s="606">
        <f>IF(F26="","",IF(N25&lt;=AE25,1,0.9))</f>
      </c>
      <c r="AC26" s="602">
        <f>IF(F26="","",IF(N25&lt;=AE25,N25+AA26,Z26+AA26))</f>
      </c>
      <c r="AD26" s="607">
        <f>IF(F26="","",IF(N25&lt;=AE25,AB26*Y26*24,AB26*Y26*24))</f>
      </c>
      <c r="AE26" s="602">
        <f t="shared" si="7"/>
      </c>
      <c r="AF26" s="602"/>
      <c r="AG26" s="608"/>
      <c r="AH26" s="608"/>
      <c r="AI26" s="609"/>
      <c r="AJ26" s="609"/>
      <c r="AK26" s="610"/>
      <c r="AL26" s="602">
        <f t="shared" si="8"/>
      </c>
      <c r="AM26" s="602" t="str">
        <f t="shared" si="9"/>
        <v> </v>
      </c>
      <c r="AN26" s="565"/>
    </row>
    <row r="27" spans="2:40" s="438" customFormat="1" ht="16.5" customHeight="1" thickBot="1">
      <c r="B27" s="539"/>
      <c r="C27" s="683"/>
      <c r="D27" s="540"/>
      <c r="E27" s="611"/>
      <c r="F27" s="612"/>
      <c r="G27" s="613"/>
      <c r="H27" s="614"/>
      <c r="I27" s="613"/>
      <c r="J27" s="615"/>
      <c r="K27" s="545"/>
      <c r="L27" s="616"/>
      <c r="M27" s="617"/>
      <c r="N27" s="547">
        <f t="shared" si="0"/>
      </c>
      <c r="O27" s="548">
        <f t="shared" si="1"/>
      </c>
      <c r="P27" s="549"/>
      <c r="Q27" s="550">
        <f t="shared" si="2"/>
      </c>
      <c r="R27" s="551">
        <f t="shared" si="3"/>
      </c>
      <c r="S27" s="551">
        <f t="shared" si="4"/>
      </c>
      <c r="T27" s="552"/>
      <c r="U27" s="552"/>
      <c r="V27" s="553"/>
      <c r="W27" s="554">
        <f t="shared" si="5"/>
      </c>
      <c r="X27" s="553">
        <f t="shared" si="6"/>
      </c>
      <c r="Y27" s="556"/>
      <c r="Z27" s="618">
        <f>IF(F27="","",IF(Y27&lt;=10,48,72))</f>
      </c>
      <c r="AA27" s="619"/>
      <c r="AB27" s="620">
        <f>IF(F27="","",0.9)</f>
      </c>
      <c r="AC27" s="554">
        <f>IF(F27="","",Z27+AA27)</f>
      </c>
      <c r="AD27" s="554">
        <f>IF(F27="","",AB27*24*Y27)</f>
      </c>
      <c r="AE27" s="561">
        <f t="shared" si="7"/>
      </c>
      <c r="AF27" s="562"/>
      <c r="AG27" s="563"/>
      <c r="AH27" s="563"/>
      <c r="AI27" s="552"/>
      <c r="AJ27" s="552"/>
      <c r="AK27" s="553"/>
      <c r="AL27" s="554">
        <f t="shared" si="8"/>
      </c>
      <c r="AM27" s="564" t="str">
        <f t="shared" si="9"/>
        <v> </v>
      </c>
      <c r="AN27" s="565"/>
    </row>
    <row r="28" spans="2:40" s="438" customFormat="1" ht="16.5" customHeight="1" thickBot="1">
      <c r="B28" s="539"/>
      <c r="C28" s="684"/>
      <c r="D28" s="566"/>
      <c r="E28" s="567"/>
      <c r="F28" s="568"/>
      <c r="G28" s="569"/>
      <c r="H28" s="570"/>
      <c r="I28" s="569"/>
      <c r="J28" s="571"/>
      <c r="K28" s="545"/>
      <c r="L28" s="621"/>
      <c r="M28" s="622"/>
      <c r="N28" s="573">
        <f t="shared" si="0"/>
      </c>
      <c r="O28" s="574">
        <f t="shared" si="1"/>
      </c>
      <c r="P28" s="623"/>
      <c r="Q28" s="576">
        <f t="shared" si="2"/>
      </c>
      <c r="R28" s="577">
        <f t="shared" si="3"/>
      </c>
      <c r="S28" s="577">
        <f t="shared" si="4"/>
      </c>
      <c r="T28" s="578"/>
      <c r="U28" s="578"/>
      <c r="V28" s="579"/>
      <c r="W28" s="585">
        <f t="shared" si="5"/>
      </c>
      <c r="X28" s="579">
        <f t="shared" si="6"/>
      </c>
      <c r="Y28" s="624"/>
      <c r="Z28" s="582">
        <f>IF(F28="","",IF(N27&lt;=AE27,0,IF(Y28&lt;=10,48,72)))</f>
      </c>
      <c r="AA28" s="625"/>
      <c r="AB28" s="584">
        <f>IF(F28="","",IF(N27&lt;=AE27,1,0.9))</f>
      </c>
      <c r="AC28" s="585">
        <f>IF(F28="","",IF(N27&lt;=AE27,N27+AA28,Z28+AA28))</f>
      </c>
      <c r="AD28" s="585">
        <f>IF(F28="","",IF(N27&lt;=AE27,AB28*Y28*24,AB28*Y28*24))</f>
      </c>
      <c r="AE28" s="626">
        <f t="shared" si="7"/>
      </c>
      <c r="AF28" s="627"/>
      <c r="AG28" s="628"/>
      <c r="AH28" s="628"/>
      <c r="AI28" s="552"/>
      <c r="AJ28" s="552"/>
      <c r="AK28" s="553"/>
      <c r="AL28" s="585">
        <f t="shared" si="8"/>
      </c>
      <c r="AM28" s="629" t="str">
        <f t="shared" si="9"/>
        <v> </v>
      </c>
      <c r="AN28" s="565"/>
    </row>
    <row r="29" spans="2:40" s="438" customFormat="1" ht="16.5" customHeight="1" thickBot="1">
      <c r="B29" s="539"/>
      <c r="C29" s="684"/>
      <c r="D29" s="566"/>
      <c r="E29" s="567"/>
      <c r="F29" s="568"/>
      <c r="G29" s="569"/>
      <c r="H29" s="570"/>
      <c r="I29" s="569"/>
      <c r="J29" s="571"/>
      <c r="K29" s="545"/>
      <c r="L29" s="572"/>
      <c r="M29" s="572"/>
      <c r="N29" s="573">
        <f t="shared" si="0"/>
      </c>
      <c r="O29" s="574">
        <f t="shared" si="1"/>
      </c>
      <c r="P29" s="575"/>
      <c r="Q29" s="576">
        <f t="shared" si="2"/>
      </c>
      <c r="R29" s="577">
        <f t="shared" si="3"/>
      </c>
      <c r="S29" s="577">
        <f t="shared" si="4"/>
      </c>
      <c r="T29" s="578"/>
      <c r="U29" s="578"/>
      <c r="V29" s="579"/>
      <c r="W29" s="580">
        <f t="shared" si="5"/>
      </c>
      <c r="X29" s="579">
        <f t="shared" si="6"/>
      </c>
      <c r="Y29" s="581"/>
      <c r="Z29" s="630">
        <f>IF(F29="","",IF(N28&lt;=AE28,0,IF(Y29&lt;=10,48,72)))</f>
      </c>
      <c r="AA29" s="583"/>
      <c r="AB29" s="584">
        <f>IF(F29="","",IF(N28&lt;=AE28,1,0.9))</f>
      </c>
      <c r="AC29" s="580">
        <f>IF(F29="","",IF(N28&lt;=AE28,N28+AA29,Z29+AA29))</f>
      </c>
      <c r="AD29" s="585">
        <f>IF(F29="","",IF(N28&lt;=AE28,AB29*Y29*24,AB29*Y29*24))</f>
      </c>
      <c r="AE29" s="580">
        <f t="shared" si="7"/>
      </c>
      <c r="AF29" s="580"/>
      <c r="AG29" s="586"/>
      <c r="AH29" s="586"/>
      <c r="AI29" s="552"/>
      <c r="AJ29" s="552"/>
      <c r="AK29" s="553"/>
      <c r="AL29" s="580">
        <f t="shared" si="8"/>
      </c>
      <c r="AM29" s="580" t="str">
        <f t="shared" si="9"/>
        <v> </v>
      </c>
      <c r="AN29" s="565"/>
    </row>
    <row r="30" spans="2:40" s="459" customFormat="1" ht="16.5" customHeight="1" thickBot="1">
      <c r="B30" s="539"/>
      <c r="C30" s="685"/>
      <c r="D30" s="587"/>
      <c r="E30" s="588"/>
      <c r="F30" s="589"/>
      <c r="G30" s="590"/>
      <c r="H30" s="591"/>
      <c r="I30" s="590"/>
      <c r="J30" s="592"/>
      <c r="K30" s="545"/>
      <c r="L30" s="594"/>
      <c r="M30" s="594"/>
      <c r="N30" s="595">
        <f t="shared" si="0"/>
      </c>
      <c r="O30" s="596">
        <f t="shared" si="1"/>
      </c>
      <c r="P30" s="597"/>
      <c r="Q30" s="598">
        <f t="shared" si="2"/>
      </c>
      <c r="R30" s="599">
        <f t="shared" si="3"/>
      </c>
      <c r="S30" s="599">
        <f t="shared" si="4"/>
      </c>
      <c r="T30" s="600"/>
      <c r="U30" s="600"/>
      <c r="V30" s="601"/>
      <c r="W30" s="602">
        <f t="shared" si="5"/>
      </c>
      <c r="X30" s="601">
        <f t="shared" si="6"/>
      </c>
      <c r="Y30" s="603"/>
      <c r="Z30" s="604">
        <f>IF(F30="","",IF(N29&lt;=AE29,0,IF(Y30&lt;=10,48,72)))</f>
      </c>
      <c r="AA30" s="605"/>
      <c r="AB30" s="631">
        <f>IF(F30="","",IF(N29&lt;=AE29,1,0.9))</f>
      </c>
      <c r="AC30" s="602">
        <f>IF(F30="","",IF(N29&lt;=AE29,N29+AA30,Z30+AA30))</f>
      </c>
      <c r="AD30" s="607">
        <f>IF(F30="","",IF(N29&lt;=AE29,AB30*Y30*24,AB30*Y30*24))</f>
      </c>
      <c r="AE30" s="602">
        <f t="shared" si="7"/>
      </c>
      <c r="AF30" s="602"/>
      <c r="AG30" s="608"/>
      <c r="AH30" s="608"/>
      <c r="AI30" s="552"/>
      <c r="AJ30" s="552"/>
      <c r="AK30" s="553"/>
      <c r="AL30" s="602">
        <f t="shared" si="8"/>
      </c>
      <c r="AM30" s="602" t="str">
        <f t="shared" si="9"/>
        <v> </v>
      </c>
      <c r="AN30" s="565"/>
    </row>
    <row r="31" spans="1:41" s="438" customFormat="1" ht="16.5" customHeight="1" thickBot="1">
      <c r="A31" s="439"/>
      <c r="B31" s="457"/>
      <c r="C31" s="632"/>
      <c r="D31" s="633"/>
      <c r="E31" s="634"/>
      <c r="F31" s="635"/>
      <c r="G31" s="636"/>
      <c r="H31" s="635"/>
      <c r="I31" s="637"/>
      <c r="J31" s="638"/>
      <c r="K31" s="639"/>
      <c r="L31" s="640"/>
      <c r="M31" s="640"/>
      <c r="N31" s="641"/>
      <c r="O31" s="641"/>
      <c r="P31" s="640"/>
      <c r="Q31" s="642"/>
      <c r="R31" s="641"/>
      <c r="S31" s="641"/>
      <c r="T31" s="643"/>
      <c r="U31" s="643"/>
      <c r="V31" s="644"/>
      <c r="W31" s="645"/>
      <c r="X31" s="646"/>
      <c r="Y31" s="647"/>
      <c r="Z31" s="648"/>
      <c r="AA31" s="649"/>
      <c r="AB31" s="650"/>
      <c r="AC31" s="648"/>
      <c r="AD31" s="648"/>
      <c r="AE31" s="648"/>
      <c r="AF31" s="651"/>
      <c r="AG31" s="648"/>
      <c r="AH31" s="648"/>
      <c r="AI31" s="652"/>
      <c r="AJ31" s="652"/>
      <c r="AK31" s="653"/>
      <c r="AL31" s="648"/>
      <c r="AM31" s="654"/>
      <c r="AN31" s="565"/>
      <c r="AO31" s="439"/>
    </row>
    <row r="32" spans="2:40" s="439" customFormat="1" ht="16.5" customHeight="1" thickBot="1" thickTop="1">
      <c r="B32" s="457"/>
      <c r="C32" s="458"/>
      <c r="D32" s="458"/>
      <c r="E32" s="655"/>
      <c r="F32" s="656"/>
      <c r="G32" s="657"/>
      <c r="H32" s="488"/>
      <c r="I32" s="658"/>
      <c r="J32" s="488"/>
      <c r="K32" s="659"/>
      <c r="L32" s="659"/>
      <c r="M32" s="659"/>
      <c r="N32" s="660"/>
      <c r="O32" s="659"/>
      <c r="P32" s="659"/>
      <c r="Q32" s="661"/>
      <c r="R32" s="659"/>
      <c r="S32" s="659"/>
      <c r="T32" s="662">
        <f>SUM(T22:T31)</f>
        <v>22598.916</v>
      </c>
      <c r="U32" s="662">
        <f>SUM(U22:U31)</f>
        <v>67796.748</v>
      </c>
      <c r="V32" s="662">
        <f>SUM(V22:V31)</f>
        <v>150508.78055999998</v>
      </c>
      <c r="W32" s="663"/>
      <c r="X32" s="664"/>
      <c r="Y32" s="663"/>
      <c r="Z32" s="663"/>
      <c r="AA32" s="663"/>
      <c r="AB32" s="663"/>
      <c r="AC32" s="663"/>
      <c r="AD32" s="663"/>
      <c r="AE32" s="663"/>
      <c r="AF32" s="663"/>
      <c r="AG32" s="663"/>
      <c r="AH32" s="663"/>
      <c r="AI32" s="662">
        <f>SUM(AI22:AI31)</f>
        <v>22598.916</v>
      </c>
      <c r="AJ32" s="662">
        <f>SUM(AJ22:AJ31)</f>
        <v>67796.748</v>
      </c>
      <c r="AK32" s="662">
        <f>SUM(AK22:AK31)</f>
        <v>80497.338792</v>
      </c>
      <c r="AL32" s="663"/>
      <c r="AM32" s="665">
        <f>ROUND(SUM(AM22:AM31),2)</f>
        <v>0</v>
      </c>
      <c r="AN32" s="565"/>
    </row>
    <row r="33" spans="2:40" ht="13.5" thickTop="1">
      <c r="B33" s="666"/>
      <c r="C33" s="667"/>
      <c r="D33" s="667"/>
      <c r="E33" s="668" t="s">
        <v>196</v>
      </c>
      <c r="F33" s="669" t="s">
        <v>197</v>
      </c>
      <c r="AN33" s="672"/>
    </row>
    <row r="34" spans="2:40" ht="12.75">
      <c r="B34" s="666"/>
      <c r="C34" s="667"/>
      <c r="D34" s="667"/>
      <c r="E34" s="668" t="s">
        <v>198</v>
      </c>
      <c r="F34" s="669" t="s">
        <v>199</v>
      </c>
      <c r="AN34" s="672"/>
    </row>
    <row r="35" spans="2:40" ht="12.75">
      <c r="B35" s="666"/>
      <c r="C35" s="667"/>
      <c r="D35" s="667"/>
      <c r="E35" s="669" t="s">
        <v>200</v>
      </c>
      <c r="F35" s="669" t="s">
        <v>201</v>
      </c>
      <c r="AN35" s="672"/>
    </row>
    <row r="36" spans="2:40" ht="12.75">
      <c r="B36" s="666"/>
      <c r="C36" s="667"/>
      <c r="D36" s="667"/>
      <c r="E36" s="669" t="s">
        <v>202</v>
      </c>
      <c r="F36" s="669" t="s">
        <v>203</v>
      </c>
      <c r="AN36" s="672"/>
    </row>
    <row r="37" spans="2:40" s="439" customFormat="1" ht="16.5" customHeight="1" thickBot="1">
      <c r="B37" s="673"/>
      <c r="C37" s="674"/>
      <c r="D37" s="674"/>
      <c r="E37" s="675"/>
      <c r="F37" s="675"/>
      <c r="G37" s="675"/>
      <c r="H37" s="675"/>
      <c r="I37" s="675"/>
      <c r="J37" s="675"/>
      <c r="K37" s="675"/>
      <c r="L37" s="675"/>
      <c r="M37" s="675"/>
      <c r="N37" s="676"/>
      <c r="O37" s="675"/>
      <c r="P37" s="675"/>
      <c r="Q37" s="675"/>
      <c r="R37" s="675"/>
      <c r="S37" s="675"/>
      <c r="T37" s="675"/>
      <c r="U37" s="675"/>
      <c r="V37" s="675"/>
      <c r="W37" s="676"/>
      <c r="X37" s="675"/>
      <c r="Y37" s="675"/>
      <c r="Z37" s="676"/>
      <c r="AA37" s="676"/>
      <c r="AB37" s="676"/>
      <c r="AC37" s="676"/>
      <c r="AD37" s="676"/>
      <c r="AE37" s="676"/>
      <c r="AF37" s="676"/>
      <c r="AG37" s="675"/>
      <c r="AH37" s="675"/>
      <c r="AI37" s="675"/>
      <c r="AJ37" s="675"/>
      <c r="AK37" s="675"/>
      <c r="AL37" s="675"/>
      <c r="AM37" s="675"/>
      <c r="AN37" s="677"/>
    </row>
    <row r="38" spans="2:40" ht="16.5" customHeight="1" thickTop="1">
      <c r="B38" s="667"/>
      <c r="C38" s="667"/>
      <c r="D38" s="667"/>
      <c r="AN38" s="667"/>
    </row>
    <row r="39" spans="6:15" ht="15.75">
      <c r="F39" s="678"/>
      <c r="G39" s="678"/>
      <c r="H39" s="678"/>
      <c r="I39" s="678"/>
      <c r="J39" s="678"/>
      <c r="K39" s="678"/>
      <c r="L39" s="678"/>
      <c r="M39" s="678"/>
      <c r="N39" s="679"/>
      <c r="O39" s="678"/>
    </row>
    <row r="40" spans="6:15" ht="15.75">
      <c r="F40" s="678"/>
      <c r="G40" s="678"/>
      <c r="H40" s="678"/>
      <c r="I40" s="678"/>
      <c r="J40" s="678"/>
      <c r="K40" s="678"/>
      <c r="L40" s="678"/>
      <c r="M40" s="678"/>
      <c r="N40" s="679"/>
      <c r="O40" s="678"/>
    </row>
    <row r="41" spans="6:15" ht="15.75">
      <c r="F41" s="678"/>
      <c r="G41" s="678"/>
      <c r="H41" s="678"/>
      <c r="I41" s="678"/>
      <c r="J41" s="678"/>
      <c r="K41" s="678"/>
      <c r="L41" s="678"/>
      <c r="M41" s="678"/>
      <c r="N41" s="679"/>
      <c r="O41" s="678"/>
    </row>
    <row r="42" spans="6:15" ht="15.75">
      <c r="F42" s="678"/>
      <c r="G42" s="678"/>
      <c r="H42" s="678"/>
      <c r="I42" s="678"/>
      <c r="J42" s="678"/>
      <c r="K42" s="678"/>
      <c r="L42" s="678"/>
      <c r="M42" s="678"/>
      <c r="N42" s="679"/>
      <c r="O42" s="678"/>
    </row>
  </sheetData>
  <sheetProtection/>
  <mergeCells count="3">
    <mergeCell ref="C24:C26"/>
    <mergeCell ref="C27:C30"/>
    <mergeCell ref="G17:H17"/>
  </mergeCells>
  <printOptions/>
  <pageMargins left="0.3937007874015748" right="0.1968503937007874" top="0.7874015748031497" bottom="1.42" header="0.5118110236220472" footer="0.5118110236220472"/>
  <pageSetup fitToHeight="1" fitToWidth="1" horizontalDpi="600" verticalDpi="600" orientation="landscape" paperSize="9" scale="50" r:id="rId4"/>
  <headerFooter alignWithMargins="0">
    <oddFooter>&amp;L&amp;F-&amp;A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6"/>
  <sheetViews>
    <sheetView zoomScale="70" zoomScaleNormal="70" zoomScalePageLayoutView="0" workbookViewId="0" topLeftCell="B1">
      <selection activeCell="I17" sqref="I17"/>
    </sheetView>
  </sheetViews>
  <sheetFormatPr defaultColWidth="11.421875" defaultRowHeight="12.75"/>
  <cols>
    <col min="1" max="2" width="4.140625" style="5" customWidth="1"/>
    <col min="3" max="3" width="5.421875" style="5" customWidth="1"/>
    <col min="4" max="5" width="13.7109375" style="5" customWidth="1"/>
    <col min="6" max="6" width="30.7109375" style="5" customWidth="1"/>
    <col min="7" max="7" width="25.7109375" style="5" customWidth="1"/>
    <col min="8" max="8" width="7.28125" style="5" customWidth="1"/>
    <col min="9" max="9" width="12.00390625" style="5" customWidth="1"/>
    <col min="10" max="10" width="6.8515625" style="5" hidden="1" customWidth="1"/>
    <col min="11" max="12" width="15.7109375" style="5" customWidth="1"/>
    <col min="13" max="15" width="9.7109375" style="5" customWidth="1"/>
    <col min="16" max="18" width="7.7109375" style="5" customWidth="1"/>
    <col min="19" max="19" width="11.7109375" style="5" hidden="1" customWidth="1"/>
    <col min="20" max="21" width="12.57421875" style="5" hidden="1" customWidth="1"/>
    <col min="22" max="25" width="8.140625" style="5" hidden="1" customWidth="1"/>
    <col min="26" max="27" width="12.0039062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16384" width="11.421875" style="5" customWidth="1"/>
  </cols>
  <sheetData>
    <row r="1" spans="2:30" s="3" customFormat="1" ht="32.25" customHeight="1"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312"/>
    </row>
    <row r="2" spans="2:30" s="3" customFormat="1" ht="26.25">
      <c r="B2" s="16" t="str">
        <f>'TOT-0215'!B2</f>
        <v>ANEXO III al Memorándum D.T.E.E. N° 814   / 2015</v>
      </c>
      <c r="C2" s="143"/>
      <c r="D2" s="143"/>
      <c r="E2" s="143"/>
      <c r="F2" s="143"/>
      <c r="G2" s="4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</row>
    <row r="3" spans="2:30" s="1" customFormat="1" ht="12" customHeight="1">
      <c r="B3" s="17"/>
      <c r="C3" s="144"/>
      <c r="D3" s="144"/>
      <c r="E3" s="144"/>
      <c r="F3" s="144"/>
      <c r="G3" s="6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</row>
    <row r="4" spans="1:30" s="9" customFormat="1" ht="11.25">
      <c r="A4" s="8" t="s">
        <v>3</v>
      </c>
      <c r="B4" s="145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</row>
    <row r="5" spans="1:30" s="9" customFormat="1" ht="11.25">
      <c r="A5" s="8" t="s">
        <v>4</v>
      </c>
      <c r="B5" s="145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</row>
    <row r="6" spans="2:30" s="1" customFormat="1" ht="16.5" customHeight="1" thickBot="1"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</row>
    <row r="7" spans="2:30" s="1" customFormat="1" ht="16.5" customHeight="1" thickTop="1">
      <c r="B7" s="148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50"/>
    </row>
    <row r="8" spans="2:30" s="22" customFormat="1" ht="20.25">
      <c r="B8" s="151"/>
      <c r="C8" s="152"/>
      <c r="D8" s="152"/>
      <c r="E8" s="152"/>
      <c r="F8" s="153" t="s">
        <v>5</v>
      </c>
      <c r="H8" s="152"/>
      <c r="I8" s="154"/>
      <c r="J8" s="154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5"/>
    </row>
    <row r="9" spans="2:30" s="1" customFormat="1" ht="16.5" customHeight="1">
      <c r="B9" s="156"/>
      <c r="C9" s="2"/>
      <c r="D9" s="2"/>
      <c r="E9" s="2"/>
      <c r="F9" s="2"/>
      <c r="G9" s="2"/>
      <c r="H9" s="2"/>
      <c r="I9" s="147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57"/>
    </row>
    <row r="10" spans="2:30" s="22" customFormat="1" ht="20.25">
      <c r="B10" s="151"/>
      <c r="C10" s="152"/>
      <c r="D10" s="152"/>
      <c r="E10" s="152"/>
      <c r="F10" s="153" t="s">
        <v>31</v>
      </c>
      <c r="G10" s="152"/>
      <c r="H10" s="152"/>
      <c r="I10" s="154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5"/>
    </row>
    <row r="11" spans="2:30" s="1" customFormat="1" ht="16.5" customHeight="1">
      <c r="B11" s="156"/>
      <c r="C11" s="2"/>
      <c r="D11" s="2"/>
      <c r="E11" s="2"/>
      <c r="F11" s="158"/>
      <c r="G11" s="2"/>
      <c r="H11" s="2"/>
      <c r="I11" s="147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157"/>
    </row>
    <row r="12" spans="2:30" s="22" customFormat="1" ht="20.25">
      <c r="B12" s="151"/>
      <c r="C12" s="152"/>
      <c r="D12" s="152"/>
      <c r="E12" s="152"/>
      <c r="F12" s="159" t="s">
        <v>32</v>
      </c>
      <c r="G12" s="153"/>
      <c r="H12" s="154"/>
      <c r="I12" s="154"/>
      <c r="J12" s="160"/>
      <c r="K12" s="152"/>
      <c r="L12" s="154"/>
      <c r="M12" s="154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5"/>
    </row>
    <row r="13" spans="2:30" s="1" customFormat="1" ht="16.5" customHeight="1">
      <c r="B13" s="156"/>
      <c r="C13" s="2"/>
      <c r="D13" s="2"/>
      <c r="E13" s="2"/>
      <c r="F13" s="161"/>
      <c r="G13" s="161"/>
      <c r="H13" s="161"/>
      <c r="I13" s="162"/>
      <c r="J13" s="163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157"/>
    </row>
    <row r="14" spans="2:30" s="10" customFormat="1" ht="19.5">
      <c r="B14" s="164" t="str">
        <f>'TOT-0215'!B14</f>
        <v>Desde el 01 al 28 de febrero de 2015</v>
      </c>
      <c r="C14" s="28"/>
      <c r="D14" s="28"/>
      <c r="E14" s="28"/>
      <c r="F14" s="165"/>
      <c r="G14" s="165"/>
      <c r="H14" s="165"/>
      <c r="I14" s="165"/>
      <c r="J14" s="165"/>
      <c r="K14" s="29"/>
      <c r="L14" s="29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6"/>
    </row>
    <row r="15" spans="2:30" s="1" customFormat="1" ht="16.5" customHeight="1" thickBot="1">
      <c r="B15" s="156"/>
      <c r="C15" s="2"/>
      <c r="D15" s="2"/>
      <c r="E15" s="2"/>
      <c r="F15" s="2"/>
      <c r="G15" s="2"/>
      <c r="H15" s="2"/>
      <c r="I15" s="167"/>
      <c r="J15" s="2"/>
      <c r="K15" s="168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157"/>
    </row>
    <row r="16" spans="2:30" s="1" customFormat="1" ht="16.5" customHeight="1" thickBot="1" thickTop="1">
      <c r="B16" s="156"/>
      <c r="C16" s="2"/>
      <c r="D16" s="2"/>
      <c r="E16" s="2"/>
      <c r="F16" s="169" t="s">
        <v>33</v>
      </c>
      <c r="G16" s="170"/>
      <c r="H16" s="171"/>
      <c r="I16" s="313">
        <v>1.118</v>
      </c>
      <c r="J16" s="147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157"/>
    </row>
    <row r="17" spans="2:30" s="1" customFormat="1" ht="16.5" customHeight="1" thickBot="1" thickTop="1">
      <c r="B17" s="156"/>
      <c r="C17" s="2"/>
      <c r="D17" s="2"/>
      <c r="E17" s="2"/>
      <c r="F17" s="172" t="s">
        <v>34</v>
      </c>
      <c r="G17" s="173"/>
      <c r="H17" s="173"/>
      <c r="I17" s="174">
        <f>60*'TOT-0215'!B13</f>
        <v>60</v>
      </c>
      <c r="J17" s="175"/>
      <c r="K17" s="175" t="str">
        <f>IF(I17=60," ",IF(I17=120,"    Coeficiente duplicado por tasa de falla &gt;4 Sal. x año/100 km.","    REVISAR COEFICIENTE"))</f>
        <v> 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176"/>
      <c r="X17" s="2"/>
      <c r="Y17" s="176"/>
      <c r="Z17" s="176"/>
      <c r="AA17" s="176"/>
      <c r="AB17" s="176"/>
      <c r="AC17" s="176"/>
      <c r="AD17" s="157"/>
    </row>
    <row r="18" spans="2:30" s="1" customFormat="1" ht="16.5" customHeight="1" thickBot="1" thickTop="1">
      <c r="B18" s="156"/>
      <c r="C18" s="415">
        <v>3</v>
      </c>
      <c r="D18" s="415">
        <v>4</v>
      </c>
      <c r="E18" s="415">
        <v>5</v>
      </c>
      <c r="F18" s="415">
        <v>6</v>
      </c>
      <c r="G18" s="415">
        <v>7</v>
      </c>
      <c r="H18" s="415">
        <v>8</v>
      </c>
      <c r="I18" s="415">
        <v>9</v>
      </c>
      <c r="J18" s="415">
        <v>10</v>
      </c>
      <c r="K18" s="415">
        <v>11</v>
      </c>
      <c r="L18" s="415">
        <v>12</v>
      </c>
      <c r="M18" s="415">
        <v>13</v>
      </c>
      <c r="N18" s="415">
        <v>14</v>
      </c>
      <c r="O18" s="415">
        <v>15</v>
      </c>
      <c r="P18" s="415">
        <v>16</v>
      </c>
      <c r="Q18" s="415">
        <v>17</v>
      </c>
      <c r="R18" s="415">
        <v>18</v>
      </c>
      <c r="S18" s="415">
        <v>19</v>
      </c>
      <c r="T18" s="415">
        <v>20</v>
      </c>
      <c r="U18" s="415">
        <v>21</v>
      </c>
      <c r="V18" s="415">
        <v>22</v>
      </c>
      <c r="W18" s="415">
        <v>23</v>
      </c>
      <c r="X18" s="415">
        <v>24</v>
      </c>
      <c r="Y18" s="415">
        <v>25</v>
      </c>
      <c r="Z18" s="415">
        <v>26</v>
      </c>
      <c r="AA18" s="415">
        <v>27</v>
      </c>
      <c r="AB18" s="415">
        <v>28</v>
      </c>
      <c r="AC18" s="415">
        <v>29</v>
      </c>
      <c r="AD18" s="157"/>
    </row>
    <row r="19" spans="2:30" s="177" customFormat="1" ht="34.5" customHeight="1" thickBot="1" thickTop="1">
      <c r="B19" s="178"/>
      <c r="C19" s="413" t="s">
        <v>13</v>
      </c>
      <c r="D19" s="413" t="s">
        <v>72</v>
      </c>
      <c r="E19" s="413" t="s">
        <v>73</v>
      </c>
      <c r="F19" s="179" t="s">
        <v>35</v>
      </c>
      <c r="G19" s="180" t="s">
        <v>36</v>
      </c>
      <c r="H19" s="181" t="s">
        <v>37</v>
      </c>
      <c r="I19" s="182" t="s">
        <v>14</v>
      </c>
      <c r="J19" s="183" t="s">
        <v>16</v>
      </c>
      <c r="K19" s="180" t="s">
        <v>17</v>
      </c>
      <c r="L19" s="180" t="s">
        <v>18</v>
      </c>
      <c r="M19" s="179" t="s">
        <v>38</v>
      </c>
      <c r="N19" s="179" t="s">
        <v>39</v>
      </c>
      <c r="O19" s="46" t="s">
        <v>54</v>
      </c>
      <c r="P19" s="180" t="s">
        <v>40</v>
      </c>
      <c r="Q19" s="179" t="s">
        <v>21</v>
      </c>
      <c r="R19" s="180" t="s">
        <v>41</v>
      </c>
      <c r="S19" s="184" t="s">
        <v>42</v>
      </c>
      <c r="T19" s="185" t="s">
        <v>23</v>
      </c>
      <c r="U19" s="186" t="s">
        <v>24</v>
      </c>
      <c r="V19" s="187" t="s">
        <v>43</v>
      </c>
      <c r="W19" s="188"/>
      <c r="X19" s="189" t="s">
        <v>44</v>
      </c>
      <c r="Y19" s="190"/>
      <c r="Z19" s="191" t="s">
        <v>27</v>
      </c>
      <c r="AA19" s="192" t="s">
        <v>28</v>
      </c>
      <c r="AB19" s="182" t="s">
        <v>45</v>
      </c>
      <c r="AC19" s="182" t="s">
        <v>30</v>
      </c>
      <c r="AD19" s="193"/>
    </row>
    <row r="20" spans="2:30" s="1" customFormat="1" ht="16.5" customHeight="1" thickTop="1">
      <c r="B20" s="156"/>
      <c r="C20" s="194"/>
      <c r="D20" s="194"/>
      <c r="E20" s="194"/>
      <c r="F20" s="195"/>
      <c r="G20" s="196"/>
      <c r="H20" s="196"/>
      <c r="I20" s="196"/>
      <c r="J20" s="197"/>
      <c r="K20" s="398"/>
      <c r="L20" s="399"/>
      <c r="M20" s="198"/>
      <c r="N20" s="198"/>
      <c r="O20" s="196"/>
      <c r="P20" s="196"/>
      <c r="Q20" s="196"/>
      <c r="R20" s="196"/>
      <c r="S20" s="72"/>
      <c r="T20" s="70"/>
      <c r="U20" s="199"/>
      <c r="V20" s="200"/>
      <c r="W20" s="201"/>
      <c r="X20" s="202"/>
      <c r="Y20" s="203"/>
      <c r="Z20" s="204"/>
      <c r="AA20" s="205"/>
      <c r="AB20" s="196"/>
      <c r="AC20" s="206"/>
      <c r="AD20" s="157"/>
    </row>
    <row r="21" spans="2:30" s="1" customFormat="1" ht="16.5" customHeight="1">
      <c r="B21" s="156"/>
      <c r="C21" s="207"/>
      <c r="D21" s="207"/>
      <c r="E21" s="207"/>
      <c r="F21" s="208"/>
      <c r="G21" s="209"/>
      <c r="H21" s="209"/>
      <c r="I21" s="209"/>
      <c r="J21" s="210"/>
      <c r="K21" s="424"/>
      <c r="L21" s="425"/>
      <c r="M21" s="211"/>
      <c r="N21" s="211"/>
      <c r="O21" s="209"/>
      <c r="P21" s="209"/>
      <c r="Q21" s="209"/>
      <c r="R21" s="209"/>
      <c r="S21" s="86"/>
      <c r="T21" s="84"/>
      <c r="U21" s="212"/>
      <c r="V21" s="213"/>
      <c r="W21" s="214"/>
      <c r="X21" s="215"/>
      <c r="Y21" s="216"/>
      <c r="Z21" s="217"/>
      <c r="AA21" s="218"/>
      <c r="AB21" s="209"/>
      <c r="AC21" s="219"/>
      <c r="AD21" s="157"/>
    </row>
    <row r="22" spans="2:30" s="1" customFormat="1" ht="16.5" customHeight="1">
      <c r="B22" s="156"/>
      <c r="C22" s="207">
        <v>45</v>
      </c>
      <c r="D22" s="207">
        <v>284423</v>
      </c>
      <c r="E22" s="207">
        <v>2381</v>
      </c>
      <c r="F22" s="75" t="s">
        <v>98</v>
      </c>
      <c r="G22" s="77" t="s">
        <v>99</v>
      </c>
      <c r="H22" s="220">
        <v>1.5</v>
      </c>
      <c r="I22" s="88" t="s">
        <v>100</v>
      </c>
      <c r="J22" s="222">
        <f aca="true" t="shared" si="0" ref="J22:J41">H22*$I$16</f>
        <v>1.677</v>
      </c>
      <c r="K22" s="424">
        <v>42036.29861111111</v>
      </c>
      <c r="L22" s="424">
        <v>42036.629166666666</v>
      </c>
      <c r="M22" s="223">
        <f aca="true" t="shared" si="1" ref="M22:M41">IF(F22="","",(L22-K22)*24)</f>
        <v>7.933333333348855</v>
      </c>
      <c r="N22" s="224">
        <f aca="true" t="shared" si="2" ref="N22:N41">IF(F22="","",ROUND((L22-K22)*24*60,0))</f>
        <v>476</v>
      </c>
      <c r="O22" s="225" t="s">
        <v>77</v>
      </c>
      <c r="P22" s="416" t="str">
        <f aca="true" t="shared" si="3" ref="P22:P41">IF(F22="","",IF(OR(O22="P",O22="RP"),"--","NO"))</f>
        <v>--</v>
      </c>
      <c r="Q22" s="416" t="s">
        <v>79</v>
      </c>
      <c r="R22" s="416" t="str">
        <f aca="true" t="shared" si="4" ref="R22:R41">IF(F22="","","NO")</f>
        <v>NO</v>
      </c>
      <c r="S22" s="103">
        <f aca="true" t="shared" si="5" ref="S22:S41">$I$17*IF(OR(O22="P",O22="RP"),0.1,1)*IF(R22="SI",1,0.1)</f>
        <v>0.6000000000000001</v>
      </c>
      <c r="T22" s="227">
        <f aca="true" t="shared" si="6" ref="T22:T41">IF(O22="P",J22*S22*ROUND(N22/60,2),"--")</f>
        <v>7.979166000000001</v>
      </c>
      <c r="U22" s="228" t="str">
        <f aca="true" t="shared" si="7" ref="U22:U41">IF(O22="RP",J22*S22*ROUND(N22/60,2)*Q22/100,"--")</f>
        <v>--</v>
      </c>
      <c r="V22" s="229" t="str">
        <f aca="true" t="shared" si="8" ref="V22:V41">IF(AND(O22="F",P22="NO"),J22*S22,"--")</f>
        <v>--</v>
      </c>
      <c r="W22" s="230" t="str">
        <f aca="true" t="shared" si="9" ref="W22:W41">IF(O22="F",J22*S22*ROUND(N22/60,2),"--")</f>
        <v>--</v>
      </c>
      <c r="X22" s="231" t="str">
        <f aca="true" t="shared" si="10" ref="X22:X41">IF(AND(O22="R",P22="NO"),J22*S22*Q22/100,"--")</f>
        <v>--</v>
      </c>
      <c r="Y22" s="232" t="str">
        <f aca="true" t="shared" si="11" ref="Y22:Y41">IF(O22="R",J22*S22*ROUND(N22/60,2)*Q22/100,"--")</f>
        <v>--</v>
      </c>
      <c r="Z22" s="233" t="str">
        <f aca="true" t="shared" si="12" ref="Z22:Z41">IF(O22="RF",J22*S22*ROUND(N22/60,2),"--")</f>
        <v>--</v>
      </c>
      <c r="AA22" s="234" t="str">
        <f aca="true" t="shared" si="13" ref="AA22:AA41">IF(O22="RR",J22*S22*ROUND(N22/60,2)*Q22/100,"--")</f>
        <v>--</v>
      </c>
      <c r="AB22" s="416" t="s">
        <v>78</v>
      </c>
      <c r="AC22" s="235">
        <f aca="true" t="shared" si="14" ref="AC22:AC41">IF(F22="","",SUM(T22:AA22)*IF(AB22="SI",1,2)*IF(AND(Q22&lt;&gt;"0,000",O22="RF"),Q22/100,1))</f>
        <v>7.979166000000001</v>
      </c>
      <c r="AD22" s="236"/>
    </row>
    <row r="23" spans="2:30" s="1" customFormat="1" ht="16.5" customHeight="1">
      <c r="B23" s="156"/>
      <c r="C23" s="207">
        <v>46</v>
      </c>
      <c r="D23" s="207">
        <v>284425</v>
      </c>
      <c r="E23" s="207">
        <v>2380</v>
      </c>
      <c r="F23" s="75" t="s">
        <v>98</v>
      </c>
      <c r="G23" s="77" t="s">
        <v>101</v>
      </c>
      <c r="H23" s="220">
        <v>5</v>
      </c>
      <c r="I23" s="88" t="s">
        <v>100</v>
      </c>
      <c r="J23" s="222">
        <f t="shared" si="0"/>
        <v>5.590000000000001</v>
      </c>
      <c r="K23" s="424">
        <v>42036.32152777778</v>
      </c>
      <c r="L23" s="424">
        <v>42036.43402777778</v>
      </c>
      <c r="M23" s="223">
        <f t="shared" si="1"/>
        <v>2.700000000069849</v>
      </c>
      <c r="N23" s="224">
        <f t="shared" si="2"/>
        <v>162</v>
      </c>
      <c r="O23" s="225" t="s">
        <v>77</v>
      </c>
      <c r="P23" s="416" t="str">
        <f t="shared" si="3"/>
        <v>--</v>
      </c>
      <c r="Q23" s="416" t="s">
        <v>79</v>
      </c>
      <c r="R23" s="416" t="str">
        <f t="shared" si="4"/>
        <v>NO</v>
      </c>
      <c r="S23" s="103">
        <f t="shared" si="5"/>
        <v>0.6000000000000001</v>
      </c>
      <c r="T23" s="227">
        <f t="shared" si="6"/>
        <v>9.055800000000003</v>
      </c>
      <c r="U23" s="228" t="str">
        <f t="shared" si="7"/>
        <v>--</v>
      </c>
      <c r="V23" s="229" t="str">
        <f t="shared" si="8"/>
        <v>--</v>
      </c>
      <c r="W23" s="230" t="str">
        <f t="shared" si="9"/>
        <v>--</v>
      </c>
      <c r="X23" s="231" t="str">
        <f t="shared" si="10"/>
        <v>--</v>
      </c>
      <c r="Y23" s="232" t="str">
        <f t="shared" si="11"/>
        <v>--</v>
      </c>
      <c r="Z23" s="233" t="str">
        <f t="shared" si="12"/>
        <v>--</v>
      </c>
      <c r="AA23" s="234" t="str">
        <f t="shared" si="13"/>
        <v>--</v>
      </c>
      <c r="AB23" s="416" t="s">
        <v>78</v>
      </c>
      <c r="AC23" s="235">
        <f t="shared" si="14"/>
        <v>9.055800000000003</v>
      </c>
      <c r="AD23" s="157"/>
    </row>
    <row r="24" spans="2:30" s="1" customFormat="1" ht="16.5" customHeight="1">
      <c r="B24" s="156"/>
      <c r="C24" s="207">
        <v>47</v>
      </c>
      <c r="D24" s="207">
        <v>284674</v>
      </c>
      <c r="E24" s="207">
        <v>2381</v>
      </c>
      <c r="F24" s="75" t="s">
        <v>98</v>
      </c>
      <c r="G24" s="77" t="s">
        <v>99</v>
      </c>
      <c r="H24" s="220">
        <v>1.5</v>
      </c>
      <c r="I24" s="88" t="s">
        <v>100</v>
      </c>
      <c r="J24" s="222">
        <f t="shared" si="0"/>
        <v>1.677</v>
      </c>
      <c r="K24" s="424">
        <v>42038.34861111111</v>
      </c>
      <c r="L24" s="424">
        <v>42041.725</v>
      </c>
      <c r="M24" s="223">
        <f t="shared" si="1"/>
        <v>81.03333333326736</v>
      </c>
      <c r="N24" s="224">
        <f t="shared" si="2"/>
        <v>4862</v>
      </c>
      <c r="O24" s="225" t="s">
        <v>77</v>
      </c>
      <c r="P24" s="416" t="str">
        <f t="shared" si="3"/>
        <v>--</v>
      </c>
      <c r="Q24" s="416" t="s">
        <v>79</v>
      </c>
      <c r="R24" s="416" t="str">
        <f t="shared" si="4"/>
        <v>NO</v>
      </c>
      <c r="S24" s="103">
        <f t="shared" si="5"/>
        <v>0.6000000000000001</v>
      </c>
      <c r="T24" s="227">
        <f t="shared" si="6"/>
        <v>81.53238600000002</v>
      </c>
      <c r="U24" s="228" t="str">
        <f t="shared" si="7"/>
        <v>--</v>
      </c>
      <c r="V24" s="229" t="str">
        <f t="shared" si="8"/>
        <v>--</v>
      </c>
      <c r="W24" s="230" t="str">
        <f t="shared" si="9"/>
        <v>--</v>
      </c>
      <c r="X24" s="231" t="str">
        <f t="shared" si="10"/>
        <v>--</v>
      </c>
      <c r="Y24" s="232" t="str">
        <f t="shared" si="11"/>
        <v>--</v>
      </c>
      <c r="Z24" s="233" t="str">
        <f t="shared" si="12"/>
        <v>--</v>
      </c>
      <c r="AA24" s="234" t="str">
        <f t="shared" si="13"/>
        <v>--</v>
      </c>
      <c r="AB24" s="416" t="s">
        <v>78</v>
      </c>
      <c r="AC24" s="235">
        <f t="shared" si="14"/>
        <v>81.53238600000002</v>
      </c>
      <c r="AD24" s="157"/>
    </row>
    <row r="25" spans="2:30" s="1" customFormat="1" ht="16.5" customHeight="1">
      <c r="B25" s="156"/>
      <c r="C25" s="207">
        <v>48</v>
      </c>
      <c r="D25" s="207">
        <v>284676</v>
      </c>
      <c r="E25" s="207">
        <v>2477</v>
      </c>
      <c r="F25" s="75" t="s">
        <v>102</v>
      </c>
      <c r="G25" s="77" t="s">
        <v>103</v>
      </c>
      <c r="H25" s="220">
        <v>15</v>
      </c>
      <c r="I25" s="88" t="s">
        <v>104</v>
      </c>
      <c r="J25" s="222">
        <f t="shared" si="0"/>
        <v>16.770000000000003</v>
      </c>
      <c r="K25" s="424">
        <v>42038.45277777778</v>
      </c>
      <c r="L25" s="424">
        <v>42038.549305555556</v>
      </c>
      <c r="M25" s="223">
        <f t="shared" si="1"/>
        <v>2.3166666667093523</v>
      </c>
      <c r="N25" s="224">
        <f t="shared" si="2"/>
        <v>139</v>
      </c>
      <c r="O25" s="225" t="s">
        <v>77</v>
      </c>
      <c r="P25" s="416" t="str">
        <f t="shared" si="3"/>
        <v>--</v>
      </c>
      <c r="Q25" s="416" t="s">
        <v>79</v>
      </c>
      <c r="R25" s="416" t="str">
        <f t="shared" si="4"/>
        <v>NO</v>
      </c>
      <c r="S25" s="103">
        <f t="shared" si="5"/>
        <v>0.6000000000000001</v>
      </c>
      <c r="T25" s="227">
        <f t="shared" si="6"/>
        <v>23.343840000000004</v>
      </c>
      <c r="U25" s="228" t="str">
        <f t="shared" si="7"/>
        <v>--</v>
      </c>
      <c r="V25" s="229" t="str">
        <f t="shared" si="8"/>
        <v>--</v>
      </c>
      <c r="W25" s="230" t="str">
        <f t="shared" si="9"/>
        <v>--</v>
      </c>
      <c r="X25" s="231" t="str">
        <f t="shared" si="10"/>
        <v>--</v>
      </c>
      <c r="Y25" s="232" t="str">
        <f t="shared" si="11"/>
        <v>--</v>
      </c>
      <c r="Z25" s="233" t="str">
        <f t="shared" si="12"/>
        <v>--</v>
      </c>
      <c r="AA25" s="234" t="str">
        <f t="shared" si="13"/>
        <v>--</v>
      </c>
      <c r="AB25" s="416" t="s">
        <v>78</v>
      </c>
      <c r="AC25" s="235">
        <f t="shared" si="14"/>
        <v>23.343840000000004</v>
      </c>
      <c r="AD25" s="157"/>
    </row>
    <row r="26" spans="2:30" s="1" customFormat="1" ht="16.5" customHeight="1">
      <c r="B26" s="156"/>
      <c r="C26" s="207">
        <v>49</v>
      </c>
      <c r="D26" s="207">
        <v>284677</v>
      </c>
      <c r="E26" s="207">
        <v>2537</v>
      </c>
      <c r="F26" s="75" t="s">
        <v>105</v>
      </c>
      <c r="G26" s="77" t="s">
        <v>106</v>
      </c>
      <c r="H26" s="220">
        <v>15</v>
      </c>
      <c r="I26" s="88" t="s">
        <v>104</v>
      </c>
      <c r="J26" s="222">
        <f>H26*$I$16</f>
        <v>16.770000000000003</v>
      </c>
      <c r="K26" s="424">
        <v>42039.13680555556</v>
      </c>
      <c r="L26" s="424">
        <v>42039.1875</v>
      </c>
      <c r="M26" s="223">
        <f>IF(F26="","",(L26-K26)*24)</f>
        <v>1.21666666661622</v>
      </c>
      <c r="N26" s="224">
        <f>IF(F26="","",ROUND((L26-K26)*24*60,0))</f>
        <v>73</v>
      </c>
      <c r="O26" s="225" t="s">
        <v>83</v>
      </c>
      <c r="P26" s="416" t="str">
        <f>IF(F26="","",IF(OR(O26="P",O26="RP"),"--","NO"))</f>
        <v>NO</v>
      </c>
      <c r="Q26" s="416" t="s">
        <v>79</v>
      </c>
      <c r="R26" s="416" t="s">
        <v>78</v>
      </c>
      <c r="S26" s="103">
        <f>$I$17*IF(OR(O26="P",O26="RP"),0.1,1)*IF(R26="SI",1,0.1)</f>
        <v>60</v>
      </c>
      <c r="T26" s="227" t="str">
        <f>IF(O26="P",J26*S26*ROUND(N26/60,2),"--")</f>
        <v>--</v>
      </c>
      <c r="U26" s="228" t="str">
        <f>IF(O26="RP",J26*S26*ROUND(N26/60,2)*Q26/100,"--")</f>
        <v>--</v>
      </c>
      <c r="V26" s="229">
        <f>IF(AND(O26="F",P26="NO"),J26*S26,"--")</f>
        <v>1006.2000000000002</v>
      </c>
      <c r="W26" s="230">
        <f>IF(O26="F",J26*S26*ROUND(N26/60,2),"--")</f>
        <v>1227.564</v>
      </c>
      <c r="X26" s="231" t="str">
        <f>IF(AND(O26="R",P26="NO"),J26*S26*Q26/100,"--")</f>
        <v>--</v>
      </c>
      <c r="Y26" s="232" t="str">
        <f>IF(O26="R",J26*S26*ROUND(N26/60,2)*Q26/100,"--")</f>
        <v>--</v>
      </c>
      <c r="Z26" s="233" t="str">
        <f>IF(O26="RF",J26*S26*ROUND(N26/60,2),"--")</f>
        <v>--</v>
      </c>
      <c r="AA26" s="234" t="str">
        <f>IF(O26="RR",J26*S26*ROUND(N26/60,2)*Q26/100,"--")</f>
        <v>--</v>
      </c>
      <c r="AB26" s="416" t="s">
        <v>78</v>
      </c>
      <c r="AC26" s="235">
        <f>IF(F26="","",SUM(T26:AA26)*IF(AB26="SI",1,2)*IF(AND(Q26&lt;&gt;"0,000",O26="RF"),Q26/100,1))</f>
        <v>2233.764</v>
      </c>
      <c r="AD26" s="157"/>
    </row>
    <row r="27" spans="2:30" s="1" customFormat="1" ht="16.5" customHeight="1">
      <c r="B27" s="156"/>
      <c r="C27" s="207" t="s">
        <v>158</v>
      </c>
      <c r="D27" s="207">
        <v>284677</v>
      </c>
      <c r="E27" s="207">
        <v>2537</v>
      </c>
      <c r="F27" s="75" t="s">
        <v>105</v>
      </c>
      <c r="G27" s="77" t="s">
        <v>106</v>
      </c>
      <c r="H27" s="220">
        <v>15</v>
      </c>
      <c r="I27" s="88" t="s">
        <v>104</v>
      </c>
      <c r="J27" s="222">
        <f t="shared" si="0"/>
        <v>16.770000000000003</v>
      </c>
      <c r="K27" s="424">
        <v>42039.1875</v>
      </c>
      <c r="L27" s="424">
        <v>42039.34097222222</v>
      </c>
      <c r="M27" s="223">
        <f t="shared" si="1"/>
        <v>3.6833333332906477</v>
      </c>
      <c r="N27" s="224">
        <f t="shared" si="2"/>
        <v>221</v>
      </c>
      <c r="O27" s="225" t="s">
        <v>159</v>
      </c>
      <c r="P27" s="416" t="str">
        <f t="shared" si="3"/>
        <v>NO</v>
      </c>
      <c r="Q27" s="416" t="s">
        <v>79</v>
      </c>
      <c r="R27" s="416" t="s">
        <v>160</v>
      </c>
      <c r="S27" s="103">
        <f t="shared" si="5"/>
        <v>6</v>
      </c>
      <c r="T27" s="227" t="str">
        <f t="shared" si="6"/>
        <v>--</v>
      </c>
      <c r="U27" s="228" t="str">
        <f t="shared" si="7"/>
        <v>--</v>
      </c>
      <c r="V27" s="229" t="str">
        <f t="shared" si="8"/>
        <v>--</v>
      </c>
      <c r="W27" s="230" t="str">
        <f t="shared" si="9"/>
        <v>--</v>
      </c>
      <c r="X27" s="231" t="str">
        <f t="shared" si="10"/>
        <v>--</v>
      </c>
      <c r="Y27" s="232" t="str">
        <f t="shared" si="11"/>
        <v>--</v>
      </c>
      <c r="Z27" s="233">
        <f t="shared" si="12"/>
        <v>370.2816000000001</v>
      </c>
      <c r="AA27" s="234" t="str">
        <f t="shared" si="13"/>
        <v>--</v>
      </c>
      <c r="AB27" s="416" t="s">
        <v>78</v>
      </c>
      <c r="AC27" s="235">
        <f t="shared" si="14"/>
        <v>370.2816000000001</v>
      </c>
      <c r="AD27" s="157"/>
    </row>
    <row r="28" spans="2:30" s="1" customFormat="1" ht="16.5" customHeight="1">
      <c r="B28" s="156"/>
      <c r="C28" s="207">
        <v>50</v>
      </c>
      <c r="D28" s="207">
        <v>284681</v>
      </c>
      <c r="E28" s="207">
        <v>2649</v>
      </c>
      <c r="F28" s="75" t="s">
        <v>107</v>
      </c>
      <c r="G28" s="77" t="s">
        <v>108</v>
      </c>
      <c r="H28" s="220">
        <v>15</v>
      </c>
      <c r="I28" s="88" t="s">
        <v>104</v>
      </c>
      <c r="J28" s="222">
        <f t="shared" si="0"/>
        <v>16.770000000000003</v>
      </c>
      <c r="K28" s="424">
        <v>42039.34166666667</v>
      </c>
      <c r="L28" s="424">
        <v>42039.736805555556</v>
      </c>
      <c r="M28" s="223">
        <f t="shared" si="1"/>
        <v>9.483333333337214</v>
      </c>
      <c r="N28" s="224">
        <f t="shared" si="2"/>
        <v>569</v>
      </c>
      <c r="O28" s="225" t="s">
        <v>77</v>
      </c>
      <c r="P28" s="416" t="str">
        <f t="shared" si="3"/>
        <v>--</v>
      </c>
      <c r="Q28" s="416" t="s">
        <v>79</v>
      </c>
      <c r="R28" s="416" t="str">
        <f t="shared" si="4"/>
        <v>NO</v>
      </c>
      <c r="S28" s="103">
        <f t="shared" si="5"/>
        <v>0.6000000000000001</v>
      </c>
      <c r="T28" s="227">
        <f t="shared" si="6"/>
        <v>95.38776000000003</v>
      </c>
      <c r="U28" s="228" t="str">
        <f t="shared" si="7"/>
        <v>--</v>
      </c>
      <c r="V28" s="229" t="str">
        <f t="shared" si="8"/>
        <v>--</v>
      </c>
      <c r="W28" s="230" t="str">
        <f t="shared" si="9"/>
        <v>--</v>
      </c>
      <c r="X28" s="231" t="str">
        <f t="shared" si="10"/>
        <v>--</v>
      </c>
      <c r="Y28" s="232" t="str">
        <f t="shared" si="11"/>
        <v>--</v>
      </c>
      <c r="Z28" s="233" t="str">
        <f t="shared" si="12"/>
        <v>--</v>
      </c>
      <c r="AA28" s="234" t="str">
        <f t="shared" si="13"/>
        <v>--</v>
      </c>
      <c r="AB28" s="416" t="s">
        <v>78</v>
      </c>
      <c r="AC28" s="235">
        <f t="shared" si="14"/>
        <v>95.38776000000003</v>
      </c>
      <c r="AD28" s="157"/>
    </row>
    <row r="29" spans="2:30" s="1" customFormat="1" ht="16.5" customHeight="1">
      <c r="B29" s="156"/>
      <c r="C29" s="207">
        <v>51</v>
      </c>
      <c r="D29" s="207">
        <v>284684</v>
      </c>
      <c r="E29" s="207">
        <v>2478</v>
      </c>
      <c r="F29" s="75" t="s">
        <v>102</v>
      </c>
      <c r="G29" s="77" t="s">
        <v>106</v>
      </c>
      <c r="H29" s="220">
        <v>15</v>
      </c>
      <c r="I29" s="88" t="s">
        <v>104</v>
      </c>
      <c r="J29" s="222">
        <f t="shared" si="0"/>
        <v>16.770000000000003</v>
      </c>
      <c r="K29" s="424">
        <v>42039.399305555555</v>
      </c>
      <c r="L29" s="424">
        <v>42039.50763888889</v>
      </c>
      <c r="M29" s="223">
        <f t="shared" si="1"/>
        <v>2.6000000000931323</v>
      </c>
      <c r="N29" s="224">
        <f t="shared" si="2"/>
        <v>156</v>
      </c>
      <c r="O29" s="225" t="s">
        <v>77</v>
      </c>
      <c r="P29" s="416" t="str">
        <f t="shared" si="3"/>
        <v>--</v>
      </c>
      <c r="Q29" s="416" t="s">
        <v>79</v>
      </c>
      <c r="R29" s="416" t="str">
        <f t="shared" si="4"/>
        <v>NO</v>
      </c>
      <c r="S29" s="103">
        <f t="shared" si="5"/>
        <v>0.6000000000000001</v>
      </c>
      <c r="T29" s="227">
        <f t="shared" si="6"/>
        <v>26.161200000000008</v>
      </c>
      <c r="U29" s="228" t="str">
        <f t="shared" si="7"/>
        <v>--</v>
      </c>
      <c r="V29" s="229" t="str">
        <f t="shared" si="8"/>
        <v>--</v>
      </c>
      <c r="W29" s="230" t="str">
        <f t="shared" si="9"/>
        <v>--</v>
      </c>
      <c r="X29" s="231" t="str">
        <f t="shared" si="10"/>
        <v>--</v>
      </c>
      <c r="Y29" s="232" t="str">
        <f t="shared" si="11"/>
        <v>--</v>
      </c>
      <c r="Z29" s="233" t="str">
        <f t="shared" si="12"/>
        <v>--</v>
      </c>
      <c r="AA29" s="234" t="str">
        <f t="shared" si="13"/>
        <v>--</v>
      </c>
      <c r="AB29" s="416" t="s">
        <v>78</v>
      </c>
      <c r="AC29" s="235">
        <f t="shared" si="14"/>
        <v>26.161200000000008</v>
      </c>
      <c r="AD29" s="157"/>
    </row>
    <row r="30" spans="2:30" s="1" customFormat="1" ht="16.5" customHeight="1">
      <c r="B30" s="156"/>
      <c r="C30" s="207">
        <v>52</v>
      </c>
      <c r="D30" s="207">
        <v>284688</v>
      </c>
      <c r="E30" s="207">
        <v>2478</v>
      </c>
      <c r="F30" s="75" t="s">
        <v>102</v>
      </c>
      <c r="G30" s="77" t="s">
        <v>106</v>
      </c>
      <c r="H30" s="220">
        <v>15</v>
      </c>
      <c r="I30" s="88" t="s">
        <v>104</v>
      </c>
      <c r="J30" s="222">
        <f t="shared" si="0"/>
        <v>16.770000000000003</v>
      </c>
      <c r="K30" s="424">
        <v>42040.42222222222</v>
      </c>
      <c r="L30" s="424">
        <v>42040.47222222222</v>
      </c>
      <c r="M30" s="223">
        <f t="shared" si="1"/>
        <v>1.1999999998952262</v>
      </c>
      <c r="N30" s="224">
        <f t="shared" si="2"/>
        <v>72</v>
      </c>
      <c r="O30" s="225" t="s">
        <v>77</v>
      </c>
      <c r="P30" s="416" t="str">
        <f t="shared" si="3"/>
        <v>--</v>
      </c>
      <c r="Q30" s="416" t="s">
        <v>79</v>
      </c>
      <c r="R30" s="416" t="str">
        <f t="shared" si="4"/>
        <v>NO</v>
      </c>
      <c r="S30" s="103">
        <f t="shared" si="5"/>
        <v>0.6000000000000001</v>
      </c>
      <c r="T30" s="227">
        <f t="shared" si="6"/>
        <v>12.074400000000002</v>
      </c>
      <c r="U30" s="228" t="str">
        <f t="shared" si="7"/>
        <v>--</v>
      </c>
      <c r="V30" s="229" t="str">
        <f t="shared" si="8"/>
        <v>--</v>
      </c>
      <c r="W30" s="230" t="str">
        <f t="shared" si="9"/>
        <v>--</v>
      </c>
      <c r="X30" s="231" t="str">
        <f t="shared" si="10"/>
        <v>--</v>
      </c>
      <c r="Y30" s="232" t="str">
        <f t="shared" si="11"/>
        <v>--</v>
      </c>
      <c r="Z30" s="233" t="str">
        <f t="shared" si="12"/>
        <v>--</v>
      </c>
      <c r="AA30" s="234" t="str">
        <f t="shared" si="13"/>
        <v>--</v>
      </c>
      <c r="AB30" s="416" t="s">
        <v>78</v>
      </c>
      <c r="AC30" s="235">
        <f t="shared" si="14"/>
        <v>12.074400000000002</v>
      </c>
      <c r="AD30" s="157"/>
    </row>
    <row r="31" spans="2:30" s="1" customFormat="1" ht="16.5" customHeight="1">
      <c r="B31" s="156"/>
      <c r="C31" s="207">
        <v>53</v>
      </c>
      <c r="D31" s="207">
        <v>284792</v>
      </c>
      <c r="E31" s="207">
        <v>2233</v>
      </c>
      <c r="F31" s="75" t="s">
        <v>109</v>
      </c>
      <c r="G31" s="77" t="s">
        <v>103</v>
      </c>
      <c r="H31" s="220">
        <v>5</v>
      </c>
      <c r="I31" s="88" t="s">
        <v>110</v>
      </c>
      <c r="J31" s="222">
        <f t="shared" si="0"/>
        <v>5.590000000000001</v>
      </c>
      <c r="K31" s="424">
        <v>42045.40625</v>
      </c>
      <c r="L31" s="424">
        <v>42045.63125</v>
      </c>
      <c r="M31" s="223">
        <f t="shared" si="1"/>
        <v>5.399999999965075</v>
      </c>
      <c r="N31" s="224">
        <f t="shared" si="2"/>
        <v>324</v>
      </c>
      <c r="O31" s="225" t="s">
        <v>77</v>
      </c>
      <c r="P31" s="416" t="str">
        <f t="shared" si="3"/>
        <v>--</v>
      </c>
      <c r="Q31" s="416" t="s">
        <v>79</v>
      </c>
      <c r="R31" s="416" t="str">
        <f t="shared" si="4"/>
        <v>NO</v>
      </c>
      <c r="S31" s="103">
        <f t="shared" si="5"/>
        <v>0.6000000000000001</v>
      </c>
      <c r="T31" s="227">
        <f t="shared" si="6"/>
        <v>18.111600000000006</v>
      </c>
      <c r="U31" s="228" t="str">
        <f t="shared" si="7"/>
        <v>--</v>
      </c>
      <c r="V31" s="229" t="str">
        <f t="shared" si="8"/>
        <v>--</v>
      </c>
      <c r="W31" s="230" t="str">
        <f t="shared" si="9"/>
        <v>--</v>
      </c>
      <c r="X31" s="231" t="str">
        <f t="shared" si="10"/>
        <v>--</v>
      </c>
      <c r="Y31" s="232" t="str">
        <f t="shared" si="11"/>
        <v>--</v>
      </c>
      <c r="Z31" s="233" t="str">
        <f t="shared" si="12"/>
        <v>--</v>
      </c>
      <c r="AA31" s="234" t="str">
        <f t="shared" si="13"/>
        <v>--</v>
      </c>
      <c r="AB31" s="416" t="s">
        <v>78</v>
      </c>
      <c r="AC31" s="235">
        <f t="shared" si="14"/>
        <v>18.111600000000006</v>
      </c>
      <c r="AD31" s="157"/>
    </row>
    <row r="32" spans="2:30" s="1" customFormat="1" ht="16.5" customHeight="1">
      <c r="B32" s="156"/>
      <c r="C32" s="207">
        <v>54</v>
      </c>
      <c r="D32" s="207">
        <v>284793</v>
      </c>
      <c r="E32" s="207">
        <v>2234</v>
      </c>
      <c r="F32" s="75" t="s">
        <v>109</v>
      </c>
      <c r="G32" s="77" t="s">
        <v>106</v>
      </c>
      <c r="H32" s="220">
        <v>5</v>
      </c>
      <c r="I32" s="88" t="s">
        <v>110</v>
      </c>
      <c r="J32" s="222">
        <f t="shared" si="0"/>
        <v>5.590000000000001</v>
      </c>
      <c r="K32" s="424">
        <v>42045.40625</v>
      </c>
      <c r="L32" s="424">
        <v>42045.63125</v>
      </c>
      <c r="M32" s="223">
        <f t="shared" si="1"/>
        <v>5.399999999965075</v>
      </c>
      <c r="N32" s="224">
        <f t="shared" si="2"/>
        <v>324</v>
      </c>
      <c r="O32" s="225" t="s">
        <v>77</v>
      </c>
      <c r="P32" s="416" t="str">
        <f t="shared" si="3"/>
        <v>--</v>
      </c>
      <c r="Q32" s="416" t="s">
        <v>79</v>
      </c>
      <c r="R32" s="416" t="str">
        <f t="shared" si="4"/>
        <v>NO</v>
      </c>
      <c r="S32" s="103">
        <f t="shared" si="5"/>
        <v>0.6000000000000001</v>
      </c>
      <c r="T32" s="227">
        <f t="shared" si="6"/>
        <v>18.111600000000006</v>
      </c>
      <c r="U32" s="228" t="str">
        <f t="shared" si="7"/>
        <v>--</v>
      </c>
      <c r="V32" s="229" t="str">
        <f t="shared" si="8"/>
        <v>--</v>
      </c>
      <c r="W32" s="230" t="str">
        <f t="shared" si="9"/>
        <v>--</v>
      </c>
      <c r="X32" s="231" t="str">
        <f t="shared" si="10"/>
        <v>--</v>
      </c>
      <c r="Y32" s="232" t="str">
        <f t="shared" si="11"/>
        <v>--</v>
      </c>
      <c r="Z32" s="233" t="str">
        <f t="shared" si="12"/>
        <v>--</v>
      </c>
      <c r="AA32" s="234" t="str">
        <f t="shared" si="13"/>
        <v>--</v>
      </c>
      <c r="AB32" s="416" t="s">
        <v>78</v>
      </c>
      <c r="AC32" s="235">
        <f t="shared" si="14"/>
        <v>18.111600000000006</v>
      </c>
      <c r="AD32" s="157"/>
    </row>
    <row r="33" spans="2:30" s="1" customFormat="1" ht="16.5" customHeight="1">
      <c r="B33" s="156"/>
      <c r="C33" s="207">
        <v>55</v>
      </c>
      <c r="D33" s="207">
        <v>284794</v>
      </c>
      <c r="E33" s="207">
        <v>2482</v>
      </c>
      <c r="F33" s="75" t="s">
        <v>111</v>
      </c>
      <c r="G33" s="77" t="s">
        <v>103</v>
      </c>
      <c r="H33" s="220">
        <v>10</v>
      </c>
      <c r="I33" s="88" t="s">
        <v>104</v>
      </c>
      <c r="J33" s="222">
        <f t="shared" si="0"/>
        <v>11.180000000000001</v>
      </c>
      <c r="K33" s="424">
        <v>42045.447916666664</v>
      </c>
      <c r="L33" s="424">
        <v>42045.52291666667</v>
      </c>
      <c r="M33" s="223">
        <f t="shared" si="1"/>
        <v>1.8000000001047738</v>
      </c>
      <c r="N33" s="224">
        <f t="shared" si="2"/>
        <v>108</v>
      </c>
      <c r="O33" s="225" t="s">
        <v>83</v>
      </c>
      <c r="P33" s="416" t="str">
        <f t="shared" si="3"/>
        <v>NO</v>
      </c>
      <c r="Q33" s="416" t="s">
        <v>79</v>
      </c>
      <c r="R33" s="416" t="s">
        <v>78</v>
      </c>
      <c r="S33" s="103">
        <f t="shared" si="5"/>
        <v>60</v>
      </c>
      <c r="T33" s="227" t="str">
        <f t="shared" si="6"/>
        <v>--</v>
      </c>
      <c r="U33" s="228" t="str">
        <f t="shared" si="7"/>
        <v>--</v>
      </c>
      <c r="V33" s="229">
        <f t="shared" si="8"/>
        <v>670.8000000000001</v>
      </c>
      <c r="W33" s="230">
        <f t="shared" si="9"/>
        <v>1207.44</v>
      </c>
      <c r="X33" s="231" t="str">
        <f t="shared" si="10"/>
        <v>--</v>
      </c>
      <c r="Y33" s="232" t="str">
        <f t="shared" si="11"/>
        <v>--</v>
      </c>
      <c r="Z33" s="233" t="str">
        <f t="shared" si="12"/>
        <v>--</v>
      </c>
      <c r="AA33" s="234" t="str">
        <f t="shared" si="13"/>
        <v>--</v>
      </c>
      <c r="AB33" s="416" t="s">
        <v>78</v>
      </c>
      <c r="AC33" s="235">
        <f t="shared" si="14"/>
        <v>1878.2400000000002</v>
      </c>
      <c r="AD33" s="157"/>
    </row>
    <row r="34" spans="2:30" s="1" customFormat="1" ht="16.5" customHeight="1">
      <c r="B34" s="156"/>
      <c r="C34" s="207">
        <v>56</v>
      </c>
      <c r="D34" s="207">
        <v>284795</v>
      </c>
      <c r="E34" s="207">
        <v>2485</v>
      </c>
      <c r="F34" s="75" t="s">
        <v>111</v>
      </c>
      <c r="G34" s="77" t="s">
        <v>108</v>
      </c>
      <c r="H34" s="220">
        <v>5</v>
      </c>
      <c r="I34" s="88" t="s">
        <v>100</v>
      </c>
      <c r="J34" s="222">
        <f t="shared" si="0"/>
        <v>5.590000000000001</v>
      </c>
      <c r="K34" s="424">
        <v>42045.447916666664</v>
      </c>
      <c r="L34" s="424">
        <v>42045.88263888889</v>
      </c>
      <c r="M34" s="223">
        <f t="shared" si="1"/>
        <v>10.43333333346527</v>
      </c>
      <c r="N34" s="224">
        <f t="shared" si="2"/>
        <v>626</v>
      </c>
      <c r="O34" s="225" t="s">
        <v>83</v>
      </c>
      <c r="P34" s="416" t="str">
        <f t="shared" si="3"/>
        <v>NO</v>
      </c>
      <c r="Q34" s="416" t="s">
        <v>79</v>
      </c>
      <c r="R34" s="416" t="s">
        <v>78</v>
      </c>
      <c r="S34" s="103">
        <f t="shared" si="5"/>
        <v>60</v>
      </c>
      <c r="T34" s="227" t="str">
        <f t="shared" si="6"/>
        <v>--</v>
      </c>
      <c r="U34" s="228" t="str">
        <f t="shared" si="7"/>
        <v>--</v>
      </c>
      <c r="V34" s="229">
        <f t="shared" si="8"/>
        <v>335.40000000000003</v>
      </c>
      <c r="W34" s="230">
        <f t="shared" si="9"/>
        <v>3498.222</v>
      </c>
      <c r="X34" s="231" t="str">
        <f t="shared" si="10"/>
        <v>--</v>
      </c>
      <c r="Y34" s="232" t="str">
        <f t="shared" si="11"/>
        <v>--</v>
      </c>
      <c r="Z34" s="233" t="str">
        <f t="shared" si="12"/>
        <v>--</v>
      </c>
      <c r="AA34" s="234" t="str">
        <f t="shared" si="13"/>
        <v>--</v>
      </c>
      <c r="AB34" s="416" t="s">
        <v>78</v>
      </c>
      <c r="AC34" s="235">
        <f t="shared" si="14"/>
        <v>3833.6220000000003</v>
      </c>
      <c r="AD34" s="157"/>
    </row>
    <row r="35" spans="2:30" s="1" customFormat="1" ht="16.5" customHeight="1">
      <c r="B35" s="156"/>
      <c r="C35" s="207">
        <v>57</v>
      </c>
      <c r="D35" s="207">
        <v>284802</v>
      </c>
      <c r="E35" s="207">
        <v>2233</v>
      </c>
      <c r="F35" s="75" t="s">
        <v>109</v>
      </c>
      <c r="G35" s="77" t="s">
        <v>103</v>
      </c>
      <c r="H35" s="220">
        <v>5</v>
      </c>
      <c r="I35" s="88" t="s">
        <v>110</v>
      </c>
      <c r="J35" s="222">
        <f t="shared" si="0"/>
        <v>5.590000000000001</v>
      </c>
      <c r="K35" s="424">
        <v>42046.407638888886</v>
      </c>
      <c r="L35" s="424">
        <v>42046.74236111111</v>
      </c>
      <c r="M35" s="223">
        <f t="shared" si="1"/>
        <v>8.033333333325572</v>
      </c>
      <c r="N35" s="224">
        <f t="shared" si="2"/>
        <v>482</v>
      </c>
      <c r="O35" s="225" t="s">
        <v>77</v>
      </c>
      <c r="P35" s="416" t="str">
        <f t="shared" si="3"/>
        <v>--</v>
      </c>
      <c r="Q35" s="416" t="s">
        <v>79</v>
      </c>
      <c r="R35" s="416" t="str">
        <f t="shared" si="4"/>
        <v>NO</v>
      </c>
      <c r="S35" s="103">
        <f t="shared" si="5"/>
        <v>0.6000000000000001</v>
      </c>
      <c r="T35" s="227">
        <f t="shared" si="6"/>
        <v>26.932620000000007</v>
      </c>
      <c r="U35" s="228" t="str">
        <f t="shared" si="7"/>
        <v>--</v>
      </c>
      <c r="V35" s="229" t="str">
        <f t="shared" si="8"/>
        <v>--</v>
      </c>
      <c r="W35" s="230" t="str">
        <f t="shared" si="9"/>
        <v>--</v>
      </c>
      <c r="X35" s="231" t="str">
        <f t="shared" si="10"/>
        <v>--</v>
      </c>
      <c r="Y35" s="232" t="str">
        <f t="shared" si="11"/>
        <v>--</v>
      </c>
      <c r="Z35" s="233" t="str">
        <f t="shared" si="12"/>
        <v>--</v>
      </c>
      <c r="AA35" s="234" t="str">
        <f t="shared" si="13"/>
        <v>--</v>
      </c>
      <c r="AB35" s="416" t="s">
        <v>78</v>
      </c>
      <c r="AC35" s="235">
        <f t="shared" si="14"/>
        <v>26.932620000000007</v>
      </c>
      <c r="AD35" s="157"/>
    </row>
    <row r="36" spans="2:30" s="1" customFormat="1" ht="16.5" customHeight="1">
      <c r="B36" s="156"/>
      <c r="C36" s="207">
        <v>58</v>
      </c>
      <c r="D36" s="207">
        <v>284803</v>
      </c>
      <c r="E36" s="207">
        <v>2234</v>
      </c>
      <c r="F36" s="75" t="s">
        <v>109</v>
      </c>
      <c r="G36" s="77" t="s">
        <v>106</v>
      </c>
      <c r="H36" s="220">
        <v>5</v>
      </c>
      <c r="I36" s="88" t="s">
        <v>110</v>
      </c>
      <c r="J36" s="222">
        <f t="shared" si="0"/>
        <v>5.590000000000001</v>
      </c>
      <c r="K36" s="424">
        <v>42046.407638888886</v>
      </c>
      <c r="L36" s="424">
        <v>42046.74236111111</v>
      </c>
      <c r="M36" s="223">
        <f t="shared" si="1"/>
        <v>8.033333333325572</v>
      </c>
      <c r="N36" s="224">
        <f t="shared" si="2"/>
        <v>482</v>
      </c>
      <c r="O36" s="225" t="s">
        <v>77</v>
      </c>
      <c r="P36" s="416" t="str">
        <f t="shared" si="3"/>
        <v>--</v>
      </c>
      <c r="Q36" s="416" t="s">
        <v>79</v>
      </c>
      <c r="R36" s="416" t="str">
        <f t="shared" si="4"/>
        <v>NO</v>
      </c>
      <c r="S36" s="103">
        <f t="shared" si="5"/>
        <v>0.6000000000000001</v>
      </c>
      <c r="T36" s="227">
        <f t="shared" si="6"/>
        <v>26.932620000000007</v>
      </c>
      <c r="U36" s="228" t="str">
        <f t="shared" si="7"/>
        <v>--</v>
      </c>
      <c r="V36" s="229" t="str">
        <f t="shared" si="8"/>
        <v>--</v>
      </c>
      <c r="W36" s="230" t="str">
        <f t="shared" si="9"/>
        <v>--</v>
      </c>
      <c r="X36" s="231" t="str">
        <f t="shared" si="10"/>
        <v>--</v>
      </c>
      <c r="Y36" s="232" t="str">
        <f t="shared" si="11"/>
        <v>--</v>
      </c>
      <c r="Z36" s="233" t="str">
        <f t="shared" si="12"/>
        <v>--</v>
      </c>
      <c r="AA36" s="234" t="str">
        <f t="shared" si="13"/>
        <v>--</v>
      </c>
      <c r="AB36" s="416" t="s">
        <v>78</v>
      </c>
      <c r="AC36" s="235">
        <f t="shared" si="14"/>
        <v>26.932620000000007</v>
      </c>
      <c r="AD36" s="157"/>
    </row>
    <row r="37" spans="2:30" s="1" customFormat="1" ht="16.5" customHeight="1">
      <c r="B37" s="156"/>
      <c r="C37" s="207">
        <v>59</v>
      </c>
      <c r="D37" s="207">
        <v>284805</v>
      </c>
      <c r="E37" s="207">
        <v>2478</v>
      </c>
      <c r="F37" s="75" t="s">
        <v>102</v>
      </c>
      <c r="G37" s="77" t="s">
        <v>106</v>
      </c>
      <c r="H37" s="220">
        <v>15</v>
      </c>
      <c r="I37" s="88" t="s">
        <v>104</v>
      </c>
      <c r="J37" s="222">
        <f t="shared" si="0"/>
        <v>16.770000000000003</v>
      </c>
      <c r="K37" s="424">
        <v>42047.34652777778</v>
      </c>
      <c r="L37" s="424">
        <v>42047.39166666667</v>
      </c>
      <c r="M37" s="223">
        <f t="shared" si="1"/>
        <v>1.0833333333721384</v>
      </c>
      <c r="N37" s="224">
        <f t="shared" si="2"/>
        <v>65</v>
      </c>
      <c r="O37" s="225" t="s">
        <v>77</v>
      </c>
      <c r="P37" s="416" t="str">
        <f t="shared" si="3"/>
        <v>--</v>
      </c>
      <c r="Q37" s="416" t="s">
        <v>79</v>
      </c>
      <c r="R37" s="416" t="str">
        <f t="shared" si="4"/>
        <v>NO</v>
      </c>
      <c r="S37" s="103">
        <f t="shared" si="5"/>
        <v>0.6000000000000001</v>
      </c>
      <c r="T37" s="227">
        <f t="shared" si="6"/>
        <v>10.866960000000004</v>
      </c>
      <c r="U37" s="228" t="str">
        <f t="shared" si="7"/>
        <v>--</v>
      </c>
      <c r="V37" s="229" t="str">
        <f t="shared" si="8"/>
        <v>--</v>
      </c>
      <c r="W37" s="230" t="str">
        <f t="shared" si="9"/>
        <v>--</v>
      </c>
      <c r="X37" s="231" t="str">
        <f t="shared" si="10"/>
        <v>--</v>
      </c>
      <c r="Y37" s="232" t="str">
        <f t="shared" si="11"/>
        <v>--</v>
      </c>
      <c r="Z37" s="233" t="str">
        <f t="shared" si="12"/>
        <v>--</v>
      </c>
      <c r="AA37" s="234" t="str">
        <f t="shared" si="13"/>
        <v>--</v>
      </c>
      <c r="AB37" s="416" t="s">
        <v>78</v>
      </c>
      <c r="AC37" s="235">
        <f t="shared" si="14"/>
        <v>10.866960000000004</v>
      </c>
      <c r="AD37" s="157"/>
    </row>
    <row r="38" spans="2:30" s="1" customFormat="1" ht="16.5" customHeight="1">
      <c r="B38" s="156"/>
      <c r="C38" s="207">
        <v>60</v>
      </c>
      <c r="D38" s="207">
        <v>284809</v>
      </c>
      <c r="E38" s="207">
        <v>2233</v>
      </c>
      <c r="F38" s="75" t="s">
        <v>109</v>
      </c>
      <c r="G38" s="77" t="s">
        <v>103</v>
      </c>
      <c r="H38" s="220">
        <v>5</v>
      </c>
      <c r="I38" s="88" t="s">
        <v>110</v>
      </c>
      <c r="J38" s="222">
        <f t="shared" si="0"/>
        <v>5.590000000000001</v>
      </c>
      <c r="K38" s="424">
        <v>42047.39097222222</v>
      </c>
      <c r="L38" s="424">
        <v>42047.64375</v>
      </c>
      <c r="M38" s="223">
        <f t="shared" si="1"/>
        <v>6.066666666709352</v>
      </c>
      <c r="N38" s="224">
        <f t="shared" si="2"/>
        <v>364</v>
      </c>
      <c r="O38" s="225" t="s">
        <v>77</v>
      </c>
      <c r="P38" s="416" t="str">
        <f t="shared" si="3"/>
        <v>--</v>
      </c>
      <c r="Q38" s="416" t="s">
        <v>79</v>
      </c>
      <c r="R38" s="416" t="str">
        <f t="shared" si="4"/>
        <v>NO</v>
      </c>
      <c r="S38" s="103">
        <f t="shared" si="5"/>
        <v>0.6000000000000001</v>
      </c>
      <c r="T38" s="227">
        <f t="shared" si="6"/>
        <v>20.358780000000007</v>
      </c>
      <c r="U38" s="228" t="str">
        <f t="shared" si="7"/>
        <v>--</v>
      </c>
      <c r="V38" s="229" t="str">
        <f t="shared" si="8"/>
        <v>--</v>
      </c>
      <c r="W38" s="230" t="str">
        <f t="shared" si="9"/>
        <v>--</v>
      </c>
      <c r="X38" s="231" t="str">
        <f t="shared" si="10"/>
        <v>--</v>
      </c>
      <c r="Y38" s="232" t="str">
        <f t="shared" si="11"/>
        <v>--</v>
      </c>
      <c r="Z38" s="233" t="str">
        <f t="shared" si="12"/>
        <v>--</v>
      </c>
      <c r="AA38" s="234" t="str">
        <f t="shared" si="13"/>
        <v>--</v>
      </c>
      <c r="AB38" s="416" t="s">
        <v>78</v>
      </c>
      <c r="AC38" s="235">
        <f t="shared" si="14"/>
        <v>20.358780000000007</v>
      </c>
      <c r="AD38" s="157"/>
    </row>
    <row r="39" spans="2:30" s="1" customFormat="1" ht="16.5" customHeight="1">
      <c r="B39" s="156"/>
      <c r="C39" s="207">
        <v>61</v>
      </c>
      <c r="D39" s="207">
        <v>284810</v>
      </c>
      <c r="E39" s="207">
        <v>2234</v>
      </c>
      <c r="F39" s="75" t="s">
        <v>109</v>
      </c>
      <c r="G39" s="77" t="s">
        <v>106</v>
      </c>
      <c r="H39" s="220">
        <v>5</v>
      </c>
      <c r="I39" s="88" t="s">
        <v>110</v>
      </c>
      <c r="J39" s="222">
        <f t="shared" si="0"/>
        <v>5.590000000000001</v>
      </c>
      <c r="K39" s="424">
        <v>42047.39166666667</v>
      </c>
      <c r="L39" s="424">
        <v>42047.64375</v>
      </c>
      <c r="M39" s="223">
        <f t="shared" si="1"/>
        <v>6.0499999999883585</v>
      </c>
      <c r="N39" s="224">
        <f t="shared" si="2"/>
        <v>363</v>
      </c>
      <c r="O39" s="225" t="s">
        <v>77</v>
      </c>
      <c r="P39" s="416" t="str">
        <f t="shared" si="3"/>
        <v>--</v>
      </c>
      <c r="Q39" s="416" t="s">
        <v>79</v>
      </c>
      <c r="R39" s="416" t="str">
        <f t="shared" si="4"/>
        <v>NO</v>
      </c>
      <c r="S39" s="103">
        <f t="shared" si="5"/>
        <v>0.6000000000000001</v>
      </c>
      <c r="T39" s="227">
        <f t="shared" si="6"/>
        <v>20.291700000000006</v>
      </c>
      <c r="U39" s="228" t="str">
        <f t="shared" si="7"/>
        <v>--</v>
      </c>
      <c r="V39" s="229" t="str">
        <f t="shared" si="8"/>
        <v>--</v>
      </c>
      <c r="W39" s="230" t="str">
        <f t="shared" si="9"/>
        <v>--</v>
      </c>
      <c r="X39" s="231" t="str">
        <f t="shared" si="10"/>
        <v>--</v>
      </c>
      <c r="Y39" s="232" t="str">
        <f t="shared" si="11"/>
        <v>--</v>
      </c>
      <c r="Z39" s="233" t="str">
        <f t="shared" si="12"/>
        <v>--</v>
      </c>
      <c r="AA39" s="234" t="str">
        <f t="shared" si="13"/>
        <v>--</v>
      </c>
      <c r="AB39" s="416" t="s">
        <v>78</v>
      </c>
      <c r="AC39" s="235">
        <f t="shared" si="14"/>
        <v>20.291700000000006</v>
      </c>
      <c r="AD39" s="157"/>
    </row>
    <row r="40" spans="2:30" s="1" customFormat="1" ht="16.5" customHeight="1">
      <c r="B40" s="156"/>
      <c r="C40" s="207">
        <v>62</v>
      </c>
      <c r="D40" s="207">
        <v>284811</v>
      </c>
      <c r="E40" s="207">
        <v>2477</v>
      </c>
      <c r="F40" s="75" t="s">
        <v>102</v>
      </c>
      <c r="G40" s="77" t="s">
        <v>103</v>
      </c>
      <c r="H40" s="220">
        <v>15</v>
      </c>
      <c r="I40" s="88" t="s">
        <v>104</v>
      </c>
      <c r="J40" s="222">
        <f t="shared" si="0"/>
        <v>16.770000000000003</v>
      </c>
      <c r="K40" s="424">
        <v>42047.39236111111</v>
      </c>
      <c r="L40" s="424">
        <v>42047.45277777778</v>
      </c>
      <c r="M40" s="223">
        <f t="shared" si="1"/>
        <v>1.4500000000116415</v>
      </c>
      <c r="N40" s="224">
        <f t="shared" si="2"/>
        <v>87</v>
      </c>
      <c r="O40" s="225" t="s">
        <v>77</v>
      </c>
      <c r="P40" s="416" t="str">
        <f t="shared" si="3"/>
        <v>--</v>
      </c>
      <c r="Q40" s="416" t="s">
        <v>79</v>
      </c>
      <c r="R40" s="416" t="str">
        <f t="shared" si="4"/>
        <v>NO</v>
      </c>
      <c r="S40" s="103">
        <f t="shared" si="5"/>
        <v>0.6000000000000001</v>
      </c>
      <c r="T40" s="227">
        <f t="shared" si="6"/>
        <v>14.589900000000004</v>
      </c>
      <c r="U40" s="228" t="str">
        <f t="shared" si="7"/>
        <v>--</v>
      </c>
      <c r="V40" s="229" t="str">
        <f t="shared" si="8"/>
        <v>--</v>
      </c>
      <c r="W40" s="230" t="str">
        <f t="shared" si="9"/>
        <v>--</v>
      </c>
      <c r="X40" s="231" t="str">
        <f t="shared" si="10"/>
        <v>--</v>
      </c>
      <c r="Y40" s="232" t="str">
        <f t="shared" si="11"/>
        <v>--</v>
      </c>
      <c r="Z40" s="233" t="str">
        <f t="shared" si="12"/>
        <v>--</v>
      </c>
      <c r="AA40" s="234" t="str">
        <f t="shared" si="13"/>
        <v>--</v>
      </c>
      <c r="AB40" s="416" t="s">
        <v>78</v>
      </c>
      <c r="AC40" s="235">
        <f t="shared" si="14"/>
        <v>14.589900000000004</v>
      </c>
      <c r="AD40" s="157"/>
    </row>
    <row r="41" spans="2:30" s="1" customFormat="1" ht="16.5" customHeight="1">
      <c r="B41" s="156"/>
      <c r="C41" s="207"/>
      <c r="D41" s="207"/>
      <c r="E41" s="207"/>
      <c r="F41" s="75"/>
      <c r="G41" s="77"/>
      <c r="H41" s="220"/>
      <c r="I41" s="221"/>
      <c r="J41" s="222">
        <f t="shared" si="0"/>
        <v>0</v>
      </c>
      <c r="K41" s="424"/>
      <c r="L41" s="424"/>
      <c r="M41" s="223">
        <f t="shared" si="1"/>
      </c>
      <c r="N41" s="224">
        <f t="shared" si="2"/>
      </c>
      <c r="O41" s="225"/>
      <c r="P41" s="416">
        <f t="shared" si="3"/>
      </c>
      <c r="Q41" s="417">
        <f>IF(F41="","","--")</f>
      </c>
      <c r="R41" s="416">
        <f t="shared" si="4"/>
      </c>
      <c r="S41" s="103">
        <f t="shared" si="5"/>
        <v>6</v>
      </c>
      <c r="T41" s="227" t="str">
        <f t="shared" si="6"/>
        <v>--</v>
      </c>
      <c r="U41" s="228" t="str">
        <f t="shared" si="7"/>
        <v>--</v>
      </c>
      <c r="V41" s="229" t="str">
        <f t="shared" si="8"/>
        <v>--</v>
      </c>
      <c r="W41" s="230" t="str">
        <f t="shared" si="9"/>
        <v>--</v>
      </c>
      <c r="X41" s="231" t="str">
        <f t="shared" si="10"/>
        <v>--</v>
      </c>
      <c r="Y41" s="232" t="str">
        <f t="shared" si="11"/>
        <v>--</v>
      </c>
      <c r="Z41" s="233" t="str">
        <f t="shared" si="12"/>
        <v>--</v>
      </c>
      <c r="AA41" s="234" t="str">
        <f t="shared" si="13"/>
        <v>--</v>
      </c>
      <c r="AB41" s="416">
        <f>IF(F41="","","SI")</f>
      </c>
      <c r="AC41" s="235">
        <f t="shared" si="14"/>
      </c>
      <c r="AD41" s="157"/>
    </row>
    <row r="42" spans="2:30" s="1" customFormat="1" ht="16.5" customHeight="1" thickBot="1">
      <c r="B42" s="156"/>
      <c r="C42" s="314"/>
      <c r="D42" s="314"/>
      <c r="E42" s="314"/>
      <c r="F42" s="314"/>
      <c r="G42" s="314"/>
      <c r="H42" s="314"/>
      <c r="I42" s="314"/>
      <c r="J42" s="238"/>
      <c r="K42" s="400"/>
      <c r="L42" s="400"/>
      <c r="M42" s="237"/>
      <c r="N42" s="237"/>
      <c r="O42" s="314"/>
      <c r="P42" s="314"/>
      <c r="Q42" s="314"/>
      <c r="R42" s="314"/>
      <c r="S42" s="315"/>
      <c r="T42" s="316"/>
      <c r="U42" s="317"/>
      <c r="V42" s="318"/>
      <c r="W42" s="319"/>
      <c r="X42" s="320"/>
      <c r="Y42" s="321"/>
      <c r="Z42" s="322"/>
      <c r="AA42" s="323"/>
      <c r="AB42" s="314"/>
      <c r="AC42" s="239"/>
      <c r="AD42" s="157"/>
    </row>
    <row r="43" spans="2:30" s="1" customFormat="1" ht="16.5" customHeight="1" thickBot="1" thickTop="1">
      <c r="B43" s="156"/>
      <c r="C43" s="111" t="s">
        <v>55</v>
      </c>
      <c r="D43" s="127"/>
      <c r="E43" s="127"/>
      <c r="F43" s="11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40">
        <f>SUM(T20:T42)</f>
        <v>411.73033200000003</v>
      </c>
      <c r="U43" s="241">
        <f>SUM(U20:U42)</f>
        <v>0</v>
      </c>
      <c r="V43" s="242">
        <f>SUM(V20:V42)</f>
        <v>2012.4000000000003</v>
      </c>
      <c r="W43" s="243">
        <f>SUM(W22:W42)</f>
        <v>5933.226000000001</v>
      </c>
      <c r="X43" s="244">
        <f>SUM(X20:X42)</f>
        <v>0</v>
      </c>
      <c r="Y43" s="244">
        <f>SUM(Y22:Y42)</f>
        <v>0</v>
      </c>
      <c r="Z43" s="245">
        <f>SUM(Z20:Z42)</f>
        <v>370.2816000000001</v>
      </c>
      <c r="AA43" s="246">
        <f>SUM(AA22:AA42)</f>
        <v>0</v>
      </c>
      <c r="AB43" s="247"/>
      <c r="AC43" s="410">
        <f>ROUND(SUM(AC20:AC42),2)</f>
        <v>8727.64</v>
      </c>
      <c r="AD43" s="157"/>
    </row>
    <row r="44" spans="2:30" s="125" customFormat="1" ht="9.75" thickTop="1">
      <c r="B44" s="248"/>
      <c r="C44" s="127"/>
      <c r="D44" s="127"/>
      <c r="E44" s="127"/>
      <c r="F44" s="128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50"/>
      <c r="U44" s="250"/>
      <c r="V44" s="250"/>
      <c r="W44" s="250"/>
      <c r="X44" s="250"/>
      <c r="Y44" s="250"/>
      <c r="Z44" s="250"/>
      <c r="AA44" s="250"/>
      <c r="AB44" s="249"/>
      <c r="AC44" s="251"/>
      <c r="AD44" s="252"/>
    </row>
    <row r="45" spans="2:30" s="1" customFormat="1" ht="16.5" customHeight="1" thickBot="1">
      <c r="B45" s="253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5"/>
    </row>
    <row r="46" spans="2:30" ht="16.5" customHeight="1" thickTop="1">
      <c r="B46" s="256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256"/>
      <c r="Z46" s="256"/>
      <c r="AA46" s="256"/>
      <c r="AB46" s="256"/>
      <c r="AC46" s="256"/>
      <c r="AD46" s="257"/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2" r:id="rId3"/>
  <headerFooter alignWithMargins="0">
    <oddFooter>&amp;L&amp;"Times New Roman,Normal"&amp;5&amp;F  - TRANSPORTE de ENERGÍA ELÉCTRICA - PJL - &amp;P/&amp;N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6"/>
  <sheetViews>
    <sheetView zoomScale="70" zoomScaleNormal="70" zoomScalePageLayoutView="0" workbookViewId="0" topLeftCell="A1">
      <selection activeCell="I17" sqref="I17"/>
    </sheetView>
  </sheetViews>
  <sheetFormatPr defaultColWidth="11.421875" defaultRowHeight="12.75"/>
  <cols>
    <col min="1" max="2" width="4.140625" style="5" customWidth="1"/>
    <col min="3" max="3" width="5.421875" style="5" customWidth="1"/>
    <col min="4" max="5" width="13.7109375" style="5" customWidth="1"/>
    <col min="6" max="6" width="30.7109375" style="5" customWidth="1"/>
    <col min="7" max="7" width="25.7109375" style="5" customWidth="1"/>
    <col min="8" max="8" width="7.28125" style="5" customWidth="1"/>
    <col min="9" max="9" width="12.00390625" style="5" customWidth="1"/>
    <col min="10" max="10" width="6.8515625" style="5" hidden="1" customWidth="1"/>
    <col min="11" max="12" width="15.7109375" style="5" customWidth="1"/>
    <col min="13" max="15" width="9.7109375" style="5" customWidth="1"/>
    <col min="16" max="18" width="7.7109375" style="5" customWidth="1"/>
    <col min="19" max="19" width="11.7109375" style="5" hidden="1" customWidth="1"/>
    <col min="20" max="21" width="12.57421875" style="5" hidden="1" customWidth="1"/>
    <col min="22" max="25" width="8.140625" style="5" hidden="1" customWidth="1"/>
    <col min="26" max="27" width="12.0039062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16384" width="11.421875" style="5" customWidth="1"/>
  </cols>
  <sheetData>
    <row r="1" spans="2:30" s="3" customFormat="1" ht="32.25" customHeight="1"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312"/>
    </row>
    <row r="2" spans="2:30" s="3" customFormat="1" ht="26.25">
      <c r="B2" s="16" t="str">
        <f>'TOT-0215'!B2</f>
        <v>ANEXO III al Memorándum D.T.E.E. N° 814   / 2015</v>
      </c>
      <c r="C2" s="143"/>
      <c r="D2" s="143"/>
      <c r="E2" s="143"/>
      <c r="F2" s="143"/>
      <c r="G2" s="4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</row>
    <row r="3" spans="2:30" s="1" customFormat="1" ht="12" customHeight="1">
      <c r="B3" s="17"/>
      <c r="C3" s="144"/>
      <c r="D3" s="144"/>
      <c r="E3" s="144"/>
      <c r="F3" s="144"/>
      <c r="G3" s="6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</row>
    <row r="4" spans="1:30" s="9" customFormat="1" ht="11.25">
      <c r="A4" s="8" t="s">
        <v>3</v>
      </c>
      <c r="B4" s="145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</row>
    <row r="5" spans="1:30" s="9" customFormat="1" ht="11.25">
      <c r="A5" s="8" t="s">
        <v>4</v>
      </c>
      <c r="B5" s="145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</row>
    <row r="6" spans="2:30" s="1" customFormat="1" ht="16.5" customHeight="1" thickBot="1"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</row>
    <row r="7" spans="2:30" s="1" customFormat="1" ht="16.5" customHeight="1" thickTop="1">
      <c r="B7" s="148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50"/>
    </row>
    <row r="8" spans="2:30" s="22" customFormat="1" ht="20.25">
      <c r="B8" s="151"/>
      <c r="C8" s="152"/>
      <c r="D8" s="152"/>
      <c r="E8" s="152"/>
      <c r="F8" s="153" t="s">
        <v>5</v>
      </c>
      <c r="H8" s="152"/>
      <c r="I8" s="154"/>
      <c r="J8" s="154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5"/>
    </row>
    <row r="9" spans="2:30" s="1" customFormat="1" ht="16.5" customHeight="1">
      <c r="B9" s="156"/>
      <c r="C9" s="2"/>
      <c r="D9" s="2"/>
      <c r="E9" s="2"/>
      <c r="F9" s="2"/>
      <c r="G9" s="2"/>
      <c r="H9" s="2"/>
      <c r="I9" s="147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57"/>
    </row>
    <row r="10" spans="2:30" s="22" customFormat="1" ht="20.25">
      <c r="B10" s="151"/>
      <c r="C10" s="152"/>
      <c r="D10" s="152"/>
      <c r="E10" s="152"/>
      <c r="F10" s="153" t="s">
        <v>31</v>
      </c>
      <c r="G10" s="152"/>
      <c r="H10" s="152"/>
      <c r="I10" s="154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5"/>
    </row>
    <row r="11" spans="2:30" s="1" customFormat="1" ht="16.5" customHeight="1">
      <c r="B11" s="156"/>
      <c r="C11" s="2"/>
      <c r="D11" s="2"/>
      <c r="E11" s="2"/>
      <c r="F11" s="158"/>
      <c r="G11" s="2"/>
      <c r="H11" s="2"/>
      <c r="I11" s="147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157"/>
    </row>
    <row r="12" spans="2:30" s="22" customFormat="1" ht="20.25">
      <c r="B12" s="151"/>
      <c r="C12" s="152"/>
      <c r="D12" s="152"/>
      <c r="E12" s="152"/>
      <c r="F12" s="159" t="s">
        <v>32</v>
      </c>
      <c r="G12" s="153"/>
      <c r="H12" s="154"/>
      <c r="I12" s="154"/>
      <c r="J12" s="160"/>
      <c r="K12" s="152"/>
      <c r="L12" s="154"/>
      <c r="M12" s="154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5"/>
    </row>
    <row r="13" spans="2:30" s="1" customFormat="1" ht="16.5" customHeight="1">
      <c r="B13" s="156"/>
      <c r="C13" s="2"/>
      <c r="D13" s="2"/>
      <c r="E13" s="2"/>
      <c r="F13" s="161"/>
      <c r="G13" s="161"/>
      <c r="H13" s="161"/>
      <c r="I13" s="162"/>
      <c r="J13" s="163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157"/>
    </row>
    <row r="14" spans="2:30" s="10" customFormat="1" ht="19.5">
      <c r="B14" s="164" t="str">
        <f>'TOT-0215'!B14</f>
        <v>Desde el 01 al 28 de febrero de 2015</v>
      </c>
      <c r="C14" s="28"/>
      <c r="D14" s="28"/>
      <c r="E14" s="28"/>
      <c r="F14" s="165"/>
      <c r="G14" s="165"/>
      <c r="H14" s="165"/>
      <c r="I14" s="165"/>
      <c r="J14" s="165"/>
      <c r="K14" s="29"/>
      <c r="L14" s="29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6"/>
    </row>
    <row r="15" spans="2:30" s="1" customFormat="1" ht="16.5" customHeight="1" thickBot="1">
      <c r="B15" s="156"/>
      <c r="C15" s="2"/>
      <c r="D15" s="2"/>
      <c r="E15" s="2"/>
      <c r="F15" s="2"/>
      <c r="G15" s="2"/>
      <c r="H15" s="2"/>
      <c r="I15" s="167"/>
      <c r="J15" s="2"/>
      <c r="K15" s="168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157"/>
    </row>
    <row r="16" spans="2:30" s="1" customFormat="1" ht="16.5" customHeight="1" thickBot="1" thickTop="1">
      <c r="B16" s="156"/>
      <c r="C16" s="2"/>
      <c r="D16" s="2"/>
      <c r="E16" s="2"/>
      <c r="F16" s="169" t="s">
        <v>33</v>
      </c>
      <c r="G16" s="170"/>
      <c r="H16" s="171"/>
      <c r="I16" s="313">
        <v>1.118</v>
      </c>
      <c r="J16" s="147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157"/>
    </row>
    <row r="17" spans="2:30" s="1" customFormat="1" ht="16.5" customHeight="1" thickBot="1" thickTop="1">
      <c r="B17" s="156"/>
      <c r="C17" s="2"/>
      <c r="D17" s="2"/>
      <c r="E17" s="2"/>
      <c r="F17" s="172" t="s">
        <v>34</v>
      </c>
      <c r="G17" s="173"/>
      <c r="H17" s="173"/>
      <c r="I17" s="174">
        <f>60*'TOT-0215'!B13</f>
        <v>60</v>
      </c>
      <c r="J17" s="175"/>
      <c r="K17" s="175" t="str">
        <f>IF(I17=60," ",IF(I17=120,"    Coeficiente duplicado por tasa de falla &gt;4 Sal. x año/100 km.","    REVISAR COEFICIENTE"))</f>
        <v> 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176"/>
      <c r="X17" s="2"/>
      <c r="Y17" s="176"/>
      <c r="Z17" s="176"/>
      <c r="AA17" s="176"/>
      <c r="AB17" s="176"/>
      <c r="AC17" s="176"/>
      <c r="AD17" s="157"/>
    </row>
    <row r="18" spans="2:30" s="1" customFormat="1" ht="16.5" customHeight="1" thickBot="1" thickTop="1">
      <c r="B18" s="156"/>
      <c r="C18" s="415">
        <v>3</v>
      </c>
      <c r="D18" s="415">
        <v>4</v>
      </c>
      <c r="E18" s="415">
        <v>5</v>
      </c>
      <c r="F18" s="415">
        <v>6</v>
      </c>
      <c r="G18" s="415">
        <v>7</v>
      </c>
      <c r="H18" s="415">
        <v>8</v>
      </c>
      <c r="I18" s="415">
        <v>9</v>
      </c>
      <c r="J18" s="415">
        <v>10</v>
      </c>
      <c r="K18" s="415">
        <v>11</v>
      </c>
      <c r="L18" s="415">
        <v>12</v>
      </c>
      <c r="M18" s="415">
        <v>13</v>
      </c>
      <c r="N18" s="415">
        <v>14</v>
      </c>
      <c r="O18" s="415">
        <v>15</v>
      </c>
      <c r="P18" s="415">
        <v>16</v>
      </c>
      <c r="Q18" s="415">
        <v>17</v>
      </c>
      <c r="R18" s="415">
        <v>18</v>
      </c>
      <c r="S18" s="415">
        <v>19</v>
      </c>
      <c r="T18" s="415">
        <v>20</v>
      </c>
      <c r="U18" s="415">
        <v>21</v>
      </c>
      <c r="V18" s="415">
        <v>22</v>
      </c>
      <c r="W18" s="415">
        <v>23</v>
      </c>
      <c r="X18" s="415">
        <v>24</v>
      </c>
      <c r="Y18" s="415">
        <v>25</v>
      </c>
      <c r="Z18" s="415">
        <v>26</v>
      </c>
      <c r="AA18" s="415">
        <v>27</v>
      </c>
      <c r="AB18" s="415">
        <v>28</v>
      </c>
      <c r="AC18" s="415">
        <v>29</v>
      </c>
      <c r="AD18" s="157"/>
    </row>
    <row r="19" spans="2:30" s="177" customFormat="1" ht="34.5" customHeight="1" thickBot="1" thickTop="1">
      <c r="B19" s="178"/>
      <c r="C19" s="413" t="s">
        <v>13</v>
      </c>
      <c r="D19" s="413" t="s">
        <v>72</v>
      </c>
      <c r="E19" s="413" t="s">
        <v>73</v>
      </c>
      <c r="F19" s="179" t="s">
        <v>35</v>
      </c>
      <c r="G19" s="180" t="s">
        <v>36</v>
      </c>
      <c r="H19" s="181" t="s">
        <v>37</v>
      </c>
      <c r="I19" s="182" t="s">
        <v>14</v>
      </c>
      <c r="J19" s="183" t="s">
        <v>16</v>
      </c>
      <c r="K19" s="180" t="s">
        <v>17</v>
      </c>
      <c r="L19" s="180" t="s">
        <v>18</v>
      </c>
      <c r="M19" s="179" t="s">
        <v>38</v>
      </c>
      <c r="N19" s="179" t="s">
        <v>39</v>
      </c>
      <c r="O19" s="46" t="s">
        <v>54</v>
      </c>
      <c r="P19" s="180" t="s">
        <v>40</v>
      </c>
      <c r="Q19" s="179" t="s">
        <v>21</v>
      </c>
      <c r="R19" s="180" t="s">
        <v>41</v>
      </c>
      <c r="S19" s="184" t="s">
        <v>42</v>
      </c>
      <c r="T19" s="185" t="s">
        <v>23</v>
      </c>
      <c r="U19" s="186" t="s">
        <v>24</v>
      </c>
      <c r="V19" s="187" t="s">
        <v>43</v>
      </c>
      <c r="W19" s="188"/>
      <c r="X19" s="189" t="s">
        <v>44</v>
      </c>
      <c r="Y19" s="190"/>
      <c r="Z19" s="191" t="s">
        <v>27</v>
      </c>
      <c r="AA19" s="192" t="s">
        <v>28</v>
      </c>
      <c r="AB19" s="182" t="s">
        <v>45</v>
      </c>
      <c r="AC19" s="182" t="s">
        <v>30</v>
      </c>
      <c r="AD19" s="193"/>
    </row>
    <row r="20" spans="2:30" s="1" customFormat="1" ht="16.5" customHeight="1" thickTop="1">
      <c r="B20" s="156"/>
      <c r="C20" s="194"/>
      <c r="D20" s="194"/>
      <c r="E20" s="194"/>
      <c r="F20" s="195"/>
      <c r="G20" s="196"/>
      <c r="H20" s="196"/>
      <c r="I20" s="196"/>
      <c r="J20" s="197"/>
      <c r="K20" s="398"/>
      <c r="L20" s="399"/>
      <c r="M20" s="198"/>
      <c r="N20" s="198"/>
      <c r="O20" s="196"/>
      <c r="P20" s="196"/>
      <c r="Q20" s="196"/>
      <c r="R20" s="196"/>
      <c r="S20" s="72"/>
      <c r="T20" s="70"/>
      <c r="U20" s="199"/>
      <c r="V20" s="200"/>
      <c r="W20" s="201"/>
      <c r="X20" s="202"/>
      <c r="Y20" s="203"/>
      <c r="Z20" s="204"/>
      <c r="AA20" s="205"/>
      <c r="AB20" s="196"/>
      <c r="AC20" s="206">
        <f>'T-02 (1)'!AC43</f>
        <v>8727.64</v>
      </c>
      <c r="AD20" s="157"/>
    </row>
    <row r="21" spans="2:30" s="1" customFormat="1" ht="16.5" customHeight="1">
      <c r="B21" s="156"/>
      <c r="C21" s="207"/>
      <c r="D21" s="207"/>
      <c r="E21" s="207"/>
      <c r="F21" s="208"/>
      <c r="G21" s="209"/>
      <c r="H21" s="209"/>
      <c r="I21" s="209"/>
      <c r="J21" s="210"/>
      <c r="K21" s="424"/>
      <c r="L21" s="425"/>
      <c r="M21" s="211"/>
      <c r="N21" s="211"/>
      <c r="O21" s="209"/>
      <c r="P21" s="209"/>
      <c r="Q21" s="209"/>
      <c r="R21" s="209"/>
      <c r="S21" s="86"/>
      <c r="T21" s="84"/>
      <c r="U21" s="212"/>
      <c r="V21" s="213"/>
      <c r="W21" s="214"/>
      <c r="X21" s="215"/>
      <c r="Y21" s="216"/>
      <c r="Z21" s="217"/>
      <c r="AA21" s="218"/>
      <c r="AB21" s="209"/>
      <c r="AC21" s="219"/>
      <c r="AD21" s="157"/>
    </row>
    <row r="22" spans="2:30" s="1" customFormat="1" ht="16.5" customHeight="1">
      <c r="B22" s="156"/>
      <c r="C22" s="207">
        <v>63</v>
      </c>
      <c r="D22" s="207">
        <v>284828</v>
      </c>
      <c r="E22" s="207">
        <v>2568</v>
      </c>
      <c r="F22" s="75" t="s">
        <v>112</v>
      </c>
      <c r="G22" s="77" t="s">
        <v>103</v>
      </c>
      <c r="H22" s="220">
        <v>15</v>
      </c>
      <c r="I22" s="88" t="s">
        <v>104</v>
      </c>
      <c r="J22" s="222">
        <f aca="true" t="shared" si="0" ref="J22:J41">H22*$I$16</f>
        <v>16.770000000000003</v>
      </c>
      <c r="K22" s="424">
        <v>42052.94375</v>
      </c>
      <c r="L22" s="424">
        <v>42052.99236111111</v>
      </c>
      <c r="M22" s="223">
        <f aca="true" t="shared" si="1" ref="M22:M41">IF(F22="","",(L22-K22)*24)</f>
        <v>1.1666666666278616</v>
      </c>
      <c r="N22" s="224">
        <f aca="true" t="shared" si="2" ref="N22:N41">IF(F22="","",ROUND((L22-K22)*24*60,0))</f>
        <v>70</v>
      </c>
      <c r="O22" s="225" t="s">
        <v>113</v>
      </c>
      <c r="P22" s="416" t="str">
        <f>IF(F22="","",IF(OR(O22="P",O22="RP"),"--","NO"))</f>
        <v>--</v>
      </c>
      <c r="Q22" s="417">
        <v>40</v>
      </c>
      <c r="R22" s="416" t="s">
        <v>78</v>
      </c>
      <c r="S22" s="103">
        <f aca="true" t="shared" si="3" ref="S22:S41">$I$17*IF(OR(O22="P",O22="RP"),0.1,1)*IF(R22="SI",1,0.1)</f>
        <v>6</v>
      </c>
      <c r="T22" s="227" t="str">
        <f aca="true" t="shared" si="4" ref="T22:T41">IF(O22="P",J22*S22*ROUND(N22/60,2),"--")</f>
        <v>--</v>
      </c>
      <c r="U22" s="228">
        <f aca="true" t="shared" si="5" ref="U22:U41">IF(O22="RP",J22*S22*ROUND(N22/60,2)*Q22/100,"--")</f>
        <v>47.090160000000004</v>
      </c>
      <c r="V22" s="229" t="str">
        <f aca="true" t="shared" si="6" ref="V22:V41">IF(AND(O22="F",P22="NO"),J22*S22,"--")</f>
        <v>--</v>
      </c>
      <c r="W22" s="230" t="str">
        <f aca="true" t="shared" si="7" ref="W22:W41">IF(O22="F",J22*S22*ROUND(N22/60,2),"--")</f>
        <v>--</v>
      </c>
      <c r="X22" s="231" t="str">
        <f aca="true" t="shared" si="8" ref="X22:X41">IF(AND(O22="R",P22="NO"),J22*S22*Q22/100,"--")</f>
        <v>--</v>
      </c>
      <c r="Y22" s="232" t="str">
        <f aca="true" t="shared" si="9" ref="Y22:Y41">IF(O22="R",J22*S22*ROUND(N22/60,2)*Q22/100,"--")</f>
        <v>--</v>
      </c>
      <c r="Z22" s="233" t="str">
        <f aca="true" t="shared" si="10" ref="Z22:Z41">IF(O22="RF",J22*S22*ROUND(N22/60,2),"--")</f>
        <v>--</v>
      </c>
      <c r="AA22" s="234" t="str">
        <f aca="true" t="shared" si="11" ref="AA22:AA41">IF(O22="RR",J22*S22*ROUND(N22/60,2)*Q22/100,"--")</f>
        <v>--</v>
      </c>
      <c r="AB22" s="416" t="s">
        <v>78</v>
      </c>
      <c r="AC22" s="235">
        <f>IF(F22="","",SUM(T22:AA22)*IF(AB22="SI",1,2)*IF(AND(Q22&lt;&gt;"0,000",O22="RF"),Q22/100,1))</f>
        <v>47.090160000000004</v>
      </c>
      <c r="AD22" s="236"/>
    </row>
    <row r="23" spans="2:30" s="1" customFormat="1" ht="16.5" customHeight="1">
      <c r="B23" s="156"/>
      <c r="C23" s="207">
        <v>64</v>
      </c>
      <c r="D23" s="207">
        <v>285212</v>
      </c>
      <c r="E23" s="207">
        <v>2537</v>
      </c>
      <c r="F23" s="75" t="s">
        <v>105</v>
      </c>
      <c r="G23" s="77" t="s">
        <v>106</v>
      </c>
      <c r="H23" s="220">
        <v>15</v>
      </c>
      <c r="I23" s="88" t="s">
        <v>104</v>
      </c>
      <c r="J23" s="222">
        <f t="shared" si="0"/>
        <v>16.770000000000003</v>
      </c>
      <c r="K23" s="424">
        <v>42053.35625</v>
      </c>
      <c r="L23" s="424">
        <v>42053.57986111111</v>
      </c>
      <c r="M23" s="223">
        <f t="shared" si="1"/>
        <v>5.366666666697711</v>
      </c>
      <c r="N23" s="224">
        <f t="shared" si="2"/>
        <v>322</v>
      </c>
      <c r="O23" s="225" t="s">
        <v>113</v>
      </c>
      <c r="P23" s="416" t="str">
        <f aca="true" t="shared" si="12" ref="P23:P41">IF(F23="","",IF(OR(O23="P",O23="RP"),"--","NO"))</f>
        <v>--</v>
      </c>
      <c r="Q23" s="417">
        <v>40</v>
      </c>
      <c r="R23" s="416" t="str">
        <f aca="true" t="shared" si="13" ref="R23:R41">IF(F23="","","NO")</f>
        <v>NO</v>
      </c>
      <c r="S23" s="103">
        <f t="shared" si="3"/>
        <v>0.6000000000000001</v>
      </c>
      <c r="T23" s="227" t="str">
        <f t="shared" si="4"/>
        <v>--</v>
      </c>
      <c r="U23" s="228">
        <f t="shared" si="5"/>
        <v>21.613176000000006</v>
      </c>
      <c r="V23" s="229" t="str">
        <f t="shared" si="6"/>
        <v>--</v>
      </c>
      <c r="W23" s="230" t="str">
        <f t="shared" si="7"/>
        <v>--</v>
      </c>
      <c r="X23" s="231" t="str">
        <f t="shared" si="8"/>
        <v>--</v>
      </c>
      <c r="Y23" s="232" t="str">
        <f t="shared" si="9"/>
        <v>--</v>
      </c>
      <c r="Z23" s="233" t="str">
        <f t="shared" si="10"/>
        <v>--</v>
      </c>
      <c r="AA23" s="234" t="str">
        <f t="shared" si="11"/>
        <v>--</v>
      </c>
      <c r="AB23" s="416" t="s">
        <v>78</v>
      </c>
      <c r="AC23" s="235">
        <f aca="true" t="shared" si="14" ref="AC23:AC41">IF(F23="","",SUM(T23:AA23)*IF(AB23="SI",1,2)*IF(AND(Q23&lt;&gt;"0,000",O23="RF"),Q23/100,1))</f>
        <v>21.613176000000006</v>
      </c>
      <c r="AD23" s="236"/>
    </row>
    <row r="24" spans="2:30" s="1" customFormat="1" ht="16.5" customHeight="1">
      <c r="B24" s="156"/>
      <c r="C24" s="207">
        <v>65</v>
      </c>
      <c r="D24" s="207">
        <v>285213</v>
      </c>
      <c r="E24" s="207">
        <v>4832</v>
      </c>
      <c r="F24" s="75" t="s">
        <v>114</v>
      </c>
      <c r="G24" s="77" t="s">
        <v>115</v>
      </c>
      <c r="H24" s="220">
        <v>30</v>
      </c>
      <c r="I24" s="221">
        <v>0</v>
      </c>
      <c r="J24" s="222">
        <f t="shared" si="0"/>
        <v>33.540000000000006</v>
      </c>
      <c r="K24" s="424">
        <v>42053.40138888889</v>
      </c>
      <c r="L24" s="424">
        <v>42053.552083333336</v>
      </c>
      <c r="M24" s="223">
        <f t="shared" si="1"/>
        <v>3.6166666667559184</v>
      </c>
      <c r="N24" s="224">
        <f t="shared" si="2"/>
        <v>217</v>
      </c>
      <c r="O24" s="225" t="s">
        <v>77</v>
      </c>
      <c r="P24" s="416" t="str">
        <f t="shared" si="12"/>
        <v>--</v>
      </c>
      <c r="Q24" s="416" t="s">
        <v>79</v>
      </c>
      <c r="R24" s="416" t="str">
        <f t="shared" si="13"/>
        <v>NO</v>
      </c>
      <c r="S24" s="103">
        <f t="shared" si="3"/>
        <v>0.6000000000000001</v>
      </c>
      <c r="T24" s="227">
        <f t="shared" si="4"/>
        <v>72.84888000000002</v>
      </c>
      <c r="U24" s="228" t="str">
        <f t="shared" si="5"/>
        <v>--</v>
      </c>
      <c r="V24" s="229" t="str">
        <f t="shared" si="6"/>
        <v>--</v>
      </c>
      <c r="W24" s="230" t="str">
        <f t="shared" si="7"/>
        <v>--</v>
      </c>
      <c r="X24" s="231" t="str">
        <f t="shared" si="8"/>
        <v>--</v>
      </c>
      <c r="Y24" s="232" t="str">
        <f t="shared" si="9"/>
        <v>--</v>
      </c>
      <c r="Z24" s="233" t="str">
        <f t="shared" si="10"/>
        <v>--</v>
      </c>
      <c r="AA24" s="234" t="str">
        <f t="shared" si="11"/>
        <v>--</v>
      </c>
      <c r="AB24" s="416" t="s">
        <v>78</v>
      </c>
      <c r="AC24" s="235">
        <f t="shared" si="14"/>
        <v>72.84888000000002</v>
      </c>
      <c r="AD24" s="157"/>
    </row>
    <row r="25" spans="2:30" s="1" customFormat="1" ht="16.5" customHeight="1">
      <c r="B25" s="156"/>
      <c r="C25" s="207">
        <v>66</v>
      </c>
      <c r="D25" s="207">
        <v>285215</v>
      </c>
      <c r="E25" s="207">
        <v>4832</v>
      </c>
      <c r="F25" s="75" t="s">
        <v>114</v>
      </c>
      <c r="G25" s="77" t="s">
        <v>115</v>
      </c>
      <c r="H25" s="220">
        <v>30</v>
      </c>
      <c r="I25" s="221">
        <v>0</v>
      </c>
      <c r="J25" s="222">
        <f t="shared" si="0"/>
        <v>33.540000000000006</v>
      </c>
      <c r="K25" s="424">
        <v>42054.36041666667</v>
      </c>
      <c r="L25" s="424">
        <v>42054.552777777775</v>
      </c>
      <c r="M25" s="223">
        <f t="shared" si="1"/>
        <v>4.616666666523088</v>
      </c>
      <c r="N25" s="224">
        <f t="shared" si="2"/>
        <v>277</v>
      </c>
      <c r="O25" s="225" t="s">
        <v>77</v>
      </c>
      <c r="P25" s="416" t="str">
        <f t="shared" si="12"/>
        <v>--</v>
      </c>
      <c r="Q25" s="416" t="s">
        <v>79</v>
      </c>
      <c r="R25" s="416" t="str">
        <f t="shared" si="13"/>
        <v>NO</v>
      </c>
      <c r="S25" s="103">
        <f t="shared" si="3"/>
        <v>0.6000000000000001</v>
      </c>
      <c r="T25" s="227">
        <f t="shared" si="4"/>
        <v>92.97288000000003</v>
      </c>
      <c r="U25" s="228" t="str">
        <f t="shared" si="5"/>
        <v>--</v>
      </c>
      <c r="V25" s="229" t="str">
        <f t="shared" si="6"/>
        <v>--</v>
      </c>
      <c r="W25" s="230" t="str">
        <f t="shared" si="7"/>
        <v>--</v>
      </c>
      <c r="X25" s="231" t="str">
        <f t="shared" si="8"/>
        <v>--</v>
      </c>
      <c r="Y25" s="232" t="str">
        <f t="shared" si="9"/>
        <v>--</v>
      </c>
      <c r="Z25" s="233" t="str">
        <f t="shared" si="10"/>
        <v>--</v>
      </c>
      <c r="AA25" s="234" t="str">
        <f t="shared" si="11"/>
        <v>--</v>
      </c>
      <c r="AB25" s="416" t="s">
        <v>78</v>
      </c>
      <c r="AC25" s="235">
        <f t="shared" si="14"/>
        <v>92.97288000000003</v>
      </c>
      <c r="AD25" s="157"/>
    </row>
    <row r="26" spans="2:30" s="1" customFormat="1" ht="16.5" customHeight="1">
      <c r="B26" s="156"/>
      <c r="C26" s="207">
        <v>67</v>
      </c>
      <c r="D26" s="207">
        <v>285216</v>
      </c>
      <c r="E26" s="207">
        <v>2568</v>
      </c>
      <c r="F26" s="75" t="s">
        <v>112</v>
      </c>
      <c r="G26" s="77" t="s">
        <v>103</v>
      </c>
      <c r="H26" s="220">
        <v>15</v>
      </c>
      <c r="I26" s="88" t="s">
        <v>104</v>
      </c>
      <c r="J26" s="222">
        <f t="shared" si="0"/>
        <v>16.770000000000003</v>
      </c>
      <c r="K26" s="424">
        <v>42054.896527777775</v>
      </c>
      <c r="L26" s="424">
        <v>42054.92847222222</v>
      </c>
      <c r="M26" s="223">
        <f t="shared" si="1"/>
        <v>0.7666666667209938</v>
      </c>
      <c r="N26" s="224">
        <f t="shared" si="2"/>
        <v>46</v>
      </c>
      <c r="O26" s="225" t="s">
        <v>116</v>
      </c>
      <c r="P26" s="416" t="str">
        <f t="shared" si="12"/>
        <v>NO</v>
      </c>
      <c r="Q26" s="417">
        <v>40</v>
      </c>
      <c r="R26" s="416" t="s">
        <v>78</v>
      </c>
      <c r="S26" s="103">
        <f t="shared" si="3"/>
        <v>60</v>
      </c>
      <c r="T26" s="227" t="str">
        <f t="shared" si="4"/>
        <v>--</v>
      </c>
      <c r="U26" s="228" t="str">
        <f t="shared" si="5"/>
        <v>--</v>
      </c>
      <c r="V26" s="229" t="str">
        <f t="shared" si="6"/>
        <v>--</v>
      </c>
      <c r="W26" s="230" t="str">
        <f t="shared" si="7"/>
        <v>--</v>
      </c>
      <c r="X26" s="231">
        <f t="shared" si="8"/>
        <v>402.4800000000001</v>
      </c>
      <c r="Y26" s="232">
        <f t="shared" si="9"/>
        <v>309.90960000000007</v>
      </c>
      <c r="Z26" s="233" t="str">
        <f t="shared" si="10"/>
        <v>--</v>
      </c>
      <c r="AA26" s="234" t="str">
        <f t="shared" si="11"/>
        <v>--</v>
      </c>
      <c r="AB26" s="416" t="s">
        <v>78</v>
      </c>
      <c r="AC26" s="235">
        <f t="shared" si="14"/>
        <v>712.3896000000002</v>
      </c>
      <c r="AD26" s="157"/>
    </row>
    <row r="27" spans="2:30" s="1" customFormat="1" ht="16.5" customHeight="1">
      <c r="B27" s="156"/>
      <c r="C27" s="207">
        <v>68</v>
      </c>
      <c r="D27" s="207">
        <v>285220</v>
      </c>
      <c r="E27" s="207">
        <v>4832</v>
      </c>
      <c r="F27" s="75" t="s">
        <v>114</v>
      </c>
      <c r="G27" s="77" t="s">
        <v>115</v>
      </c>
      <c r="H27" s="220">
        <v>30</v>
      </c>
      <c r="I27" s="221">
        <v>0</v>
      </c>
      <c r="J27" s="222">
        <f t="shared" si="0"/>
        <v>33.540000000000006</v>
      </c>
      <c r="K27" s="424">
        <v>42055.354166666664</v>
      </c>
      <c r="L27" s="424">
        <v>42055.493055555555</v>
      </c>
      <c r="M27" s="223">
        <f t="shared" si="1"/>
        <v>3.3333333333721384</v>
      </c>
      <c r="N27" s="224">
        <f t="shared" si="2"/>
        <v>200</v>
      </c>
      <c r="O27" s="225" t="s">
        <v>77</v>
      </c>
      <c r="P27" s="416" t="str">
        <f t="shared" si="12"/>
        <v>--</v>
      </c>
      <c r="Q27" s="416" t="s">
        <v>79</v>
      </c>
      <c r="R27" s="416" t="str">
        <f t="shared" si="13"/>
        <v>NO</v>
      </c>
      <c r="S27" s="103">
        <f t="shared" si="3"/>
        <v>0.6000000000000001</v>
      </c>
      <c r="T27" s="227">
        <f t="shared" si="4"/>
        <v>67.01292000000002</v>
      </c>
      <c r="U27" s="228" t="str">
        <f t="shared" si="5"/>
        <v>--</v>
      </c>
      <c r="V27" s="229" t="str">
        <f t="shared" si="6"/>
        <v>--</v>
      </c>
      <c r="W27" s="230" t="str">
        <f t="shared" si="7"/>
        <v>--</v>
      </c>
      <c r="X27" s="231" t="str">
        <f t="shared" si="8"/>
        <v>--</v>
      </c>
      <c r="Y27" s="232" t="str">
        <f t="shared" si="9"/>
        <v>--</v>
      </c>
      <c r="Z27" s="233" t="str">
        <f t="shared" si="10"/>
        <v>--</v>
      </c>
      <c r="AA27" s="234" t="str">
        <f t="shared" si="11"/>
        <v>--</v>
      </c>
      <c r="AB27" s="416" t="s">
        <v>78</v>
      </c>
      <c r="AC27" s="235">
        <f t="shared" si="14"/>
        <v>67.01292000000002</v>
      </c>
      <c r="AD27" s="157"/>
    </row>
    <row r="28" spans="2:30" s="1" customFormat="1" ht="16.5" customHeight="1">
      <c r="B28" s="156"/>
      <c r="C28" s="207">
        <v>69</v>
      </c>
      <c r="D28" s="207">
        <v>285221</v>
      </c>
      <c r="E28" s="207">
        <v>4833</v>
      </c>
      <c r="F28" s="75" t="s">
        <v>114</v>
      </c>
      <c r="G28" s="77" t="s">
        <v>117</v>
      </c>
      <c r="H28" s="220">
        <v>30</v>
      </c>
      <c r="I28" s="221">
        <v>0</v>
      </c>
      <c r="J28" s="222">
        <f t="shared" si="0"/>
        <v>33.540000000000006</v>
      </c>
      <c r="K28" s="424">
        <v>42055.50208333333</v>
      </c>
      <c r="L28" s="424">
        <v>42055.634722222225</v>
      </c>
      <c r="M28" s="223">
        <f t="shared" si="1"/>
        <v>3.183333333407063</v>
      </c>
      <c r="N28" s="224">
        <f t="shared" si="2"/>
        <v>191</v>
      </c>
      <c r="O28" s="225" t="s">
        <v>77</v>
      </c>
      <c r="P28" s="416" t="str">
        <f t="shared" si="12"/>
        <v>--</v>
      </c>
      <c r="Q28" s="416" t="s">
        <v>79</v>
      </c>
      <c r="R28" s="416" t="str">
        <f t="shared" si="13"/>
        <v>NO</v>
      </c>
      <c r="S28" s="103">
        <f t="shared" si="3"/>
        <v>0.6000000000000001</v>
      </c>
      <c r="T28" s="227">
        <f t="shared" si="4"/>
        <v>63.99432000000002</v>
      </c>
      <c r="U28" s="228" t="str">
        <f t="shared" si="5"/>
        <v>--</v>
      </c>
      <c r="V28" s="229" t="str">
        <f t="shared" si="6"/>
        <v>--</v>
      </c>
      <c r="W28" s="230" t="str">
        <f t="shared" si="7"/>
        <v>--</v>
      </c>
      <c r="X28" s="231" t="str">
        <f t="shared" si="8"/>
        <v>--</v>
      </c>
      <c r="Y28" s="232" t="str">
        <f t="shared" si="9"/>
        <v>--</v>
      </c>
      <c r="Z28" s="233" t="str">
        <f t="shared" si="10"/>
        <v>--</v>
      </c>
      <c r="AA28" s="234" t="str">
        <f t="shared" si="11"/>
        <v>--</v>
      </c>
      <c r="AB28" s="416" t="s">
        <v>78</v>
      </c>
      <c r="AC28" s="235">
        <f t="shared" si="14"/>
        <v>63.99432000000002</v>
      </c>
      <c r="AD28" s="157"/>
    </row>
    <row r="29" spans="2:30" s="1" customFormat="1" ht="16.5" customHeight="1">
      <c r="B29" s="156"/>
      <c r="C29" s="207">
        <v>70</v>
      </c>
      <c r="D29" s="207">
        <v>285361</v>
      </c>
      <c r="E29" s="207">
        <v>2517</v>
      </c>
      <c r="F29" s="75" t="s">
        <v>118</v>
      </c>
      <c r="G29" s="77" t="s">
        <v>103</v>
      </c>
      <c r="H29" s="220">
        <v>15</v>
      </c>
      <c r="I29" s="88" t="s">
        <v>104</v>
      </c>
      <c r="J29" s="222">
        <f t="shared" si="0"/>
        <v>16.770000000000003</v>
      </c>
      <c r="K29" s="424">
        <v>42058.34652777778</v>
      </c>
      <c r="L29" s="424">
        <v>42058.50347222222</v>
      </c>
      <c r="M29" s="223">
        <f t="shared" si="1"/>
        <v>3.766666666546371</v>
      </c>
      <c r="N29" s="224">
        <f t="shared" si="2"/>
        <v>226</v>
      </c>
      <c r="O29" s="225" t="s">
        <v>77</v>
      </c>
      <c r="P29" s="416" t="str">
        <f t="shared" si="12"/>
        <v>--</v>
      </c>
      <c r="Q29" s="416" t="s">
        <v>79</v>
      </c>
      <c r="R29" s="416" t="str">
        <f t="shared" si="13"/>
        <v>NO</v>
      </c>
      <c r="S29" s="103">
        <f t="shared" si="3"/>
        <v>0.6000000000000001</v>
      </c>
      <c r="T29" s="227">
        <f t="shared" si="4"/>
        <v>37.933740000000014</v>
      </c>
      <c r="U29" s="228" t="str">
        <f t="shared" si="5"/>
        <v>--</v>
      </c>
      <c r="V29" s="229" t="str">
        <f t="shared" si="6"/>
        <v>--</v>
      </c>
      <c r="W29" s="230" t="str">
        <f t="shared" si="7"/>
        <v>--</v>
      </c>
      <c r="X29" s="231" t="str">
        <f t="shared" si="8"/>
        <v>--</v>
      </c>
      <c r="Y29" s="232" t="str">
        <f t="shared" si="9"/>
        <v>--</v>
      </c>
      <c r="Z29" s="233" t="str">
        <f t="shared" si="10"/>
        <v>--</v>
      </c>
      <c r="AA29" s="234" t="str">
        <f t="shared" si="11"/>
        <v>--</v>
      </c>
      <c r="AB29" s="416" t="s">
        <v>78</v>
      </c>
      <c r="AC29" s="235">
        <f t="shared" si="14"/>
        <v>37.933740000000014</v>
      </c>
      <c r="AD29" s="157"/>
    </row>
    <row r="30" spans="2:30" s="1" customFormat="1" ht="16.5" customHeight="1">
      <c r="B30" s="156"/>
      <c r="C30" s="207">
        <v>71</v>
      </c>
      <c r="D30" s="207">
        <v>285364</v>
      </c>
      <c r="E30" s="207">
        <v>2568</v>
      </c>
      <c r="F30" s="75" t="s">
        <v>112</v>
      </c>
      <c r="G30" s="77" t="s">
        <v>103</v>
      </c>
      <c r="H30" s="220">
        <v>15</v>
      </c>
      <c r="I30" s="88" t="s">
        <v>104</v>
      </c>
      <c r="J30" s="222">
        <f t="shared" si="0"/>
        <v>16.770000000000003</v>
      </c>
      <c r="K30" s="424">
        <v>42059.25833333333</v>
      </c>
      <c r="L30" s="424">
        <v>42059.48333333333</v>
      </c>
      <c r="M30" s="223">
        <f t="shared" si="1"/>
        <v>5.399999999965075</v>
      </c>
      <c r="N30" s="224">
        <f t="shared" si="2"/>
        <v>324</v>
      </c>
      <c r="O30" s="225" t="s">
        <v>77</v>
      </c>
      <c r="P30" s="416" t="str">
        <f t="shared" si="12"/>
        <v>--</v>
      </c>
      <c r="Q30" s="416" t="s">
        <v>79</v>
      </c>
      <c r="R30" s="416" t="str">
        <f t="shared" si="13"/>
        <v>NO</v>
      </c>
      <c r="S30" s="103">
        <f t="shared" si="3"/>
        <v>0.6000000000000001</v>
      </c>
      <c r="T30" s="227">
        <f t="shared" si="4"/>
        <v>54.33480000000002</v>
      </c>
      <c r="U30" s="228" t="str">
        <f t="shared" si="5"/>
        <v>--</v>
      </c>
      <c r="V30" s="229" t="str">
        <f t="shared" si="6"/>
        <v>--</v>
      </c>
      <c r="W30" s="230" t="str">
        <f t="shared" si="7"/>
        <v>--</v>
      </c>
      <c r="X30" s="231" t="str">
        <f t="shared" si="8"/>
        <v>--</v>
      </c>
      <c r="Y30" s="232" t="str">
        <f t="shared" si="9"/>
        <v>--</v>
      </c>
      <c r="Z30" s="233" t="str">
        <f t="shared" si="10"/>
        <v>--</v>
      </c>
      <c r="AA30" s="234" t="str">
        <f t="shared" si="11"/>
        <v>--</v>
      </c>
      <c r="AB30" s="416" t="s">
        <v>78</v>
      </c>
      <c r="AC30" s="235">
        <f t="shared" si="14"/>
        <v>54.33480000000002</v>
      </c>
      <c r="AD30" s="157"/>
    </row>
    <row r="31" spans="2:30" s="1" customFormat="1" ht="16.5" customHeight="1">
      <c r="B31" s="156"/>
      <c r="C31" s="207">
        <v>72</v>
      </c>
      <c r="D31" s="207">
        <v>285380</v>
      </c>
      <c r="E31" s="207">
        <v>2517</v>
      </c>
      <c r="F31" s="75" t="s">
        <v>118</v>
      </c>
      <c r="G31" s="77" t="s">
        <v>103</v>
      </c>
      <c r="H31" s="220">
        <v>15</v>
      </c>
      <c r="I31" s="88" t="s">
        <v>104</v>
      </c>
      <c r="J31" s="222">
        <f t="shared" si="0"/>
        <v>16.770000000000003</v>
      </c>
      <c r="K31" s="424">
        <v>42060.3875</v>
      </c>
      <c r="L31" s="424">
        <v>42061.794444444444</v>
      </c>
      <c r="M31" s="223">
        <f t="shared" si="1"/>
        <v>33.766666666720994</v>
      </c>
      <c r="N31" s="224">
        <f t="shared" si="2"/>
        <v>2026</v>
      </c>
      <c r="O31" s="225" t="s">
        <v>77</v>
      </c>
      <c r="P31" s="416" t="str">
        <f t="shared" si="12"/>
        <v>--</v>
      </c>
      <c r="Q31" s="416" t="s">
        <v>79</v>
      </c>
      <c r="R31" s="416" t="str">
        <f t="shared" si="13"/>
        <v>NO</v>
      </c>
      <c r="S31" s="103">
        <f t="shared" si="3"/>
        <v>0.6000000000000001</v>
      </c>
      <c r="T31" s="227">
        <f t="shared" si="4"/>
        <v>339.7937400000001</v>
      </c>
      <c r="U31" s="228" t="str">
        <f t="shared" si="5"/>
        <v>--</v>
      </c>
      <c r="V31" s="229" t="str">
        <f t="shared" si="6"/>
        <v>--</v>
      </c>
      <c r="W31" s="230" t="str">
        <f t="shared" si="7"/>
        <v>--</v>
      </c>
      <c r="X31" s="231" t="str">
        <f t="shared" si="8"/>
        <v>--</v>
      </c>
      <c r="Y31" s="232" t="str">
        <f t="shared" si="9"/>
        <v>--</v>
      </c>
      <c r="Z31" s="233" t="str">
        <f t="shared" si="10"/>
        <v>--</v>
      </c>
      <c r="AA31" s="234" t="str">
        <f t="shared" si="11"/>
        <v>--</v>
      </c>
      <c r="AB31" s="416" t="s">
        <v>78</v>
      </c>
      <c r="AC31" s="235">
        <f t="shared" si="14"/>
        <v>339.7937400000001</v>
      </c>
      <c r="AD31" s="157"/>
    </row>
    <row r="32" spans="2:30" s="1" customFormat="1" ht="16.5" customHeight="1">
      <c r="B32" s="156"/>
      <c r="C32" s="207">
        <v>73</v>
      </c>
      <c r="D32" s="207">
        <v>285382</v>
      </c>
      <c r="E32" s="207">
        <v>2489</v>
      </c>
      <c r="F32" s="75" t="s">
        <v>119</v>
      </c>
      <c r="G32" s="77" t="s">
        <v>106</v>
      </c>
      <c r="H32" s="220">
        <v>15</v>
      </c>
      <c r="I32" s="88" t="s">
        <v>104</v>
      </c>
      <c r="J32" s="222">
        <f t="shared" si="0"/>
        <v>16.770000000000003</v>
      </c>
      <c r="K32" s="424">
        <v>42061.29513888889</v>
      </c>
      <c r="L32" s="424">
        <v>42061.38888888889</v>
      </c>
      <c r="M32" s="223">
        <f t="shared" si="1"/>
        <v>2.25</v>
      </c>
      <c r="N32" s="224">
        <f t="shared" si="2"/>
        <v>135</v>
      </c>
      <c r="O32" s="225" t="s">
        <v>77</v>
      </c>
      <c r="P32" s="416" t="str">
        <f t="shared" si="12"/>
        <v>--</v>
      </c>
      <c r="Q32" s="416" t="s">
        <v>79</v>
      </c>
      <c r="R32" s="416" t="str">
        <f t="shared" si="13"/>
        <v>NO</v>
      </c>
      <c r="S32" s="103">
        <f t="shared" si="3"/>
        <v>0.6000000000000001</v>
      </c>
      <c r="T32" s="227">
        <f t="shared" si="4"/>
        <v>22.639500000000005</v>
      </c>
      <c r="U32" s="228" t="str">
        <f t="shared" si="5"/>
        <v>--</v>
      </c>
      <c r="V32" s="229" t="str">
        <f t="shared" si="6"/>
        <v>--</v>
      </c>
      <c r="W32" s="230" t="str">
        <f t="shared" si="7"/>
        <v>--</v>
      </c>
      <c r="X32" s="231" t="str">
        <f t="shared" si="8"/>
        <v>--</v>
      </c>
      <c r="Y32" s="232" t="str">
        <f t="shared" si="9"/>
        <v>--</v>
      </c>
      <c r="Z32" s="233" t="str">
        <f t="shared" si="10"/>
        <v>--</v>
      </c>
      <c r="AA32" s="234" t="str">
        <f t="shared" si="11"/>
        <v>--</v>
      </c>
      <c r="AB32" s="416" t="s">
        <v>78</v>
      </c>
      <c r="AC32" s="235">
        <f t="shared" si="14"/>
        <v>22.639500000000005</v>
      </c>
      <c r="AD32" s="157"/>
    </row>
    <row r="33" spans="2:30" s="1" customFormat="1" ht="16.5" customHeight="1">
      <c r="B33" s="156"/>
      <c r="C33" s="207">
        <v>74</v>
      </c>
      <c r="D33" s="207">
        <v>285383</v>
      </c>
      <c r="E33" s="207">
        <v>4569</v>
      </c>
      <c r="F33" s="75" t="s">
        <v>119</v>
      </c>
      <c r="G33" s="77" t="s">
        <v>120</v>
      </c>
      <c r="H33" s="220">
        <v>14</v>
      </c>
      <c r="I33" s="88" t="s">
        <v>104</v>
      </c>
      <c r="J33" s="222">
        <f t="shared" si="0"/>
        <v>15.652000000000001</v>
      </c>
      <c r="K33" s="424">
        <v>42061.29652777778</v>
      </c>
      <c r="L33" s="424">
        <v>42061.38888888889</v>
      </c>
      <c r="M33" s="223">
        <f t="shared" si="1"/>
        <v>2.2166666667326353</v>
      </c>
      <c r="N33" s="224">
        <f t="shared" si="2"/>
        <v>133</v>
      </c>
      <c r="O33" s="225" t="s">
        <v>77</v>
      </c>
      <c r="P33" s="416" t="str">
        <f t="shared" si="12"/>
        <v>--</v>
      </c>
      <c r="Q33" s="416" t="s">
        <v>79</v>
      </c>
      <c r="R33" s="416" t="str">
        <f t="shared" si="13"/>
        <v>NO</v>
      </c>
      <c r="S33" s="103">
        <f t="shared" si="3"/>
        <v>0.6000000000000001</v>
      </c>
      <c r="T33" s="227">
        <f t="shared" si="4"/>
        <v>20.848464000000003</v>
      </c>
      <c r="U33" s="228" t="str">
        <f t="shared" si="5"/>
        <v>--</v>
      </c>
      <c r="V33" s="229" t="str">
        <f t="shared" si="6"/>
        <v>--</v>
      </c>
      <c r="W33" s="230" t="str">
        <f t="shared" si="7"/>
        <v>--</v>
      </c>
      <c r="X33" s="231" t="str">
        <f t="shared" si="8"/>
        <v>--</v>
      </c>
      <c r="Y33" s="232" t="str">
        <f t="shared" si="9"/>
        <v>--</v>
      </c>
      <c r="Z33" s="233" t="str">
        <f t="shared" si="10"/>
        <v>--</v>
      </c>
      <c r="AA33" s="234" t="str">
        <f t="shared" si="11"/>
        <v>--</v>
      </c>
      <c r="AB33" s="416" t="s">
        <v>78</v>
      </c>
      <c r="AC33" s="235">
        <f t="shared" si="14"/>
        <v>20.848464000000003</v>
      </c>
      <c r="AD33" s="157"/>
    </row>
    <row r="34" spans="2:30" s="1" customFormat="1" ht="16.5" customHeight="1">
      <c r="B34" s="156"/>
      <c r="C34" s="207">
        <v>75</v>
      </c>
      <c r="D34" s="207">
        <v>285390</v>
      </c>
      <c r="E34" s="207">
        <v>4418</v>
      </c>
      <c r="F34" s="75" t="s">
        <v>121</v>
      </c>
      <c r="G34" s="77" t="s">
        <v>117</v>
      </c>
      <c r="H34" s="220">
        <v>30</v>
      </c>
      <c r="I34" s="221">
        <v>0</v>
      </c>
      <c r="J34" s="222">
        <f t="shared" si="0"/>
        <v>33.540000000000006</v>
      </c>
      <c r="K34" s="424">
        <v>42062.31805555556</v>
      </c>
      <c r="L34" s="424">
        <v>42062.330555555556</v>
      </c>
      <c r="M34" s="223">
        <f t="shared" si="1"/>
        <v>0.2999999999301508</v>
      </c>
      <c r="N34" s="224">
        <f t="shared" si="2"/>
        <v>18</v>
      </c>
      <c r="O34" s="225" t="s">
        <v>83</v>
      </c>
      <c r="P34" s="416" t="str">
        <f t="shared" si="12"/>
        <v>NO</v>
      </c>
      <c r="Q34" s="416" t="s">
        <v>79</v>
      </c>
      <c r="R34" s="416" t="s">
        <v>78</v>
      </c>
      <c r="S34" s="103">
        <f t="shared" si="3"/>
        <v>60</v>
      </c>
      <c r="T34" s="227" t="str">
        <f t="shared" si="4"/>
        <v>--</v>
      </c>
      <c r="U34" s="228" t="str">
        <f t="shared" si="5"/>
        <v>--</v>
      </c>
      <c r="V34" s="229">
        <f t="shared" si="6"/>
        <v>2012.4000000000003</v>
      </c>
      <c r="W34" s="230">
        <f t="shared" si="7"/>
        <v>603.72</v>
      </c>
      <c r="X34" s="231" t="str">
        <f t="shared" si="8"/>
        <v>--</v>
      </c>
      <c r="Y34" s="232" t="str">
        <f t="shared" si="9"/>
        <v>--</v>
      </c>
      <c r="Z34" s="233" t="str">
        <f t="shared" si="10"/>
        <v>--</v>
      </c>
      <c r="AA34" s="234" t="str">
        <f t="shared" si="11"/>
        <v>--</v>
      </c>
      <c r="AB34" s="416" t="s">
        <v>78</v>
      </c>
      <c r="AC34" s="235">
        <f t="shared" si="14"/>
        <v>2616.1200000000003</v>
      </c>
      <c r="AD34" s="157"/>
    </row>
    <row r="35" spans="2:30" s="1" customFormat="1" ht="16.5" customHeight="1">
      <c r="B35" s="156"/>
      <c r="C35" s="207"/>
      <c r="D35" s="207"/>
      <c r="E35" s="207"/>
      <c r="F35" s="75"/>
      <c r="G35" s="77"/>
      <c r="H35" s="220"/>
      <c r="I35" s="221"/>
      <c r="J35" s="222">
        <f t="shared" si="0"/>
        <v>0</v>
      </c>
      <c r="K35" s="424"/>
      <c r="L35" s="424"/>
      <c r="M35" s="223">
        <f t="shared" si="1"/>
      </c>
      <c r="N35" s="224">
        <f t="shared" si="2"/>
      </c>
      <c r="O35" s="225"/>
      <c r="P35" s="416">
        <f t="shared" si="12"/>
      </c>
      <c r="Q35" s="417">
        <f aca="true" t="shared" si="15" ref="Q35:Q41">IF(F35="","","--")</f>
      </c>
      <c r="R35" s="416">
        <f t="shared" si="13"/>
      </c>
      <c r="S35" s="103">
        <f t="shared" si="3"/>
        <v>6</v>
      </c>
      <c r="T35" s="227" t="str">
        <f t="shared" si="4"/>
        <v>--</v>
      </c>
      <c r="U35" s="228" t="str">
        <f t="shared" si="5"/>
        <v>--</v>
      </c>
      <c r="V35" s="229" t="str">
        <f t="shared" si="6"/>
        <v>--</v>
      </c>
      <c r="W35" s="230" t="str">
        <f t="shared" si="7"/>
        <v>--</v>
      </c>
      <c r="X35" s="231" t="str">
        <f t="shared" si="8"/>
        <v>--</v>
      </c>
      <c r="Y35" s="232" t="str">
        <f t="shared" si="9"/>
        <v>--</v>
      </c>
      <c r="Z35" s="233" t="str">
        <f t="shared" si="10"/>
        <v>--</v>
      </c>
      <c r="AA35" s="234" t="str">
        <f t="shared" si="11"/>
        <v>--</v>
      </c>
      <c r="AB35" s="416">
        <f aca="true" t="shared" si="16" ref="AB35:AB41">IF(F35="","","SI")</f>
      </c>
      <c r="AC35" s="235">
        <f t="shared" si="14"/>
      </c>
      <c r="AD35" s="157"/>
    </row>
    <row r="36" spans="2:30" s="1" customFormat="1" ht="16.5" customHeight="1">
      <c r="B36" s="156"/>
      <c r="C36" s="207"/>
      <c r="D36" s="207"/>
      <c r="E36" s="207"/>
      <c r="F36" s="75"/>
      <c r="G36" s="77"/>
      <c r="H36" s="220"/>
      <c r="I36" s="221"/>
      <c r="J36" s="222">
        <f t="shared" si="0"/>
        <v>0</v>
      </c>
      <c r="K36" s="424"/>
      <c r="L36" s="424"/>
      <c r="M36" s="223">
        <f t="shared" si="1"/>
      </c>
      <c r="N36" s="224">
        <f t="shared" si="2"/>
      </c>
      <c r="O36" s="225"/>
      <c r="P36" s="416">
        <f t="shared" si="12"/>
      </c>
      <c r="Q36" s="417">
        <f t="shared" si="15"/>
      </c>
      <c r="R36" s="416">
        <f t="shared" si="13"/>
      </c>
      <c r="S36" s="103">
        <f t="shared" si="3"/>
        <v>6</v>
      </c>
      <c r="T36" s="227" t="str">
        <f t="shared" si="4"/>
        <v>--</v>
      </c>
      <c r="U36" s="228" t="str">
        <f t="shared" si="5"/>
        <v>--</v>
      </c>
      <c r="V36" s="229" t="str">
        <f t="shared" si="6"/>
        <v>--</v>
      </c>
      <c r="W36" s="230" t="str">
        <f t="shared" si="7"/>
        <v>--</v>
      </c>
      <c r="X36" s="231" t="str">
        <f t="shared" si="8"/>
        <v>--</v>
      </c>
      <c r="Y36" s="232" t="str">
        <f t="shared" si="9"/>
        <v>--</v>
      </c>
      <c r="Z36" s="233" t="str">
        <f t="shared" si="10"/>
        <v>--</v>
      </c>
      <c r="AA36" s="234" t="str">
        <f t="shared" si="11"/>
        <v>--</v>
      </c>
      <c r="AB36" s="416">
        <f t="shared" si="16"/>
      </c>
      <c r="AC36" s="235">
        <f t="shared" si="14"/>
      </c>
      <c r="AD36" s="157"/>
    </row>
    <row r="37" spans="2:30" s="1" customFormat="1" ht="16.5" customHeight="1">
      <c r="B37" s="156"/>
      <c r="C37" s="207"/>
      <c r="D37" s="207"/>
      <c r="E37" s="207"/>
      <c r="F37" s="75"/>
      <c r="G37" s="77"/>
      <c r="H37" s="220"/>
      <c r="I37" s="221"/>
      <c r="J37" s="222">
        <f t="shared" si="0"/>
        <v>0</v>
      </c>
      <c r="K37" s="424"/>
      <c r="L37" s="424"/>
      <c r="M37" s="223">
        <f t="shared" si="1"/>
      </c>
      <c r="N37" s="224">
        <f t="shared" si="2"/>
      </c>
      <c r="O37" s="225"/>
      <c r="P37" s="416">
        <f t="shared" si="12"/>
      </c>
      <c r="Q37" s="417">
        <f t="shared" si="15"/>
      </c>
      <c r="R37" s="416">
        <f t="shared" si="13"/>
      </c>
      <c r="S37" s="103">
        <f t="shared" si="3"/>
        <v>6</v>
      </c>
      <c r="T37" s="227" t="str">
        <f t="shared" si="4"/>
        <v>--</v>
      </c>
      <c r="U37" s="228" t="str">
        <f t="shared" si="5"/>
        <v>--</v>
      </c>
      <c r="V37" s="229" t="str">
        <f t="shared" si="6"/>
        <v>--</v>
      </c>
      <c r="W37" s="230" t="str">
        <f t="shared" si="7"/>
        <v>--</v>
      </c>
      <c r="X37" s="231" t="str">
        <f t="shared" si="8"/>
        <v>--</v>
      </c>
      <c r="Y37" s="232" t="str">
        <f t="shared" si="9"/>
        <v>--</v>
      </c>
      <c r="Z37" s="233" t="str">
        <f t="shared" si="10"/>
        <v>--</v>
      </c>
      <c r="AA37" s="234" t="str">
        <f t="shared" si="11"/>
        <v>--</v>
      </c>
      <c r="AB37" s="416">
        <f t="shared" si="16"/>
      </c>
      <c r="AC37" s="235">
        <f t="shared" si="14"/>
      </c>
      <c r="AD37" s="157"/>
    </row>
    <row r="38" spans="2:30" s="1" customFormat="1" ht="16.5" customHeight="1">
      <c r="B38" s="156"/>
      <c r="C38" s="207"/>
      <c r="D38" s="207"/>
      <c r="E38" s="207"/>
      <c r="F38" s="75"/>
      <c r="G38" s="77"/>
      <c r="H38" s="220"/>
      <c r="I38" s="221"/>
      <c r="J38" s="222">
        <f t="shared" si="0"/>
        <v>0</v>
      </c>
      <c r="K38" s="424"/>
      <c r="L38" s="424"/>
      <c r="M38" s="223">
        <f t="shared" si="1"/>
      </c>
      <c r="N38" s="224">
        <f t="shared" si="2"/>
      </c>
      <c r="O38" s="225"/>
      <c r="P38" s="416">
        <f t="shared" si="12"/>
      </c>
      <c r="Q38" s="417">
        <f t="shared" si="15"/>
      </c>
      <c r="R38" s="416">
        <f t="shared" si="13"/>
      </c>
      <c r="S38" s="103">
        <f t="shared" si="3"/>
        <v>6</v>
      </c>
      <c r="T38" s="227" t="str">
        <f t="shared" si="4"/>
        <v>--</v>
      </c>
      <c r="U38" s="228" t="str">
        <f t="shared" si="5"/>
        <v>--</v>
      </c>
      <c r="V38" s="229" t="str">
        <f t="shared" si="6"/>
        <v>--</v>
      </c>
      <c r="W38" s="230" t="str">
        <f t="shared" si="7"/>
        <v>--</v>
      </c>
      <c r="X38" s="231" t="str">
        <f t="shared" si="8"/>
        <v>--</v>
      </c>
      <c r="Y38" s="232" t="str">
        <f t="shared" si="9"/>
        <v>--</v>
      </c>
      <c r="Z38" s="233" t="str">
        <f t="shared" si="10"/>
        <v>--</v>
      </c>
      <c r="AA38" s="234" t="str">
        <f t="shared" si="11"/>
        <v>--</v>
      </c>
      <c r="AB38" s="416">
        <f t="shared" si="16"/>
      </c>
      <c r="AC38" s="235">
        <f t="shared" si="14"/>
      </c>
      <c r="AD38" s="157"/>
    </row>
    <row r="39" spans="2:30" s="1" customFormat="1" ht="16.5" customHeight="1">
      <c r="B39" s="156"/>
      <c r="C39" s="207"/>
      <c r="D39" s="207"/>
      <c r="E39" s="207"/>
      <c r="F39" s="75"/>
      <c r="G39" s="77"/>
      <c r="H39" s="220"/>
      <c r="I39" s="221"/>
      <c r="J39" s="222">
        <f t="shared" si="0"/>
        <v>0</v>
      </c>
      <c r="K39" s="424"/>
      <c r="L39" s="424"/>
      <c r="M39" s="223">
        <f t="shared" si="1"/>
      </c>
      <c r="N39" s="224">
        <f t="shared" si="2"/>
      </c>
      <c r="O39" s="225"/>
      <c r="P39" s="416">
        <f t="shared" si="12"/>
      </c>
      <c r="Q39" s="417">
        <f t="shared" si="15"/>
      </c>
      <c r="R39" s="416">
        <f t="shared" si="13"/>
      </c>
      <c r="S39" s="103">
        <f t="shared" si="3"/>
        <v>6</v>
      </c>
      <c r="T39" s="227" t="str">
        <f t="shared" si="4"/>
        <v>--</v>
      </c>
      <c r="U39" s="228" t="str">
        <f t="shared" si="5"/>
        <v>--</v>
      </c>
      <c r="V39" s="229" t="str">
        <f t="shared" si="6"/>
        <v>--</v>
      </c>
      <c r="W39" s="230" t="str">
        <f t="shared" si="7"/>
        <v>--</v>
      </c>
      <c r="X39" s="231" t="str">
        <f t="shared" si="8"/>
        <v>--</v>
      </c>
      <c r="Y39" s="232" t="str">
        <f t="shared" si="9"/>
        <v>--</v>
      </c>
      <c r="Z39" s="233" t="str">
        <f t="shared" si="10"/>
        <v>--</v>
      </c>
      <c r="AA39" s="234" t="str">
        <f t="shared" si="11"/>
        <v>--</v>
      </c>
      <c r="AB39" s="416">
        <f t="shared" si="16"/>
      </c>
      <c r="AC39" s="235">
        <f t="shared" si="14"/>
      </c>
      <c r="AD39" s="157"/>
    </row>
    <row r="40" spans="2:30" s="1" customFormat="1" ht="16.5" customHeight="1">
      <c r="B40" s="156"/>
      <c r="C40" s="207"/>
      <c r="D40" s="207"/>
      <c r="E40" s="207"/>
      <c r="F40" s="75"/>
      <c r="G40" s="77"/>
      <c r="H40" s="220"/>
      <c r="I40" s="221"/>
      <c r="J40" s="222">
        <f t="shared" si="0"/>
        <v>0</v>
      </c>
      <c r="K40" s="424"/>
      <c r="L40" s="424"/>
      <c r="M40" s="223">
        <f t="shared" si="1"/>
      </c>
      <c r="N40" s="224">
        <f t="shared" si="2"/>
      </c>
      <c r="O40" s="225"/>
      <c r="P40" s="416">
        <f t="shared" si="12"/>
      </c>
      <c r="Q40" s="417">
        <f t="shared" si="15"/>
      </c>
      <c r="R40" s="416">
        <f t="shared" si="13"/>
      </c>
      <c r="S40" s="103">
        <f t="shared" si="3"/>
        <v>6</v>
      </c>
      <c r="T40" s="227" t="str">
        <f t="shared" si="4"/>
        <v>--</v>
      </c>
      <c r="U40" s="228" t="str">
        <f t="shared" si="5"/>
        <v>--</v>
      </c>
      <c r="V40" s="229" t="str">
        <f t="shared" si="6"/>
        <v>--</v>
      </c>
      <c r="W40" s="230" t="str">
        <f t="shared" si="7"/>
        <v>--</v>
      </c>
      <c r="X40" s="231" t="str">
        <f t="shared" si="8"/>
        <v>--</v>
      </c>
      <c r="Y40" s="232" t="str">
        <f t="shared" si="9"/>
        <v>--</v>
      </c>
      <c r="Z40" s="233" t="str">
        <f t="shared" si="10"/>
        <v>--</v>
      </c>
      <c r="AA40" s="234" t="str">
        <f t="shared" si="11"/>
        <v>--</v>
      </c>
      <c r="AB40" s="416">
        <f t="shared" si="16"/>
      </c>
      <c r="AC40" s="235">
        <f t="shared" si="14"/>
      </c>
      <c r="AD40" s="157"/>
    </row>
    <row r="41" spans="2:30" s="1" customFormat="1" ht="16.5" customHeight="1">
      <c r="B41" s="156"/>
      <c r="C41" s="207"/>
      <c r="D41" s="207"/>
      <c r="E41" s="207"/>
      <c r="F41" s="75"/>
      <c r="G41" s="77"/>
      <c r="H41" s="220"/>
      <c r="I41" s="221"/>
      <c r="J41" s="222">
        <f t="shared" si="0"/>
        <v>0</v>
      </c>
      <c r="K41" s="424"/>
      <c r="L41" s="424"/>
      <c r="M41" s="223">
        <f t="shared" si="1"/>
      </c>
      <c r="N41" s="224">
        <f t="shared" si="2"/>
      </c>
      <c r="O41" s="225"/>
      <c r="P41" s="416">
        <f t="shared" si="12"/>
      </c>
      <c r="Q41" s="417">
        <f t="shared" si="15"/>
      </c>
      <c r="R41" s="416">
        <f t="shared" si="13"/>
      </c>
      <c r="S41" s="103">
        <f t="shared" si="3"/>
        <v>6</v>
      </c>
      <c r="T41" s="227" t="str">
        <f t="shared" si="4"/>
        <v>--</v>
      </c>
      <c r="U41" s="228" t="str">
        <f t="shared" si="5"/>
        <v>--</v>
      </c>
      <c r="V41" s="229" t="str">
        <f t="shared" si="6"/>
        <v>--</v>
      </c>
      <c r="W41" s="230" t="str">
        <f t="shared" si="7"/>
        <v>--</v>
      </c>
      <c r="X41" s="231" t="str">
        <f t="shared" si="8"/>
        <v>--</v>
      </c>
      <c r="Y41" s="232" t="str">
        <f t="shared" si="9"/>
        <v>--</v>
      </c>
      <c r="Z41" s="233" t="str">
        <f t="shared" si="10"/>
        <v>--</v>
      </c>
      <c r="AA41" s="234" t="str">
        <f t="shared" si="11"/>
        <v>--</v>
      </c>
      <c r="AB41" s="416">
        <f t="shared" si="16"/>
      </c>
      <c r="AC41" s="235">
        <f t="shared" si="14"/>
      </c>
      <c r="AD41" s="157"/>
    </row>
    <row r="42" spans="2:30" s="1" customFormat="1" ht="16.5" customHeight="1" thickBot="1">
      <c r="B42" s="156"/>
      <c r="C42" s="314"/>
      <c r="D42" s="314"/>
      <c r="E42" s="314"/>
      <c r="F42" s="314"/>
      <c r="G42" s="314"/>
      <c r="H42" s="314"/>
      <c r="I42" s="314"/>
      <c r="J42" s="238"/>
      <c r="K42" s="400"/>
      <c r="L42" s="400"/>
      <c r="M42" s="237"/>
      <c r="N42" s="237"/>
      <c r="O42" s="314"/>
      <c r="P42" s="314"/>
      <c r="Q42" s="314"/>
      <c r="R42" s="314"/>
      <c r="S42" s="315"/>
      <c r="T42" s="316"/>
      <c r="U42" s="317"/>
      <c r="V42" s="318"/>
      <c r="W42" s="319"/>
      <c r="X42" s="320"/>
      <c r="Y42" s="321"/>
      <c r="Z42" s="322"/>
      <c r="AA42" s="323"/>
      <c r="AB42" s="314"/>
      <c r="AC42" s="239"/>
      <c r="AD42" s="157"/>
    </row>
    <row r="43" spans="2:30" s="1" customFormat="1" ht="16.5" customHeight="1" thickBot="1" thickTop="1">
      <c r="B43" s="156"/>
      <c r="C43" s="111" t="s">
        <v>55</v>
      </c>
      <c r="D43" s="127"/>
      <c r="E43" s="127"/>
      <c r="F43" s="11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40">
        <f>SUM(T20:T42)</f>
        <v>772.3792440000003</v>
      </c>
      <c r="U43" s="241">
        <f>SUM(U20:U42)</f>
        <v>68.70333600000001</v>
      </c>
      <c r="V43" s="242">
        <f>SUM(V20:V42)</f>
        <v>2012.4000000000003</v>
      </c>
      <c r="W43" s="243">
        <f>SUM(W22:W42)</f>
        <v>603.72</v>
      </c>
      <c r="X43" s="244">
        <f>SUM(X20:X42)</f>
        <v>402.4800000000001</v>
      </c>
      <c r="Y43" s="244">
        <f>SUM(Y22:Y42)</f>
        <v>309.90960000000007</v>
      </c>
      <c r="Z43" s="245">
        <f>SUM(Z20:Z42)</f>
        <v>0</v>
      </c>
      <c r="AA43" s="246">
        <f>SUM(AA22:AA42)</f>
        <v>0</v>
      </c>
      <c r="AB43" s="247"/>
      <c r="AC43" s="410">
        <f>ROUND(SUM(AC20:AC42),2)</f>
        <v>12897.23</v>
      </c>
      <c r="AD43" s="157"/>
    </row>
    <row r="44" spans="2:30" s="125" customFormat="1" ht="9.75" thickTop="1">
      <c r="B44" s="248"/>
      <c r="C44" s="127"/>
      <c r="D44" s="127"/>
      <c r="E44" s="127"/>
      <c r="F44" s="128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50"/>
      <c r="U44" s="250"/>
      <c r="V44" s="250"/>
      <c r="W44" s="250"/>
      <c r="X44" s="250"/>
      <c r="Y44" s="250"/>
      <c r="Z44" s="250"/>
      <c r="AA44" s="250"/>
      <c r="AB44" s="249"/>
      <c r="AC44" s="251"/>
      <c r="AD44" s="252"/>
    </row>
    <row r="45" spans="2:30" s="1" customFormat="1" ht="16.5" customHeight="1" thickBot="1">
      <c r="B45" s="253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5"/>
    </row>
    <row r="46" spans="2:30" ht="16.5" customHeight="1" thickTop="1">
      <c r="B46" s="256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256"/>
      <c r="Z46" s="256"/>
      <c r="AA46" s="256"/>
      <c r="AB46" s="256"/>
      <c r="AC46" s="256"/>
      <c r="AD46" s="257"/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2" r:id="rId3"/>
  <headerFooter alignWithMargins="0">
    <oddFooter>&amp;L&amp;"Times New Roman,Normal"&amp;5&amp;F  - TRANSPORTE de ENERGÍA ELÉCTRICA - PJL - &amp;P/&amp;N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"/>
  <sheetViews>
    <sheetView zoomScale="70" zoomScaleNormal="70" zoomScalePageLayoutView="0" workbookViewId="0" topLeftCell="A4">
      <selection activeCell="V37" sqref="V37"/>
    </sheetView>
  </sheetViews>
  <sheetFormatPr defaultColWidth="11.421875" defaultRowHeight="12.75"/>
  <cols>
    <col min="1" max="2" width="4.140625" style="5" customWidth="1"/>
    <col min="3" max="3" width="5.421875" style="5" customWidth="1"/>
    <col min="4" max="5" width="13.7109375" style="5" customWidth="1"/>
    <col min="6" max="6" width="25.7109375" style="5" customWidth="1"/>
    <col min="7" max="7" width="35.7109375" style="5" customWidth="1"/>
    <col min="8" max="8" width="10.7109375" style="5" customWidth="1"/>
    <col min="9" max="9" width="12.421875" style="5" hidden="1" customWidth="1"/>
    <col min="10" max="11" width="15.7109375" style="5" customWidth="1"/>
    <col min="12" max="14" width="9.7109375" style="5" customWidth="1"/>
    <col min="15" max="15" width="7.7109375" style="5" customWidth="1"/>
    <col min="16" max="16" width="12.7109375" style="5" hidden="1" customWidth="1"/>
    <col min="17" max="17" width="15.00390625" style="5" hidden="1" customWidth="1"/>
    <col min="18" max="18" width="15.140625" style="5" hidden="1" customWidth="1"/>
    <col min="19" max="20" width="15.57421875" style="5" hidden="1" customWidth="1"/>
    <col min="21" max="21" width="9.7109375" style="5" customWidth="1"/>
    <col min="22" max="22" width="15.7109375" style="5" customWidth="1"/>
    <col min="23" max="23" width="4.140625" style="5" customWidth="1"/>
    <col min="24" max="24" width="10.8515625" style="5" customWidth="1"/>
    <col min="25" max="16384" width="11.421875" style="5" customWidth="1"/>
  </cols>
  <sheetData>
    <row r="1" spans="1:23" s="3" customFormat="1" ht="30.75" customHeight="1">
      <c r="A1" s="258"/>
      <c r="W1" s="311"/>
    </row>
    <row r="2" spans="1:23" s="3" customFormat="1" ht="26.25">
      <c r="A2" s="258"/>
      <c r="B2" s="16" t="str">
        <f>'TOT-0215'!B2</f>
        <v>ANEXO III al Memorándum D.T.E.E. N° 814   / 2015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1" customFormat="1" ht="12.75">
      <c r="A3" s="259"/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" s="9" customFormat="1" ht="11.25">
      <c r="A4" s="8" t="s">
        <v>3</v>
      </c>
      <c r="B4" s="260"/>
    </row>
    <row r="5" spans="1:2" s="9" customFormat="1" ht="11.25">
      <c r="A5" s="8" t="s">
        <v>4</v>
      </c>
      <c r="B5" s="260"/>
    </row>
    <row r="6" s="1" customFormat="1" ht="16.5" customHeight="1" thickBot="1"/>
    <row r="7" spans="2:23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1"/>
    </row>
    <row r="8" spans="2:23" s="22" customFormat="1" ht="20.25">
      <c r="B8" s="23"/>
      <c r="F8" s="24" t="s">
        <v>46</v>
      </c>
      <c r="P8" s="25"/>
      <c r="Q8" s="25"/>
      <c r="R8" s="25"/>
      <c r="S8" s="25"/>
      <c r="T8" s="25"/>
      <c r="U8" s="25"/>
      <c r="V8" s="25"/>
      <c r="W8" s="26"/>
    </row>
    <row r="9" spans="2:23" s="1" customFormat="1" ht="16.5" customHeight="1">
      <c r="B9" s="13"/>
      <c r="F9" s="7"/>
      <c r="G9" s="7"/>
      <c r="H9" s="7"/>
      <c r="I9" s="32"/>
      <c r="J9" s="32"/>
      <c r="K9" s="32"/>
      <c r="L9" s="32"/>
      <c r="M9" s="32"/>
      <c r="P9" s="7"/>
      <c r="Q9" s="7"/>
      <c r="R9" s="7"/>
      <c r="S9" s="7"/>
      <c r="T9" s="7"/>
      <c r="U9" s="7"/>
      <c r="V9" s="7"/>
      <c r="W9" s="14"/>
    </row>
    <row r="10" spans="2:23" s="22" customFormat="1" ht="20.25">
      <c r="B10" s="23"/>
      <c r="F10" s="24" t="s">
        <v>47</v>
      </c>
      <c r="G10" s="24"/>
      <c r="H10" s="25"/>
      <c r="I10" s="24"/>
      <c r="J10" s="24"/>
      <c r="K10" s="24"/>
      <c r="L10" s="24"/>
      <c r="M10" s="24"/>
      <c r="P10" s="25"/>
      <c r="Q10" s="25"/>
      <c r="R10" s="25"/>
      <c r="S10" s="25"/>
      <c r="T10" s="25"/>
      <c r="U10" s="25"/>
      <c r="V10" s="25"/>
      <c r="W10" s="26"/>
    </row>
    <row r="11" spans="2:23" s="1" customFormat="1" ht="16.5" customHeight="1">
      <c r="B11" s="13"/>
      <c r="C11" s="7"/>
      <c r="D11" s="7"/>
      <c r="E11" s="7"/>
      <c r="F11" s="261"/>
      <c r="G11" s="32"/>
      <c r="H11" s="7"/>
      <c r="I11" s="32"/>
      <c r="J11" s="32"/>
      <c r="K11" s="32"/>
      <c r="L11" s="32"/>
      <c r="M11" s="32"/>
      <c r="P11" s="7"/>
      <c r="Q11" s="7"/>
      <c r="R11" s="7"/>
      <c r="S11" s="7"/>
      <c r="T11" s="7"/>
      <c r="U11" s="7"/>
      <c r="V11" s="7"/>
      <c r="W11" s="14"/>
    </row>
    <row r="12" spans="2:23" s="10" customFormat="1" ht="19.5">
      <c r="B12" s="11" t="str">
        <f>'TOT-0215'!B14</f>
        <v>Desde el 01 al 28 de febrero de 2015</v>
      </c>
      <c r="C12" s="262"/>
      <c r="D12" s="262"/>
      <c r="E12" s="262"/>
      <c r="F12" s="12"/>
      <c r="G12" s="12"/>
      <c r="H12" s="12"/>
      <c r="I12" s="12"/>
      <c r="J12" s="29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31"/>
    </row>
    <row r="13" spans="2:23" s="1" customFormat="1" ht="16.5" customHeight="1" thickBot="1">
      <c r="B13" s="13"/>
      <c r="C13" s="7"/>
      <c r="D13" s="7"/>
      <c r="E13" s="7"/>
      <c r="I13" s="34"/>
      <c r="K13" s="7"/>
      <c r="L13" s="7"/>
      <c r="M13" s="7"/>
      <c r="N13" s="34"/>
      <c r="O13" s="34"/>
      <c r="P13" s="34"/>
      <c r="Q13" s="7"/>
      <c r="R13" s="7"/>
      <c r="S13" s="7"/>
      <c r="T13" s="7"/>
      <c r="U13" s="7"/>
      <c r="V13" s="7"/>
      <c r="W13" s="14"/>
    </row>
    <row r="14" spans="2:23" s="1" customFormat="1" ht="16.5" customHeight="1" thickBot="1" thickTop="1">
      <c r="B14" s="13"/>
      <c r="C14" s="7"/>
      <c r="D14" s="7"/>
      <c r="E14" s="7"/>
      <c r="F14" s="263" t="s">
        <v>48</v>
      </c>
      <c r="G14" s="428">
        <v>29.82</v>
      </c>
      <c r="H14" s="264">
        <f>60*'TOT-0215'!B13</f>
        <v>60</v>
      </c>
      <c r="I14" s="34"/>
      <c r="J14" s="175" t="str">
        <f>IF(H14=60," ",IF(H14=120,"    Coeficiente duplicado por tasa de falla &gt;4 Sal. x año/100 km.","    REVISAR COEFICIENTE"))</f>
        <v> </v>
      </c>
      <c r="K14" s="7"/>
      <c r="L14" s="7"/>
      <c r="M14" s="7"/>
      <c r="N14" s="34"/>
      <c r="O14" s="34"/>
      <c r="P14" s="34"/>
      <c r="Q14" s="7"/>
      <c r="R14" s="7"/>
      <c r="S14" s="7"/>
      <c r="T14" s="7"/>
      <c r="U14" s="7"/>
      <c r="V14" s="7"/>
      <c r="W14" s="14"/>
    </row>
    <row r="15" spans="2:23" s="1" customFormat="1" ht="16.5" customHeight="1" thickBot="1" thickTop="1">
      <c r="B15" s="13"/>
      <c r="C15" s="7"/>
      <c r="D15" s="7"/>
      <c r="E15" s="7"/>
      <c r="F15" s="263" t="s">
        <v>49</v>
      </c>
      <c r="G15" s="429">
        <v>14.911</v>
      </c>
      <c r="H15" s="264">
        <f>50*'TOT-0215'!B13</f>
        <v>50</v>
      </c>
      <c r="J15" s="175" t="str">
        <f>IF(H15=50," ",IF(H15=100,"    Coeficiente duplicado por tasa de falla &gt;4 Sal. x año/100 km.","    REVISAR COEFICIENTE"))</f>
        <v> </v>
      </c>
      <c r="S15" s="7"/>
      <c r="T15" s="7"/>
      <c r="U15" s="7"/>
      <c r="V15" s="265"/>
      <c r="W15" s="14"/>
    </row>
    <row r="16" spans="2:23" s="1" customFormat="1" ht="16.5" customHeight="1" thickBot="1" thickTop="1">
      <c r="B16" s="13"/>
      <c r="C16" s="7"/>
      <c r="D16" s="7"/>
      <c r="E16" s="7"/>
      <c r="F16" s="266" t="s">
        <v>50</v>
      </c>
      <c r="G16" s="267">
        <v>11.181</v>
      </c>
      <c r="H16" s="268">
        <f>50*'TOT-0215'!B13</f>
        <v>50</v>
      </c>
      <c r="J16" s="175" t="str">
        <f>IF(H16=50," ",IF(H16=100,"    Coeficiente duplicado por tasa de falla &gt;4 Sal. x año/100 km.","    REVISAR COEFICIENTE"))</f>
        <v> </v>
      </c>
      <c r="K16" s="269"/>
      <c r="L16" s="269"/>
      <c r="M16" s="7"/>
      <c r="P16" s="270"/>
      <c r="Q16" s="271"/>
      <c r="R16" s="15"/>
      <c r="S16" s="7"/>
      <c r="T16" s="7"/>
      <c r="U16" s="7"/>
      <c r="V16" s="265"/>
      <c r="W16" s="14"/>
    </row>
    <row r="17" spans="2:23" s="1" customFormat="1" ht="16.5" customHeight="1" thickBot="1" thickTop="1">
      <c r="B17" s="13"/>
      <c r="C17" s="7"/>
      <c r="D17" s="7"/>
      <c r="E17" s="7"/>
      <c r="F17" s="272" t="s">
        <v>51</v>
      </c>
      <c r="G17" s="267">
        <v>11.181</v>
      </c>
      <c r="H17" s="273">
        <f>40*'TOT-0215'!B13</f>
        <v>40</v>
      </c>
      <c r="J17" s="175" t="str">
        <f>IF(H17=40," ",IF(H17=80,"    Coeficiente duplicado por tasa de falla &gt;4 Sal. x año/100 km.","    REVISAR COEFICIENTE"))</f>
        <v> </v>
      </c>
      <c r="K17" s="269"/>
      <c r="L17" s="269"/>
      <c r="M17" s="7"/>
      <c r="P17" s="270"/>
      <c r="Q17" s="271"/>
      <c r="R17" s="15"/>
      <c r="S17" s="7"/>
      <c r="T17" s="7"/>
      <c r="U17" s="7"/>
      <c r="V17" s="265"/>
      <c r="W17" s="14"/>
    </row>
    <row r="18" spans="2:23" s="1" customFormat="1" ht="16.5" customHeight="1" thickBot="1" thickTop="1">
      <c r="B18" s="13"/>
      <c r="C18" s="414">
        <v>3</v>
      </c>
      <c r="D18" s="414">
        <v>4</v>
      </c>
      <c r="E18" s="414">
        <v>5</v>
      </c>
      <c r="F18" s="414">
        <v>6</v>
      </c>
      <c r="G18" s="414">
        <v>7</v>
      </c>
      <c r="H18" s="414">
        <v>8</v>
      </c>
      <c r="I18" s="414">
        <v>9</v>
      </c>
      <c r="J18" s="414">
        <v>10</v>
      </c>
      <c r="K18" s="414">
        <v>11</v>
      </c>
      <c r="L18" s="414">
        <v>12</v>
      </c>
      <c r="M18" s="414">
        <v>13</v>
      </c>
      <c r="N18" s="414">
        <v>14</v>
      </c>
      <c r="O18" s="414">
        <v>15</v>
      </c>
      <c r="P18" s="414">
        <v>16</v>
      </c>
      <c r="Q18" s="414">
        <v>17</v>
      </c>
      <c r="R18" s="414">
        <v>18</v>
      </c>
      <c r="S18" s="414">
        <v>19</v>
      </c>
      <c r="T18" s="414">
        <v>20</v>
      </c>
      <c r="U18" s="414">
        <v>21</v>
      </c>
      <c r="V18" s="414">
        <v>22</v>
      </c>
      <c r="W18" s="14"/>
    </row>
    <row r="19" spans="2:23" s="274" customFormat="1" ht="34.5" customHeight="1" thickBot="1" thickTop="1">
      <c r="B19" s="275"/>
      <c r="C19" s="413" t="s">
        <v>13</v>
      </c>
      <c r="D19" s="413" t="s">
        <v>72</v>
      </c>
      <c r="E19" s="413" t="s">
        <v>73</v>
      </c>
      <c r="F19" s="179" t="s">
        <v>35</v>
      </c>
      <c r="G19" s="180" t="s">
        <v>36</v>
      </c>
      <c r="H19" s="182" t="s">
        <v>14</v>
      </c>
      <c r="I19" s="47" t="s">
        <v>16</v>
      </c>
      <c r="J19" s="180" t="s">
        <v>17</v>
      </c>
      <c r="K19" s="180" t="s">
        <v>18</v>
      </c>
      <c r="L19" s="179" t="s">
        <v>38</v>
      </c>
      <c r="M19" s="179" t="s">
        <v>39</v>
      </c>
      <c r="N19" s="46" t="s">
        <v>54</v>
      </c>
      <c r="O19" s="180" t="s">
        <v>40</v>
      </c>
      <c r="P19" s="276" t="s">
        <v>52</v>
      </c>
      <c r="Q19" s="277" t="s">
        <v>53</v>
      </c>
      <c r="R19" s="278" t="s">
        <v>43</v>
      </c>
      <c r="S19" s="279"/>
      <c r="T19" s="280" t="s">
        <v>27</v>
      </c>
      <c r="U19" s="182" t="s">
        <v>29</v>
      </c>
      <c r="V19" s="182" t="s">
        <v>30</v>
      </c>
      <c r="W19" s="281"/>
    </row>
    <row r="20" spans="2:23" s="1" customFormat="1" ht="16.5" customHeight="1" thickTop="1">
      <c r="B20" s="13"/>
      <c r="C20" s="196"/>
      <c r="D20" s="412"/>
      <c r="E20" s="412"/>
      <c r="F20" s="194"/>
      <c r="G20" s="194"/>
      <c r="H20" s="282"/>
      <c r="I20" s="283"/>
      <c r="J20" s="398"/>
      <c r="K20" s="401"/>
      <c r="L20" s="198"/>
      <c r="M20" s="198"/>
      <c r="N20" s="195"/>
      <c r="O20" s="195"/>
      <c r="P20" s="284"/>
      <c r="Q20" s="285"/>
      <c r="R20" s="286"/>
      <c r="S20" s="287"/>
      <c r="T20" s="288"/>
      <c r="U20" s="289"/>
      <c r="V20" s="206"/>
      <c r="W20" s="157"/>
    </row>
    <row r="21" spans="2:23" s="1" customFormat="1" ht="16.5" customHeight="1">
      <c r="B21" s="13"/>
      <c r="C21" s="208"/>
      <c r="D21" s="207"/>
      <c r="E21" s="207"/>
      <c r="F21" s="290"/>
      <c r="G21" s="290"/>
      <c r="H21" s="291"/>
      <c r="I21" s="292"/>
      <c r="J21" s="426"/>
      <c r="K21" s="427"/>
      <c r="L21" s="223"/>
      <c r="M21" s="293"/>
      <c r="N21" s="225"/>
      <c r="O21" s="225"/>
      <c r="P21" s="294"/>
      <c r="Q21" s="295"/>
      <c r="R21" s="296"/>
      <c r="S21" s="297"/>
      <c r="T21" s="298"/>
      <c r="U21" s="299"/>
      <c r="V21" s="300"/>
      <c r="W21" s="157"/>
    </row>
    <row r="22" spans="2:23" s="1" customFormat="1" ht="16.5" customHeight="1">
      <c r="B22" s="13"/>
      <c r="C22" s="208">
        <v>73</v>
      </c>
      <c r="D22" s="207">
        <v>284424</v>
      </c>
      <c r="E22" s="207">
        <v>2384</v>
      </c>
      <c r="F22" s="290" t="s">
        <v>98</v>
      </c>
      <c r="G22" s="290" t="s">
        <v>122</v>
      </c>
      <c r="H22" s="291">
        <v>13.199999809265137</v>
      </c>
      <c r="I22" s="292">
        <f aca="true" t="shared" si="0" ref="I22:I40">IF(H22=220,$G$14,IF(AND(H22&lt;=132,H22&gt;=66),$G$15,IF(AND(H22&lt;66,H22&gt;=33),$G$16,$G$17)))</f>
        <v>11.181</v>
      </c>
      <c r="J22" s="426">
        <v>42036.302083333336</v>
      </c>
      <c r="K22" s="427">
        <v>42036.60902777778</v>
      </c>
      <c r="L22" s="223">
        <f aca="true" t="shared" si="1" ref="L22:L40">IF(F22="","",(K22-J22)*24)</f>
        <v>7.366666666581295</v>
      </c>
      <c r="M22" s="293">
        <f aca="true" t="shared" si="2" ref="M22:M40">IF(F22="","",ROUND((K22-J22)*24*60,0))</f>
        <v>442</v>
      </c>
      <c r="N22" s="225" t="s">
        <v>77</v>
      </c>
      <c r="O22" s="420" t="str">
        <f aca="true" t="shared" si="3" ref="O22:O40">IF(F22="","",IF(OR(N22="P",N22="RP"),"--","NO"))</f>
        <v>--</v>
      </c>
      <c r="P22" s="294">
        <f aca="true" t="shared" si="4" ref="P22:P40">IF(H22=220,$H$14,IF(AND(H22&lt;=132,H22&gt;=66),$H$15,IF(AND(H22&lt;66,H22&gt;13.2),$H$16,$H$17)))</f>
        <v>40</v>
      </c>
      <c r="Q22" s="295">
        <f aca="true" t="shared" si="5" ref="Q22:Q40">IF(N22="P",I22*P22*ROUND(M22/60,2)*0.1,"--")</f>
        <v>329.61588</v>
      </c>
      <c r="R22" s="296" t="str">
        <f aca="true" t="shared" si="6" ref="R22:R40">IF(AND(N22="F",O22="NO"),I22*P22,"--")</f>
        <v>--</v>
      </c>
      <c r="S22" s="297" t="str">
        <f aca="true" t="shared" si="7" ref="S22:S40">IF(N22="F",I22*P22*ROUND(M22/60,2),"--")</f>
        <v>--</v>
      </c>
      <c r="T22" s="298" t="str">
        <f aca="true" t="shared" si="8" ref="T22:T40">IF(N22="RF",I22*P22*ROUND(M22/60,2),"--")</f>
        <v>--</v>
      </c>
      <c r="U22" s="421" t="s">
        <v>78</v>
      </c>
      <c r="V22" s="302">
        <f aca="true" t="shared" si="9" ref="V22:V40">IF(F22="","",SUM(Q22:T22)*IF(U22="SI",1,2)*IF(H22="500/220",0,1))</f>
        <v>329.61588</v>
      </c>
      <c r="W22" s="236"/>
    </row>
    <row r="23" spans="2:23" s="1" customFormat="1" ht="16.5" customHeight="1">
      <c r="B23" s="13"/>
      <c r="C23" s="208">
        <v>74</v>
      </c>
      <c r="D23" s="207">
        <v>284675</v>
      </c>
      <c r="E23" s="207">
        <v>2480</v>
      </c>
      <c r="F23" s="290" t="s">
        <v>102</v>
      </c>
      <c r="G23" s="290" t="s">
        <v>123</v>
      </c>
      <c r="H23" s="291">
        <v>13.199999809265137</v>
      </c>
      <c r="I23" s="292">
        <f t="shared" si="0"/>
        <v>11.181</v>
      </c>
      <c r="J23" s="426">
        <v>42038.40833333333</v>
      </c>
      <c r="K23" s="427">
        <v>42038.447222222225</v>
      </c>
      <c r="L23" s="223">
        <f t="shared" si="1"/>
        <v>0.933333333407063</v>
      </c>
      <c r="M23" s="293">
        <f t="shared" si="2"/>
        <v>56</v>
      </c>
      <c r="N23" s="225" t="s">
        <v>77</v>
      </c>
      <c r="O23" s="420" t="str">
        <f t="shared" si="3"/>
        <v>--</v>
      </c>
      <c r="P23" s="294">
        <f t="shared" si="4"/>
        <v>40</v>
      </c>
      <c r="Q23" s="295">
        <f t="shared" si="5"/>
        <v>41.593320000000006</v>
      </c>
      <c r="R23" s="296" t="str">
        <f t="shared" si="6"/>
        <v>--</v>
      </c>
      <c r="S23" s="297" t="str">
        <f t="shared" si="7"/>
        <v>--</v>
      </c>
      <c r="T23" s="298" t="str">
        <f t="shared" si="8"/>
        <v>--</v>
      </c>
      <c r="U23" s="421" t="s">
        <v>78</v>
      </c>
      <c r="V23" s="302">
        <f t="shared" si="9"/>
        <v>41.593320000000006</v>
      </c>
      <c r="W23" s="236"/>
    </row>
    <row r="24" spans="2:23" s="1" customFormat="1" ht="16.5" customHeight="1">
      <c r="B24" s="13"/>
      <c r="C24" s="208">
        <v>75</v>
      </c>
      <c r="D24" s="207">
        <v>284679</v>
      </c>
      <c r="E24" s="207">
        <v>2224</v>
      </c>
      <c r="F24" s="290" t="s">
        <v>124</v>
      </c>
      <c r="G24" s="290" t="s">
        <v>125</v>
      </c>
      <c r="H24" s="291">
        <v>33</v>
      </c>
      <c r="I24" s="292">
        <f t="shared" si="0"/>
        <v>11.181</v>
      </c>
      <c r="J24" s="426">
        <v>42039.27361111111</v>
      </c>
      <c r="K24" s="427">
        <v>42039.46111111111</v>
      </c>
      <c r="L24" s="223">
        <f t="shared" si="1"/>
        <v>4.5</v>
      </c>
      <c r="M24" s="293">
        <f t="shared" si="2"/>
        <v>270</v>
      </c>
      <c r="N24" s="225" t="s">
        <v>77</v>
      </c>
      <c r="O24" s="420" t="str">
        <f t="shared" si="3"/>
        <v>--</v>
      </c>
      <c r="P24" s="294">
        <f t="shared" si="4"/>
        <v>50</v>
      </c>
      <c r="Q24" s="295">
        <f t="shared" si="5"/>
        <v>251.5725</v>
      </c>
      <c r="R24" s="296" t="str">
        <f t="shared" si="6"/>
        <v>--</v>
      </c>
      <c r="S24" s="297" t="str">
        <f t="shared" si="7"/>
        <v>--</v>
      </c>
      <c r="T24" s="298" t="str">
        <f t="shared" si="8"/>
        <v>--</v>
      </c>
      <c r="U24" s="421" t="s">
        <v>78</v>
      </c>
      <c r="V24" s="302">
        <f t="shared" si="9"/>
        <v>251.5725</v>
      </c>
      <c r="W24" s="236"/>
    </row>
    <row r="25" spans="2:23" s="1" customFormat="1" ht="16.5" customHeight="1">
      <c r="B25" s="13"/>
      <c r="C25" s="208">
        <v>76</v>
      </c>
      <c r="D25" s="207">
        <v>284680</v>
      </c>
      <c r="E25" s="207">
        <v>2650</v>
      </c>
      <c r="F25" s="290" t="s">
        <v>107</v>
      </c>
      <c r="G25" s="290" t="s">
        <v>161</v>
      </c>
      <c r="H25" s="291">
        <v>33</v>
      </c>
      <c r="I25" s="292">
        <f t="shared" si="0"/>
        <v>11.181</v>
      </c>
      <c r="J25" s="426">
        <v>42039.336805555555</v>
      </c>
      <c r="K25" s="427">
        <v>42039.74375</v>
      </c>
      <c r="L25" s="223">
        <f t="shared" si="1"/>
        <v>9.766666666720994</v>
      </c>
      <c r="M25" s="293">
        <f t="shared" si="2"/>
        <v>586</v>
      </c>
      <c r="N25" s="225" t="s">
        <v>77</v>
      </c>
      <c r="O25" s="420" t="str">
        <f t="shared" si="3"/>
        <v>--</v>
      </c>
      <c r="P25" s="294">
        <f t="shared" si="4"/>
        <v>50</v>
      </c>
      <c r="Q25" s="295">
        <f t="shared" si="5"/>
        <v>546.19185</v>
      </c>
      <c r="R25" s="296" t="str">
        <f t="shared" si="6"/>
        <v>--</v>
      </c>
      <c r="S25" s="297" t="str">
        <f t="shared" si="7"/>
        <v>--</v>
      </c>
      <c r="T25" s="298" t="str">
        <f t="shared" si="8"/>
        <v>--</v>
      </c>
      <c r="U25" s="421" t="s">
        <v>78</v>
      </c>
      <c r="V25" s="302">
        <f t="shared" si="9"/>
        <v>546.19185</v>
      </c>
      <c r="W25" s="236"/>
    </row>
    <row r="26" spans="2:23" s="1" customFormat="1" ht="16.5" customHeight="1">
      <c r="B26" s="13"/>
      <c r="C26" s="208">
        <v>77</v>
      </c>
      <c r="D26" s="207">
        <v>284683</v>
      </c>
      <c r="E26" s="207">
        <v>3577</v>
      </c>
      <c r="F26" s="290" t="s">
        <v>126</v>
      </c>
      <c r="G26" s="290" t="s">
        <v>127</v>
      </c>
      <c r="H26" s="291">
        <v>132</v>
      </c>
      <c r="I26" s="292">
        <f t="shared" si="0"/>
        <v>14.911</v>
      </c>
      <c r="J26" s="426">
        <v>42039.36388888889</v>
      </c>
      <c r="K26" s="427">
        <v>42039.69930555556</v>
      </c>
      <c r="L26" s="223">
        <f t="shared" si="1"/>
        <v>8.050000000046566</v>
      </c>
      <c r="M26" s="293">
        <f t="shared" si="2"/>
        <v>483</v>
      </c>
      <c r="N26" s="225" t="s">
        <v>77</v>
      </c>
      <c r="O26" s="420" t="str">
        <f t="shared" si="3"/>
        <v>--</v>
      </c>
      <c r="P26" s="294">
        <f t="shared" si="4"/>
        <v>50</v>
      </c>
      <c r="Q26" s="295">
        <f t="shared" si="5"/>
        <v>600.16775</v>
      </c>
      <c r="R26" s="296" t="str">
        <f t="shared" si="6"/>
        <v>--</v>
      </c>
      <c r="S26" s="297" t="str">
        <f t="shared" si="7"/>
        <v>--</v>
      </c>
      <c r="T26" s="298" t="str">
        <f t="shared" si="8"/>
        <v>--</v>
      </c>
      <c r="U26" s="421" t="s">
        <v>78</v>
      </c>
      <c r="V26" s="302">
        <f t="shared" si="9"/>
        <v>600.16775</v>
      </c>
      <c r="W26" s="236"/>
    </row>
    <row r="27" spans="2:23" s="1" customFormat="1" ht="16.5" customHeight="1">
      <c r="B27" s="13"/>
      <c r="C27" s="208">
        <v>78</v>
      </c>
      <c r="D27" s="207">
        <v>284686</v>
      </c>
      <c r="E27" s="207">
        <v>2655</v>
      </c>
      <c r="F27" s="290" t="s">
        <v>107</v>
      </c>
      <c r="G27" s="290" t="s">
        <v>128</v>
      </c>
      <c r="H27" s="291">
        <v>13.199999809265137</v>
      </c>
      <c r="I27" s="292">
        <f t="shared" si="0"/>
        <v>11.181</v>
      </c>
      <c r="J27" s="426">
        <v>42040.34027777778</v>
      </c>
      <c r="K27" s="427">
        <v>42040.51875</v>
      </c>
      <c r="L27" s="223">
        <f t="shared" si="1"/>
        <v>4.283333333325572</v>
      </c>
      <c r="M27" s="293">
        <f t="shared" si="2"/>
        <v>257</v>
      </c>
      <c r="N27" s="225" t="s">
        <v>77</v>
      </c>
      <c r="O27" s="420" t="str">
        <f t="shared" si="3"/>
        <v>--</v>
      </c>
      <c r="P27" s="294">
        <f t="shared" si="4"/>
        <v>40</v>
      </c>
      <c r="Q27" s="295">
        <f t="shared" si="5"/>
        <v>191.41872</v>
      </c>
      <c r="R27" s="296" t="str">
        <f t="shared" si="6"/>
        <v>--</v>
      </c>
      <c r="S27" s="297" t="str">
        <f t="shared" si="7"/>
        <v>--</v>
      </c>
      <c r="T27" s="298" t="str">
        <f t="shared" si="8"/>
        <v>--</v>
      </c>
      <c r="U27" s="421" t="s">
        <v>78</v>
      </c>
      <c r="V27" s="302">
        <f t="shared" si="9"/>
        <v>191.41872</v>
      </c>
      <c r="W27" s="236"/>
    </row>
    <row r="28" spans="2:23" s="1" customFormat="1" ht="16.5" customHeight="1">
      <c r="B28" s="13"/>
      <c r="C28" s="208">
        <v>79</v>
      </c>
      <c r="D28" s="207">
        <v>284689</v>
      </c>
      <c r="E28" s="207">
        <v>2654</v>
      </c>
      <c r="F28" s="290" t="s">
        <v>107</v>
      </c>
      <c r="G28" s="290" t="s">
        <v>129</v>
      </c>
      <c r="H28" s="291">
        <v>13.199999809265137</v>
      </c>
      <c r="I28" s="292">
        <f t="shared" si="0"/>
        <v>11.181</v>
      </c>
      <c r="J28" s="426">
        <v>42040.51944444444</v>
      </c>
      <c r="K28" s="427">
        <v>42040.7125</v>
      </c>
      <c r="L28" s="223">
        <f t="shared" si="1"/>
        <v>4.633333333418705</v>
      </c>
      <c r="M28" s="293">
        <f t="shared" si="2"/>
        <v>278</v>
      </c>
      <c r="N28" s="225" t="s">
        <v>77</v>
      </c>
      <c r="O28" s="420" t="str">
        <f t="shared" si="3"/>
        <v>--</v>
      </c>
      <c r="P28" s="294">
        <f t="shared" si="4"/>
        <v>40</v>
      </c>
      <c r="Q28" s="295">
        <f t="shared" si="5"/>
        <v>207.07212</v>
      </c>
      <c r="R28" s="296" t="str">
        <f t="shared" si="6"/>
        <v>--</v>
      </c>
      <c r="S28" s="297" t="str">
        <f t="shared" si="7"/>
        <v>--</v>
      </c>
      <c r="T28" s="298" t="str">
        <f t="shared" si="8"/>
        <v>--</v>
      </c>
      <c r="U28" s="421" t="s">
        <v>78</v>
      </c>
      <c r="V28" s="302">
        <f t="shared" si="9"/>
        <v>207.07212</v>
      </c>
      <c r="W28" s="236"/>
    </row>
    <row r="29" spans="2:23" s="1" customFormat="1" ht="16.5" customHeight="1">
      <c r="B29" s="13"/>
      <c r="C29" s="208" t="s">
        <v>212</v>
      </c>
      <c r="D29" s="207">
        <v>284787</v>
      </c>
      <c r="E29" s="207">
        <v>3542</v>
      </c>
      <c r="F29" s="290" t="s">
        <v>130</v>
      </c>
      <c r="G29" s="290" t="s">
        <v>131</v>
      </c>
      <c r="H29" s="291">
        <v>132</v>
      </c>
      <c r="I29" s="292">
        <f t="shared" si="0"/>
        <v>14.911</v>
      </c>
      <c r="J29" s="426">
        <v>42044.45</v>
      </c>
      <c r="K29" s="427">
        <v>42044.720138888886</v>
      </c>
      <c r="L29" s="223">
        <f t="shared" si="1"/>
        <v>6.483333333337214</v>
      </c>
      <c r="M29" s="293">
        <f t="shared" si="2"/>
        <v>389</v>
      </c>
      <c r="N29" s="225" t="s">
        <v>83</v>
      </c>
      <c r="O29" s="420" t="str">
        <f t="shared" si="3"/>
        <v>NO</v>
      </c>
      <c r="P29" s="294">
        <f t="shared" si="4"/>
        <v>50</v>
      </c>
      <c r="Q29" s="295" t="str">
        <f t="shared" si="5"/>
        <v>--</v>
      </c>
      <c r="R29" s="296">
        <f t="shared" si="6"/>
        <v>745.55</v>
      </c>
      <c r="S29" s="297">
        <f t="shared" si="7"/>
        <v>4831.164</v>
      </c>
      <c r="T29" s="298" t="str">
        <f t="shared" si="8"/>
        <v>--</v>
      </c>
      <c r="U29" s="421" t="s">
        <v>78</v>
      </c>
      <c r="V29" s="302">
        <v>0</v>
      </c>
      <c r="W29" s="236"/>
    </row>
    <row r="30" spans="2:23" s="1" customFormat="1" ht="16.5" customHeight="1">
      <c r="B30" s="13"/>
      <c r="C30" s="208">
        <v>81</v>
      </c>
      <c r="D30" s="207">
        <v>284796</v>
      </c>
      <c r="E30" s="207">
        <v>2484</v>
      </c>
      <c r="F30" s="290" t="s">
        <v>111</v>
      </c>
      <c r="G30" s="290" t="s">
        <v>132</v>
      </c>
      <c r="H30" s="291">
        <v>33</v>
      </c>
      <c r="I30" s="292">
        <f t="shared" si="0"/>
        <v>11.181</v>
      </c>
      <c r="J30" s="426">
        <v>42045.6875</v>
      </c>
      <c r="K30" s="427">
        <v>42045.850694444445</v>
      </c>
      <c r="L30" s="223">
        <f t="shared" si="1"/>
        <v>3.916666666686069</v>
      </c>
      <c r="M30" s="293">
        <f t="shared" si="2"/>
        <v>235</v>
      </c>
      <c r="N30" s="225" t="s">
        <v>83</v>
      </c>
      <c r="O30" s="420" t="str">
        <f t="shared" si="3"/>
        <v>NO</v>
      </c>
      <c r="P30" s="294">
        <f t="shared" si="4"/>
        <v>50</v>
      </c>
      <c r="Q30" s="295" t="str">
        <f t="shared" si="5"/>
        <v>--</v>
      </c>
      <c r="R30" s="296">
        <f t="shared" si="6"/>
        <v>559.05</v>
      </c>
      <c r="S30" s="297">
        <f t="shared" si="7"/>
        <v>2191.4759999999997</v>
      </c>
      <c r="T30" s="298" t="str">
        <f t="shared" si="8"/>
        <v>--</v>
      </c>
      <c r="U30" s="421" t="s">
        <v>78</v>
      </c>
      <c r="V30" s="302">
        <f t="shared" si="9"/>
        <v>2750.526</v>
      </c>
      <c r="W30" s="236"/>
    </row>
    <row r="31" spans="2:23" s="1" customFormat="1" ht="16.5" customHeight="1">
      <c r="B31" s="13"/>
      <c r="C31" s="208">
        <v>82</v>
      </c>
      <c r="D31" s="207">
        <v>284797</v>
      </c>
      <c r="E31" s="207">
        <v>2487</v>
      </c>
      <c r="F31" s="290" t="s">
        <v>111</v>
      </c>
      <c r="G31" s="290" t="s">
        <v>133</v>
      </c>
      <c r="H31" s="291">
        <v>13.199999809265137</v>
      </c>
      <c r="I31" s="292">
        <f t="shared" si="0"/>
        <v>11.181</v>
      </c>
      <c r="J31" s="426">
        <v>42045.8375</v>
      </c>
      <c r="K31" s="427">
        <v>42045.88680555556</v>
      </c>
      <c r="L31" s="223">
        <f t="shared" si="1"/>
        <v>1.1833333333488554</v>
      </c>
      <c r="M31" s="293">
        <f t="shared" si="2"/>
        <v>71</v>
      </c>
      <c r="N31" s="225" t="s">
        <v>83</v>
      </c>
      <c r="O31" s="420" t="str">
        <f t="shared" si="3"/>
        <v>NO</v>
      </c>
      <c r="P31" s="294">
        <f t="shared" si="4"/>
        <v>40</v>
      </c>
      <c r="Q31" s="295" t="str">
        <f t="shared" si="5"/>
        <v>--</v>
      </c>
      <c r="R31" s="296">
        <f t="shared" si="6"/>
        <v>447.23999999999995</v>
      </c>
      <c r="S31" s="297">
        <f t="shared" si="7"/>
        <v>527.7431999999999</v>
      </c>
      <c r="T31" s="298" t="str">
        <f t="shared" si="8"/>
        <v>--</v>
      </c>
      <c r="U31" s="421" t="s">
        <v>78</v>
      </c>
      <c r="V31" s="302">
        <f t="shared" si="9"/>
        <v>974.9831999999999</v>
      </c>
      <c r="W31" s="236"/>
    </row>
    <row r="32" spans="2:23" s="1" customFormat="1" ht="16.5" customHeight="1">
      <c r="B32" s="13"/>
      <c r="C32" s="208" t="s">
        <v>213</v>
      </c>
      <c r="D32" s="207">
        <v>284812</v>
      </c>
      <c r="E32" s="207">
        <v>3818</v>
      </c>
      <c r="F32" s="290" t="s">
        <v>134</v>
      </c>
      <c r="G32" s="290" t="s">
        <v>135</v>
      </c>
      <c r="H32" s="291">
        <v>13.199999809265137</v>
      </c>
      <c r="I32" s="292">
        <f t="shared" si="0"/>
        <v>11.181</v>
      </c>
      <c r="J32" s="426">
        <v>42047.427777777775</v>
      </c>
      <c r="K32" s="427">
        <v>42047.459027777775</v>
      </c>
      <c r="L32" s="223">
        <f t="shared" si="1"/>
        <v>0.75</v>
      </c>
      <c r="M32" s="293">
        <f t="shared" si="2"/>
        <v>45</v>
      </c>
      <c r="N32" s="225" t="s">
        <v>83</v>
      </c>
      <c r="O32" s="420" t="str">
        <f t="shared" si="3"/>
        <v>NO</v>
      </c>
      <c r="P32" s="294">
        <f t="shared" si="4"/>
        <v>40</v>
      </c>
      <c r="Q32" s="295" t="str">
        <f t="shared" si="5"/>
        <v>--</v>
      </c>
      <c r="R32" s="296">
        <f t="shared" si="6"/>
        <v>447.23999999999995</v>
      </c>
      <c r="S32" s="297">
        <f t="shared" si="7"/>
        <v>335.42999999999995</v>
      </c>
      <c r="T32" s="298" t="str">
        <f t="shared" si="8"/>
        <v>--</v>
      </c>
      <c r="U32" s="421" t="s">
        <v>78</v>
      </c>
      <c r="V32" s="302">
        <v>0</v>
      </c>
      <c r="W32" s="236"/>
    </row>
    <row r="33" spans="2:23" s="1" customFormat="1" ht="16.5" customHeight="1">
      <c r="B33" s="13"/>
      <c r="C33" s="208" t="s">
        <v>214</v>
      </c>
      <c r="D33" s="207">
        <v>284816</v>
      </c>
      <c r="E33" s="207">
        <v>2062</v>
      </c>
      <c r="F33" s="290" t="s">
        <v>136</v>
      </c>
      <c r="G33" s="290" t="s">
        <v>137</v>
      </c>
      <c r="H33" s="291">
        <v>13.199999809265137</v>
      </c>
      <c r="I33" s="292">
        <f t="shared" si="0"/>
        <v>11.181</v>
      </c>
      <c r="J33" s="426">
        <v>42047.73263888889</v>
      </c>
      <c r="K33" s="427">
        <v>42047.739583333336</v>
      </c>
      <c r="L33" s="223">
        <f t="shared" si="1"/>
        <v>0.16666666668606922</v>
      </c>
      <c r="M33" s="293">
        <f t="shared" si="2"/>
        <v>10</v>
      </c>
      <c r="N33" s="225" t="s">
        <v>83</v>
      </c>
      <c r="O33" s="420" t="str">
        <f t="shared" si="3"/>
        <v>NO</v>
      </c>
      <c r="P33" s="294">
        <f t="shared" si="4"/>
        <v>40</v>
      </c>
      <c r="Q33" s="295" t="str">
        <f t="shared" si="5"/>
        <v>--</v>
      </c>
      <c r="R33" s="296">
        <f t="shared" si="6"/>
        <v>447.23999999999995</v>
      </c>
      <c r="S33" s="297">
        <f t="shared" si="7"/>
        <v>76.0308</v>
      </c>
      <c r="T33" s="298" t="str">
        <f t="shared" si="8"/>
        <v>--</v>
      </c>
      <c r="U33" s="421" t="s">
        <v>78</v>
      </c>
      <c r="V33" s="302">
        <v>0</v>
      </c>
      <c r="W33" s="236"/>
    </row>
    <row r="34" spans="2:23" s="1" customFormat="1" ht="16.5" customHeight="1">
      <c r="B34" s="13"/>
      <c r="C34" s="208" t="s">
        <v>215</v>
      </c>
      <c r="D34" s="207">
        <v>284817</v>
      </c>
      <c r="E34" s="207">
        <v>2064</v>
      </c>
      <c r="F34" s="290" t="s">
        <v>136</v>
      </c>
      <c r="G34" s="290" t="s">
        <v>138</v>
      </c>
      <c r="H34" s="291">
        <v>13.199999809265137</v>
      </c>
      <c r="I34" s="292">
        <f t="shared" si="0"/>
        <v>11.181</v>
      </c>
      <c r="J34" s="426">
        <v>42047.73263888889</v>
      </c>
      <c r="K34" s="427">
        <v>42047.739583333336</v>
      </c>
      <c r="L34" s="223">
        <f t="shared" si="1"/>
        <v>0.16666666668606922</v>
      </c>
      <c r="M34" s="293">
        <f t="shared" si="2"/>
        <v>10</v>
      </c>
      <c r="N34" s="225" t="s">
        <v>83</v>
      </c>
      <c r="O34" s="420" t="str">
        <f t="shared" si="3"/>
        <v>NO</v>
      </c>
      <c r="P34" s="294">
        <f t="shared" si="4"/>
        <v>40</v>
      </c>
      <c r="Q34" s="295" t="str">
        <f t="shared" si="5"/>
        <v>--</v>
      </c>
      <c r="R34" s="296">
        <f t="shared" si="6"/>
        <v>447.23999999999995</v>
      </c>
      <c r="S34" s="297">
        <f t="shared" si="7"/>
        <v>76.0308</v>
      </c>
      <c r="T34" s="298" t="str">
        <f t="shared" si="8"/>
        <v>--</v>
      </c>
      <c r="U34" s="421" t="s">
        <v>78</v>
      </c>
      <c r="V34" s="302">
        <v>0</v>
      </c>
      <c r="W34" s="236"/>
    </row>
    <row r="35" spans="2:23" s="1" customFormat="1" ht="16.5" customHeight="1">
      <c r="B35" s="13"/>
      <c r="C35" s="208" t="s">
        <v>216</v>
      </c>
      <c r="D35" s="207">
        <v>284818</v>
      </c>
      <c r="E35" s="207">
        <v>2063</v>
      </c>
      <c r="F35" s="290" t="s">
        <v>136</v>
      </c>
      <c r="G35" s="290" t="s">
        <v>139</v>
      </c>
      <c r="H35" s="291">
        <v>13.199999809265137</v>
      </c>
      <c r="I35" s="292">
        <f t="shared" si="0"/>
        <v>11.181</v>
      </c>
      <c r="J35" s="426">
        <v>42047.73263888889</v>
      </c>
      <c r="K35" s="427">
        <v>42047.739583333336</v>
      </c>
      <c r="L35" s="223">
        <f t="shared" si="1"/>
        <v>0.16666666668606922</v>
      </c>
      <c r="M35" s="293">
        <f t="shared" si="2"/>
        <v>10</v>
      </c>
      <c r="N35" s="225" t="s">
        <v>83</v>
      </c>
      <c r="O35" s="420" t="str">
        <f t="shared" si="3"/>
        <v>NO</v>
      </c>
      <c r="P35" s="294">
        <f t="shared" si="4"/>
        <v>40</v>
      </c>
      <c r="Q35" s="295" t="str">
        <f t="shared" si="5"/>
        <v>--</v>
      </c>
      <c r="R35" s="296">
        <f t="shared" si="6"/>
        <v>447.23999999999995</v>
      </c>
      <c r="S35" s="297">
        <f t="shared" si="7"/>
        <v>76.0308</v>
      </c>
      <c r="T35" s="298" t="str">
        <f t="shared" si="8"/>
        <v>--</v>
      </c>
      <c r="U35" s="421" t="s">
        <v>78</v>
      </c>
      <c r="V35" s="302">
        <v>0</v>
      </c>
      <c r="W35" s="236"/>
    </row>
    <row r="36" spans="2:23" s="1" customFormat="1" ht="16.5" customHeight="1">
      <c r="B36" s="13"/>
      <c r="C36" s="208" t="s">
        <v>217</v>
      </c>
      <c r="D36" s="207">
        <v>284819</v>
      </c>
      <c r="E36" s="207">
        <v>2119</v>
      </c>
      <c r="F36" s="290" t="s">
        <v>140</v>
      </c>
      <c r="G36" s="290" t="s">
        <v>141</v>
      </c>
      <c r="H36" s="291">
        <v>13.199999809265137</v>
      </c>
      <c r="I36" s="292">
        <f t="shared" si="0"/>
        <v>11.181</v>
      </c>
      <c r="J36" s="426">
        <v>42047.73263888889</v>
      </c>
      <c r="K36" s="427">
        <v>42047.73611111111</v>
      </c>
      <c r="L36" s="223">
        <f t="shared" si="1"/>
        <v>0.08333333325572312</v>
      </c>
      <c r="M36" s="293">
        <f t="shared" si="2"/>
        <v>5</v>
      </c>
      <c r="N36" s="225" t="s">
        <v>83</v>
      </c>
      <c r="O36" s="420" t="str">
        <f t="shared" si="3"/>
        <v>NO</v>
      </c>
      <c r="P36" s="294">
        <f t="shared" si="4"/>
        <v>40</v>
      </c>
      <c r="Q36" s="295" t="str">
        <f t="shared" si="5"/>
        <v>--</v>
      </c>
      <c r="R36" s="296">
        <f t="shared" si="6"/>
        <v>447.23999999999995</v>
      </c>
      <c r="S36" s="297">
        <f t="shared" si="7"/>
        <v>35.779199999999996</v>
      </c>
      <c r="T36" s="298" t="str">
        <f t="shared" si="8"/>
        <v>--</v>
      </c>
      <c r="U36" s="421" t="s">
        <v>78</v>
      </c>
      <c r="V36" s="302">
        <v>0</v>
      </c>
      <c r="W36" s="236"/>
    </row>
    <row r="37" spans="2:23" s="1" customFormat="1" ht="16.5" customHeight="1">
      <c r="B37" s="13"/>
      <c r="C37" s="208">
        <v>88</v>
      </c>
      <c r="D37" s="207">
        <v>284824</v>
      </c>
      <c r="E37" s="207">
        <v>2393</v>
      </c>
      <c r="F37" s="290" t="s">
        <v>142</v>
      </c>
      <c r="G37" s="290" t="s">
        <v>143</v>
      </c>
      <c r="H37" s="291">
        <v>33</v>
      </c>
      <c r="I37" s="292">
        <f t="shared" si="0"/>
        <v>11.181</v>
      </c>
      <c r="J37" s="426">
        <v>42050.29652777778</v>
      </c>
      <c r="K37" s="427">
        <v>42050.52361111111</v>
      </c>
      <c r="L37" s="223">
        <f t="shared" si="1"/>
        <v>5.449999999953434</v>
      </c>
      <c r="M37" s="293">
        <f t="shared" si="2"/>
        <v>327</v>
      </c>
      <c r="N37" s="225" t="s">
        <v>77</v>
      </c>
      <c r="O37" s="420" t="str">
        <f t="shared" si="3"/>
        <v>--</v>
      </c>
      <c r="P37" s="294">
        <f t="shared" si="4"/>
        <v>50</v>
      </c>
      <c r="Q37" s="295">
        <f t="shared" si="5"/>
        <v>304.68225</v>
      </c>
      <c r="R37" s="296" t="str">
        <f t="shared" si="6"/>
        <v>--</v>
      </c>
      <c r="S37" s="297" t="str">
        <f t="shared" si="7"/>
        <v>--</v>
      </c>
      <c r="T37" s="298" t="str">
        <f t="shared" si="8"/>
        <v>--</v>
      </c>
      <c r="U37" s="421" t="s">
        <v>78</v>
      </c>
      <c r="V37" s="302">
        <f t="shared" si="9"/>
        <v>304.68225</v>
      </c>
      <c r="W37" s="236"/>
    </row>
    <row r="38" spans="2:23" s="1" customFormat="1" ht="16.5" customHeight="1">
      <c r="B38" s="13"/>
      <c r="C38" s="208">
        <v>89</v>
      </c>
      <c r="D38" s="207">
        <v>285363</v>
      </c>
      <c r="E38" s="207">
        <v>2569</v>
      </c>
      <c r="F38" s="290" t="s">
        <v>112</v>
      </c>
      <c r="G38" s="290" t="s">
        <v>144</v>
      </c>
      <c r="H38" s="291">
        <v>33</v>
      </c>
      <c r="I38" s="292">
        <f t="shared" si="0"/>
        <v>11.181</v>
      </c>
      <c r="J38" s="426">
        <v>42059.256944444445</v>
      </c>
      <c r="K38" s="427">
        <v>42059.62986111111</v>
      </c>
      <c r="L38" s="223">
        <f t="shared" si="1"/>
        <v>8.950000000011642</v>
      </c>
      <c r="M38" s="293">
        <f t="shared" si="2"/>
        <v>537</v>
      </c>
      <c r="N38" s="225" t="s">
        <v>77</v>
      </c>
      <c r="O38" s="420" t="str">
        <f t="shared" si="3"/>
        <v>--</v>
      </c>
      <c r="P38" s="294">
        <f t="shared" si="4"/>
        <v>50</v>
      </c>
      <c r="Q38" s="295">
        <f t="shared" si="5"/>
        <v>500.34975</v>
      </c>
      <c r="R38" s="296" t="str">
        <f t="shared" si="6"/>
        <v>--</v>
      </c>
      <c r="S38" s="297" t="str">
        <f t="shared" si="7"/>
        <v>--</v>
      </c>
      <c r="T38" s="298" t="str">
        <f t="shared" si="8"/>
        <v>--</v>
      </c>
      <c r="U38" s="421" t="s">
        <v>78</v>
      </c>
      <c r="V38" s="302">
        <f t="shared" si="9"/>
        <v>500.34975</v>
      </c>
      <c r="W38" s="236"/>
    </row>
    <row r="39" spans="2:23" s="1" customFormat="1" ht="16.5" customHeight="1">
      <c r="B39" s="13"/>
      <c r="C39" s="208">
        <v>90</v>
      </c>
      <c r="D39" s="207">
        <v>285365</v>
      </c>
      <c r="E39" s="207">
        <v>2326</v>
      </c>
      <c r="F39" s="290" t="s">
        <v>145</v>
      </c>
      <c r="G39" s="290" t="s">
        <v>146</v>
      </c>
      <c r="H39" s="291">
        <v>13.199999809265137</v>
      </c>
      <c r="I39" s="292">
        <f t="shared" si="0"/>
        <v>11.181</v>
      </c>
      <c r="J39" s="426">
        <v>42059.40694444445</v>
      </c>
      <c r="K39" s="427">
        <v>42059.71597222222</v>
      </c>
      <c r="L39" s="223">
        <f t="shared" si="1"/>
        <v>7.416666666569654</v>
      </c>
      <c r="M39" s="293">
        <f t="shared" si="2"/>
        <v>445</v>
      </c>
      <c r="N39" s="225" t="s">
        <v>77</v>
      </c>
      <c r="O39" s="420" t="str">
        <f t="shared" si="3"/>
        <v>--</v>
      </c>
      <c r="P39" s="294">
        <f t="shared" si="4"/>
        <v>40</v>
      </c>
      <c r="Q39" s="295">
        <f t="shared" si="5"/>
        <v>331.85208</v>
      </c>
      <c r="R39" s="296" t="str">
        <f t="shared" si="6"/>
        <v>--</v>
      </c>
      <c r="S39" s="297" t="str">
        <f t="shared" si="7"/>
        <v>--</v>
      </c>
      <c r="T39" s="298" t="str">
        <f t="shared" si="8"/>
        <v>--</v>
      </c>
      <c r="U39" s="421" t="s">
        <v>78</v>
      </c>
      <c r="V39" s="302">
        <f t="shared" si="9"/>
        <v>331.85208</v>
      </c>
      <c r="W39" s="236"/>
    </row>
    <row r="40" spans="2:23" s="1" customFormat="1" ht="16.5" customHeight="1">
      <c r="B40" s="13"/>
      <c r="C40" s="208"/>
      <c r="D40" s="207"/>
      <c r="E40" s="207"/>
      <c r="F40" s="290"/>
      <c r="G40" s="290"/>
      <c r="H40" s="291"/>
      <c r="I40" s="292">
        <f t="shared" si="0"/>
        <v>11.181</v>
      </c>
      <c r="J40" s="426"/>
      <c r="K40" s="427"/>
      <c r="L40" s="223">
        <f t="shared" si="1"/>
      </c>
      <c r="M40" s="293">
        <f t="shared" si="2"/>
      </c>
      <c r="N40" s="225"/>
      <c r="O40" s="420">
        <f t="shared" si="3"/>
      </c>
      <c r="P40" s="294">
        <f t="shared" si="4"/>
        <v>40</v>
      </c>
      <c r="Q40" s="295" t="str">
        <f t="shared" si="5"/>
        <v>--</v>
      </c>
      <c r="R40" s="296" t="str">
        <f t="shared" si="6"/>
        <v>--</v>
      </c>
      <c r="S40" s="297" t="str">
        <f t="shared" si="7"/>
        <v>--</v>
      </c>
      <c r="T40" s="298" t="str">
        <f t="shared" si="8"/>
        <v>--</v>
      </c>
      <c r="U40" s="421">
        <f>IF(F40="","","SI")</f>
      </c>
      <c r="V40" s="302">
        <f t="shared" si="9"/>
      </c>
      <c r="W40" s="236"/>
    </row>
    <row r="41" spans="2:23" s="1" customFormat="1" ht="16.5" customHeight="1" thickBot="1">
      <c r="B41" s="13"/>
      <c r="C41" s="314"/>
      <c r="D41" s="314"/>
      <c r="E41" s="314"/>
      <c r="F41" s="314"/>
      <c r="G41" s="314"/>
      <c r="H41" s="314"/>
      <c r="I41" s="303"/>
      <c r="J41" s="400"/>
      <c r="K41" s="400"/>
      <c r="L41" s="237"/>
      <c r="M41" s="237"/>
      <c r="N41" s="314"/>
      <c r="O41" s="314"/>
      <c r="P41" s="324"/>
      <c r="Q41" s="325"/>
      <c r="R41" s="326"/>
      <c r="S41" s="327"/>
      <c r="T41" s="328"/>
      <c r="U41" s="314"/>
      <c r="V41" s="304"/>
      <c r="W41" s="236"/>
    </row>
    <row r="42" spans="2:23" s="1" customFormat="1" ht="16.5" customHeight="1" thickBot="1" thickTop="1">
      <c r="B42" s="13"/>
      <c r="C42" s="111" t="s">
        <v>55</v>
      </c>
      <c r="D42" s="127"/>
      <c r="E42" s="127"/>
      <c r="F42" s="112"/>
      <c r="G42" s="2"/>
      <c r="H42" s="2"/>
      <c r="I42" s="2"/>
      <c r="J42" s="2"/>
      <c r="K42" s="2"/>
      <c r="L42" s="2"/>
      <c r="M42" s="2"/>
      <c r="N42" s="2"/>
      <c r="O42" s="2"/>
      <c r="P42" s="2"/>
      <c r="Q42" s="305">
        <f>SUM(Q20:Q41)</f>
        <v>3304.51622</v>
      </c>
      <c r="R42" s="306">
        <f>SUM(R20:R41)</f>
        <v>3988.039999999999</v>
      </c>
      <c r="S42" s="306">
        <f>SUM(S20:S41)</f>
        <v>8149.6848</v>
      </c>
      <c r="T42" s="307">
        <f>SUM(T20:T41)</f>
        <v>0</v>
      </c>
      <c r="U42" s="308"/>
      <c r="V42" s="411">
        <f>ROUND(SUM(V20:V41),2)</f>
        <v>7030.03</v>
      </c>
      <c r="W42" s="236"/>
    </row>
    <row r="43" spans="2:23" s="125" customFormat="1" ht="9.75" thickTop="1">
      <c r="B43" s="126"/>
      <c r="C43" s="127" t="s">
        <v>164</v>
      </c>
      <c r="D43" s="127" t="s">
        <v>163</v>
      </c>
      <c r="E43" s="127"/>
      <c r="F43" s="128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50"/>
      <c r="V43" s="309"/>
      <c r="W43" s="252"/>
    </row>
    <row r="44" spans="2:23" s="1" customFormat="1" ht="16.5" customHeight="1" thickBot="1">
      <c r="B44" s="138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5"/>
    </row>
    <row r="45" spans="2:23" ht="16.5" customHeight="1" thickTop="1">
      <c r="B45" s="310"/>
      <c r="C45" s="310"/>
      <c r="D45" s="310"/>
      <c r="E45" s="310"/>
      <c r="F45" s="310"/>
      <c r="G45" s="310"/>
      <c r="H45" s="310"/>
      <c r="I45" s="310"/>
      <c r="J45" s="310"/>
      <c r="K45" s="310"/>
      <c r="L45" s="310"/>
      <c r="M45" s="310"/>
      <c r="N45" s="310"/>
      <c r="O45" s="310"/>
      <c r="P45" s="310"/>
      <c r="Q45" s="310"/>
      <c r="R45" s="310"/>
      <c r="S45" s="310"/>
      <c r="T45" s="310"/>
      <c r="U45" s="310"/>
      <c r="V45" s="310"/>
      <c r="W45" s="310"/>
    </row>
    <row r="46" spans="3:6" ht="16.5" customHeight="1">
      <c r="C46" s="310"/>
      <c r="D46" s="310"/>
      <c r="E46" s="310"/>
      <c r="F46" s="310"/>
    </row>
    <row r="47" ht="16.5" customHeight="1"/>
    <row r="48" ht="16.5" customHeight="1"/>
    <row r="49" ht="16.5" customHeight="1"/>
    <row r="50" ht="16.5" customHeight="1"/>
    <row r="51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4" r:id="rId3"/>
  <headerFooter alignWithMargins="0">
    <oddFooter>&amp;L&amp;"Times New Roman,Normal"&amp;5&amp;F  - TRANSPORTE de ENERGÍA ELÉCTRICA - PJL - &amp;P/&amp;N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zoomScale="70" zoomScaleNormal="70" zoomScalePageLayoutView="0" workbookViewId="0" topLeftCell="A1">
      <selection activeCell="G14" sqref="G14:G17"/>
    </sheetView>
  </sheetViews>
  <sheetFormatPr defaultColWidth="11.421875" defaultRowHeight="12.75"/>
  <cols>
    <col min="1" max="2" width="4.140625" style="5" customWidth="1"/>
    <col min="3" max="3" width="5.421875" style="5" customWidth="1"/>
    <col min="4" max="5" width="13.7109375" style="5" customWidth="1"/>
    <col min="6" max="6" width="25.7109375" style="5" customWidth="1"/>
    <col min="7" max="7" width="35.7109375" style="5" customWidth="1"/>
    <col min="8" max="8" width="10.7109375" style="5" customWidth="1"/>
    <col min="9" max="9" width="12.421875" style="5" hidden="1" customWidth="1"/>
    <col min="10" max="11" width="15.7109375" style="5" customWidth="1"/>
    <col min="12" max="14" width="9.7109375" style="5" customWidth="1"/>
    <col min="15" max="15" width="7.7109375" style="5" customWidth="1"/>
    <col min="16" max="16" width="12.7109375" style="5" hidden="1" customWidth="1"/>
    <col min="17" max="17" width="15.00390625" style="5" hidden="1" customWidth="1"/>
    <col min="18" max="18" width="15.140625" style="5" hidden="1" customWidth="1"/>
    <col min="19" max="20" width="15.57421875" style="5" hidden="1" customWidth="1"/>
    <col min="21" max="21" width="9.7109375" style="5" customWidth="1"/>
    <col min="22" max="22" width="15.7109375" style="5" customWidth="1"/>
    <col min="23" max="23" width="4.140625" style="5" customWidth="1"/>
    <col min="24" max="24" width="10.8515625" style="5" customWidth="1"/>
    <col min="25" max="16384" width="11.421875" style="5" customWidth="1"/>
  </cols>
  <sheetData>
    <row r="1" spans="1:23" s="3" customFormat="1" ht="30.75" customHeight="1">
      <c r="A1" s="258"/>
      <c r="W1" s="311"/>
    </row>
    <row r="2" spans="1:23" s="3" customFormat="1" ht="26.25">
      <c r="A2" s="258"/>
      <c r="B2" s="16" t="str">
        <f>'TOT-0215'!B2</f>
        <v>ANEXO III al Memorándum D.T.E.E. N° 814   / 2015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1" customFormat="1" ht="12.75">
      <c r="A3" s="259"/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" s="9" customFormat="1" ht="11.25">
      <c r="A4" s="8" t="s">
        <v>3</v>
      </c>
      <c r="B4" s="260"/>
    </row>
    <row r="5" spans="1:2" s="9" customFormat="1" ht="11.25">
      <c r="A5" s="8" t="s">
        <v>4</v>
      </c>
      <c r="B5" s="260"/>
    </row>
    <row r="6" s="1" customFormat="1" ht="16.5" customHeight="1" thickBot="1"/>
    <row r="7" spans="2:23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1"/>
    </row>
    <row r="8" spans="2:23" s="22" customFormat="1" ht="20.25">
      <c r="B8" s="23"/>
      <c r="F8" s="24" t="s">
        <v>46</v>
      </c>
      <c r="P8" s="25"/>
      <c r="Q8" s="25"/>
      <c r="R8" s="25"/>
      <c r="S8" s="25"/>
      <c r="T8" s="25"/>
      <c r="U8" s="25"/>
      <c r="V8" s="25"/>
      <c r="W8" s="26"/>
    </row>
    <row r="9" spans="2:23" s="1" customFormat="1" ht="16.5" customHeight="1">
      <c r="B9" s="13"/>
      <c r="F9" s="7"/>
      <c r="G9" s="7"/>
      <c r="H9" s="7"/>
      <c r="I9" s="32"/>
      <c r="J9" s="32"/>
      <c r="K9" s="32"/>
      <c r="L9" s="32"/>
      <c r="M9" s="32"/>
      <c r="P9" s="7"/>
      <c r="Q9" s="7"/>
      <c r="R9" s="7"/>
      <c r="S9" s="7"/>
      <c r="T9" s="7"/>
      <c r="U9" s="7"/>
      <c r="V9" s="7"/>
      <c r="W9" s="14"/>
    </row>
    <row r="10" spans="2:23" s="22" customFormat="1" ht="20.25">
      <c r="B10" s="23"/>
      <c r="F10" s="24" t="s">
        <v>47</v>
      </c>
      <c r="G10" s="24"/>
      <c r="H10" s="25"/>
      <c r="I10" s="24"/>
      <c r="J10" s="24"/>
      <c r="K10" s="24"/>
      <c r="L10" s="24"/>
      <c r="M10" s="24"/>
      <c r="P10" s="25"/>
      <c r="Q10" s="25"/>
      <c r="R10" s="25"/>
      <c r="S10" s="25"/>
      <c r="T10" s="25"/>
      <c r="U10" s="25"/>
      <c r="V10" s="25"/>
      <c r="W10" s="26"/>
    </row>
    <row r="11" spans="2:23" s="1" customFormat="1" ht="16.5" customHeight="1">
      <c r="B11" s="13"/>
      <c r="C11" s="7"/>
      <c r="D11" s="7"/>
      <c r="E11" s="7"/>
      <c r="F11" s="261"/>
      <c r="G11" s="32"/>
      <c r="H11" s="7"/>
      <c r="I11" s="32"/>
      <c r="J11" s="32"/>
      <c r="K11" s="32"/>
      <c r="L11" s="32"/>
      <c r="M11" s="32"/>
      <c r="P11" s="7"/>
      <c r="Q11" s="7"/>
      <c r="R11" s="7"/>
      <c r="S11" s="7"/>
      <c r="T11" s="7"/>
      <c r="U11" s="7"/>
      <c r="V11" s="7"/>
      <c r="W11" s="14"/>
    </row>
    <row r="12" spans="2:23" s="10" customFormat="1" ht="19.5">
      <c r="B12" s="11" t="str">
        <f>'TOT-0215'!B14</f>
        <v>Desde el 01 al 28 de febrero de 2015</v>
      </c>
      <c r="C12" s="262"/>
      <c r="D12" s="262"/>
      <c r="E12" s="262"/>
      <c r="F12" s="12"/>
      <c r="G12" s="12"/>
      <c r="H12" s="12"/>
      <c r="I12" s="12"/>
      <c r="J12" s="29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31"/>
    </row>
    <row r="13" spans="2:23" s="1" customFormat="1" ht="16.5" customHeight="1" thickBot="1">
      <c r="B13" s="13"/>
      <c r="C13" s="7"/>
      <c r="D13" s="7"/>
      <c r="E13" s="7"/>
      <c r="I13" s="34"/>
      <c r="K13" s="7"/>
      <c r="L13" s="7"/>
      <c r="M13" s="7"/>
      <c r="N13" s="34"/>
      <c r="O13" s="34"/>
      <c r="P13" s="34"/>
      <c r="Q13" s="7"/>
      <c r="R13" s="7"/>
      <c r="S13" s="7"/>
      <c r="T13" s="7"/>
      <c r="U13" s="7"/>
      <c r="V13" s="7"/>
      <c r="W13" s="14"/>
    </row>
    <row r="14" spans="2:23" s="1" customFormat="1" ht="16.5" customHeight="1" thickBot="1" thickTop="1">
      <c r="B14" s="13"/>
      <c r="C14" s="7"/>
      <c r="D14" s="7"/>
      <c r="E14" s="7"/>
      <c r="F14" s="263" t="s">
        <v>48</v>
      </c>
      <c r="G14" s="428">
        <v>29.82</v>
      </c>
      <c r="H14" s="264">
        <f>60*'TOT-0215'!B13</f>
        <v>60</v>
      </c>
      <c r="I14" s="34"/>
      <c r="J14" s="175" t="str">
        <f>IF(H14=60," ",IF(H14=120,"    Coeficiente duplicado por tasa de falla &gt;4 Sal. x año/100 km.","    REVISAR COEFICIENTE"))</f>
        <v> </v>
      </c>
      <c r="K14" s="7"/>
      <c r="L14" s="7"/>
      <c r="M14" s="7"/>
      <c r="N14" s="34"/>
      <c r="O14" s="34"/>
      <c r="P14" s="34"/>
      <c r="Q14" s="7"/>
      <c r="R14" s="7"/>
      <c r="S14" s="7"/>
      <c r="T14" s="7"/>
      <c r="U14" s="7"/>
      <c r="V14" s="7"/>
      <c r="W14" s="14"/>
    </row>
    <row r="15" spans="2:23" s="1" customFormat="1" ht="16.5" customHeight="1" thickBot="1" thickTop="1">
      <c r="B15" s="13"/>
      <c r="C15" s="7"/>
      <c r="D15" s="7"/>
      <c r="E15" s="7"/>
      <c r="F15" s="263" t="s">
        <v>49</v>
      </c>
      <c r="G15" s="429">
        <v>14.911</v>
      </c>
      <c r="H15" s="264">
        <f>50*'TOT-0215'!B13</f>
        <v>50</v>
      </c>
      <c r="J15" s="175" t="str">
        <f>IF(H15=50," ",IF(H15=100,"    Coeficiente duplicado por tasa de falla &gt;4 Sal. x año/100 km.","    REVISAR COEFICIENTE"))</f>
        <v> </v>
      </c>
      <c r="S15" s="7"/>
      <c r="T15" s="7"/>
      <c r="U15" s="7"/>
      <c r="V15" s="265"/>
      <c r="W15" s="14"/>
    </row>
    <row r="16" spans="2:23" s="1" customFormat="1" ht="16.5" customHeight="1" thickBot="1" thickTop="1">
      <c r="B16" s="13"/>
      <c r="C16" s="7"/>
      <c r="D16" s="7"/>
      <c r="E16" s="7"/>
      <c r="F16" s="266" t="s">
        <v>50</v>
      </c>
      <c r="G16" s="267">
        <v>11.181</v>
      </c>
      <c r="H16" s="268">
        <f>50*'TOT-0215'!B13</f>
        <v>50</v>
      </c>
      <c r="J16" s="175" t="str">
        <f>IF(H16=50," ",IF(H16=100,"    Coeficiente duplicado por tasa de falla &gt;4 Sal. x año/100 km.","    REVISAR COEFICIENTE"))</f>
        <v> </v>
      </c>
      <c r="K16" s="269"/>
      <c r="L16" s="269"/>
      <c r="M16" s="7"/>
      <c r="P16" s="270"/>
      <c r="Q16" s="271"/>
      <c r="R16" s="15"/>
      <c r="S16" s="7"/>
      <c r="T16" s="7"/>
      <c r="U16" s="7"/>
      <c r="V16" s="265"/>
      <c r="W16" s="14"/>
    </row>
    <row r="17" spans="2:23" s="1" customFormat="1" ht="16.5" customHeight="1" thickBot="1" thickTop="1">
      <c r="B17" s="13"/>
      <c r="C17" s="7"/>
      <c r="D17" s="7"/>
      <c r="E17" s="7"/>
      <c r="F17" s="272" t="s">
        <v>51</v>
      </c>
      <c r="G17" s="267">
        <v>11.181</v>
      </c>
      <c r="H17" s="273">
        <f>40*'TOT-0215'!B13</f>
        <v>40</v>
      </c>
      <c r="J17" s="175" t="str">
        <f>IF(H17=40," ",IF(H17=80,"    Coeficiente duplicado por tasa de falla &gt;4 Sal. x año/100 km.","    REVISAR COEFICIENTE"))</f>
        <v> </v>
      </c>
      <c r="K17" s="269"/>
      <c r="L17" s="269"/>
      <c r="M17" s="7"/>
      <c r="P17" s="270"/>
      <c r="Q17" s="271"/>
      <c r="R17" s="15"/>
      <c r="S17" s="7"/>
      <c r="T17" s="7"/>
      <c r="U17" s="7"/>
      <c r="V17" s="265"/>
      <c r="W17" s="14"/>
    </row>
    <row r="18" spans="2:23" s="1" customFormat="1" ht="16.5" customHeight="1" thickBot="1" thickTop="1">
      <c r="B18" s="13"/>
      <c r="C18" s="414">
        <v>3</v>
      </c>
      <c r="D18" s="414">
        <v>4</v>
      </c>
      <c r="E18" s="414">
        <v>5</v>
      </c>
      <c r="F18" s="414">
        <v>6</v>
      </c>
      <c r="G18" s="414">
        <v>7</v>
      </c>
      <c r="H18" s="414">
        <v>8</v>
      </c>
      <c r="I18" s="414">
        <v>9</v>
      </c>
      <c r="J18" s="414">
        <v>10</v>
      </c>
      <c r="K18" s="414">
        <v>11</v>
      </c>
      <c r="L18" s="414">
        <v>12</v>
      </c>
      <c r="M18" s="414">
        <v>13</v>
      </c>
      <c r="N18" s="414">
        <v>14</v>
      </c>
      <c r="O18" s="414">
        <v>15</v>
      </c>
      <c r="P18" s="414">
        <v>16</v>
      </c>
      <c r="Q18" s="414">
        <v>17</v>
      </c>
      <c r="R18" s="414">
        <v>18</v>
      </c>
      <c r="S18" s="414">
        <v>19</v>
      </c>
      <c r="T18" s="414">
        <v>20</v>
      </c>
      <c r="U18" s="414">
        <v>21</v>
      </c>
      <c r="V18" s="414">
        <v>22</v>
      </c>
      <c r="W18" s="14"/>
    </row>
    <row r="19" spans="2:23" s="274" customFormat="1" ht="34.5" customHeight="1" thickBot="1" thickTop="1">
      <c r="B19" s="275"/>
      <c r="C19" s="413" t="s">
        <v>13</v>
      </c>
      <c r="D19" s="413" t="s">
        <v>72</v>
      </c>
      <c r="E19" s="413" t="s">
        <v>73</v>
      </c>
      <c r="F19" s="179" t="s">
        <v>35</v>
      </c>
      <c r="G19" s="180" t="s">
        <v>36</v>
      </c>
      <c r="H19" s="182" t="s">
        <v>14</v>
      </c>
      <c r="I19" s="47" t="s">
        <v>16</v>
      </c>
      <c r="J19" s="180" t="s">
        <v>17</v>
      </c>
      <c r="K19" s="180" t="s">
        <v>18</v>
      </c>
      <c r="L19" s="179" t="s">
        <v>38</v>
      </c>
      <c r="M19" s="179" t="s">
        <v>39</v>
      </c>
      <c r="N19" s="46" t="s">
        <v>54</v>
      </c>
      <c r="O19" s="180" t="s">
        <v>40</v>
      </c>
      <c r="P19" s="276" t="s">
        <v>52</v>
      </c>
      <c r="Q19" s="277" t="s">
        <v>53</v>
      </c>
      <c r="R19" s="278" t="s">
        <v>43</v>
      </c>
      <c r="S19" s="279"/>
      <c r="T19" s="280" t="s">
        <v>27</v>
      </c>
      <c r="U19" s="182" t="s">
        <v>29</v>
      </c>
      <c r="V19" s="182" t="s">
        <v>30</v>
      </c>
      <c r="W19" s="281"/>
    </row>
    <row r="20" spans="2:23" s="1" customFormat="1" ht="16.5" customHeight="1" thickTop="1">
      <c r="B20" s="13"/>
      <c r="C20" s="196"/>
      <c r="D20" s="412"/>
      <c r="E20" s="412"/>
      <c r="F20" s="194"/>
      <c r="G20" s="194"/>
      <c r="H20" s="282"/>
      <c r="I20" s="283"/>
      <c r="J20" s="398"/>
      <c r="K20" s="401"/>
      <c r="L20" s="198"/>
      <c r="M20" s="198"/>
      <c r="N20" s="195"/>
      <c r="O20" s="195"/>
      <c r="P20" s="284"/>
      <c r="Q20" s="285"/>
      <c r="R20" s="286"/>
      <c r="S20" s="287"/>
      <c r="T20" s="288"/>
      <c r="U20" s="289"/>
      <c r="V20" s="206">
        <f>'SA-02 (1)'!V42</f>
        <v>7030.03</v>
      </c>
      <c r="W20" s="157"/>
    </row>
    <row r="21" spans="2:23" s="1" customFormat="1" ht="16.5" customHeight="1">
      <c r="B21" s="13"/>
      <c r="C21" s="208"/>
      <c r="D21" s="207"/>
      <c r="E21" s="207"/>
      <c r="F21" s="290"/>
      <c r="G21" s="290"/>
      <c r="H21" s="291"/>
      <c r="I21" s="292"/>
      <c r="J21" s="426"/>
      <c r="K21" s="427"/>
      <c r="L21" s="223"/>
      <c r="M21" s="293"/>
      <c r="N21" s="225"/>
      <c r="O21" s="225"/>
      <c r="P21" s="294"/>
      <c r="Q21" s="295"/>
      <c r="R21" s="296"/>
      <c r="S21" s="297"/>
      <c r="T21" s="298"/>
      <c r="U21" s="299"/>
      <c r="V21" s="300"/>
      <c r="W21" s="157"/>
    </row>
    <row r="22" spans="2:23" s="1" customFormat="1" ht="16.5" customHeight="1">
      <c r="B22" s="13"/>
      <c r="C22" s="208">
        <v>91</v>
      </c>
      <c r="D22" s="207">
        <v>285379</v>
      </c>
      <c r="E22" s="207">
        <v>2276</v>
      </c>
      <c r="F22" s="290" t="s">
        <v>147</v>
      </c>
      <c r="G22" s="290" t="s">
        <v>148</v>
      </c>
      <c r="H22" s="301">
        <v>13.199999809265137</v>
      </c>
      <c r="I22" s="292">
        <f aca="true" t="shared" si="0" ref="I22:I41">IF(H22=220,$G$14,IF(AND(H22&lt;=132,H22&gt;=66),$G$15,IF(AND(H22&lt;66,H22&gt;=33),$G$16,$G$17)))</f>
        <v>11.181</v>
      </c>
      <c r="J22" s="426">
        <v>42060.34305555555</v>
      </c>
      <c r="K22" s="427">
        <v>42060.59305555555</v>
      </c>
      <c r="L22" s="223">
        <f aca="true" t="shared" si="1" ref="L22:L41">IF(F22="","",(K22-J22)*24)</f>
        <v>6</v>
      </c>
      <c r="M22" s="293">
        <f aca="true" t="shared" si="2" ref="M22:M41">IF(F22="","",ROUND((K22-J22)*24*60,0))</f>
        <v>360</v>
      </c>
      <c r="N22" s="225" t="s">
        <v>77</v>
      </c>
      <c r="O22" s="420" t="str">
        <f>IF(F22="","",IF(OR(N22="P",N22="RP"),"--","NO"))</f>
        <v>--</v>
      </c>
      <c r="P22" s="294">
        <f aca="true" t="shared" si="3" ref="P22:P41">IF(H22=220,$H$14,IF(AND(H22&lt;=132,H22&gt;=66),$H$15,IF(AND(H22&lt;66,H22&gt;13.2),$H$16,$H$17)))</f>
        <v>40</v>
      </c>
      <c r="Q22" s="295">
        <f aca="true" t="shared" si="4" ref="Q22:Q41">IF(N22="P",I22*P22*ROUND(M22/60,2)*0.1,"--")</f>
        <v>268.344</v>
      </c>
      <c r="R22" s="296" t="str">
        <f aca="true" t="shared" si="5" ref="R22:R41">IF(AND(N22="F",O22="NO"),I22*P22,"--")</f>
        <v>--</v>
      </c>
      <c r="S22" s="297" t="str">
        <f aca="true" t="shared" si="6" ref="S22:S41">IF(N22="F",I22*P22*ROUND(M22/60,2),"--")</f>
        <v>--</v>
      </c>
      <c r="T22" s="298" t="str">
        <f aca="true" t="shared" si="7" ref="T22:T41">IF(N22="RF",I22*P22*ROUND(M22/60,2),"--")</f>
        <v>--</v>
      </c>
      <c r="U22" s="421" t="s">
        <v>78</v>
      </c>
      <c r="V22" s="302">
        <f aca="true" t="shared" si="8" ref="V22:V41">IF(F22="","",SUM(Q22:T22)*IF(U22="SI",1,2)*IF(H22="500/220",0,1))</f>
        <v>268.344</v>
      </c>
      <c r="W22" s="236"/>
    </row>
    <row r="23" spans="2:23" s="1" customFormat="1" ht="16.5" customHeight="1">
      <c r="B23" s="13"/>
      <c r="C23" s="208">
        <v>92</v>
      </c>
      <c r="D23" s="207">
        <v>285381</v>
      </c>
      <c r="E23" s="207">
        <v>2328</v>
      </c>
      <c r="F23" s="290" t="s">
        <v>145</v>
      </c>
      <c r="G23" s="290" t="s">
        <v>149</v>
      </c>
      <c r="H23" s="291">
        <v>13.199999809265137</v>
      </c>
      <c r="I23" s="292">
        <f t="shared" si="0"/>
        <v>11.181</v>
      </c>
      <c r="J23" s="426">
        <v>42060.40069444444</v>
      </c>
      <c r="K23" s="427">
        <v>42060.722916666666</v>
      </c>
      <c r="L23" s="223">
        <f t="shared" si="1"/>
        <v>7.7333333333954215</v>
      </c>
      <c r="M23" s="293">
        <f t="shared" si="2"/>
        <v>464</v>
      </c>
      <c r="N23" s="225" t="s">
        <v>77</v>
      </c>
      <c r="O23" s="420" t="str">
        <f aca="true" t="shared" si="9" ref="O23:O41">IF(F23="","",IF(OR(N23="P",N23="RP"),"--","NO"))</f>
        <v>--</v>
      </c>
      <c r="P23" s="294">
        <f t="shared" si="3"/>
        <v>40</v>
      </c>
      <c r="Q23" s="295">
        <f t="shared" si="4"/>
        <v>345.71652</v>
      </c>
      <c r="R23" s="296" t="str">
        <f t="shared" si="5"/>
        <v>--</v>
      </c>
      <c r="S23" s="297" t="str">
        <f t="shared" si="6"/>
        <v>--</v>
      </c>
      <c r="T23" s="298" t="str">
        <f t="shared" si="7"/>
        <v>--</v>
      </c>
      <c r="U23" s="421" t="s">
        <v>78</v>
      </c>
      <c r="V23" s="302">
        <f t="shared" si="8"/>
        <v>345.71652</v>
      </c>
      <c r="W23" s="236"/>
    </row>
    <row r="24" spans="2:23" s="1" customFormat="1" ht="16.5" customHeight="1">
      <c r="B24" s="13"/>
      <c r="C24" s="208">
        <v>93</v>
      </c>
      <c r="D24" s="207">
        <v>285386</v>
      </c>
      <c r="E24" s="207">
        <v>2057</v>
      </c>
      <c r="F24" s="290" t="s">
        <v>136</v>
      </c>
      <c r="G24" s="290" t="s">
        <v>150</v>
      </c>
      <c r="H24" s="291">
        <v>33</v>
      </c>
      <c r="I24" s="292">
        <f t="shared" si="0"/>
        <v>11.181</v>
      </c>
      <c r="J24" s="426">
        <v>42061.36944444444</v>
      </c>
      <c r="K24" s="427">
        <v>42061.427777777775</v>
      </c>
      <c r="L24" s="223">
        <f t="shared" si="1"/>
        <v>1.400000000023283</v>
      </c>
      <c r="M24" s="293">
        <f t="shared" si="2"/>
        <v>84</v>
      </c>
      <c r="N24" s="225" t="s">
        <v>77</v>
      </c>
      <c r="O24" s="420" t="str">
        <f t="shared" si="9"/>
        <v>--</v>
      </c>
      <c r="P24" s="294">
        <f t="shared" si="3"/>
        <v>50</v>
      </c>
      <c r="Q24" s="295">
        <f t="shared" si="4"/>
        <v>78.267</v>
      </c>
      <c r="R24" s="296" t="str">
        <f t="shared" si="5"/>
        <v>--</v>
      </c>
      <c r="S24" s="297" t="str">
        <f t="shared" si="6"/>
        <v>--</v>
      </c>
      <c r="T24" s="298" t="str">
        <f t="shared" si="7"/>
        <v>--</v>
      </c>
      <c r="U24" s="421" t="s">
        <v>78</v>
      </c>
      <c r="V24" s="302">
        <f t="shared" si="8"/>
        <v>78.267</v>
      </c>
      <c r="W24" s="236"/>
    </row>
    <row r="25" spans="2:23" s="1" customFormat="1" ht="16.5" customHeight="1">
      <c r="B25" s="13"/>
      <c r="C25" s="208">
        <v>94</v>
      </c>
      <c r="D25" s="207">
        <v>285387</v>
      </c>
      <c r="E25" s="207">
        <v>2327</v>
      </c>
      <c r="F25" s="290" t="s">
        <v>145</v>
      </c>
      <c r="G25" s="290" t="s">
        <v>151</v>
      </c>
      <c r="H25" s="291">
        <v>13.199999809265137</v>
      </c>
      <c r="I25" s="292">
        <f t="shared" si="0"/>
        <v>11.181</v>
      </c>
      <c r="J25" s="426">
        <v>42061.384722222225</v>
      </c>
      <c r="K25" s="427">
        <v>42061.677083333336</v>
      </c>
      <c r="L25" s="223">
        <f t="shared" si="1"/>
        <v>7.016666666662786</v>
      </c>
      <c r="M25" s="293">
        <f t="shared" si="2"/>
        <v>421</v>
      </c>
      <c r="N25" s="225" t="s">
        <v>77</v>
      </c>
      <c r="O25" s="420" t="str">
        <f t="shared" si="9"/>
        <v>--</v>
      </c>
      <c r="P25" s="294">
        <f t="shared" si="3"/>
        <v>40</v>
      </c>
      <c r="Q25" s="295">
        <f t="shared" si="4"/>
        <v>313.96247999999997</v>
      </c>
      <c r="R25" s="296" t="str">
        <f t="shared" si="5"/>
        <v>--</v>
      </c>
      <c r="S25" s="297" t="str">
        <f t="shared" si="6"/>
        <v>--</v>
      </c>
      <c r="T25" s="298" t="str">
        <f t="shared" si="7"/>
        <v>--</v>
      </c>
      <c r="U25" s="421" t="s">
        <v>78</v>
      </c>
      <c r="V25" s="302">
        <f t="shared" si="8"/>
        <v>313.96247999999997</v>
      </c>
      <c r="W25" s="236"/>
    </row>
    <row r="26" spans="2:23" s="1" customFormat="1" ht="16.5" customHeight="1">
      <c r="B26" s="13"/>
      <c r="C26" s="208">
        <v>95</v>
      </c>
      <c r="D26" s="207">
        <v>285395</v>
      </c>
      <c r="E26" s="207">
        <v>2328</v>
      </c>
      <c r="F26" s="290" t="s">
        <v>145</v>
      </c>
      <c r="G26" s="290" t="s">
        <v>149</v>
      </c>
      <c r="H26" s="291">
        <v>13.199999809265137</v>
      </c>
      <c r="I26" s="292">
        <f t="shared" si="0"/>
        <v>11.181</v>
      </c>
      <c r="J26" s="426">
        <v>42062.38402777778</v>
      </c>
      <c r="K26" s="427">
        <v>42062.50555555556</v>
      </c>
      <c r="L26" s="223">
        <f t="shared" si="1"/>
        <v>2.916666666744277</v>
      </c>
      <c r="M26" s="293">
        <f t="shared" si="2"/>
        <v>175</v>
      </c>
      <c r="N26" s="225" t="s">
        <v>77</v>
      </c>
      <c r="O26" s="420" t="str">
        <f t="shared" si="9"/>
        <v>--</v>
      </c>
      <c r="P26" s="294">
        <f t="shared" si="3"/>
        <v>40</v>
      </c>
      <c r="Q26" s="295">
        <f t="shared" si="4"/>
        <v>130.59408</v>
      </c>
      <c r="R26" s="296" t="str">
        <f t="shared" si="5"/>
        <v>--</v>
      </c>
      <c r="S26" s="297" t="str">
        <f t="shared" si="6"/>
        <v>--</v>
      </c>
      <c r="T26" s="298" t="str">
        <f t="shared" si="7"/>
        <v>--</v>
      </c>
      <c r="U26" s="421" t="s">
        <v>78</v>
      </c>
      <c r="V26" s="302">
        <f t="shared" si="8"/>
        <v>130.59408</v>
      </c>
      <c r="W26" s="236"/>
    </row>
    <row r="27" spans="2:23" s="1" customFormat="1" ht="16.5" customHeight="1">
      <c r="B27" s="13"/>
      <c r="C27" s="208">
        <v>96</v>
      </c>
      <c r="D27" s="207">
        <v>285396</v>
      </c>
      <c r="E27" s="207">
        <v>4205</v>
      </c>
      <c r="F27" s="290" t="s">
        <v>152</v>
      </c>
      <c r="G27" s="290" t="s">
        <v>153</v>
      </c>
      <c r="H27" s="291">
        <v>33</v>
      </c>
      <c r="I27" s="292">
        <f t="shared" si="0"/>
        <v>11.181</v>
      </c>
      <c r="J27" s="426">
        <v>42062.4</v>
      </c>
      <c r="K27" s="427">
        <v>42062.55069444444</v>
      </c>
      <c r="L27" s="223">
        <f t="shared" si="1"/>
        <v>3.6166666665812954</v>
      </c>
      <c r="M27" s="293">
        <f t="shared" si="2"/>
        <v>217</v>
      </c>
      <c r="N27" s="225" t="s">
        <v>77</v>
      </c>
      <c r="O27" s="420" t="str">
        <f t="shared" si="9"/>
        <v>--</v>
      </c>
      <c r="P27" s="294">
        <f t="shared" si="3"/>
        <v>50</v>
      </c>
      <c r="Q27" s="295">
        <f t="shared" si="4"/>
        <v>202.3761</v>
      </c>
      <c r="R27" s="296" t="str">
        <f t="shared" si="5"/>
        <v>--</v>
      </c>
      <c r="S27" s="297" t="str">
        <f t="shared" si="6"/>
        <v>--</v>
      </c>
      <c r="T27" s="298" t="str">
        <f t="shared" si="7"/>
        <v>--</v>
      </c>
      <c r="U27" s="421" t="s">
        <v>78</v>
      </c>
      <c r="V27" s="302">
        <f t="shared" si="8"/>
        <v>202.3761</v>
      </c>
      <c r="W27" s="236"/>
    </row>
    <row r="28" spans="2:23" s="1" customFormat="1" ht="16.5" customHeight="1">
      <c r="B28" s="13"/>
      <c r="C28" s="208"/>
      <c r="D28" s="207"/>
      <c r="E28" s="207"/>
      <c r="F28" s="290"/>
      <c r="G28" s="290"/>
      <c r="H28" s="291"/>
      <c r="I28" s="292">
        <f t="shared" si="0"/>
        <v>11.181</v>
      </c>
      <c r="J28" s="426"/>
      <c r="K28" s="427"/>
      <c r="L28" s="223">
        <f t="shared" si="1"/>
      </c>
      <c r="M28" s="293">
        <f t="shared" si="2"/>
      </c>
      <c r="N28" s="225"/>
      <c r="O28" s="420">
        <f t="shared" si="9"/>
      </c>
      <c r="P28" s="294">
        <f t="shared" si="3"/>
        <v>40</v>
      </c>
      <c r="Q28" s="295" t="str">
        <f t="shared" si="4"/>
        <v>--</v>
      </c>
      <c r="R28" s="296" t="str">
        <f t="shared" si="5"/>
        <v>--</v>
      </c>
      <c r="S28" s="297" t="str">
        <f t="shared" si="6"/>
        <v>--</v>
      </c>
      <c r="T28" s="298" t="str">
        <f t="shared" si="7"/>
        <v>--</v>
      </c>
      <c r="U28" s="421">
        <f aca="true" t="shared" si="10" ref="U28:U41">IF(F28="","","SI")</f>
      </c>
      <c r="V28" s="302">
        <f t="shared" si="8"/>
      </c>
      <c r="W28" s="236"/>
    </row>
    <row r="29" spans="2:23" s="1" customFormat="1" ht="16.5" customHeight="1">
      <c r="B29" s="13"/>
      <c r="C29" s="208"/>
      <c r="D29" s="207"/>
      <c r="E29" s="207"/>
      <c r="F29" s="290"/>
      <c r="G29" s="290"/>
      <c r="H29" s="291"/>
      <c r="I29" s="292">
        <f t="shared" si="0"/>
        <v>11.181</v>
      </c>
      <c r="J29" s="426"/>
      <c r="K29" s="427"/>
      <c r="L29" s="223">
        <f t="shared" si="1"/>
      </c>
      <c r="M29" s="293">
        <f t="shared" si="2"/>
      </c>
      <c r="N29" s="225"/>
      <c r="O29" s="420">
        <f t="shared" si="9"/>
      </c>
      <c r="P29" s="294">
        <f t="shared" si="3"/>
        <v>40</v>
      </c>
      <c r="Q29" s="295" t="str">
        <f t="shared" si="4"/>
        <v>--</v>
      </c>
      <c r="R29" s="296" t="str">
        <f t="shared" si="5"/>
        <v>--</v>
      </c>
      <c r="S29" s="297" t="str">
        <f t="shared" si="6"/>
        <v>--</v>
      </c>
      <c r="T29" s="298" t="str">
        <f t="shared" si="7"/>
        <v>--</v>
      </c>
      <c r="U29" s="421">
        <f t="shared" si="10"/>
      </c>
      <c r="V29" s="302">
        <f t="shared" si="8"/>
      </c>
      <c r="W29" s="236"/>
    </row>
    <row r="30" spans="2:23" s="1" customFormat="1" ht="16.5" customHeight="1">
      <c r="B30" s="13"/>
      <c r="C30" s="208"/>
      <c r="D30" s="207"/>
      <c r="E30" s="207"/>
      <c r="F30" s="290"/>
      <c r="G30" s="290"/>
      <c r="H30" s="291"/>
      <c r="I30" s="292">
        <f t="shared" si="0"/>
        <v>11.181</v>
      </c>
      <c r="J30" s="426"/>
      <c r="K30" s="427"/>
      <c r="L30" s="223">
        <f t="shared" si="1"/>
      </c>
      <c r="M30" s="293">
        <f t="shared" si="2"/>
      </c>
      <c r="N30" s="225"/>
      <c r="O30" s="420">
        <f t="shared" si="9"/>
      </c>
      <c r="P30" s="294">
        <f t="shared" si="3"/>
        <v>40</v>
      </c>
      <c r="Q30" s="295" t="str">
        <f t="shared" si="4"/>
        <v>--</v>
      </c>
      <c r="R30" s="296" t="str">
        <f t="shared" si="5"/>
        <v>--</v>
      </c>
      <c r="S30" s="297" t="str">
        <f t="shared" si="6"/>
        <v>--</v>
      </c>
      <c r="T30" s="298" t="str">
        <f t="shared" si="7"/>
        <v>--</v>
      </c>
      <c r="U30" s="421">
        <f t="shared" si="10"/>
      </c>
      <c r="V30" s="302">
        <f t="shared" si="8"/>
      </c>
      <c r="W30" s="236"/>
    </row>
    <row r="31" spans="2:23" s="1" customFormat="1" ht="16.5" customHeight="1">
      <c r="B31" s="13"/>
      <c r="C31" s="208"/>
      <c r="D31" s="207"/>
      <c r="E31" s="207"/>
      <c r="F31" s="290"/>
      <c r="G31" s="290"/>
      <c r="H31" s="291"/>
      <c r="I31" s="292">
        <f t="shared" si="0"/>
        <v>11.181</v>
      </c>
      <c r="J31" s="426"/>
      <c r="K31" s="427"/>
      <c r="L31" s="223">
        <f t="shared" si="1"/>
      </c>
      <c r="M31" s="293">
        <f t="shared" si="2"/>
      </c>
      <c r="N31" s="225"/>
      <c r="O31" s="420">
        <f t="shared" si="9"/>
      </c>
      <c r="P31" s="294">
        <f t="shared" si="3"/>
        <v>40</v>
      </c>
      <c r="Q31" s="295" t="str">
        <f t="shared" si="4"/>
        <v>--</v>
      </c>
      <c r="R31" s="296" t="str">
        <f t="shared" si="5"/>
        <v>--</v>
      </c>
      <c r="S31" s="297" t="str">
        <f t="shared" si="6"/>
        <v>--</v>
      </c>
      <c r="T31" s="298" t="str">
        <f t="shared" si="7"/>
        <v>--</v>
      </c>
      <c r="U31" s="421">
        <f t="shared" si="10"/>
      </c>
      <c r="V31" s="302">
        <f t="shared" si="8"/>
      </c>
      <c r="W31" s="236"/>
    </row>
    <row r="32" spans="2:23" s="1" customFormat="1" ht="16.5" customHeight="1">
      <c r="B32" s="13"/>
      <c r="C32" s="208"/>
      <c r="D32" s="207"/>
      <c r="E32" s="207"/>
      <c r="F32" s="290"/>
      <c r="G32" s="290"/>
      <c r="H32" s="291"/>
      <c r="I32" s="292">
        <f t="shared" si="0"/>
        <v>11.181</v>
      </c>
      <c r="J32" s="426"/>
      <c r="K32" s="427"/>
      <c r="L32" s="223">
        <f t="shared" si="1"/>
      </c>
      <c r="M32" s="293">
        <f t="shared" si="2"/>
      </c>
      <c r="N32" s="225"/>
      <c r="O32" s="420">
        <f t="shared" si="9"/>
      </c>
      <c r="P32" s="294">
        <f t="shared" si="3"/>
        <v>40</v>
      </c>
      <c r="Q32" s="295" t="str">
        <f t="shared" si="4"/>
        <v>--</v>
      </c>
      <c r="R32" s="296" t="str">
        <f t="shared" si="5"/>
        <v>--</v>
      </c>
      <c r="S32" s="297" t="str">
        <f t="shared" si="6"/>
        <v>--</v>
      </c>
      <c r="T32" s="298" t="str">
        <f t="shared" si="7"/>
        <v>--</v>
      </c>
      <c r="U32" s="421">
        <f t="shared" si="10"/>
      </c>
      <c r="V32" s="302">
        <f t="shared" si="8"/>
      </c>
      <c r="W32" s="236"/>
    </row>
    <row r="33" spans="2:23" s="1" customFormat="1" ht="16.5" customHeight="1">
      <c r="B33" s="13"/>
      <c r="C33" s="208"/>
      <c r="D33" s="207"/>
      <c r="E33" s="207"/>
      <c r="F33" s="290"/>
      <c r="G33" s="290"/>
      <c r="H33" s="291"/>
      <c r="I33" s="292">
        <f t="shared" si="0"/>
        <v>11.181</v>
      </c>
      <c r="J33" s="426"/>
      <c r="K33" s="427"/>
      <c r="L33" s="223">
        <f t="shared" si="1"/>
      </c>
      <c r="M33" s="293">
        <f t="shared" si="2"/>
      </c>
      <c r="N33" s="225"/>
      <c r="O33" s="420">
        <f t="shared" si="9"/>
      </c>
      <c r="P33" s="294">
        <f t="shared" si="3"/>
        <v>40</v>
      </c>
      <c r="Q33" s="295" t="str">
        <f t="shared" si="4"/>
        <v>--</v>
      </c>
      <c r="R33" s="296" t="str">
        <f t="shared" si="5"/>
        <v>--</v>
      </c>
      <c r="S33" s="297" t="str">
        <f t="shared" si="6"/>
        <v>--</v>
      </c>
      <c r="T33" s="298" t="str">
        <f t="shared" si="7"/>
        <v>--</v>
      </c>
      <c r="U33" s="421">
        <f t="shared" si="10"/>
      </c>
      <c r="V33" s="302">
        <f t="shared" si="8"/>
      </c>
      <c r="W33" s="236"/>
    </row>
    <row r="34" spans="2:23" s="1" customFormat="1" ht="16.5" customHeight="1">
      <c r="B34" s="13"/>
      <c r="C34" s="208"/>
      <c r="D34" s="207"/>
      <c r="E34" s="207"/>
      <c r="F34" s="290"/>
      <c r="G34" s="290"/>
      <c r="H34" s="291"/>
      <c r="I34" s="292">
        <f t="shared" si="0"/>
        <v>11.181</v>
      </c>
      <c r="J34" s="426"/>
      <c r="K34" s="427"/>
      <c r="L34" s="223">
        <f t="shared" si="1"/>
      </c>
      <c r="M34" s="293">
        <f t="shared" si="2"/>
      </c>
      <c r="N34" s="225"/>
      <c r="O34" s="420">
        <f t="shared" si="9"/>
      </c>
      <c r="P34" s="294">
        <f t="shared" si="3"/>
        <v>40</v>
      </c>
      <c r="Q34" s="295" t="str">
        <f t="shared" si="4"/>
        <v>--</v>
      </c>
      <c r="R34" s="296" t="str">
        <f t="shared" si="5"/>
        <v>--</v>
      </c>
      <c r="S34" s="297" t="str">
        <f t="shared" si="6"/>
        <v>--</v>
      </c>
      <c r="T34" s="298" t="str">
        <f t="shared" si="7"/>
        <v>--</v>
      </c>
      <c r="U34" s="421">
        <f t="shared" si="10"/>
      </c>
      <c r="V34" s="302">
        <f t="shared" si="8"/>
      </c>
      <c r="W34" s="236"/>
    </row>
    <row r="35" spans="2:23" s="1" customFormat="1" ht="16.5" customHeight="1">
      <c r="B35" s="13"/>
      <c r="C35" s="208"/>
      <c r="D35" s="207"/>
      <c r="E35" s="207"/>
      <c r="F35" s="290"/>
      <c r="G35" s="290"/>
      <c r="H35" s="291"/>
      <c r="I35" s="292">
        <f t="shared" si="0"/>
        <v>11.181</v>
      </c>
      <c r="J35" s="426"/>
      <c r="K35" s="427"/>
      <c r="L35" s="223">
        <f t="shared" si="1"/>
      </c>
      <c r="M35" s="293">
        <f t="shared" si="2"/>
      </c>
      <c r="N35" s="225"/>
      <c r="O35" s="420">
        <f t="shared" si="9"/>
      </c>
      <c r="P35" s="294">
        <f t="shared" si="3"/>
        <v>40</v>
      </c>
      <c r="Q35" s="295" t="str">
        <f t="shared" si="4"/>
        <v>--</v>
      </c>
      <c r="R35" s="296" t="str">
        <f t="shared" si="5"/>
        <v>--</v>
      </c>
      <c r="S35" s="297" t="str">
        <f t="shared" si="6"/>
        <v>--</v>
      </c>
      <c r="T35" s="298" t="str">
        <f t="shared" si="7"/>
        <v>--</v>
      </c>
      <c r="U35" s="421">
        <f t="shared" si="10"/>
      </c>
      <c r="V35" s="302">
        <f t="shared" si="8"/>
      </c>
      <c r="W35" s="236"/>
    </row>
    <row r="36" spans="2:23" s="1" customFormat="1" ht="16.5" customHeight="1">
      <c r="B36" s="13"/>
      <c r="C36" s="208"/>
      <c r="D36" s="207"/>
      <c r="E36" s="207"/>
      <c r="F36" s="290"/>
      <c r="G36" s="290"/>
      <c r="H36" s="291"/>
      <c r="I36" s="292">
        <f t="shared" si="0"/>
        <v>11.181</v>
      </c>
      <c r="J36" s="426"/>
      <c r="K36" s="427"/>
      <c r="L36" s="223">
        <f t="shared" si="1"/>
      </c>
      <c r="M36" s="293">
        <f t="shared" si="2"/>
      </c>
      <c r="N36" s="225"/>
      <c r="O36" s="420">
        <f t="shared" si="9"/>
      </c>
      <c r="P36" s="294">
        <f t="shared" si="3"/>
        <v>40</v>
      </c>
      <c r="Q36" s="295" t="str">
        <f t="shared" si="4"/>
        <v>--</v>
      </c>
      <c r="R36" s="296" t="str">
        <f t="shared" si="5"/>
        <v>--</v>
      </c>
      <c r="S36" s="297" t="str">
        <f t="shared" si="6"/>
        <v>--</v>
      </c>
      <c r="T36" s="298" t="str">
        <f t="shared" si="7"/>
        <v>--</v>
      </c>
      <c r="U36" s="421">
        <f t="shared" si="10"/>
      </c>
      <c r="V36" s="302">
        <f t="shared" si="8"/>
      </c>
      <c r="W36" s="236"/>
    </row>
    <row r="37" spans="2:23" s="1" customFormat="1" ht="16.5" customHeight="1">
      <c r="B37" s="13"/>
      <c r="C37" s="208"/>
      <c r="D37" s="207"/>
      <c r="E37" s="207"/>
      <c r="F37" s="290"/>
      <c r="G37" s="290"/>
      <c r="H37" s="291"/>
      <c r="I37" s="292">
        <f t="shared" si="0"/>
        <v>11.181</v>
      </c>
      <c r="J37" s="426"/>
      <c r="K37" s="427"/>
      <c r="L37" s="223">
        <f t="shared" si="1"/>
      </c>
      <c r="M37" s="293">
        <f t="shared" si="2"/>
      </c>
      <c r="N37" s="225"/>
      <c r="O37" s="420">
        <f t="shared" si="9"/>
      </c>
      <c r="P37" s="294">
        <f t="shared" si="3"/>
        <v>40</v>
      </c>
      <c r="Q37" s="295" t="str">
        <f t="shared" si="4"/>
        <v>--</v>
      </c>
      <c r="R37" s="296" t="str">
        <f t="shared" si="5"/>
        <v>--</v>
      </c>
      <c r="S37" s="297" t="str">
        <f t="shared" si="6"/>
        <v>--</v>
      </c>
      <c r="T37" s="298" t="str">
        <f t="shared" si="7"/>
        <v>--</v>
      </c>
      <c r="U37" s="421">
        <f t="shared" si="10"/>
      </c>
      <c r="V37" s="302">
        <f t="shared" si="8"/>
      </c>
      <c r="W37" s="236"/>
    </row>
    <row r="38" spans="2:23" s="1" customFormat="1" ht="16.5" customHeight="1">
      <c r="B38" s="13"/>
      <c r="C38" s="208"/>
      <c r="D38" s="207"/>
      <c r="E38" s="207"/>
      <c r="F38" s="290"/>
      <c r="G38" s="290"/>
      <c r="H38" s="291"/>
      <c r="I38" s="292">
        <f t="shared" si="0"/>
        <v>11.181</v>
      </c>
      <c r="J38" s="426"/>
      <c r="K38" s="427"/>
      <c r="L38" s="223">
        <f t="shared" si="1"/>
      </c>
      <c r="M38" s="293">
        <f t="shared" si="2"/>
      </c>
      <c r="N38" s="225"/>
      <c r="O38" s="420">
        <f t="shared" si="9"/>
      </c>
      <c r="P38" s="294">
        <f t="shared" si="3"/>
        <v>40</v>
      </c>
      <c r="Q38" s="295" t="str">
        <f t="shared" si="4"/>
        <v>--</v>
      </c>
      <c r="R38" s="296" t="str">
        <f t="shared" si="5"/>
        <v>--</v>
      </c>
      <c r="S38" s="297" t="str">
        <f t="shared" si="6"/>
        <v>--</v>
      </c>
      <c r="T38" s="298" t="str">
        <f t="shared" si="7"/>
        <v>--</v>
      </c>
      <c r="U38" s="421">
        <f t="shared" si="10"/>
      </c>
      <c r="V38" s="302">
        <f t="shared" si="8"/>
      </c>
      <c r="W38" s="236"/>
    </row>
    <row r="39" spans="2:23" s="1" customFormat="1" ht="16.5" customHeight="1">
      <c r="B39" s="13"/>
      <c r="C39" s="208"/>
      <c r="D39" s="207"/>
      <c r="E39" s="207"/>
      <c r="F39" s="290"/>
      <c r="G39" s="290"/>
      <c r="H39" s="291"/>
      <c r="I39" s="292">
        <f t="shared" si="0"/>
        <v>11.181</v>
      </c>
      <c r="J39" s="426"/>
      <c r="K39" s="427"/>
      <c r="L39" s="223">
        <f t="shared" si="1"/>
      </c>
      <c r="M39" s="293">
        <f t="shared" si="2"/>
      </c>
      <c r="N39" s="225"/>
      <c r="O39" s="420">
        <f t="shared" si="9"/>
      </c>
      <c r="P39" s="294">
        <f t="shared" si="3"/>
        <v>40</v>
      </c>
      <c r="Q39" s="295" t="str">
        <f t="shared" si="4"/>
        <v>--</v>
      </c>
      <c r="R39" s="296" t="str">
        <f t="shared" si="5"/>
        <v>--</v>
      </c>
      <c r="S39" s="297" t="str">
        <f t="shared" si="6"/>
        <v>--</v>
      </c>
      <c r="T39" s="298" t="str">
        <f t="shared" si="7"/>
        <v>--</v>
      </c>
      <c r="U39" s="421">
        <f t="shared" si="10"/>
      </c>
      <c r="V39" s="302">
        <f t="shared" si="8"/>
      </c>
      <c r="W39" s="236"/>
    </row>
    <row r="40" spans="2:23" s="1" customFormat="1" ht="16.5" customHeight="1">
      <c r="B40" s="13"/>
      <c r="C40" s="208"/>
      <c r="D40" s="207"/>
      <c r="E40" s="207"/>
      <c r="F40" s="290"/>
      <c r="G40" s="290"/>
      <c r="H40" s="291"/>
      <c r="I40" s="292">
        <f t="shared" si="0"/>
        <v>11.181</v>
      </c>
      <c r="J40" s="426"/>
      <c r="K40" s="427"/>
      <c r="L40" s="223">
        <f t="shared" si="1"/>
      </c>
      <c r="M40" s="293">
        <f t="shared" si="2"/>
      </c>
      <c r="N40" s="225"/>
      <c r="O40" s="420">
        <f t="shared" si="9"/>
      </c>
      <c r="P40" s="294">
        <f t="shared" si="3"/>
        <v>40</v>
      </c>
      <c r="Q40" s="295" t="str">
        <f t="shared" si="4"/>
        <v>--</v>
      </c>
      <c r="R40" s="296" t="str">
        <f t="shared" si="5"/>
        <v>--</v>
      </c>
      <c r="S40" s="297" t="str">
        <f t="shared" si="6"/>
        <v>--</v>
      </c>
      <c r="T40" s="298" t="str">
        <f t="shared" si="7"/>
        <v>--</v>
      </c>
      <c r="U40" s="421">
        <f t="shared" si="10"/>
      </c>
      <c r="V40" s="302">
        <f t="shared" si="8"/>
      </c>
      <c r="W40" s="236"/>
    </row>
    <row r="41" spans="2:23" s="1" customFormat="1" ht="16.5" customHeight="1">
      <c r="B41" s="13"/>
      <c r="C41" s="208"/>
      <c r="D41" s="207"/>
      <c r="E41" s="207"/>
      <c r="F41" s="290"/>
      <c r="G41" s="290"/>
      <c r="H41" s="291"/>
      <c r="I41" s="292">
        <f t="shared" si="0"/>
        <v>11.181</v>
      </c>
      <c r="J41" s="426"/>
      <c r="K41" s="427"/>
      <c r="L41" s="223">
        <f t="shared" si="1"/>
      </c>
      <c r="M41" s="293">
        <f t="shared" si="2"/>
      </c>
      <c r="N41" s="225"/>
      <c r="O41" s="420">
        <f t="shared" si="9"/>
      </c>
      <c r="P41" s="294">
        <f t="shared" si="3"/>
        <v>40</v>
      </c>
      <c r="Q41" s="295" t="str">
        <f t="shared" si="4"/>
        <v>--</v>
      </c>
      <c r="R41" s="296" t="str">
        <f t="shared" si="5"/>
        <v>--</v>
      </c>
      <c r="S41" s="297" t="str">
        <f t="shared" si="6"/>
        <v>--</v>
      </c>
      <c r="T41" s="298" t="str">
        <f t="shared" si="7"/>
        <v>--</v>
      </c>
      <c r="U41" s="421">
        <f t="shared" si="10"/>
      </c>
      <c r="V41" s="302">
        <f t="shared" si="8"/>
      </c>
      <c r="W41" s="236"/>
    </row>
    <row r="42" spans="2:23" s="1" customFormat="1" ht="16.5" customHeight="1" thickBot="1">
      <c r="B42" s="13"/>
      <c r="C42" s="314"/>
      <c r="D42" s="314"/>
      <c r="E42" s="314"/>
      <c r="F42" s="314"/>
      <c r="G42" s="314"/>
      <c r="H42" s="314"/>
      <c r="I42" s="303"/>
      <c r="J42" s="400"/>
      <c r="K42" s="400"/>
      <c r="L42" s="237"/>
      <c r="M42" s="237"/>
      <c r="N42" s="314"/>
      <c r="O42" s="314"/>
      <c r="P42" s="324"/>
      <c r="Q42" s="325"/>
      <c r="R42" s="326"/>
      <c r="S42" s="327"/>
      <c r="T42" s="328"/>
      <c r="U42" s="314"/>
      <c r="V42" s="304"/>
      <c r="W42" s="236"/>
    </row>
    <row r="43" spans="2:23" s="1" customFormat="1" ht="16.5" customHeight="1" thickBot="1" thickTop="1">
      <c r="B43" s="13"/>
      <c r="C43" s="111" t="s">
        <v>55</v>
      </c>
      <c r="D43" s="127"/>
      <c r="E43" s="127"/>
      <c r="F43" s="112"/>
      <c r="G43" s="2"/>
      <c r="H43" s="2"/>
      <c r="I43" s="2"/>
      <c r="J43" s="2"/>
      <c r="K43" s="2"/>
      <c r="L43" s="2"/>
      <c r="M43" s="2"/>
      <c r="N43" s="2"/>
      <c r="O43" s="2"/>
      <c r="P43" s="2"/>
      <c r="Q43" s="305">
        <f>SUM(Q20:Q42)</f>
        <v>1339.26018</v>
      </c>
      <c r="R43" s="306">
        <f>SUM(R20:R42)</f>
        <v>0</v>
      </c>
      <c r="S43" s="306">
        <f>SUM(S20:S42)</f>
        <v>0</v>
      </c>
      <c r="T43" s="307">
        <f>SUM(T20:T42)</f>
        <v>0</v>
      </c>
      <c r="U43" s="308"/>
      <c r="V43" s="411">
        <f>ROUND(SUM(V20:V42),2)</f>
        <v>8369.29</v>
      </c>
      <c r="W43" s="236"/>
    </row>
    <row r="44" spans="2:23" s="125" customFormat="1" ht="9.75" thickTop="1">
      <c r="B44" s="126"/>
      <c r="C44" s="127"/>
      <c r="D44" s="127"/>
      <c r="E44" s="127"/>
      <c r="F44" s="128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50"/>
      <c r="V44" s="309"/>
      <c r="W44" s="252"/>
    </row>
    <row r="45" spans="2:23" s="1" customFormat="1" ht="16.5" customHeight="1" thickBot="1">
      <c r="B45" s="138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5"/>
    </row>
    <row r="46" spans="2:23" ht="16.5" customHeight="1" thickTop="1">
      <c r="B46" s="310"/>
      <c r="C46" s="310"/>
      <c r="D46" s="310"/>
      <c r="E46" s="310"/>
      <c r="F46" s="310"/>
      <c r="G46" s="310"/>
      <c r="H46" s="310"/>
      <c r="I46" s="310"/>
      <c r="J46" s="310"/>
      <c r="K46" s="310"/>
      <c r="L46" s="310"/>
      <c r="M46" s="310"/>
      <c r="N46" s="310"/>
      <c r="O46" s="310"/>
      <c r="P46" s="310"/>
      <c r="Q46" s="310"/>
      <c r="R46" s="310"/>
      <c r="S46" s="310"/>
      <c r="T46" s="310"/>
      <c r="U46" s="310"/>
      <c r="V46" s="310"/>
      <c r="W46" s="310"/>
    </row>
    <row r="47" spans="3:6" ht="16.5" customHeight="1">
      <c r="C47" s="310"/>
      <c r="D47" s="310"/>
      <c r="E47" s="310"/>
      <c r="F47" s="310"/>
    </row>
    <row r="48" ht="16.5" customHeight="1"/>
    <row r="49" ht="16.5" customHeight="1"/>
    <row r="50" ht="16.5" customHeight="1"/>
    <row r="51" ht="16.5" customHeight="1"/>
    <row r="52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2" r:id="rId3"/>
  <headerFooter alignWithMargins="0">
    <oddFooter>&amp;L&amp;"Times New Roman,Normal"&amp;5&amp;F  - TRANSPORTE de ENERGÍA ELÉCTRICA - PJL - &amp;P/&amp;N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zoomScale="70" zoomScaleNormal="70" zoomScalePageLayoutView="0" workbookViewId="0" topLeftCell="A16">
      <selection activeCell="C44" sqref="C44:D44"/>
    </sheetView>
  </sheetViews>
  <sheetFormatPr defaultColWidth="11.421875" defaultRowHeight="12.75"/>
  <cols>
    <col min="1" max="2" width="4.00390625" style="5" customWidth="1"/>
    <col min="3" max="3" width="5.57421875" style="5" customWidth="1"/>
    <col min="4" max="5" width="13.7109375" style="5" customWidth="1"/>
    <col min="6" max="6" width="30.7109375" style="5" customWidth="1"/>
    <col min="7" max="7" width="25.7109375" style="5" customWidth="1"/>
    <col min="8" max="8" width="7.28125" style="5" customWidth="1"/>
    <col min="9" max="9" width="9.140625" style="5" bestFit="1" customWidth="1"/>
    <col min="10" max="10" width="12.00390625" style="5" customWidth="1"/>
    <col min="11" max="11" width="13.28125" style="5" hidden="1" customWidth="1"/>
    <col min="12" max="13" width="15.7109375" style="5" customWidth="1"/>
    <col min="14" max="16" width="9.7109375" style="5" customWidth="1"/>
    <col min="17" max="19" width="7.7109375" style="5" customWidth="1"/>
    <col min="20" max="20" width="13.28125" style="5" hidden="1" customWidth="1"/>
    <col min="21" max="22" width="14.57421875" style="5" hidden="1" customWidth="1"/>
    <col min="23" max="23" width="16.28125" style="5" hidden="1" customWidth="1"/>
    <col min="24" max="24" width="16.8515625" style="5" hidden="1" customWidth="1"/>
    <col min="25" max="25" width="16.28125" style="5" hidden="1" customWidth="1"/>
    <col min="26" max="28" width="16.8515625" style="5" hidden="1" customWidth="1"/>
    <col min="29" max="29" width="9.7109375" style="5" customWidth="1"/>
    <col min="30" max="30" width="15.7109375" style="5" customWidth="1"/>
    <col min="31" max="31" width="4.00390625" style="5" customWidth="1"/>
    <col min="32" max="32" width="13.00390625" style="5" customWidth="1"/>
    <col min="33" max="16384" width="11.421875" style="5" customWidth="1"/>
  </cols>
  <sheetData>
    <row r="1" spans="2:31" s="3" customFormat="1" ht="32.25" customHeight="1"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312"/>
    </row>
    <row r="2" spans="2:31" s="3" customFormat="1" ht="26.25">
      <c r="B2" s="16" t="str">
        <f>'TOT-0215'!B2</f>
        <v>ANEXO III al Memorándum D.T.E.E. N° 814   / 2015</v>
      </c>
      <c r="C2" s="143"/>
      <c r="D2" s="143"/>
      <c r="E2" s="143"/>
      <c r="F2" s="143"/>
      <c r="G2" s="4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</row>
    <row r="3" spans="2:31" s="1" customFormat="1" ht="12" customHeight="1">
      <c r="B3" s="17"/>
      <c r="C3" s="144"/>
      <c r="D3" s="144"/>
      <c r="E3" s="144"/>
      <c r="F3" s="144"/>
      <c r="G3" s="6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</row>
    <row r="4" spans="1:31" s="9" customFormat="1" ht="11.25">
      <c r="A4" s="8" t="s">
        <v>3</v>
      </c>
      <c r="B4" s="145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</row>
    <row r="5" spans="1:31" s="9" customFormat="1" ht="11.25">
      <c r="A5" s="8" t="s">
        <v>4</v>
      </c>
      <c r="B5" s="145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</row>
    <row r="6" spans="2:31" s="1" customFormat="1" ht="16.5" customHeight="1" thickBot="1"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</row>
    <row r="7" spans="2:31" s="1" customFormat="1" ht="16.5" customHeight="1" thickTop="1">
      <c r="B7" s="148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50"/>
    </row>
    <row r="8" spans="2:31" s="22" customFormat="1" ht="20.25">
      <c r="B8" s="151"/>
      <c r="C8" s="152"/>
      <c r="D8" s="152"/>
      <c r="E8" s="152"/>
      <c r="F8" s="153" t="s">
        <v>5</v>
      </c>
      <c r="H8" s="152"/>
      <c r="I8" s="152"/>
      <c r="J8" s="154"/>
      <c r="K8" s="154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5"/>
    </row>
    <row r="9" spans="2:31" s="1" customFormat="1" ht="16.5" customHeight="1">
      <c r="B9" s="156"/>
      <c r="C9" s="2"/>
      <c r="D9" s="2"/>
      <c r="E9" s="2"/>
      <c r="F9" s="2"/>
      <c r="G9" s="2"/>
      <c r="H9" s="2"/>
      <c r="I9" s="2"/>
      <c r="J9" s="147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157"/>
    </row>
    <row r="10" spans="2:31" s="22" customFormat="1" ht="20.25">
      <c r="B10" s="151"/>
      <c r="C10" s="152"/>
      <c r="D10" s="152"/>
      <c r="E10" s="152"/>
      <c r="F10" s="153" t="s">
        <v>66</v>
      </c>
      <c r="G10" s="152"/>
      <c r="H10" s="152"/>
      <c r="I10" s="152"/>
      <c r="J10" s="154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5"/>
    </row>
    <row r="11" spans="2:31" s="1" customFormat="1" ht="16.5" customHeight="1">
      <c r="B11" s="156"/>
      <c r="C11" s="2"/>
      <c r="D11" s="2"/>
      <c r="E11" s="2"/>
      <c r="F11" s="158"/>
      <c r="G11" s="2"/>
      <c r="H11" s="2"/>
      <c r="I11" s="2"/>
      <c r="J11" s="147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157"/>
    </row>
    <row r="12" spans="2:31" s="22" customFormat="1" ht="20.25">
      <c r="B12" s="151"/>
      <c r="C12" s="152"/>
      <c r="D12" s="152"/>
      <c r="E12" s="152"/>
      <c r="F12" s="403" t="s">
        <v>67</v>
      </c>
      <c r="G12" s="153"/>
      <c r="H12" s="154"/>
      <c r="I12" s="154"/>
      <c r="J12" s="154"/>
      <c r="K12" s="160"/>
      <c r="L12" s="152"/>
      <c r="M12" s="154"/>
      <c r="N12" s="154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5"/>
    </row>
    <row r="13" spans="2:31" s="1" customFormat="1" ht="16.5" customHeight="1">
      <c r="B13" s="156"/>
      <c r="C13" s="2"/>
      <c r="D13" s="2"/>
      <c r="E13" s="2"/>
      <c r="F13" s="161"/>
      <c r="G13" s="161"/>
      <c r="H13" s="161"/>
      <c r="I13" s="161"/>
      <c r="J13" s="162"/>
      <c r="K13" s="163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157"/>
    </row>
    <row r="14" spans="2:31" s="10" customFormat="1" ht="19.5">
      <c r="B14" s="164" t="str">
        <f>'TOT-0215'!B14</f>
        <v>Desde el 01 al 28 de febrero de 2015</v>
      </c>
      <c r="C14" s="28"/>
      <c r="D14" s="28"/>
      <c r="E14" s="28"/>
      <c r="F14" s="165"/>
      <c r="G14" s="165"/>
      <c r="H14" s="165"/>
      <c r="I14" s="165"/>
      <c r="J14" s="165"/>
      <c r="K14" s="165"/>
      <c r="L14" s="29"/>
      <c r="M14" s="29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6"/>
    </row>
    <row r="15" spans="2:31" s="1" customFormat="1" ht="16.5" customHeight="1" thickBot="1">
      <c r="B15" s="156"/>
      <c r="C15" s="2"/>
      <c r="D15" s="2"/>
      <c r="E15" s="2"/>
      <c r="F15" s="2"/>
      <c r="G15" s="2"/>
      <c r="H15" s="2"/>
      <c r="I15" s="2"/>
      <c r="J15" s="167"/>
      <c r="K15" s="2"/>
      <c r="L15" s="168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157"/>
    </row>
    <row r="16" spans="2:31" s="1" customFormat="1" ht="16.5" customHeight="1" thickBot="1" thickTop="1">
      <c r="B16" s="156"/>
      <c r="C16" s="2"/>
      <c r="D16" s="2"/>
      <c r="E16" s="2"/>
      <c r="F16" s="172" t="s">
        <v>34</v>
      </c>
      <c r="G16" s="173"/>
      <c r="H16" s="173"/>
      <c r="I16" s="173"/>
      <c r="J16" s="174">
        <f>60*'TOT-0215'!B13</f>
        <v>60</v>
      </c>
      <c r="K16" s="175"/>
      <c r="L16" s="175" t="str">
        <f>IF(J16=60," ",IF(J16=120,"    Coeficiente duplicado por tasa de falla &gt;4 Sal. x año/100 km.","    REVISAR COEFICIENTE"))</f>
        <v> 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176"/>
      <c r="Y16" s="2"/>
      <c r="Z16" s="176"/>
      <c r="AA16" s="176"/>
      <c r="AB16" s="176"/>
      <c r="AC16" s="176"/>
      <c r="AD16" s="176"/>
      <c r="AE16" s="157"/>
    </row>
    <row r="17" spans="2:31" s="1" customFormat="1" ht="16.5" customHeight="1" thickBot="1" thickTop="1">
      <c r="B17" s="156"/>
      <c r="C17" s="415">
        <v>3</v>
      </c>
      <c r="D17" s="415">
        <v>4</v>
      </c>
      <c r="E17" s="415">
        <v>5</v>
      </c>
      <c r="F17" s="415">
        <v>6</v>
      </c>
      <c r="G17" s="415">
        <v>7</v>
      </c>
      <c r="H17" s="415">
        <v>8</v>
      </c>
      <c r="I17" s="415">
        <v>9</v>
      </c>
      <c r="J17" s="415">
        <v>10</v>
      </c>
      <c r="K17" s="415">
        <v>11</v>
      </c>
      <c r="L17" s="415">
        <v>12</v>
      </c>
      <c r="M17" s="415">
        <v>13</v>
      </c>
      <c r="N17" s="415">
        <v>14</v>
      </c>
      <c r="O17" s="415">
        <v>15</v>
      </c>
      <c r="P17" s="415">
        <v>16</v>
      </c>
      <c r="Q17" s="415">
        <v>17</v>
      </c>
      <c r="R17" s="415">
        <v>18</v>
      </c>
      <c r="S17" s="415">
        <v>19</v>
      </c>
      <c r="T17" s="415">
        <v>20</v>
      </c>
      <c r="U17" s="415">
        <v>21</v>
      </c>
      <c r="V17" s="415">
        <v>22</v>
      </c>
      <c r="W17" s="415">
        <v>23</v>
      </c>
      <c r="X17" s="415">
        <v>24</v>
      </c>
      <c r="Y17" s="415">
        <v>25</v>
      </c>
      <c r="Z17" s="415">
        <v>26</v>
      </c>
      <c r="AA17" s="415">
        <v>27</v>
      </c>
      <c r="AB17" s="415">
        <v>28</v>
      </c>
      <c r="AC17" s="415">
        <v>29</v>
      </c>
      <c r="AD17" s="415">
        <v>30</v>
      </c>
      <c r="AE17" s="157"/>
    </row>
    <row r="18" spans="2:31" s="177" customFormat="1" ht="34.5" customHeight="1" thickBot="1" thickTop="1">
      <c r="B18" s="178"/>
      <c r="C18" s="413" t="s">
        <v>13</v>
      </c>
      <c r="D18" s="413" t="s">
        <v>72</v>
      </c>
      <c r="E18" s="413" t="s">
        <v>73</v>
      </c>
      <c r="F18" s="179" t="s">
        <v>35</v>
      </c>
      <c r="G18" s="180" t="s">
        <v>36</v>
      </c>
      <c r="H18" s="181" t="s">
        <v>37</v>
      </c>
      <c r="I18" s="181" t="s">
        <v>68</v>
      </c>
      <c r="J18" s="182" t="s">
        <v>14</v>
      </c>
      <c r="K18" s="183" t="s">
        <v>16</v>
      </c>
      <c r="L18" s="180" t="s">
        <v>17</v>
      </c>
      <c r="M18" s="180" t="s">
        <v>18</v>
      </c>
      <c r="N18" s="179" t="s">
        <v>38</v>
      </c>
      <c r="O18" s="179" t="s">
        <v>39</v>
      </c>
      <c r="P18" s="46" t="s">
        <v>54</v>
      </c>
      <c r="Q18" s="180" t="s">
        <v>40</v>
      </c>
      <c r="R18" s="179" t="s">
        <v>21</v>
      </c>
      <c r="S18" s="180" t="s">
        <v>41</v>
      </c>
      <c r="T18" s="184" t="s">
        <v>42</v>
      </c>
      <c r="U18" s="185" t="s">
        <v>23</v>
      </c>
      <c r="V18" s="186" t="s">
        <v>24</v>
      </c>
      <c r="W18" s="187" t="s">
        <v>43</v>
      </c>
      <c r="X18" s="188"/>
      <c r="Y18" s="189" t="s">
        <v>44</v>
      </c>
      <c r="Z18" s="190"/>
      <c r="AA18" s="191" t="s">
        <v>27</v>
      </c>
      <c r="AB18" s="192" t="s">
        <v>28</v>
      </c>
      <c r="AC18" s="182" t="s">
        <v>45</v>
      </c>
      <c r="AD18" s="182" t="s">
        <v>30</v>
      </c>
      <c r="AE18" s="193"/>
    </row>
    <row r="19" spans="2:31" s="1" customFormat="1" ht="16.5" customHeight="1" thickTop="1">
      <c r="B19" s="156"/>
      <c r="C19" s="194"/>
      <c r="D19" s="194"/>
      <c r="E19" s="194"/>
      <c r="F19" s="195"/>
      <c r="G19" s="196"/>
      <c r="H19" s="196"/>
      <c r="I19" s="404"/>
      <c r="J19" s="196"/>
      <c r="K19" s="197"/>
      <c r="L19" s="398"/>
      <c r="M19" s="399"/>
      <c r="N19" s="198"/>
      <c r="O19" s="198"/>
      <c r="P19" s="196"/>
      <c r="Q19" s="196"/>
      <c r="R19" s="196"/>
      <c r="S19" s="196"/>
      <c r="T19" s="72"/>
      <c r="U19" s="70"/>
      <c r="V19" s="199"/>
      <c r="W19" s="200"/>
      <c r="X19" s="201"/>
      <c r="Y19" s="202"/>
      <c r="Z19" s="203"/>
      <c r="AA19" s="204"/>
      <c r="AB19" s="205"/>
      <c r="AC19" s="196"/>
      <c r="AD19" s="206"/>
      <c r="AE19" s="157"/>
    </row>
    <row r="20" spans="2:31" s="1" customFormat="1" ht="16.5" customHeight="1">
      <c r="B20" s="156"/>
      <c r="C20" s="207"/>
      <c r="D20" s="207"/>
      <c r="E20" s="207"/>
      <c r="F20" s="75"/>
      <c r="G20" s="77"/>
      <c r="H20" s="220"/>
      <c r="I20" s="405"/>
      <c r="J20" s="221"/>
      <c r="K20" s="222">
        <f>H20*I20</f>
        <v>0</v>
      </c>
      <c r="L20" s="424"/>
      <c r="M20" s="424"/>
      <c r="N20" s="223">
        <f aca="true" t="shared" si="0" ref="N20:N41">IF(F20="","",(M20-L20)*24)</f>
      </c>
      <c r="O20" s="224">
        <f aca="true" t="shared" si="1" ref="O20:O41">IF(F20="","",ROUND((M20-L20)*24*60,0))</f>
      </c>
      <c r="P20" s="225"/>
      <c r="Q20" s="225"/>
      <c r="R20" s="226"/>
      <c r="S20" s="225"/>
      <c r="T20" s="103">
        <f aca="true" t="shared" si="2" ref="T20:T41">$J$16*IF(OR(P20="P",P20="RP"),0.1,1)*IF(S20="SI",1,0.1)</f>
        <v>6</v>
      </c>
      <c r="U20" s="227" t="str">
        <f aca="true" t="shared" si="3" ref="U20:U41">IF(P20="P",K20*T20*ROUND(O20/60,2),"--")</f>
        <v>--</v>
      </c>
      <c r="V20" s="228" t="str">
        <f aca="true" t="shared" si="4" ref="V20:V41">IF(P20="RP",K20*T20*ROUND(O20/60,2)*R20/100,"--")</f>
        <v>--</v>
      </c>
      <c r="W20" s="229" t="str">
        <f aca="true" t="shared" si="5" ref="W20:W41">IF(AND(P20="F",Q20="NO"),K20*T20,"--")</f>
        <v>--</v>
      </c>
      <c r="X20" s="230" t="str">
        <f aca="true" t="shared" si="6" ref="X20:X41">IF(P20="F",K20*T20*ROUND(O20/60,2),"--")</f>
        <v>--</v>
      </c>
      <c r="Y20" s="231" t="str">
        <f aca="true" t="shared" si="7" ref="Y20:Y41">IF(AND(P20="R",Q20="NO"),K20*T20*R20/100,"--")</f>
        <v>--</v>
      </c>
      <c r="Z20" s="232" t="str">
        <f aca="true" t="shared" si="8" ref="Z20:Z41">IF(P20="R",K20*T20*ROUND(O20/60,2)*R20/100,"--")</f>
        <v>--</v>
      </c>
      <c r="AA20" s="233" t="str">
        <f aca="true" t="shared" si="9" ref="AA20:AA41">IF(P20="RF",K20*T20*ROUND(O20/60,2),"--")</f>
        <v>--</v>
      </c>
      <c r="AB20" s="234" t="str">
        <f aca="true" t="shared" si="10" ref="AB20:AB41">IF(P20="RR",K20*T20*ROUND(O20/60,2)*R20/100,"--")</f>
        <v>--</v>
      </c>
      <c r="AC20" s="225"/>
      <c r="AD20" s="235">
        <f aca="true" t="shared" si="11" ref="AD20:AD41">IF(F20="","",SUM(U20:AB20)*IF(AC20="SI",1,2))</f>
      </c>
      <c r="AE20" s="157"/>
    </row>
    <row r="21" spans="2:31" s="1" customFormat="1" ht="16.5" customHeight="1">
      <c r="B21" s="156"/>
      <c r="C21" s="207" t="s">
        <v>165</v>
      </c>
      <c r="D21" s="207">
        <v>285211</v>
      </c>
      <c r="E21" s="207">
        <v>4460</v>
      </c>
      <c r="F21" s="75" t="s">
        <v>154</v>
      </c>
      <c r="G21" s="77" t="s">
        <v>155</v>
      </c>
      <c r="H21" s="220">
        <v>1.5</v>
      </c>
      <c r="I21" s="405">
        <v>4.563425925925926</v>
      </c>
      <c r="J21" s="221">
        <v>13.199999809265137</v>
      </c>
      <c r="K21" s="222">
        <f>H21*I21</f>
        <v>6.845138888888888</v>
      </c>
      <c r="L21" s="424">
        <v>42053.29375</v>
      </c>
      <c r="M21" s="424">
        <v>42053.51388888889</v>
      </c>
      <c r="N21" s="223">
        <f t="shared" si="0"/>
        <v>5.283333333441988</v>
      </c>
      <c r="O21" s="224">
        <f t="shared" si="1"/>
        <v>317</v>
      </c>
      <c r="P21" s="225" t="s">
        <v>77</v>
      </c>
      <c r="Q21" s="422" t="str">
        <f>IF(F21="","",IF(OR(P21="P",P21="RP"),"--","NO"))</f>
        <v>--</v>
      </c>
      <c r="R21" s="423" t="str">
        <f>IF(F21="","","--")</f>
        <v>--</v>
      </c>
      <c r="S21" s="416" t="str">
        <f>IF(F21="","","NO")</f>
        <v>NO</v>
      </c>
      <c r="T21" s="103">
        <f t="shared" si="2"/>
        <v>0.6000000000000001</v>
      </c>
      <c r="U21" s="227">
        <f t="shared" si="3"/>
        <v>21.6854</v>
      </c>
      <c r="V21" s="228" t="str">
        <f t="shared" si="4"/>
        <v>--</v>
      </c>
      <c r="W21" s="229" t="str">
        <f t="shared" si="5"/>
        <v>--</v>
      </c>
      <c r="X21" s="230" t="str">
        <f t="shared" si="6"/>
        <v>--</v>
      </c>
      <c r="Y21" s="231" t="str">
        <f t="shared" si="7"/>
        <v>--</v>
      </c>
      <c r="Z21" s="232" t="str">
        <f t="shared" si="8"/>
        <v>--</v>
      </c>
      <c r="AA21" s="233" t="str">
        <f t="shared" si="9"/>
        <v>--</v>
      </c>
      <c r="AB21" s="234" t="str">
        <f t="shared" si="10"/>
        <v>--</v>
      </c>
      <c r="AC21" s="422" t="s">
        <v>78</v>
      </c>
      <c r="AD21" s="235">
        <v>0</v>
      </c>
      <c r="AE21" s="157"/>
    </row>
    <row r="22" spans="2:31" s="1" customFormat="1" ht="16.5" customHeight="1">
      <c r="B22" s="156"/>
      <c r="C22" s="207"/>
      <c r="D22" s="207"/>
      <c r="E22" s="207"/>
      <c r="F22" s="75"/>
      <c r="G22" s="77"/>
      <c r="H22" s="220"/>
      <c r="I22" s="405"/>
      <c r="J22" s="221"/>
      <c r="K22" s="222">
        <f>H22*I22</f>
        <v>0</v>
      </c>
      <c r="L22" s="424"/>
      <c r="M22" s="424"/>
      <c r="N22" s="223">
        <f t="shared" si="0"/>
      </c>
      <c r="O22" s="224">
        <f t="shared" si="1"/>
      </c>
      <c r="P22" s="225"/>
      <c r="Q22" s="422">
        <f aca="true" t="shared" si="12" ref="Q22:Q41">IF(F22="","",IF(OR(P22="P",P22="RP"),"--","NO"))</f>
      </c>
      <c r="R22" s="423">
        <f aca="true" t="shared" si="13" ref="R22:R41">IF(F22="","","--")</f>
      </c>
      <c r="S22" s="416">
        <f aca="true" t="shared" si="14" ref="S22:S41">IF(F22="","","NO")</f>
      </c>
      <c r="T22" s="103">
        <f t="shared" si="2"/>
        <v>6</v>
      </c>
      <c r="U22" s="227" t="str">
        <f t="shared" si="3"/>
        <v>--</v>
      </c>
      <c r="V22" s="228" t="str">
        <f t="shared" si="4"/>
        <v>--</v>
      </c>
      <c r="W22" s="229" t="str">
        <f t="shared" si="5"/>
        <v>--</v>
      </c>
      <c r="X22" s="230" t="str">
        <f t="shared" si="6"/>
        <v>--</v>
      </c>
      <c r="Y22" s="231" t="str">
        <f t="shared" si="7"/>
        <v>--</v>
      </c>
      <c r="Z22" s="232" t="str">
        <f t="shared" si="8"/>
        <v>--</v>
      </c>
      <c r="AA22" s="233" t="str">
        <f t="shared" si="9"/>
        <v>--</v>
      </c>
      <c r="AB22" s="234" t="str">
        <f t="shared" si="10"/>
        <v>--</v>
      </c>
      <c r="AC22" s="422">
        <f aca="true" t="shared" si="15" ref="AC22:AC41">IF(F22="","","SI")</f>
      </c>
      <c r="AD22" s="235">
        <f t="shared" si="11"/>
      </c>
      <c r="AE22" s="157"/>
    </row>
    <row r="23" spans="2:31" s="1" customFormat="1" ht="16.5" customHeight="1">
      <c r="B23" s="156"/>
      <c r="C23" s="207"/>
      <c r="D23" s="207"/>
      <c r="E23" s="207"/>
      <c r="F23" s="75"/>
      <c r="G23" s="77"/>
      <c r="H23" s="220"/>
      <c r="I23" s="405"/>
      <c r="J23" s="221"/>
      <c r="K23" s="222">
        <f>H23*I23</f>
        <v>0</v>
      </c>
      <c r="L23" s="424"/>
      <c r="M23" s="424"/>
      <c r="N23" s="223">
        <f t="shared" si="0"/>
      </c>
      <c r="O23" s="224">
        <f t="shared" si="1"/>
      </c>
      <c r="P23" s="225"/>
      <c r="Q23" s="422">
        <f t="shared" si="12"/>
      </c>
      <c r="R23" s="423">
        <f t="shared" si="13"/>
      </c>
      <c r="S23" s="416">
        <f t="shared" si="14"/>
      </c>
      <c r="T23" s="103">
        <f t="shared" si="2"/>
        <v>6</v>
      </c>
      <c r="U23" s="227" t="str">
        <f t="shared" si="3"/>
        <v>--</v>
      </c>
      <c r="V23" s="228" t="str">
        <f t="shared" si="4"/>
        <v>--</v>
      </c>
      <c r="W23" s="229" t="str">
        <f t="shared" si="5"/>
        <v>--</v>
      </c>
      <c r="X23" s="230" t="str">
        <f t="shared" si="6"/>
        <v>--</v>
      </c>
      <c r="Y23" s="231" t="str">
        <f t="shared" si="7"/>
        <v>--</v>
      </c>
      <c r="Z23" s="232" t="str">
        <f t="shared" si="8"/>
        <v>--</v>
      </c>
      <c r="AA23" s="233" t="str">
        <f t="shared" si="9"/>
        <v>--</v>
      </c>
      <c r="AB23" s="234" t="str">
        <f t="shared" si="10"/>
        <v>--</v>
      </c>
      <c r="AC23" s="422">
        <f t="shared" si="15"/>
      </c>
      <c r="AD23" s="235">
        <f t="shared" si="11"/>
      </c>
      <c r="AE23" s="157"/>
    </row>
    <row r="24" spans="2:31" s="1" customFormat="1" ht="16.5" customHeight="1">
      <c r="B24" s="156"/>
      <c r="C24" s="207"/>
      <c r="D24" s="207"/>
      <c r="E24" s="207"/>
      <c r="F24" s="75"/>
      <c r="G24" s="77"/>
      <c r="H24" s="220"/>
      <c r="I24" s="405"/>
      <c r="J24" s="221"/>
      <c r="K24" s="222"/>
      <c r="L24" s="424"/>
      <c r="M24" s="424"/>
      <c r="N24" s="223">
        <f t="shared" si="0"/>
      </c>
      <c r="O24" s="224">
        <f t="shared" si="1"/>
      </c>
      <c r="P24" s="225"/>
      <c r="Q24" s="422">
        <f t="shared" si="12"/>
      </c>
      <c r="R24" s="423">
        <f t="shared" si="13"/>
      </c>
      <c r="S24" s="416">
        <f t="shared" si="14"/>
      </c>
      <c r="T24" s="103">
        <f t="shared" si="2"/>
        <v>6</v>
      </c>
      <c r="U24" s="227" t="str">
        <f t="shared" si="3"/>
        <v>--</v>
      </c>
      <c r="V24" s="228" t="str">
        <f t="shared" si="4"/>
        <v>--</v>
      </c>
      <c r="W24" s="229" t="str">
        <f t="shared" si="5"/>
        <v>--</v>
      </c>
      <c r="X24" s="230" t="str">
        <f t="shared" si="6"/>
        <v>--</v>
      </c>
      <c r="Y24" s="231" t="str">
        <f t="shared" si="7"/>
        <v>--</v>
      </c>
      <c r="Z24" s="232" t="str">
        <f t="shared" si="8"/>
        <v>--</v>
      </c>
      <c r="AA24" s="233" t="str">
        <f t="shared" si="9"/>
        <v>--</v>
      </c>
      <c r="AB24" s="234" t="str">
        <f t="shared" si="10"/>
        <v>--</v>
      </c>
      <c r="AC24" s="422">
        <f t="shared" si="15"/>
      </c>
      <c r="AD24" s="235">
        <f t="shared" si="11"/>
      </c>
      <c r="AE24" s="157"/>
    </row>
    <row r="25" spans="2:31" s="1" customFormat="1" ht="16.5" customHeight="1">
      <c r="B25" s="156"/>
      <c r="C25" s="207"/>
      <c r="D25" s="207"/>
      <c r="E25" s="207"/>
      <c r="F25" s="75"/>
      <c r="G25" s="77"/>
      <c r="H25" s="220"/>
      <c r="I25" s="405"/>
      <c r="J25" s="221"/>
      <c r="K25" s="222"/>
      <c r="L25" s="424"/>
      <c r="M25" s="424"/>
      <c r="N25" s="223">
        <f t="shared" si="0"/>
      </c>
      <c r="O25" s="224">
        <f t="shared" si="1"/>
      </c>
      <c r="P25" s="225"/>
      <c r="Q25" s="422">
        <f t="shared" si="12"/>
      </c>
      <c r="R25" s="423">
        <f t="shared" si="13"/>
      </c>
      <c r="S25" s="416">
        <f t="shared" si="14"/>
      </c>
      <c r="T25" s="103">
        <f t="shared" si="2"/>
        <v>6</v>
      </c>
      <c r="U25" s="227" t="str">
        <f t="shared" si="3"/>
        <v>--</v>
      </c>
      <c r="V25" s="228" t="str">
        <f t="shared" si="4"/>
        <v>--</v>
      </c>
      <c r="W25" s="229" t="str">
        <f t="shared" si="5"/>
        <v>--</v>
      </c>
      <c r="X25" s="230" t="str">
        <f t="shared" si="6"/>
        <v>--</v>
      </c>
      <c r="Y25" s="231" t="str">
        <f t="shared" si="7"/>
        <v>--</v>
      </c>
      <c r="Z25" s="232" t="str">
        <f t="shared" si="8"/>
        <v>--</v>
      </c>
      <c r="AA25" s="233" t="str">
        <f t="shared" si="9"/>
        <v>--</v>
      </c>
      <c r="AB25" s="234" t="str">
        <f t="shared" si="10"/>
        <v>--</v>
      </c>
      <c r="AC25" s="422">
        <f t="shared" si="15"/>
      </c>
      <c r="AD25" s="235">
        <f t="shared" si="11"/>
      </c>
      <c r="AE25" s="157"/>
    </row>
    <row r="26" spans="2:31" s="1" customFormat="1" ht="16.5" customHeight="1">
      <c r="B26" s="156"/>
      <c r="C26" s="207"/>
      <c r="D26" s="207"/>
      <c r="E26" s="207"/>
      <c r="F26" s="75"/>
      <c r="G26" s="77"/>
      <c r="H26" s="220"/>
      <c r="I26" s="405"/>
      <c r="J26" s="221"/>
      <c r="K26" s="222"/>
      <c r="L26" s="424"/>
      <c r="M26" s="424"/>
      <c r="N26" s="223">
        <f t="shared" si="0"/>
      </c>
      <c r="O26" s="224">
        <f t="shared" si="1"/>
      </c>
      <c r="P26" s="225"/>
      <c r="Q26" s="422">
        <f t="shared" si="12"/>
      </c>
      <c r="R26" s="423">
        <f t="shared" si="13"/>
      </c>
      <c r="S26" s="416">
        <f t="shared" si="14"/>
      </c>
      <c r="T26" s="103">
        <f t="shared" si="2"/>
        <v>6</v>
      </c>
      <c r="U26" s="227" t="str">
        <f t="shared" si="3"/>
        <v>--</v>
      </c>
      <c r="V26" s="228" t="str">
        <f t="shared" si="4"/>
        <v>--</v>
      </c>
      <c r="W26" s="229" t="str">
        <f t="shared" si="5"/>
        <v>--</v>
      </c>
      <c r="X26" s="230" t="str">
        <f t="shared" si="6"/>
        <v>--</v>
      </c>
      <c r="Y26" s="231" t="str">
        <f t="shared" si="7"/>
        <v>--</v>
      </c>
      <c r="Z26" s="232" t="str">
        <f t="shared" si="8"/>
        <v>--</v>
      </c>
      <c r="AA26" s="233" t="str">
        <f t="shared" si="9"/>
        <v>--</v>
      </c>
      <c r="AB26" s="234" t="str">
        <f t="shared" si="10"/>
        <v>--</v>
      </c>
      <c r="AC26" s="422">
        <f t="shared" si="15"/>
      </c>
      <c r="AD26" s="235">
        <f t="shared" si="11"/>
      </c>
      <c r="AE26" s="157"/>
    </row>
    <row r="27" spans="2:31" s="1" customFormat="1" ht="16.5" customHeight="1">
      <c r="B27" s="156"/>
      <c r="C27" s="207"/>
      <c r="D27" s="207"/>
      <c r="E27" s="207"/>
      <c r="F27" s="75"/>
      <c r="G27" s="77"/>
      <c r="H27" s="220"/>
      <c r="I27" s="405"/>
      <c r="J27" s="221"/>
      <c r="K27" s="222"/>
      <c r="L27" s="424"/>
      <c r="M27" s="424"/>
      <c r="N27" s="223">
        <f t="shared" si="0"/>
      </c>
      <c r="O27" s="224">
        <f t="shared" si="1"/>
      </c>
      <c r="P27" s="225"/>
      <c r="Q27" s="422">
        <f t="shared" si="12"/>
      </c>
      <c r="R27" s="423">
        <f t="shared" si="13"/>
      </c>
      <c r="S27" s="416">
        <f t="shared" si="14"/>
      </c>
      <c r="T27" s="103">
        <f t="shared" si="2"/>
        <v>6</v>
      </c>
      <c r="U27" s="227" t="str">
        <f t="shared" si="3"/>
        <v>--</v>
      </c>
      <c r="V27" s="228" t="str">
        <f t="shared" si="4"/>
        <v>--</v>
      </c>
      <c r="W27" s="229" t="str">
        <f t="shared" si="5"/>
        <v>--</v>
      </c>
      <c r="X27" s="230" t="str">
        <f t="shared" si="6"/>
        <v>--</v>
      </c>
      <c r="Y27" s="231" t="str">
        <f t="shared" si="7"/>
        <v>--</v>
      </c>
      <c r="Z27" s="232" t="str">
        <f t="shared" si="8"/>
        <v>--</v>
      </c>
      <c r="AA27" s="233" t="str">
        <f t="shared" si="9"/>
        <v>--</v>
      </c>
      <c r="AB27" s="234" t="str">
        <f t="shared" si="10"/>
        <v>--</v>
      </c>
      <c r="AC27" s="422">
        <f t="shared" si="15"/>
      </c>
      <c r="AD27" s="235">
        <f t="shared" si="11"/>
      </c>
      <c r="AE27" s="157"/>
    </row>
    <row r="28" spans="2:31" s="1" customFormat="1" ht="16.5" customHeight="1">
      <c r="B28" s="156"/>
      <c r="C28" s="207"/>
      <c r="D28" s="207"/>
      <c r="E28" s="207"/>
      <c r="F28" s="75"/>
      <c r="G28" s="77"/>
      <c r="H28" s="220"/>
      <c r="I28" s="405"/>
      <c r="J28" s="221"/>
      <c r="K28" s="222">
        <f>H28*I28</f>
        <v>0</v>
      </c>
      <c r="L28" s="424"/>
      <c r="M28" s="424"/>
      <c r="N28" s="223">
        <f t="shared" si="0"/>
      </c>
      <c r="O28" s="224">
        <f t="shared" si="1"/>
      </c>
      <c r="P28" s="225"/>
      <c r="Q28" s="422">
        <f t="shared" si="12"/>
      </c>
      <c r="R28" s="423">
        <f t="shared" si="13"/>
      </c>
      <c r="S28" s="416">
        <f t="shared" si="14"/>
      </c>
      <c r="T28" s="103">
        <f t="shared" si="2"/>
        <v>6</v>
      </c>
      <c r="U28" s="227" t="str">
        <f t="shared" si="3"/>
        <v>--</v>
      </c>
      <c r="V28" s="228" t="str">
        <f t="shared" si="4"/>
        <v>--</v>
      </c>
      <c r="W28" s="229" t="str">
        <f t="shared" si="5"/>
        <v>--</v>
      </c>
      <c r="X28" s="230" t="str">
        <f t="shared" si="6"/>
        <v>--</v>
      </c>
      <c r="Y28" s="231" t="str">
        <f t="shared" si="7"/>
        <v>--</v>
      </c>
      <c r="Z28" s="232" t="str">
        <f t="shared" si="8"/>
        <v>--</v>
      </c>
      <c r="AA28" s="233" t="str">
        <f t="shared" si="9"/>
        <v>--</v>
      </c>
      <c r="AB28" s="234" t="str">
        <f t="shared" si="10"/>
        <v>--</v>
      </c>
      <c r="AC28" s="422">
        <f t="shared" si="15"/>
      </c>
      <c r="AD28" s="235">
        <f t="shared" si="11"/>
      </c>
      <c r="AE28" s="157"/>
    </row>
    <row r="29" spans="2:31" s="1" customFormat="1" ht="16.5" customHeight="1">
      <c r="B29" s="156"/>
      <c r="C29" s="207"/>
      <c r="D29" s="207"/>
      <c r="E29" s="207"/>
      <c r="F29" s="75"/>
      <c r="G29" s="77"/>
      <c r="H29" s="220"/>
      <c r="I29" s="405"/>
      <c r="J29" s="221"/>
      <c r="K29" s="222"/>
      <c r="L29" s="424"/>
      <c r="M29" s="424"/>
      <c r="N29" s="223">
        <f t="shared" si="0"/>
      </c>
      <c r="O29" s="224">
        <f t="shared" si="1"/>
      </c>
      <c r="P29" s="225"/>
      <c r="Q29" s="422">
        <f t="shared" si="12"/>
      </c>
      <c r="R29" s="423">
        <f t="shared" si="13"/>
      </c>
      <c r="S29" s="416">
        <f t="shared" si="14"/>
      </c>
      <c r="T29" s="103">
        <f t="shared" si="2"/>
        <v>6</v>
      </c>
      <c r="U29" s="227" t="str">
        <f t="shared" si="3"/>
        <v>--</v>
      </c>
      <c r="V29" s="228" t="str">
        <f t="shared" si="4"/>
        <v>--</v>
      </c>
      <c r="W29" s="229" t="str">
        <f t="shared" si="5"/>
        <v>--</v>
      </c>
      <c r="X29" s="230" t="str">
        <f t="shared" si="6"/>
        <v>--</v>
      </c>
      <c r="Y29" s="231" t="str">
        <f t="shared" si="7"/>
        <v>--</v>
      </c>
      <c r="Z29" s="232" t="str">
        <f t="shared" si="8"/>
        <v>--</v>
      </c>
      <c r="AA29" s="233" t="str">
        <f t="shared" si="9"/>
        <v>--</v>
      </c>
      <c r="AB29" s="234" t="str">
        <f t="shared" si="10"/>
        <v>--</v>
      </c>
      <c r="AC29" s="422">
        <f t="shared" si="15"/>
      </c>
      <c r="AD29" s="235">
        <f t="shared" si="11"/>
      </c>
      <c r="AE29" s="157"/>
    </row>
    <row r="30" spans="2:31" s="1" customFormat="1" ht="16.5" customHeight="1">
      <c r="B30" s="156"/>
      <c r="C30" s="407"/>
      <c r="D30" s="407"/>
      <c r="E30" s="407"/>
      <c r="F30" s="75"/>
      <c r="G30" s="77"/>
      <c r="H30" s="220"/>
      <c r="I30" s="405"/>
      <c r="J30" s="221"/>
      <c r="K30" s="408"/>
      <c r="L30" s="424"/>
      <c r="M30" s="424"/>
      <c r="N30" s="223">
        <f t="shared" si="0"/>
      </c>
      <c r="O30" s="224">
        <f t="shared" si="1"/>
      </c>
      <c r="P30" s="225"/>
      <c r="Q30" s="422">
        <f t="shared" si="12"/>
      </c>
      <c r="R30" s="423">
        <f t="shared" si="13"/>
      </c>
      <c r="S30" s="416">
        <f t="shared" si="14"/>
      </c>
      <c r="T30" s="103">
        <f t="shared" si="2"/>
        <v>6</v>
      </c>
      <c r="U30" s="227" t="str">
        <f t="shared" si="3"/>
        <v>--</v>
      </c>
      <c r="V30" s="228" t="str">
        <f t="shared" si="4"/>
        <v>--</v>
      </c>
      <c r="W30" s="229" t="str">
        <f t="shared" si="5"/>
        <v>--</v>
      </c>
      <c r="X30" s="230" t="str">
        <f t="shared" si="6"/>
        <v>--</v>
      </c>
      <c r="Y30" s="231" t="str">
        <f t="shared" si="7"/>
        <v>--</v>
      </c>
      <c r="Z30" s="232" t="str">
        <f t="shared" si="8"/>
        <v>--</v>
      </c>
      <c r="AA30" s="233" t="str">
        <f t="shared" si="9"/>
        <v>--</v>
      </c>
      <c r="AB30" s="234" t="str">
        <f t="shared" si="10"/>
        <v>--</v>
      </c>
      <c r="AC30" s="422">
        <f t="shared" si="15"/>
      </c>
      <c r="AD30" s="235">
        <f t="shared" si="11"/>
      </c>
      <c r="AE30" s="157"/>
    </row>
    <row r="31" spans="2:31" s="1" customFormat="1" ht="16.5" customHeight="1">
      <c r="B31" s="156"/>
      <c r="C31" s="407"/>
      <c r="D31" s="407"/>
      <c r="E31" s="407"/>
      <c r="F31" s="75"/>
      <c r="G31" s="77"/>
      <c r="H31" s="220"/>
      <c r="I31" s="405"/>
      <c r="J31" s="221"/>
      <c r="K31" s="408"/>
      <c r="L31" s="424"/>
      <c r="M31" s="424"/>
      <c r="N31" s="223">
        <f t="shared" si="0"/>
      </c>
      <c r="O31" s="224">
        <f t="shared" si="1"/>
      </c>
      <c r="P31" s="225"/>
      <c r="Q31" s="422">
        <f t="shared" si="12"/>
      </c>
      <c r="R31" s="423">
        <f t="shared" si="13"/>
      </c>
      <c r="S31" s="416">
        <f t="shared" si="14"/>
      </c>
      <c r="T31" s="103">
        <f t="shared" si="2"/>
        <v>6</v>
      </c>
      <c r="U31" s="227" t="str">
        <f t="shared" si="3"/>
        <v>--</v>
      </c>
      <c r="V31" s="228" t="str">
        <f t="shared" si="4"/>
        <v>--</v>
      </c>
      <c r="W31" s="229" t="str">
        <f t="shared" si="5"/>
        <v>--</v>
      </c>
      <c r="X31" s="230" t="str">
        <f t="shared" si="6"/>
        <v>--</v>
      </c>
      <c r="Y31" s="231" t="str">
        <f t="shared" si="7"/>
        <v>--</v>
      </c>
      <c r="Z31" s="232" t="str">
        <f t="shared" si="8"/>
        <v>--</v>
      </c>
      <c r="AA31" s="233" t="str">
        <f t="shared" si="9"/>
        <v>--</v>
      </c>
      <c r="AB31" s="234" t="str">
        <f t="shared" si="10"/>
        <v>--</v>
      </c>
      <c r="AC31" s="422">
        <f t="shared" si="15"/>
      </c>
      <c r="AD31" s="235">
        <f t="shared" si="11"/>
      </c>
      <c r="AE31" s="157"/>
    </row>
    <row r="32" spans="2:31" s="1" customFormat="1" ht="16.5" customHeight="1">
      <c r="B32" s="156"/>
      <c r="C32" s="407"/>
      <c r="D32" s="407"/>
      <c r="E32" s="407"/>
      <c r="F32" s="75"/>
      <c r="G32" s="77"/>
      <c r="H32" s="220"/>
      <c r="I32" s="405"/>
      <c r="J32" s="221"/>
      <c r="K32" s="408"/>
      <c r="L32" s="424"/>
      <c r="M32" s="424"/>
      <c r="N32" s="223">
        <f t="shared" si="0"/>
      </c>
      <c r="O32" s="224">
        <f t="shared" si="1"/>
      </c>
      <c r="P32" s="225"/>
      <c r="Q32" s="422">
        <f t="shared" si="12"/>
      </c>
      <c r="R32" s="423">
        <f t="shared" si="13"/>
      </c>
      <c r="S32" s="416">
        <f t="shared" si="14"/>
      </c>
      <c r="T32" s="103">
        <f t="shared" si="2"/>
        <v>6</v>
      </c>
      <c r="U32" s="227" t="str">
        <f t="shared" si="3"/>
        <v>--</v>
      </c>
      <c r="V32" s="228" t="str">
        <f t="shared" si="4"/>
        <v>--</v>
      </c>
      <c r="W32" s="229" t="str">
        <f t="shared" si="5"/>
        <v>--</v>
      </c>
      <c r="X32" s="230" t="str">
        <f t="shared" si="6"/>
        <v>--</v>
      </c>
      <c r="Y32" s="231" t="str">
        <f t="shared" si="7"/>
        <v>--</v>
      </c>
      <c r="Z32" s="232" t="str">
        <f t="shared" si="8"/>
        <v>--</v>
      </c>
      <c r="AA32" s="233" t="str">
        <f t="shared" si="9"/>
        <v>--</v>
      </c>
      <c r="AB32" s="234" t="str">
        <f t="shared" si="10"/>
        <v>--</v>
      </c>
      <c r="AC32" s="422">
        <f t="shared" si="15"/>
      </c>
      <c r="AD32" s="235">
        <f t="shared" si="11"/>
      </c>
      <c r="AE32" s="157"/>
    </row>
    <row r="33" spans="2:31" s="1" customFormat="1" ht="16.5" customHeight="1">
      <c r="B33" s="156"/>
      <c r="C33" s="407"/>
      <c r="D33" s="407"/>
      <c r="E33" s="407"/>
      <c r="F33" s="75"/>
      <c r="G33" s="77"/>
      <c r="H33" s="220"/>
      <c r="I33" s="405"/>
      <c r="J33" s="221"/>
      <c r="K33" s="408"/>
      <c r="L33" s="424"/>
      <c r="M33" s="424"/>
      <c r="N33" s="223">
        <f t="shared" si="0"/>
      </c>
      <c r="O33" s="224">
        <f t="shared" si="1"/>
      </c>
      <c r="P33" s="225"/>
      <c r="Q33" s="422">
        <f t="shared" si="12"/>
      </c>
      <c r="R33" s="423">
        <f t="shared" si="13"/>
      </c>
      <c r="S33" s="416">
        <f t="shared" si="14"/>
      </c>
      <c r="T33" s="103">
        <f t="shared" si="2"/>
        <v>6</v>
      </c>
      <c r="U33" s="227" t="str">
        <f t="shared" si="3"/>
        <v>--</v>
      </c>
      <c r="V33" s="228" t="str">
        <f t="shared" si="4"/>
        <v>--</v>
      </c>
      <c r="W33" s="229" t="str">
        <f t="shared" si="5"/>
        <v>--</v>
      </c>
      <c r="X33" s="230" t="str">
        <f t="shared" si="6"/>
        <v>--</v>
      </c>
      <c r="Y33" s="231" t="str">
        <f t="shared" si="7"/>
        <v>--</v>
      </c>
      <c r="Z33" s="232" t="str">
        <f t="shared" si="8"/>
        <v>--</v>
      </c>
      <c r="AA33" s="233" t="str">
        <f t="shared" si="9"/>
        <v>--</v>
      </c>
      <c r="AB33" s="234" t="str">
        <f t="shared" si="10"/>
        <v>--</v>
      </c>
      <c r="AC33" s="422">
        <f t="shared" si="15"/>
      </c>
      <c r="AD33" s="235">
        <f t="shared" si="11"/>
      </c>
      <c r="AE33" s="157"/>
    </row>
    <row r="34" spans="2:31" s="1" customFormat="1" ht="16.5" customHeight="1">
      <c r="B34" s="156"/>
      <c r="C34" s="407"/>
      <c r="D34" s="407"/>
      <c r="E34" s="407"/>
      <c r="F34" s="75"/>
      <c r="G34" s="77"/>
      <c r="H34" s="220"/>
      <c r="I34" s="405"/>
      <c r="J34" s="221"/>
      <c r="K34" s="408"/>
      <c r="L34" s="424"/>
      <c r="M34" s="424"/>
      <c r="N34" s="223">
        <f t="shared" si="0"/>
      </c>
      <c r="O34" s="224">
        <f t="shared" si="1"/>
      </c>
      <c r="P34" s="225"/>
      <c r="Q34" s="422">
        <f t="shared" si="12"/>
      </c>
      <c r="R34" s="423">
        <f t="shared" si="13"/>
      </c>
      <c r="S34" s="416">
        <f t="shared" si="14"/>
      </c>
      <c r="T34" s="103">
        <f t="shared" si="2"/>
        <v>6</v>
      </c>
      <c r="U34" s="227" t="str">
        <f t="shared" si="3"/>
        <v>--</v>
      </c>
      <c r="V34" s="228" t="str">
        <f t="shared" si="4"/>
        <v>--</v>
      </c>
      <c r="W34" s="229" t="str">
        <f t="shared" si="5"/>
        <v>--</v>
      </c>
      <c r="X34" s="230" t="str">
        <f t="shared" si="6"/>
        <v>--</v>
      </c>
      <c r="Y34" s="231" t="str">
        <f t="shared" si="7"/>
        <v>--</v>
      </c>
      <c r="Z34" s="232" t="str">
        <f t="shared" si="8"/>
        <v>--</v>
      </c>
      <c r="AA34" s="233" t="str">
        <f t="shared" si="9"/>
        <v>--</v>
      </c>
      <c r="AB34" s="234" t="str">
        <f t="shared" si="10"/>
        <v>--</v>
      </c>
      <c r="AC34" s="422">
        <f t="shared" si="15"/>
      </c>
      <c r="AD34" s="235">
        <f t="shared" si="11"/>
      </c>
      <c r="AE34" s="157"/>
    </row>
    <row r="35" spans="2:31" s="1" customFormat="1" ht="16.5" customHeight="1">
      <c r="B35" s="156"/>
      <c r="C35" s="407"/>
      <c r="D35" s="407"/>
      <c r="E35" s="407"/>
      <c r="F35" s="75"/>
      <c r="G35" s="77"/>
      <c r="H35" s="220"/>
      <c r="I35" s="405"/>
      <c r="J35" s="221"/>
      <c r="K35" s="408"/>
      <c r="L35" s="424"/>
      <c r="M35" s="424"/>
      <c r="N35" s="223">
        <f t="shared" si="0"/>
      </c>
      <c r="O35" s="224">
        <f t="shared" si="1"/>
      </c>
      <c r="P35" s="225"/>
      <c r="Q35" s="422">
        <f t="shared" si="12"/>
      </c>
      <c r="R35" s="423">
        <f t="shared" si="13"/>
      </c>
      <c r="S35" s="416">
        <f t="shared" si="14"/>
      </c>
      <c r="T35" s="103">
        <f t="shared" si="2"/>
        <v>6</v>
      </c>
      <c r="U35" s="227" t="str">
        <f t="shared" si="3"/>
        <v>--</v>
      </c>
      <c r="V35" s="228" t="str">
        <f t="shared" si="4"/>
        <v>--</v>
      </c>
      <c r="W35" s="229" t="str">
        <f t="shared" si="5"/>
        <v>--</v>
      </c>
      <c r="X35" s="230" t="str">
        <f t="shared" si="6"/>
        <v>--</v>
      </c>
      <c r="Y35" s="231" t="str">
        <f t="shared" si="7"/>
        <v>--</v>
      </c>
      <c r="Z35" s="232" t="str">
        <f t="shared" si="8"/>
        <v>--</v>
      </c>
      <c r="AA35" s="233" t="str">
        <f t="shared" si="9"/>
        <v>--</v>
      </c>
      <c r="AB35" s="234" t="str">
        <f t="shared" si="10"/>
        <v>--</v>
      </c>
      <c r="AC35" s="422">
        <f t="shared" si="15"/>
      </c>
      <c r="AD35" s="235">
        <f t="shared" si="11"/>
      </c>
      <c r="AE35" s="157"/>
    </row>
    <row r="36" spans="2:31" s="1" customFormat="1" ht="16.5" customHeight="1">
      <c r="B36" s="156"/>
      <c r="C36" s="407"/>
      <c r="D36" s="407"/>
      <c r="E36" s="407"/>
      <c r="F36" s="75"/>
      <c r="G36" s="77"/>
      <c r="H36" s="220"/>
      <c r="I36" s="405"/>
      <c r="J36" s="221"/>
      <c r="K36" s="408"/>
      <c r="L36" s="424"/>
      <c r="M36" s="424"/>
      <c r="N36" s="223">
        <f t="shared" si="0"/>
      </c>
      <c r="O36" s="224">
        <f t="shared" si="1"/>
      </c>
      <c r="P36" s="225"/>
      <c r="Q36" s="422">
        <f t="shared" si="12"/>
      </c>
      <c r="R36" s="423">
        <f t="shared" si="13"/>
      </c>
      <c r="S36" s="416">
        <f t="shared" si="14"/>
      </c>
      <c r="T36" s="103">
        <f t="shared" si="2"/>
        <v>6</v>
      </c>
      <c r="U36" s="227" t="str">
        <f t="shared" si="3"/>
        <v>--</v>
      </c>
      <c r="V36" s="228" t="str">
        <f t="shared" si="4"/>
        <v>--</v>
      </c>
      <c r="W36" s="229" t="str">
        <f t="shared" si="5"/>
        <v>--</v>
      </c>
      <c r="X36" s="230" t="str">
        <f t="shared" si="6"/>
        <v>--</v>
      </c>
      <c r="Y36" s="231" t="str">
        <f t="shared" si="7"/>
        <v>--</v>
      </c>
      <c r="Z36" s="232" t="str">
        <f t="shared" si="8"/>
        <v>--</v>
      </c>
      <c r="AA36" s="233" t="str">
        <f t="shared" si="9"/>
        <v>--</v>
      </c>
      <c r="AB36" s="234" t="str">
        <f t="shared" si="10"/>
        <v>--</v>
      </c>
      <c r="AC36" s="422">
        <f t="shared" si="15"/>
      </c>
      <c r="AD36" s="235">
        <f t="shared" si="11"/>
      </c>
      <c r="AE36" s="157"/>
    </row>
    <row r="37" spans="2:31" s="1" customFormat="1" ht="16.5" customHeight="1">
      <c r="B37" s="156"/>
      <c r="C37" s="407"/>
      <c r="D37" s="407"/>
      <c r="E37" s="407"/>
      <c r="F37" s="75"/>
      <c r="G37" s="77"/>
      <c r="H37" s="220"/>
      <c r="I37" s="405"/>
      <c r="J37" s="221"/>
      <c r="K37" s="408"/>
      <c r="L37" s="424"/>
      <c r="M37" s="424"/>
      <c r="N37" s="223">
        <f t="shared" si="0"/>
      </c>
      <c r="O37" s="224">
        <f t="shared" si="1"/>
      </c>
      <c r="P37" s="225"/>
      <c r="Q37" s="422">
        <f t="shared" si="12"/>
      </c>
      <c r="R37" s="423">
        <f t="shared" si="13"/>
      </c>
      <c r="S37" s="416">
        <f t="shared" si="14"/>
      </c>
      <c r="T37" s="103">
        <f t="shared" si="2"/>
        <v>6</v>
      </c>
      <c r="U37" s="227" t="str">
        <f t="shared" si="3"/>
        <v>--</v>
      </c>
      <c r="V37" s="228" t="str">
        <f t="shared" si="4"/>
        <v>--</v>
      </c>
      <c r="W37" s="229" t="str">
        <f t="shared" si="5"/>
        <v>--</v>
      </c>
      <c r="X37" s="230" t="str">
        <f t="shared" si="6"/>
        <v>--</v>
      </c>
      <c r="Y37" s="231" t="str">
        <f t="shared" si="7"/>
        <v>--</v>
      </c>
      <c r="Z37" s="232" t="str">
        <f t="shared" si="8"/>
        <v>--</v>
      </c>
      <c r="AA37" s="233" t="str">
        <f t="shared" si="9"/>
        <v>--</v>
      </c>
      <c r="AB37" s="234" t="str">
        <f t="shared" si="10"/>
        <v>--</v>
      </c>
      <c r="AC37" s="422">
        <f t="shared" si="15"/>
      </c>
      <c r="AD37" s="235">
        <f t="shared" si="11"/>
      </c>
      <c r="AE37" s="157"/>
    </row>
    <row r="38" spans="2:31" s="1" customFormat="1" ht="16.5" customHeight="1">
      <c r="B38" s="156"/>
      <c r="C38" s="407"/>
      <c r="D38" s="407"/>
      <c r="E38" s="407"/>
      <c r="F38" s="75"/>
      <c r="G38" s="77"/>
      <c r="H38" s="220"/>
      <c r="I38" s="405"/>
      <c r="J38" s="221"/>
      <c r="K38" s="408"/>
      <c r="L38" s="424"/>
      <c r="M38" s="424"/>
      <c r="N38" s="223">
        <f t="shared" si="0"/>
      </c>
      <c r="O38" s="224">
        <f t="shared" si="1"/>
      </c>
      <c r="P38" s="225"/>
      <c r="Q38" s="422">
        <f t="shared" si="12"/>
      </c>
      <c r="R38" s="423">
        <f t="shared" si="13"/>
      </c>
      <c r="S38" s="416">
        <f t="shared" si="14"/>
      </c>
      <c r="T38" s="103">
        <f t="shared" si="2"/>
        <v>6</v>
      </c>
      <c r="U38" s="227" t="str">
        <f t="shared" si="3"/>
        <v>--</v>
      </c>
      <c r="V38" s="228" t="str">
        <f t="shared" si="4"/>
        <v>--</v>
      </c>
      <c r="W38" s="229" t="str">
        <f t="shared" si="5"/>
        <v>--</v>
      </c>
      <c r="X38" s="230" t="str">
        <f t="shared" si="6"/>
        <v>--</v>
      </c>
      <c r="Y38" s="231" t="str">
        <f t="shared" si="7"/>
        <v>--</v>
      </c>
      <c r="Z38" s="232" t="str">
        <f t="shared" si="8"/>
        <v>--</v>
      </c>
      <c r="AA38" s="233" t="str">
        <f t="shared" si="9"/>
        <v>--</v>
      </c>
      <c r="AB38" s="234" t="str">
        <f t="shared" si="10"/>
        <v>--</v>
      </c>
      <c r="AC38" s="422">
        <f t="shared" si="15"/>
      </c>
      <c r="AD38" s="235">
        <f t="shared" si="11"/>
      </c>
      <c r="AE38" s="157"/>
    </row>
    <row r="39" spans="2:31" s="1" customFormat="1" ht="16.5" customHeight="1">
      <c r="B39" s="156"/>
      <c r="C39" s="407"/>
      <c r="D39" s="407"/>
      <c r="E39" s="407"/>
      <c r="F39" s="75"/>
      <c r="G39" s="77"/>
      <c r="H39" s="220"/>
      <c r="I39" s="405"/>
      <c r="J39" s="221"/>
      <c r="K39" s="408"/>
      <c r="L39" s="424"/>
      <c r="M39" s="424"/>
      <c r="N39" s="223">
        <f t="shared" si="0"/>
      </c>
      <c r="O39" s="224">
        <f t="shared" si="1"/>
      </c>
      <c r="P39" s="225"/>
      <c r="Q39" s="422">
        <f t="shared" si="12"/>
      </c>
      <c r="R39" s="423">
        <f t="shared" si="13"/>
      </c>
      <c r="S39" s="416">
        <f t="shared" si="14"/>
      </c>
      <c r="T39" s="103">
        <f t="shared" si="2"/>
        <v>6</v>
      </c>
      <c r="U39" s="227" t="str">
        <f t="shared" si="3"/>
        <v>--</v>
      </c>
      <c r="V39" s="228" t="str">
        <f t="shared" si="4"/>
        <v>--</v>
      </c>
      <c r="W39" s="229" t="str">
        <f t="shared" si="5"/>
        <v>--</v>
      </c>
      <c r="X39" s="230" t="str">
        <f t="shared" si="6"/>
        <v>--</v>
      </c>
      <c r="Y39" s="231" t="str">
        <f t="shared" si="7"/>
        <v>--</v>
      </c>
      <c r="Z39" s="232" t="str">
        <f t="shared" si="8"/>
        <v>--</v>
      </c>
      <c r="AA39" s="233" t="str">
        <f t="shared" si="9"/>
        <v>--</v>
      </c>
      <c r="AB39" s="234" t="str">
        <f t="shared" si="10"/>
        <v>--</v>
      </c>
      <c r="AC39" s="422">
        <f t="shared" si="15"/>
      </c>
      <c r="AD39" s="235">
        <f t="shared" si="11"/>
      </c>
      <c r="AE39" s="157"/>
    </row>
    <row r="40" spans="2:31" s="1" customFormat="1" ht="16.5" customHeight="1">
      <c r="B40" s="156"/>
      <c r="C40" s="407"/>
      <c r="D40" s="407"/>
      <c r="E40" s="407"/>
      <c r="F40" s="75"/>
      <c r="G40" s="77"/>
      <c r="H40" s="220"/>
      <c r="I40" s="405"/>
      <c r="J40" s="221"/>
      <c r="K40" s="408"/>
      <c r="L40" s="424"/>
      <c r="M40" s="424"/>
      <c r="N40" s="223">
        <f t="shared" si="0"/>
      </c>
      <c r="O40" s="224">
        <f t="shared" si="1"/>
      </c>
      <c r="P40" s="225"/>
      <c r="Q40" s="422">
        <f t="shared" si="12"/>
      </c>
      <c r="R40" s="423">
        <f t="shared" si="13"/>
      </c>
      <c r="S40" s="416">
        <f t="shared" si="14"/>
      </c>
      <c r="T40" s="103">
        <f t="shared" si="2"/>
        <v>6</v>
      </c>
      <c r="U40" s="227" t="str">
        <f t="shared" si="3"/>
        <v>--</v>
      </c>
      <c r="V40" s="228" t="str">
        <f t="shared" si="4"/>
        <v>--</v>
      </c>
      <c r="W40" s="229" t="str">
        <f t="shared" si="5"/>
        <v>--</v>
      </c>
      <c r="X40" s="230" t="str">
        <f t="shared" si="6"/>
        <v>--</v>
      </c>
      <c r="Y40" s="231" t="str">
        <f t="shared" si="7"/>
        <v>--</v>
      </c>
      <c r="Z40" s="232" t="str">
        <f t="shared" si="8"/>
        <v>--</v>
      </c>
      <c r="AA40" s="233" t="str">
        <f t="shared" si="9"/>
        <v>--</v>
      </c>
      <c r="AB40" s="234" t="str">
        <f t="shared" si="10"/>
        <v>--</v>
      </c>
      <c r="AC40" s="422">
        <f t="shared" si="15"/>
      </c>
      <c r="AD40" s="235">
        <f t="shared" si="11"/>
      </c>
      <c r="AE40" s="157"/>
    </row>
    <row r="41" spans="2:31" s="1" customFormat="1" ht="16.5" customHeight="1">
      <c r="B41" s="156"/>
      <c r="C41" s="407"/>
      <c r="D41" s="407"/>
      <c r="E41" s="407"/>
      <c r="F41" s="75"/>
      <c r="G41" s="77"/>
      <c r="H41" s="220"/>
      <c r="I41" s="405"/>
      <c r="J41" s="221"/>
      <c r="K41" s="408"/>
      <c r="L41" s="424"/>
      <c r="M41" s="424"/>
      <c r="N41" s="223">
        <f t="shared" si="0"/>
      </c>
      <c r="O41" s="224">
        <f t="shared" si="1"/>
      </c>
      <c r="P41" s="225"/>
      <c r="Q41" s="422">
        <f t="shared" si="12"/>
      </c>
      <c r="R41" s="423">
        <f t="shared" si="13"/>
      </c>
      <c r="S41" s="416">
        <f t="shared" si="14"/>
      </c>
      <c r="T41" s="103">
        <f t="shared" si="2"/>
        <v>6</v>
      </c>
      <c r="U41" s="227" t="str">
        <f t="shared" si="3"/>
        <v>--</v>
      </c>
      <c r="V41" s="228" t="str">
        <f t="shared" si="4"/>
        <v>--</v>
      </c>
      <c r="W41" s="229" t="str">
        <f t="shared" si="5"/>
        <v>--</v>
      </c>
      <c r="X41" s="230" t="str">
        <f t="shared" si="6"/>
        <v>--</v>
      </c>
      <c r="Y41" s="231" t="str">
        <f t="shared" si="7"/>
        <v>--</v>
      </c>
      <c r="Z41" s="232" t="str">
        <f t="shared" si="8"/>
        <v>--</v>
      </c>
      <c r="AA41" s="233" t="str">
        <f t="shared" si="9"/>
        <v>--</v>
      </c>
      <c r="AB41" s="234" t="str">
        <f t="shared" si="10"/>
        <v>--</v>
      </c>
      <c r="AC41" s="422">
        <f t="shared" si="15"/>
      </c>
      <c r="AD41" s="235">
        <f t="shared" si="11"/>
      </c>
      <c r="AE41" s="157"/>
    </row>
    <row r="42" spans="2:31" s="1" customFormat="1" ht="16.5" customHeight="1" thickBot="1">
      <c r="B42" s="156"/>
      <c r="C42" s="314"/>
      <c r="D42" s="314"/>
      <c r="E42" s="314"/>
      <c r="F42" s="314"/>
      <c r="G42" s="314"/>
      <c r="H42" s="314"/>
      <c r="I42" s="314"/>
      <c r="J42" s="314"/>
      <c r="K42" s="238"/>
      <c r="L42" s="400"/>
      <c r="M42" s="400"/>
      <c r="N42" s="237"/>
      <c r="O42" s="237"/>
      <c r="P42" s="314"/>
      <c r="Q42" s="314"/>
      <c r="R42" s="314"/>
      <c r="S42" s="314"/>
      <c r="T42" s="315"/>
      <c r="U42" s="316"/>
      <c r="V42" s="317"/>
      <c r="W42" s="318"/>
      <c r="X42" s="319"/>
      <c r="Y42" s="320"/>
      <c r="Z42" s="321"/>
      <c r="AA42" s="322"/>
      <c r="AB42" s="323"/>
      <c r="AC42" s="314"/>
      <c r="AD42" s="239"/>
      <c r="AE42" s="157"/>
    </row>
    <row r="43" spans="2:31" s="1" customFormat="1" ht="16.5" customHeight="1" thickBot="1" thickTop="1">
      <c r="B43" s="156"/>
      <c r="C43" s="111" t="s">
        <v>55</v>
      </c>
      <c r="D43" s="127"/>
      <c r="E43" s="127"/>
      <c r="F43" s="11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40">
        <f>SUM(U19:U42)</f>
        <v>21.6854</v>
      </c>
      <c r="V43" s="241">
        <f>SUM(V19:V42)</f>
        <v>0</v>
      </c>
      <c r="W43" s="242">
        <f>SUM(W19:W42)</f>
        <v>0</v>
      </c>
      <c r="X43" s="243">
        <f>SUM(X21:X42)</f>
        <v>0</v>
      </c>
      <c r="Y43" s="244">
        <f>SUM(Y19:Y42)</f>
        <v>0</v>
      </c>
      <c r="Z43" s="244">
        <f>SUM(Z21:Z42)</f>
        <v>0</v>
      </c>
      <c r="AA43" s="245">
        <f>SUM(AA19:AA42)</f>
        <v>0</v>
      </c>
      <c r="AB43" s="246">
        <f>SUM(AB21:AB42)</f>
        <v>0</v>
      </c>
      <c r="AC43" s="247"/>
      <c r="AD43" s="406">
        <f>ROUND(SUM(AD19:AD42),2)</f>
        <v>0</v>
      </c>
      <c r="AE43" s="157"/>
    </row>
    <row r="44" spans="2:31" s="125" customFormat="1" ht="9.75" thickTop="1">
      <c r="B44" s="248"/>
      <c r="C44" s="127" t="s">
        <v>164</v>
      </c>
      <c r="D44" s="127" t="s">
        <v>163</v>
      </c>
      <c r="E44" s="127"/>
      <c r="F44" s="128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50"/>
      <c r="V44" s="250"/>
      <c r="W44" s="250"/>
      <c r="X44" s="250"/>
      <c r="Y44" s="250"/>
      <c r="Z44" s="250"/>
      <c r="AA44" s="250"/>
      <c r="AB44" s="250"/>
      <c r="AC44" s="249"/>
      <c r="AD44" s="251"/>
      <c r="AE44" s="252"/>
    </row>
    <row r="45" spans="2:31" s="1" customFormat="1" ht="16.5" customHeight="1" thickBot="1">
      <c r="B45" s="253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5"/>
    </row>
    <row r="46" spans="2:31" ht="16.5" customHeight="1" thickTop="1">
      <c r="B46" s="256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256"/>
      <c r="Z46" s="256"/>
      <c r="AA46" s="256"/>
      <c r="AB46" s="256"/>
      <c r="AC46" s="256"/>
      <c r="AD46" s="256"/>
      <c r="AE46" s="257"/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0" r:id="rId3"/>
  <headerFooter alignWithMargins="0">
    <oddFooter>&amp;L&amp;"Times New Roman,Normal"&amp;5&amp;F  - TRANSPORTE de ENERGÍA ELÉCTRICA - PJL - &amp;P/&amp;N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Gabriela Jaworski</cp:lastModifiedBy>
  <cp:lastPrinted>2015-12-11T16:10:21Z</cp:lastPrinted>
  <dcterms:created xsi:type="dcterms:W3CDTF">1998-09-02T21:36:20Z</dcterms:created>
  <dcterms:modified xsi:type="dcterms:W3CDTF">2015-12-29T14:54:21Z</dcterms:modified>
  <cp:category/>
  <cp:version/>
  <cp:contentType/>
  <cp:contentStatus/>
</cp:coreProperties>
</file>