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0"/>
  </bookViews>
  <sheets>
    <sheet name="TOT-1215" sheetId="1" r:id="rId1"/>
    <sheet name="LI-12 (1)" sheetId="2" r:id="rId2"/>
    <sheet name="LI-EDERSA-12 (1)" sheetId="3" r:id="rId3"/>
    <sheet name="LI-TRANSACUE-12 (1)" sheetId="4" r:id="rId4"/>
    <sheet name="TR-12 (1)" sheetId="5" r:id="rId5"/>
    <sheet name="TR-EDERSA-12 (1)" sheetId="6" r:id="rId6"/>
    <sheet name="SA-EDERSA-12 (1)" sheetId="7" r:id="rId7"/>
    <sheet name="SUP-EDERSA " sheetId="8" r:id="rId8"/>
    <sheet name="SUP-TRANSACUE" sheetId="9" r:id="rId9"/>
    <sheet name="Hoja1" sheetId="10" r:id="rId10"/>
  </sheets>
  <definedNames>
    <definedName name="DD" localSheetId="7">'SUP-EDERSA '!DD</definedName>
    <definedName name="DD" localSheetId="8">'SUP-TRANSACUE'!DD</definedName>
    <definedName name="DD">[0]!DD</definedName>
    <definedName name="DDD" localSheetId="7">'SUP-EDERSA '!DDD</definedName>
    <definedName name="DDD" localSheetId="8">'SUP-TRANSACUE'!DDD</definedName>
    <definedName name="DDD">[0]!DDD</definedName>
    <definedName name="DISTROCUYO" localSheetId="7">'SUP-EDERSA '!DISTROCUYO</definedName>
    <definedName name="DISTROCUYO" localSheetId="8">'SUP-TRANSACUE'!DISTROCUYO</definedName>
    <definedName name="DISTROCUYO">[0]!DISTROCUYO</definedName>
    <definedName name="FER" localSheetId="7">'SUP-EDERSA '!FER</definedName>
    <definedName name="FER" localSheetId="8">'SUP-TRANSACUE'!FER</definedName>
    <definedName name="FER">[0]!FER</definedName>
    <definedName name="INICIO" localSheetId="7">'SUP-EDERSA '!INICIO</definedName>
    <definedName name="INICIO" localSheetId="8">'SUP-TRANSACUE'!INICIO</definedName>
    <definedName name="INICIO">[0]!INICIO</definedName>
    <definedName name="INICIOTI" localSheetId="7">'SUP-EDERSA '!INICIOTI</definedName>
    <definedName name="INICIOTI" localSheetId="8">'SUP-TRANSACUE'!INICIOTI</definedName>
    <definedName name="INICIOTI">[0]!INICIOTI</definedName>
    <definedName name="LINEAS" localSheetId="7">'SUP-EDERSA '!LINEAS</definedName>
    <definedName name="LINEAS" localSheetId="8">'SUP-TRANSACUE'!LINEAS</definedName>
    <definedName name="LINEAS">[0]!LINEAS</definedName>
    <definedName name="LINEASTI" localSheetId="7">'SUP-EDERSA '!LINEASTI</definedName>
    <definedName name="LINEASTI" localSheetId="8">'SUP-TRANSACUE'!LINEASTI</definedName>
    <definedName name="LINEASTI">[0]!LINEASTI</definedName>
    <definedName name="NAME_L" localSheetId="7">'SUP-EDERSA '!NAME_L</definedName>
    <definedName name="NAME_L" localSheetId="8">'SUP-TRANSACUE'!NAME_L</definedName>
    <definedName name="NAME_L">[0]!NAME_L</definedName>
    <definedName name="NAME_L_TI" localSheetId="7">'SUP-EDERSA '!NAME_L_TI</definedName>
    <definedName name="NAME_L_TI" localSheetId="8">'SUP-TRANSACUE'!NAME_L_TI</definedName>
    <definedName name="NAME_L_TI">[0]!NAME_L_TI</definedName>
    <definedName name="TRAN" localSheetId="7">'SUP-EDERSA '!TRAN</definedName>
    <definedName name="TRAN" localSheetId="8">'SUP-TRANSACUE'!TRAN</definedName>
    <definedName name="TRAN">[0]!TRAN</definedName>
    <definedName name="TRANSNOA" localSheetId="7">'SUP-EDERSA '!TRANSNOA</definedName>
    <definedName name="TRANSNOA" localSheetId="8">'SUP-TRANSACUE'!TRANSNOA</definedName>
    <definedName name="TRANSNOA">[0]!TRANSNOA</definedName>
    <definedName name="TRANSPA" localSheetId="7">'SUP-EDERSA '!TRANSPA</definedName>
    <definedName name="TRANSPA" localSheetId="8">'SUP-TRANSACUE'!TRANSPA</definedName>
    <definedName name="TRANSPA">[0]!TRANSPA</definedName>
    <definedName name="x" localSheetId="7">'SUP-EDERSA '!x</definedName>
    <definedName name="x" localSheetId="8">'SUP-TRANSACUE'!x</definedName>
    <definedName name="x">[0]!x</definedName>
    <definedName name="XX" localSheetId="7">'SUP-EDERSA '!XX</definedName>
    <definedName name="XX" localSheetId="8">'SUP-TRANSACUE'!XX</definedName>
    <definedName name="XX">[0]!XX</definedName>
  </definedNames>
  <calcPr fullCalcOnLoad="1"/>
</workbook>
</file>

<file path=xl/comments8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comments9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<sst xmlns="http://schemas.openxmlformats.org/spreadsheetml/2006/main" count="465" uniqueCount="183">
  <si>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</si>
  <si>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</si>
  <si>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</si>
  <si>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</si>
  <si>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</si>
  <si>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</si>
  <si>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</si>
  <si>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</si>
  <si>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</si>
  <si>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</si>
  <si>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</si>
  <si>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</si>
  <si>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</si>
  <si>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</si>
  <si>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</si>
  <si>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</si>
  <si>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</si>
  <si>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</si>
  <si>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</si>
  <si>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</si>
  <si>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</si>
  <si>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</si>
  <si>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</si>
  <si>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</si>
  <si>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</si>
  <si>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1.3.-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</si>
  <si>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</si>
  <si>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</si>
  <si>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</si>
  <si>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</si>
  <si>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</si>
  <si>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</si>
  <si>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</si>
  <si>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</si>
  <si>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2.2.1.-</t>
  </si>
  <si>
    <t>3.-</t>
  </si>
  <si>
    <t>SUPERVISIÓN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</si>
  <si>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</si>
  <si>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</si>
  <si>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</si>
  <si>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</si>
  <si>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</si>
  <si>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</si>
  <si>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</si>
  <si>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</si>
  <si>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</si>
  <si>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</si>
  <si>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</si>
  <si>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</si>
  <si>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</si>
  <si>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</si>
  <si>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</si>
  <si>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</si>
  <si>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</si>
  <si>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</si>
  <si>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</si>
  <si>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</si>
  <si>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</si>
  <si>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</si>
  <si>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</si>
  <si>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</si>
  <si>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</si>
  <si>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</si>
  <si>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</si>
  <si>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</si>
  <si>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</si>
  <si>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</si>
  <si>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</si>
  <si>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</si>
  <si>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</si>
  <si>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</si>
  <si>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</si>
  <si>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</si>
  <si>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</si>
  <si>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</si>
  <si>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</si>
  <si>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</si>
  <si>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</si>
  <si>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</si>
  <si>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</si>
  <si>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</si>
  <si>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</si>
  <si>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</si>
  <si>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</si>
  <si>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</si>
  <si>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</si>
  <si>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</si>
  <si>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</si>
  <si>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</si>
  <si>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</si>
  <si>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</si>
  <si>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</si>
  <si>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</si>
  <si>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</si>
  <si>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</si>
  <si>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</si>
  <si>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</si>
  <si>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</si>
  <si>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</si>
  <si>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</si>
  <si>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</si>
  <si>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</si>
  <si>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</si>
  <si>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</si>
  <si>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</si>
  <si>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</si>
  <si>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</si>
  <si>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</si>
  <si>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</si>
  <si>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</si>
  <si>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</si>
  <si>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</si>
  <si>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</si>
  <si>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</si>
  <si>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</si>
  <si>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</si>
  <si>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</si>
  <si>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</si>
  <si>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</si>
  <si>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</si>
  <si>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</si>
  <si>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E.T. PATAGONIA - P. CASTILLO</t>
  </si>
  <si>
    <t>P. CASTILLO - VALLE HERMOSO</t>
  </si>
  <si>
    <t>VALLE HERMOSO - CERRO NEGRO</t>
  </si>
  <si>
    <t>VALLE HERMOSO</t>
  </si>
  <si>
    <t>CERRO NEGRO</t>
  </si>
  <si>
    <t>PAMPA DEL CASTILLO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</si>
  <si>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</si>
  <si>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</si>
  <si>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</si>
  <si>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Transportista Independiente TRANSACUE S.A.</t>
  </si>
  <si>
    <t>2.2.2.- Transportista Independiente E.D.E.R.S.A.</t>
  </si>
  <si>
    <t>1.4.- Transportista Independiente TRANSACUE S.A.</t>
  </si>
  <si>
    <t>1.2.- Transportista Independiente E.D.E.R.S.A.</t>
  </si>
  <si>
    <t>ID EQUIPO</t>
  </si>
  <si>
    <t>INDISP</t>
  </si>
  <si>
    <t xml:space="preserve">        DE LA ELECTRICIDAD</t>
  </si>
  <si>
    <t xml:space="preserve">           ENTE NACIONAL REGULADOR </t>
  </si>
  <si>
    <t>Desde el 01 al 31 de diciembre de 2015</t>
  </si>
  <si>
    <t>P</t>
  </si>
  <si>
    <t>SI</t>
  </si>
  <si>
    <t>0,000</t>
  </si>
  <si>
    <t>FUTALEUFU - PTO. MADRYN 1</t>
  </si>
  <si>
    <t>FUTALEUFU - PTO. MADRYN 2</t>
  </si>
  <si>
    <t>F</t>
  </si>
  <si>
    <t>S.A. OESTE - S.A. ESTE</t>
  </si>
  <si>
    <t>S.A. ESTE - VIEDMA</t>
  </si>
  <si>
    <t>DIADEMA - PAMPA DEL CASTILLO</t>
  </si>
  <si>
    <t>132/33/13,2</t>
  </si>
  <si>
    <t>RAWSON</t>
  </si>
  <si>
    <t>PLANTA DE ALUMINIO DGPA</t>
  </si>
  <si>
    <t>TRAFO 4</t>
  </si>
  <si>
    <t>13,2/6,6</t>
  </si>
  <si>
    <t>TRAFO 9</t>
  </si>
  <si>
    <t>132/13,2</t>
  </si>
  <si>
    <t>S. ANTONIO OESTE</t>
  </si>
  <si>
    <t>S. GRANDE</t>
  </si>
  <si>
    <t>SALIDA ALIMENT. 1 S. GRANDE</t>
  </si>
  <si>
    <t>P - PROGRAMADA</t>
  </si>
  <si>
    <t>P - PROGRAMADA  ; F - FORZADA</t>
  </si>
  <si>
    <t>3.1.-</t>
  </si>
  <si>
    <t>3.2.-</t>
  </si>
  <si>
    <t>3.1.- SUPERVISIÓN - Transportista Independiente E.D.E.R.S.A.</t>
  </si>
  <si>
    <t>ESQUEL - EL COIHUE</t>
  </si>
  <si>
    <t>Valores remuneratorios  de acuerdo al Acuerdo Instrumental del Acta Acuerdo -  Nota ENRE Nº 119100</t>
  </si>
  <si>
    <t xml:space="preserve"> - </t>
  </si>
  <si>
    <t xml:space="preserve">                   DE LA ELECTRICIDAD</t>
  </si>
  <si>
    <t xml:space="preserve">Salida en 132 kV = </t>
  </si>
  <si>
    <t>RM * =</t>
  </si>
  <si>
    <r>
      <rPr>
        <b/>
        <sz val="11"/>
        <rFont val="Times New Roman"/>
        <family val="1"/>
      </rPr>
      <t>RM *</t>
    </r>
    <r>
      <rPr>
        <sz val="11"/>
        <rFont val="Times New Roman"/>
        <family val="1"/>
      </rPr>
      <t xml:space="preserve"> = VALOR EMPLEADO PARA CALCULAR "</t>
    </r>
    <r>
      <rPr>
        <b/>
        <sz val="11"/>
        <rFont val="Times New Roman"/>
        <family val="1"/>
      </rPr>
      <t>CS</t>
    </r>
    <r>
      <rPr>
        <sz val="11"/>
        <rFont val="Times New Roman"/>
        <family val="1"/>
      </rPr>
      <t>"</t>
    </r>
  </si>
  <si>
    <t>(DTE 1215)</t>
  </si>
  <si>
    <t xml:space="preserve">Salida en 132 kV= </t>
  </si>
  <si>
    <t xml:space="preserve">4 SALIDAS  </t>
  </si>
  <si>
    <t>1 SALIDA</t>
  </si>
  <si>
    <t>2 SALIDAS</t>
  </si>
  <si>
    <t>EL COIHUE</t>
  </si>
  <si>
    <t>3 SALIDAS</t>
  </si>
  <si>
    <t>RM*  =</t>
  </si>
  <si>
    <t>F - FORZADA</t>
  </si>
  <si>
    <t>P - PROGRAMADA  ; F  FORZADA</t>
  </si>
  <si>
    <t>3.2.- SUPERVISIÓN - Transportista Independiente TRANSACUE S.A.</t>
  </si>
  <si>
    <t>TOTAL DE PENALIZACIONES A APLICAR</t>
  </si>
  <si>
    <t>ANEXO VI al Memorándum  D.T.E.E.  N°  379 / 2016              .-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</si>
</sst>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#,##0.0000"/>
    <numFmt numFmtId="175" formatCode="0.00_)"/>
    <numFmt numFmtId="176" formatCode="#,##0.00000"/>
    <numFmt numFmtId="177" formatCode="0.0"/>
    <numFmt numFmtId="178" formatCode="&quot;$&quot;\ #,##0.000;&quot;$&quot;\ \-#,##0.000"/>
    <numFmt numFmtId="179" formatCode="#,##0.0"/>
    <numFmt numFmtId="180" formatCode="0.000"/>
    <numFmt numFmtId="181" formatCode="0.000_)"/>
    <numFmt numFmtId="182" formatCode="#,##0;[Red]#,##0"/>
    <numFmt numFmtId="183" formatCode="#,##0.000000"/>
  </numFmts>
  <fonts count="10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2"/>
    </font>
    <font>
      <b/>
      <sz val="20"/>
      <name val="Times New Roman"/>
      <family val="1"/>
    </font>
    <font>
      <sz val="16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1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MS Sans Serif"/>
      <family val="2"/>
    </font>
    <font>
      <b/>
      <sz val="10"/>
      <color indexed="48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 style="double"/>
      <right/>
      <top/>
      <bottom style="thin"/>
    </border>
    <border>
      <left style="double"/>
      <right style="double"/>
      <top style="double"/>
      <bottom style="thin"/>
    </border>
    <border>
      <left/>
      <right style="double"/>
      <top/>
      <bottom style="thin"/>
    </border>
    <border>
      <left/>
      <right style="thick"/>
      <top style="double"/>
      <bottom/>
    </border>
    <border>
      <left style="double"/>
      <right style="double"/>
      <top style="thin"/>
      <bottom style="thin"/>
    </border>
    <border>
      <left style="thin"/>
      <right style="double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/>
      <top style="double"/>
      <bottom style="thin"/>
    </border>
    <border>
      <left style="double"/>
      <right style="double"/>
      <top/>
      <bottom style="thick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/>
      <top/>
      <bottom style="double"/>
    </border>
    <border>
      <left style="double"/>
      <right style="double"/>
      <top style="thin"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7" fillId="21" borderId="1" applyNumberFormat="0" applyAlignment="0" applyProtection="0"/>
    <xf numFmtId="0" fontId="88" fillId="22" borderId="2" applyNumberFormat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92" fillId="29" borderId="1" applyNumberFormat="0" applyAlignment="0" applyProtection="0"/>
    <xf numFmtId="0" fontId="9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5" fillId="21" borderId="6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91" fillId="0" borderId="8" applyNumberFormat="0" applyFill="0" applyAlignment="0" applyProtection="0"/>
    <xf numFmtId="0" fontId="100" fillId="0" borderId="9" applyNumberFormat="0" applyFill="0" applyAlignment="0" applyProtection="0"/>
  </cellStyleXfs>
  <cellXfs count="7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179" fontId="7" fillId="0" borderId="12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Border="1" applyAlignment="1" applyProtection="1">
      <alignment horizontal="center"/>
      <protection/>
    </xf>
    <xf numFmtId="1" fontId="5" fillId="0" borderId="12" xfId="0" applyNumberFormat="1" applyFont="1" applyBorder="1" applyAlignment="1" applyProtection="1">
      <alignment horizontal="center"/>
      <protection/>
    </xf>
    <xf numFmtId="175" fontId="5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75" fontId="5" fillId="0" borderId="12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175" fontId="5" fillId="0" borderId="16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1" fillId="0" borderId="14" xfId="0" applyFont="1" applyFill="1" applyBorder="1" applyAlignment="1" applyProtection="1">
      <alignment horizontal="center"/>
      <protection/>
    </xf>
    <xf numFmtId="22" fontId="5" fillId="0" borderId="18" xfId="0" applyNumberFormat="1" applyFont="1" applyFill="1" applyBorder="1" applyAlignment="1">
      <alignment horizontal="center"/>
    </xf>
    <xf numFmtId="22" fontId="5" fillId="0" borderId="19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14" fillId="0" borderId="0" xfId="0" applyFont="1" applyBorder="1" applyAlignment="1">
      <alignment/>
    </xf>
    <xf numFmtId="7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5" fillId="0" borderId="27" xfId="0" applyNumberFormat="1" applyFont="1" applyBorder="1" applyAlignment="1">
      <alignment horizontal="center"/>
    </xf>
    <xf numFmtId="175" fontId="5" fillId="0" borderId="0" xfId="0" applyNumberFormat="1" applyFont="1" applyBorder="1" applyAlignment="1" applyProtection="1">
      <alignment horizontal="center"/>
      <protection/>
    </xf>
    <xf numFmtId="175" fontId="5" fillId="0" borderId="0" xfId="0" applyNumberFormat="1" applyFont="1" applyBorder="1" applyAlignment="1" applyProtection="1" quotePrefix="1">
      <alignment horizontal="center"/>
      <protection/>
    </xf>
    <xf numFmtId="4" fontId="7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8" fillId="0" borderId="15" xfId="0" applyFont="1" applyFill="1" applyBorder="1" applyAlignment="1">
      <alignment/>
    </xf>
    <xf numFmtId="175" fontId="8" fillId="0" borderId="16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 applyProtection="1" quotePrefix="1">
      <alignment horizontal="center"/>
      <protection/>
    </xf>
    <xf numFmtId="175" fontId="8" fillId="0" borderId="12" xfId="0" applyNumberFormat="1" applyFont="1" applyFill="1" applyBorder="1" applyAlignment="1">
      <alignment horizontal="right"/>
    </xf>
    <xf numFmtId="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Alignment="1">
      <alignment horizontal="centerContinuous"/>
    </xf>
    <xf numFmtId="0" fontId="13" fillId="0" borderId="0" xfId="0" applyFont="1" applyBorder="1" applyAlignment="1" applyProtection="1">
      <alignment horizontal="centerContinuous"/>
      <protection/>
    </xf>
    <xf numFmtId="0" fontId="13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8" xfId="0" applyFont="1" applyBorder="1" applyAlignment="1">
      <alignment horizontal="center" vertical="center"/>
    </xf>
    <xf numFmtId="0" fontId="25" fillId="0" borderId="28" xfId="0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30" xfId="0" applyFont="1" applyBorder="1" applyAlignment="1" applyProtection="1">
      <alignment horizontal="center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1" xfId="0" applyFont="1" applyBorder="1" applyAlignment="1">
      <alignment horizontal="centerContinuous"/>
    </xf>
    <xf numFmtId="0" fontId="1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1" fillId="0" borderId="0" xfId="0" applyFont="1" applyAlignment="1">
      <alignment horizontal="centerContinuous"/>
    </xf>
    <xf numFmtId="0" fontId="28" fillId="0" borderId="0" xfId="0" applyFont="1" applyFill="1" applyBorder="1" applyAlignment="1" applyProtection="1">
      <alignment horizontal="centerContinuous"/>
      <protection/>
    </xf>
    <xf numFmtId="0" fontId="29" fillId="0" borderId="0" xfId="0" applyNumberFormat="1" applyFont="1" applyAlignment="1">
      <alignment horizontal="left"/>
    </xf>
    <xf numFmtId="0" fontId="29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3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5" fillId="0" borderId="10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7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7" fontId="6" fillId="0" borderId="31" xfId="0" applyNumberFormat="1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75" fontId="18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Continuous"/>
    </xf>
    <xf numFmtId="0" fontId="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Continuous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172" fontId="5" fillId="0" borderId="0" xfId="0" applyNumberFormat="1" applyFont="1" applyFill="1" applyBorder="1" applyAlignment="1" applyProtection="1">
      <alignment/>
      <protection/>
    </xf>
    <xf numFmtId="22" fontId="5" fillId="0" borderId="0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2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172" fontId="1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72" fontId="0" fillId="0" borderId="28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 applyProtection="1" quotePrefix="1">
      <alignment horizontal="center" vertical="center" wrapText="1"/>
      <protection/>
    </xf>
    <xf numFmtId="0" fontId="25" fillId="0" borderId="28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 applyProtection="1" quotePrefix="1">
      <alignment horizontal="center" vertical="center"/>
      <protection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/>
      <protection/>
    </xf>
    <xf numFmtId="0" fontId="25" fillId="0" borderId="2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10" fillId="0" borderId="0" xfId="0" applyFont="1" applyFill="1" applyAlignment="1">
      <alignment/>
    </xf>
    <xf numFmtId="22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0" fillId="0" borderId="30" xfId="0" applyFont="1" applyBorder="1" applyAlignment="1" applyProtection="1">
      <alignment horizontal="left"/>
      <protection/>
    </xf>
    <xf numFmtId="0" fontId="0" fillId="0" borderId="30" xfId="0" applyFont="1" applyBorder="1" applyAlignment="1">
      <alignment/>
    </xf>
    <xf numFmtId="178" fontId="23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5" fillId="0" borderId="31" xfId="0" applyFont="1" applyFill="1" applyBorder="1" applyAlignment="1" applyProtection="1">
      <alignment horizontal="center" vertical="center"/>
      <protection/>
    </xf>
    <xf numFmtId="175" fontId="8" fillId="0" borderId="12" xfId="0" applyNumberFormat="1" applyFont="1" applyFill="1" applyBorder="1" applyAlignment="1">
      <alignment horizontal="center"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24" fillId="0" borderId="31" xfId="0" applyFont="1" applyBorder="1" applyAlignment="1" applyProtection="1">
      <alignment horizontal="centerContinuous"/>
      <protection/>
    </xf>
    <xf numFmtId="174" fontId="0" fillId="0" borderId="31" xfId="0" applyNumberFormat="1" applyFont="1" applyBorder="1" applyAlignment="1">
      <alignment horizontal="centerContinuous"/>
    </xf>
    <xf numFmtId="0" fontId="38" fillId="0" borderId="32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75" fontId="38" fillId="0" borderId="0" xfId="0" applyNumberFormat="1" applyFont="1" applyBorder="1" applyAlignment="1" applyProtection="1">
      <alignment horizontal="center"/>
      <protection/>
    </xf>
    <xf numFmtId="175" fontId="38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75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9" fillId="0" borderId="28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7" fontId="38" fillId="0" borderId="0" xfId="0" applyNumberFormat="1" applyFont="1" applyFill="1" applyBorder="1" applyAlignment="1">
      <alignment horizontal="center"/>
    </xf>
    <xf numFmtId="7" fontId="44" fillId="0" borderId="0" xfId="0" applyNumberFormat="1" applyFont="1" applyFill="1" applyBorder="1" applyAlignment="1">
      <alignment horizontal="right"/>
    </xf>
    <xf numFmtId="0" fontId="38" fillId="0" borderId="11" xfId="0" applyFont="1" applyFill="1" applyBorder="1" applyAlignment="1">
      <alignment/>
    </xf>
    <xf numFmtId="0" fontId="45" fillId="33" borderId="28" xfId="0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75" fontId="47" fillId="33" borderId="12" xfId="0" applyNumberFormat="1" applyFont="1" applyFill="1" applyBorder="1" applyAlignment="1" applyProtection="1">
      <alignment horizontal="center"/>
      <protection/>
    </xf>
    <xf numFmtId="175" fontId="47" fillId="33" borderId="13" xfId="0" applyNumberFormat="1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178" fontId="47" fillId="33" borderId="12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52" fillId="34" borderId="28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52" fillId="35" borderId="28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/>
    </xf>
    <xf numFmtId="0" fontId="53" fillId="35" borderId="12" xfId="0" applyFont="1" applyFill="1" applyBorder="1" applyAlignment="1">
      <alignment/>
    </xf>
    <xf numFmtId="0" fontId="26" fillId="36" borderId="28" xfId="0" applyFont="1" applyFill="1" applyBorder="1" applyAlignment="1" applyProtection="1">
      <alignment horizontal="centerContinuous" vertical="center" wrapText="1"/>
      <protection/>
    </xf>
    <xf numFmtId="0" fontId="23" fillId="36" borderId="29" xfId="0" applyFont="1" applyFill="1" applyBorder="1" applyAlignment="1">
      <alignment horizontal="centerContinuous"/>
    </xf>
    <xf numFmtId="0" fontId="26" fillId="36" borderId="31" xfId="0" applyFont="1" applyFill="1" applyBorder="1" applyAlignment="1">
      <alignment horizontal="centerContinuous" vertical="center"/>
    </xf>
    <xf numFmtId="0" fontId="55" fillId="36" borderId="34" xfId="0" applyFont="1" applyFill="1" applyBorder="1" applyAlignment="1">
      <alignment horizontal="center"/>
    </xf>
    <xf numFmtId="0" fontId="55" fillId="36" borderId="35" xfId="0" applyFont="1" applyFill="1" applyBorder="1" applyAlignment="1">
      <alignment/>
    </xf>
    <xf numFmtId="0" fontId="55" fillId="36" borderId="36" xfId="0" applyFont="1" applyFill="1" applyBorder="1" applyAlignment="1">
      <alignment/>
    </xf>
    <xf numFmtId="0" fontId="55" fillId="36" borderId="37" xfId="0" applyFont="1" applyFill="1" applyBorder="1" applyAlignment="1">
      <alignment horizontal="center"/>
    </xf>
    <xf numFmtId="0" fontId="55" fillId="36" borderId="38" xfId="0" applyFont="1" applyFill="1" applyBorder="1" applyAlignment="1">
      <alignment/>
    </xf>
    <xf numFmtId="0" fontId="55" fillId="36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6" fillId="37" borderId="28" xfId="0" applyFont="1" applyFill="1" applyBorder="1" applyAlignment="1" applyProtection="1">
      <alignment horizontal="centerContinuous" vertical="center" wrapText="1"/>
      <protection/>
    </xf>
    <xf numFmtId="0" fontId="23" fillId="37" borderId="29" xfId="0" applyFont="1" applyFill="1" applyBorder="1" applyAlignment="1">
      <alignment horizontal="centerContinuous"/>
    </xf>
    <xf numFmtId="0" fontId="26" fillId="37" borderId="31" xfId="0" applyFont="1" applyFill="1" applyBorder="1" applyAlignment="1">
      <alignment horizontal="centerContinuous" vertical="center"/>
    </xf>
    <xf numFmtId="0" fontId="55" fillId="37" borderId="34" xfId="0" applyFont="1" applyFill="1" applyBorder="1" applyAlignment="1">
      <alignment horizontal="center"/>
    </xf>
    <xf numFmtId="0" fontId="55" fillId="37" borderId="35" xfId="0" applyFont="1" applyFill="1" applyBorder="1" applyAlignment="1">
      <alignment/>
    </xf>
    <xf numFmtId="0" fontId="55" fillId="37" borderId="36" xfId="0" applyFont="1" applyFill="1" applyBorder="1" applyAlignment="1">
      <alignment/>
    </xf>
    <xf numFmtId="0" fontId="55" fillId="37" borderId="37" xfId="0" applyFont="1" applyFill="1" applyBorder="1" applyAlignment="1">
      <alignment horizontal="center"/>
    </xf>
    <xf numFmtId="0" fontId="55" fillId="37" borderId="38" xfId="0" applyFont="1" applyFill="1" applyBorder="1" applyAlignment="1">
      <alignment/>
    </xf>
    <xf numFmtId="0" fontId="55" fillId="37" borderId="16" xfId="0" applyFont="1" applyFill="1" applyBorder="1" applyAlignment="1">
      <alignment/>
    </xf>
    <xf numFmtId="0" fontId="26" fillId="36" borderId="28" xfId="0" applyFont="1" applyFill="1" applyBorder="1" applyAlignment="1">
      <alignment horizontal="center" vertical="center" wrapText="1"/>
    </xf>
    <xf numFmtId="0" fontId="26" fillId="38" borderId="28" xfId="0" applyFont="1" applyFill="1" applyBorder="1" applyAlignment="1">
      <alignment horizontal="center" vertical="center" wrapText="1"/>
    </xf>
    <xf numFmtId="0" fontId="55" fillId="38" borderId="15" xfId="0" applyFont="1" applyFill="1" applyBorder="1" applyAlignment="1">
      <alignment/>
    </xf>
    <xf numFmtId="0" fontId="55" fillId="38" borderId="12" xfId="0" applyFont="1" applyFill="1" applyBorder="1" applyAlignment="1">
      <alignment/>
    </xf>
    <xf numFmtId="0" fontId="52" fillId="39" borderId="28" xfId="0" applyFont="1" applyFill="1" applyBorder="1" applyAlignment="1">
      <alignment horizontal="center" vertical="center" wrapText="1"/>
    </xf>
    <xf numFmtId="0" fontId="53" fillId="39" borderId="15" xfId="0" applyFont="1" applyFill="1" applyBorder="1" applyAlignment="1">
      <alignment/>
    </xf>
    <xf numFmtId="0" fontId="53" fillId="39" borderId="12" xfId="0" applyFont="1" applyFill="1" applyBorder="1" applyAlignment="1">
      <alignment/>
    </xf>
    <xf numFmtId="2" fontId="51" fillId="34" borderId="28" xfId="0" applyNumberFormat="1" applyFont="1" applyFill="1" applyBorder="1" applyAlignment="1">
      <alignment horizontal="center"/>
    </xf>
    <xf numFmtId="2" fontId="51" fillId="35" borderId="28" xfId="0" applyNumberFormat="1" applyFont="1" applyFill="1" applyBorder="1" applyAlignment="1">
      <alignment horizontal="center"/>
    </xf>
    <xf numFmtId="175" fontId="56" fillId="36" borderId="28" xfId="0" applyNumberFormat="1" applyFont="1" applyFill="1" applyBorder="1" applyAlignment="1" applyProtection="1" quotePrefix="1">
      <alignment horizontal="center"/>
      <protection/>
    </xf>
    <xf numFmtId="4" fontId="56" fillId="36" borderId="28" xfId="0" applyNumberFormat="1" applyFont="1" applyFill="1" applyBorder="1" applyAlignment="1">
      <alignment horizontal="center"/>
    </xf>
    <xf numFmtId="175" fontId="56" fillId="37" borderId="28" xfId="0" applyNumberFormat="1" applyFont="1" applyFill="1" applyBorder="1" applyAlignment="1" applyProtection="1" quotePrefix="1">
      <alignment horizontal="center"/>
      <protection/>
    </xf>
    <xf numFmtId="4" fontId="56" fillId="37" borderId="28" xfId="0" applyNumberFormat="1" applyFont="1" applyFill="1" applyBorder="1" applyAlignment="1">
      <alignment horizontal="center"/>
    </xf>
    <xf numFmtId="175" fontId="56" fillId="38" borderId="28" xfId="0" applyNumberFormat="1" applyFont="1" applyFill="1" applyBorder="1" applyAlignment="1" applyProtection="1" quotePrefix="1">
      <alignment horizontal="center"/>
      <protection/>
    </xf>
    <xf numFmtId="4" fontId="51" fillId="39" borderId="28" xfId="0" applyNumberFormat="1" applyFont="1" applyFill="1" applyBorder="1" applyAlignment="1">
      <alignment horizontal="center"/>
    </xf>
    <xf numFmtId="0" fontId="52" fillId="39" borderId="28" xfId="0" applyFont="1" applyFill="1" applyBorder="1" applyAlignment="1" applyProtection="1">
      <alignment horizontal="center" vertical="center"/>
      <protection/>
    </xf>
    <xf numFmtId="0" fontId="51" fillId="39" borderId="15" xfId="0" applyFont="1" applyFill="1" applyBorder="1" applyAlignment="1">
      <alignment/>
    </xf>
    <xf numFmtId="0" fontId="51" fillId="39" borderId="12" xfId="0" applyFont="1" applyFill="1" applyBorder="1" applyAlignment="1">
      <alignment/>
    </xf>
    <xf numFmtId="4" fontId="51" fillId="39" borderId="12" xfId="0" applyNumberFormat="1" applyFont="1" applyFill="1" applyBorder="1" applyAlignment="1" applyProtection="1">
      <alignment horizontal="center"/>
      <protection/>
    </xf>
    <xf numFmtId="0" fontId="51" fillId="39" borderId="13" xfId="0" applyFont="1" applyFill="1" applyBorder="1" applyAlignment="1">
      <alignment/>
    </xf>
    <xf numFmtId="0" fontId="56" fillId="38" borderId="15" xfId="0" applyFont="1" applyFill="1" applyBorder="1" applyAlignment="1">
      <alignment/>
    </xf>
    <xf numFmtId="0" fontId="56" fillId="38" borderId="12" xfId="0" applyFont="1" applyFill="1" applyBorder="1" applyAlignment="1">
      <alignment/>
    </xf>
    <xf numFmtId="2" fontId="56" fillId="38" borderId="12" xfId="0" applyNumberFormat="1" applyFont="1" applyFill="1" applyBorder="1" applyAlignment="1">
      <alignment horizontal="center"/>
    </xf>
    <xf numFmtId="0" fontId="56" fillId="38" borderId="13" xfId="0" applyFont="1" applyFill="1" applyBorder="1" applyAlignment="1">
      <alignment/>
    </xf>
    <xf numFmtId="7" fontId="56" fillId="38" borderId="28" xfId="0" applyNumberFormat="1" applyFont="1" applyFill="1" applyBorder="1" applyAlignment="1">
      <alignment horizontal="center"/>
    </xf>
    <xf numFmtId="0" fontId="26" fillId="40" borderId="28" xfId="0" applyFont="1" applyFill="1" applyBorder="1" applyAlignment="1">
      <alignment horizontal="center" vertical="center" wrapText="1"/>
    </xf>
    <xf numFmtId="0" fontId="56" fillId="40" borderId="15" xfId="0" applyFont="1" applyFill="1" applyBorder="1" applyAlignment="1">
      <alignment/>
    </xf>
    <xf numFmtId="0" fontId="56" fillId="40" borderId="12" xfId="0" applyFont="1" applyFill="1" applyBorder="1" applyAlignment="1">
      <alignment/>
    </xf>
    <xf numFmtId="2" fontId="56" fillId="40" borderId="12" xfId="0" applyNumberFormat="1" applyFont="1" applyFill="1" applyBorder="1" applyAlignment="1">
      <alignment horizontal="center"/>
    </xf>
    <xf numFmtId="0" fontId="56" fillId="40" borderId="13" xfId="0" applyFont="1" applyFill="1" applyBorder="1" applyAlignment="1">
      <alignment/>
    </xf>
    <xf numFmtId="7" fontId="56" fillId="40" borderId="28" xfId="0" applyNumberFormat="1" applyFont="1" applyFill="1" applyBorder="1" applyAlignment="1">
      <alignment horizontal="center"/>
    </xf>
    <xf numFmtId="0" fontId="52" fillId="41" borderId="30" xfId="0" applyFont="1" applyFill="1" applyBorder="1" applyAlignment="1" applyProtection="1">
      <alignment horizontal="centerContinuous" vertical="center" wrapText="1"/>
      <protection/>
    </xf>
    <xf numFmtId="0" fontId="52" fillId="41" borderId="31" xfId="0" applyFont="1" applyFill="1" applyBorder="1" applyAlignment="1">
      <alignment horizontal="centerContinuous" vertical="center"/>
    </xf>
    <xf numFmtId="0" fontId="51" fillId="41" borderId="34" xfId="0" applyFont="1" applyFill="1" applyBorder="1" applyAlignment="1">
      <alignment horizontal="center"/>
    </xf>
    <xf numFmtId="0" fontId="51" fillId="41" borderId="36" xfId="0" applyFont="1" applyFill="1" applyBorder="1" applyAlignment="1">
      <alignment/>
    </xf>
    <xf numFmtId="0" fontId="51" fillId="41" borderId="37" xfId="0" applyFont="1" applyFill="1" applyBorder="1" applyAlignment="1">
      <alignment horizontal="center"/>
    </xf>
    <xf numFmtId="0" fontId="51" fillId="41" borderId="16" xfId="0" applyFont="1" applyFill="1" applyBorder="1" applyAlignment="1">
      <alignment/>
    </xf>
    <xf numFmtId="175" fontId="51" fillId="41" borderId="37" xfId="0" applyNumberFormat="1" applyFont="1" applyFill="1" applyBorder="1" applyAlignment="1" applyProtection="1" quotePrefix="1">
      <alignment horizontal="center"/>
      <protection/>
    </xf>
    <xf numFmtId="175" fontId="51" fillId="41" borderId="19" xfId="0" applyNumberFormat="1" applyFont="1" applyFill="1" applyBorder="1" applyAlignment="1" applyProtection="1" quotePrefix="1">
      <alignment horizontal="center"/>
      <protection/>
    </xf>
    <xf numFmtId="7" fontId="51" fillId="41" borderId="28" xfId="0" applyNumberFormat="1" applyFont="1" applyFill="1" applyBorder="1" applyAlignment="1">
      <alignment horizontal="center"/>
    </xf>
    <xf numFmtId="0" fontId="52" fillId="34" borderId="30" xfId="0" applyFont="1" applyFill="1" applyBorder="1" applyAlignment="1" applyProtection="1">
      <alignment horizontal="centerContinuous" vertical="center" wrapText="1"/>
      <protection/>
    </xf>
    <xf numFmtId="0" fontId="52" fillId="34" borderId="31" xfId="0" applyFont="1" applyFill="1" applyBorder="1" applyAlignment="1">
      <alignment horizontal="centerContinuous" vertical="center"/>
    </xf>
    <xf numFmtId="0" fontId="51" fillId="34" borderId="34" xfId="0" applyFont="1" applyFill="1" applyBorder="1" applyAlignment="1">
      <alignment horizontal="center"/>
    </xf>
    <xf numFmtId="0" fontId="51" fillId="34" borderId="36" xfId="0" applyFont="1" applyFill="1" applyBorder="1" applyAlignment="1">
      <alignment/>
    </xf>
    <xf numFmtId="0" fontId="51" fillId="34" borderId="37" xfId="0" applyFont="1" applyFill="1" applyBorder="1" applyAlignment="1">
      <alignment horizontal="center"/>
    </xf>
    <xf numFmtId="0" fontId="51" fillId="34" borderId="16" xfId="0" applyFont="1" applyFill="1" applyBorder="1" applyAlignment="1">
      <alignment/>
    </xf>
    <xf numFmtId="175" fontId="51" fillId="34" borderId="37" xfId="0" applyNumberFormat="1" applyFont="1" applyFill="1" applyBorder="1" applyAlignment="1" applyProtection="1" quotePrefix="1">
      <alignment horizontal="center"/>
      <protection/>
    </xf>
    <xf numFmtId="175" fontId="51" fillId="34" borderId="19" xfId="0" applyNumberFormat="1" applyFont="1" applyFill="1" applyBorder="1" applyAlignment="1" applyProtection="1" quotePrefix="1">
      <alignment horizontal="center"/>
      <protection/>
    </xf>
    <xf numFmtId="7" fontId="51" fillId="34" borderId="28" xfId="0" applyNumberFormat="1" applyFont="1" applyFill="1" applyBorder="1" applyAlignment="1">
      <alignment horizontal="center"/>
    </xf>
    <xf numFmtId="0" fontId="48" fillId="36" borderId="28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175" fontId="49" fillId="36" borderId="12" xfId="0" applyNumberFormat="1" applyFont="1" applyFill="1" applyBorder="1" applyAlignment="1" applyProtection="1" quotePrefix="1">
      <alignment horizontal="center"/>
      <protection/>
    </xf>
    <xf numFmtId="0" fontId="49" fillId="36" borderId="13" xfId="0" applyFont="1" applyFill="1" applyBorder="1" applyAlignment="1">
      <alignment/>
    </xf>
    <xf numFmtId="7" fontId="49" fillId="36" borderId="28" xfId="0" applyNumberFormat="1" applyFont="1" applyFill="1" applyBorder="1" applyAlignment="1">
      <alignment horizontal="center"/>
    </xf>
    <xf numFmtId="0" fontId="26" fillId="37" borderId="28" xfId="0" applyFont="1" applyFill="1" applyBorder="1" applyAlignment="1">
      <alignment horizontal="center" vertical="center" wrapText="1"/>
    </xf>
    <xf numFmtId="0" fontId="56" fillId="37" borderId="15" xfId="0" applyFont="1" applyFill="1" applyBorder="1" applyAlignment="1">
      <alignment/>
    </xf>
    <xf numFmtId="0" fontId="56" fillId="37" borderId="12" xfId="0" applyFont="1" applyFill="1" applyBorder="1" applyAlignment="1">
      <alignment/>
    </xf>
    <xf numFmtId="175" fontId="56" fillId="37" borderId="12" xfId="0" applyNumberFormat="1" applyFont="1" applyFill="1" applyBorder="1" applyAlignment="1" applyProtection="1" quotePrefix="1">
      <alignment horizontal="center"/>
      <protection/>
    </xf>
    <xf numFmtId="0" fontId="56" fillId="37" borderId="13" xfId="0" applyFont="1" applyFill="1" applyBorder="1" applyAlignment="1">
      <alignment/>
    </xf>
    <xf numFmtId="7" fontId="56" fillId="37" borderId="28" xfId="0" applyNumberFormat="1" applyFont="1" applyFill="1" applyBorder="1" applyAlignment="1">
      <alignment horizontal="center"/>
    </xf>
    <xf numFmtId="0" fontId="51" fillId="41" borderId="39" xfId="0" applyFont="1" applyFill="1" applyBorder="1" applyAlignment="1">
      <alignment/>
    </xf>
    <xf numFmtId="0" fontId="51" fillId="41" borderId="40" xfId="0" applyFont="1" applyFill="1" applyBorder="1" applyAlignment="1">
      <alignment/>
    </xf>
    <xf numFmtId="0" fontId="51" fillId="34" borderId="39" xfId="0" applyFont="1" applyFill="1" applyBorder="1" applyAlignment="1">
      <alignment/>
    </xf>
    <xf numFmtId="0" fontId="51" fillId="34" borderId="40" xfId="0" applyFont="1" applyFill="1" applyBorder="1" applyAlignment="1">
      <alignment/>
    </xf>
    <xf numFmtId="0" fontId="57" fillId="0" borderId="20" xfId="0" applyFont="1" applyBorder="1" applyAlignment="1">
      <alignment/>
    </xf>
    <xf numFmtId="0" fontId="52" fillId="37" borderId="28" xfId="0" applyFont="1" applyFill="1" applyBorder="1" applyAlignment="1" applyProtection="1">
      <alignment horizontal="center" vertical="center"/>
      <protection/>
    </xf>
    <xf numFmtId="172" fontId="51" fillId="37" borderId="12" xfId="0" applyNumberFormat="1" applyFont="1" applyFill="1" applyBorder="1" applyAlignment="1" applyProtection="1">
      <alignment horizontal="center"/>
      <protection/>
    </xf>
    <xf numFmtId="175" fontId="5" fillId="0" borderId="36" xfId="0" applyNumberFormat="1" applyFont="1" applyFill="1" applyBorder="1" applyAlignment="1" applyProtection="1">
      <alignment horizontal="center"/>
      <protection/>
    </xf>
    <xf numFmtId="172" fontId="51" fillId="37" borderId="15" xfId="0" applyNumberFormat="1" applyFont="1" applyFill="1" applyBorder="1" applyAlignment="1" applyProtection="1">
      <alignment horizontal="center"/>
      <protection/>
    </xf>
    <xf numFmtId="175" fontId="8" fillId="0" borderId="15" xfId="0" applyNumberFormat="1" applyFont="1" applyFill="1" applyBorder="1" applyAlignment="1">
      <alignment horizontal="center"/>
    </xf>
    <xf numFmtId="2" fontId="56" fillId="36" borderId="15" xfId="0" applyNumberFormat="1" applyFont="1" applyFill="1" applyBorder="1" applyAlignment="1">
      <alignment horizontal="center"/>
    </xf>
    <xf numFmtId="2" fontId="56" fillId="36" borderId="12" xfId="0" applyNumberFormat="1" applyFont="1" applyFill="1" applyBorder="1" applyAlignment="1">
      <alignment horizontal="center"/>
    </xf>
    <xf numFmtId="175" fontId="51" fillId="34" borderId="34" xfId="0" applyNumberFormat="1" applyFont="1" applyFill="1" applyBorder="1" applyAlignment="1" applyProtection="1" quotePrefix="1">
      <alignment horizontal="center"/>
      <protection/>
    </xf>
    <xf numFmtId="175" fontId="51" fillId="34" borderId="41" xfId="0" applyNumberFormat="1" applyFont="1" applyFill="1" applyBorder="1" applyAlignment="1" applyProtection="1" quotePrefix="1">
      <alignment horizontal="center"/>
      <protection/>
    </xf>
    <xf numFmtId="175" fontId="5" fillId="0" borderId="15" xfId="0" applyNumberFormat="1" applyFont="1" applyFill="1" applyBorder="1" applyAlignment="1" applyProtection="1">
      <alignment horizontal="center"/>
      <protection/>
    </xf>
    <xf numFmtId="0" fontId="52" fillId="39" borderId="28" xfId="0" applyFont="1" applyFill="1" applyBorder="1" applyAlignment="1" applyProtection="1">
      <alignment horizontal="centerContinuous" vertical="center" wrapText="1"/>
      <protection/>
    </xf>
    <xf numFmtId="175" fontId="51" fillId="39" borderId="15" xfId="0" applyNumberFormat="1" applyFont="1" applyFill="1" applyBorder="1" applyAlignment="1" applyProtection="1" quotePrefix="1">
      <alignment horizontal="center"/>
      <protection/>
    </xf>
    <xf numFmtId="175" fontId="51" fillId="39" borderId="12" xfId="0" applyNumberFormat="1" applyFont="1" applyFill="1" applyBorder="1" applyAlignment="1" applyProtection="1" quotePrefix="1">
      <alignment horizontal="center"/>
      <protection/>
    </xf>
    <xf numFmtId="2" fontId="56" fillId="36" borderId="28" xfId="0" applyNumberFormat="1" applyFont="1" applyFill="1" applyBorder="1" applyAlignment="1">
      <alignment horizontal="center"/>
    </xf>
    <xf numFmtId="2" fontId="51" fillId="39" borderId="28" xfId="0" applyNumberFormat="1" applyFont="1" applyFill="1" applyBorder="1" applyAlignment="1">
      <alignment horizontal="center"/>
    </xf>
    <xf numFmtId="0" fontId="58" fillId="33" borderId="15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175" fontId="59" fillId="33" borderId="12" xfId="0" applyNumberFormat="1" applyFont="1" applyFill="1" applyBorder="1" applyAlignment="1" applyProtection="1">
      <alignment horizontal="center"/>
      <protection/>
    </xf>
    <xf numFmtId="175" fontId="59" fillId="33" borderId="13" xfId="0" applyNumberFormat="1" applyFont="1" applyFill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>
      <alignment/>
    </xf>
    <xf numFmtId="0" fontId="57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7" fontId="0" fillId="0" borderId="15" xfId="0" applyNumberFormat="1" applyBorder="1" applyAlignment="1">
      <alignment/>
    </xf>
    <xf numFmtId="0" fontId="60" fillId="0" borderId="0" xfId="0" applyFont="1" applyAlignment="1">
      <alignment horizontal="right" vertical="top"/>
    </xf>
    <xf numFmtId="0" fontId="60" fillId="0" borderId="0" xfId="0" applyFont="1" applyFill="1" applyAlignment="1">
      <alignment horizontal="right" vertical="top"/>
    </xf>
    <xf numFmtId="0" fontId="0" fillId="0" borderId="30" xfId="0" applyFont="1" applyBorder="1" applyAlignment="1" applyProtection="1">
      <alignment horizontal="center" vertical="center"/>
      <protection/>
    </xf>
    <xf numFmtId="180" fontId="0" fillId="0" borderId="30" xfId="0" applyNumberFormat="1" applyFont="1" applyBorder="1" applyAlignment="1">
      <alignment horizontal="centerContinuous" vertical="center"/>
    </xf>
    <xf numFmtId="0" fontId="24" fillId="0" borderId="31" xfId="0" applyFont="1" applyBorder="1" applyAlignment="1" applyProtection="1">
      <alignment horizontal="centerContinuous" vertical="center"/>
      <protection/>
    </xf>
    <xf numFmtId="174" fontId="0" fillId="0" borderId="31" xfId="0" applyNumberFormat="1" applyFont="1" applyBorder="1" applyAlignment="1">
      <alignment horizontal="centerContinuous" vertic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2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 horizontal="center"/>
      <protection locked="0"/>
    </xf>
    <xf numFmtId="2" fontId="5" fillId="0" borderId="45" xfId="0" applyNumberFormat="1" applyFont="1" applyBorder="1" applyAlignment="1" applyProtection="1">
      <alignment horizontal="center"/>
      <protection locked="0"/>
    </xf>
    <xf numFmtId="175" fontId="5" fillId="0" borderId="13" xfId="0" applyNumberFormat="1" applyFont="1" applyBorder="1" applyAlignment="1" applyProtection="1">
      <alignment horizontal="center"/>
      <protection locked="0"/>
    </xf>
    <xf numFmtId="22" fontId="5" fillId="0" borderId="12" xfId="0" applyNumberFormat="1" applyFont="1" applyBorder="1" applyAlignment="1" applyProtection="1">
      <alignment horizontal="center"/>
      <protection locked="0"/>
    </xf>
    <xf numFmtId="175" fontId="5" fillId="0" borderId="12" xfId="0" applyNumberFormat="1" applyFont="1" applyBorder="1" applyAlignment="1" applyProtection="1">
      <alignment horizontal="center"/>
      <protection locked="0"/>
    </xf>
    <xf numFmtId="22" fontId="5" fillId="0" borderId="13" xfId="0" applyNumberFormat="1" applyFont="1" applyBorder="1" applyAlignment="1" applyProtection="1">
      <alignment horizontal="center"/>
      <protection locked="0"/>
    </xf>
    <xf numFmtId="175" fontId="51" fillId="34" borderId="13" xfId="0" applyNumberFormat="1" applyFont="1" applyFill="1" applyBorder="1" applyAlignment="1" applyProtection="1" quotePrefix="1">
      <alignment horizontal="center"/>
      <protection locked="0"/>
    </xf>
    <xf numFmtId="175" fontId="51" fillId="35" borderId="13" xfId="0" applyNumberFormat="1" applyFont="1" applyFill="1" applyBorder="1" applyAlignment="1" applyProtection="1" quotePrefix="1">
      <alignment horizontal="center"/>
      <protection locked="0"/>
    </xf>
    <xf numFmtId="175" fontId="56" fillId="36" borderId="39" xfId="0" applyNumberFormat="1" applyFont="1" applyFill="1" applyBorder="1" applyAlignment="1" applyProtection="1" quotePrefix="1">
      <alignment horizontal="center"/>
      <protection locked="0"/>
    </xf>
    <xf numFmtId="4" fontId="56" fillId="36" borderId="46" xfId="0" applyNumberFormat="1" applyFont="1" applyFill="1" applyBorder="1" applyAlignment="1" applyProtection="1">
      <alignment horizontal="center"/>
      <protection locked="0"/>
    </xf>
    <xf numFmtId="4" fontId="56" fillId="36" borderId="47" xfId="0" applyNumberFormat="1" applyFont="1" applyFill="1" applyBorder="1" applyAlignment="1" applyProtection="1">
      <alignment horizontal="center"/>
      <protection locked="0"/>
    </xf>
    <xf numFmtId="175" fontId="56" fillId="37" borderId="39" xfId="0" applyNumberFormat="1" applyFont="1" applyFill="1" applyBorder="1" applyAlignment="1" applyProtection="1" quotePrefix="1">
      <alignment horizontal="center"/>
      <protection locked="0"/>
    </xf>
    <xf numFmtId="4" fontId="56" fillId="37" borderId="46" xfId="0" applyNumberFormat="1" applyFont="1" applyFill="1" applyBorder="1" applyAlignment="1" applyProtection="1">
      <alignment horizontal="center"/>
      <protection locked="0"/>
    </xf>
    <xf numFmtId="4" fontId="56" fillId="37" borderId="47" xfId="0" applyNumberFormat="1" applyFont="1" applyFill="1" applyBorder="1" applyAlignment="1" applyProtection="1">
      <alignment horizontal="center"/>
      <protection locked="0"/>
    </xf>
    <xf numFmtId="4" fontId="56" fillId="38" borderId="13" xfId="0" applyNumberFormat="1" applyFont="1" applyFill="1" applyBorder="1" applyAlignment="1" applyProtection="1">
      <alignment horizontal="center"/>
      <protection locked="0"/>
    </xf>
    <xf numFmtId="4" fontId="51" fillId="39" borderId="13" xfId="0" applyNumberFormat="1" applyFont="1" applyFill="1" applyBorder="1" applyAlignment="1" applyProtection="1">
      <alignment horizontal="center"/>
      <protection locked="0"/>
    </xf>
    <xf numFmtId="4" fontId="5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3" fillId="34" borderId="12" xfId="0" applyFont="1" applyFill="1" applyBorder="1" applyAlignment="1" applyProtection="1">
      <alignment/>
      <protection locked="0"/>
    </xf>
    <xf numFmtId="0" fontId="53" fillId="35" borderId="12" xfId="0" applyFont="1" applyFill="1" applyBorder="1" applyAlignment="1" applyProtection="1">
      <alignment/>
      <protection locked="0"/>
    </xf>
    <xf numFmtId="0" fontId="55" fillId="36" borderId="37" xfId="0" applyFont="1" applyFill="1" applyBorder="1" applyAlignment="1" applyProtection="1">
      <alignment horizontal="center"/>
      <protection locked="0"/>
    </xf>
    <xf numFmtId="0" fontId="55" fillId="36" borderId="38" xfId="0" applyFont="1" applyFill="1" applyBorder="1" applyAlignment="1" applyProtection="1">
      <alignment/>
      <protection locked="0"/>
    </xf>
    <xf numFmtId="0" fontId="55" fillId="36" borderId="16" xfId="0" applyFont="1" applyFill="1" applyBorder="1" applyAlignment="1" applyProtection="1">
      <alignment/>
      <protection locked="0"/>
    </xf>
    <xf numFmtId="0" fontId="55" fillId="37" borderId="37" xfId="0" applyFont="1" applyFill="1" applyBorder="1" applyAlignment="1" applyProtection="1">
      <alignment horizontal="center"/>
      <protection locked="0"/>
    </xf>
    <xf numFmtId="0" fontId="55" fillId="37" borderId="38" xfId="0" applyFont="1" applyFill="1" applyBorder="1" applyAlignment="1" applyProtection="1">
      <alignment/>
      <protection locked="0"/>
    </xf>
    <xf numFmtId="0" fontId="55" fillId="37" borderId="16" xfId="0" applyFont="1" applyFill="1" applyBorder="1" applyAlignment="1" applyProtection="1">
      <alignment/>
      <protection locked="0"/>
    </xf>
    <xf numFmtId="0" fontId="55" fillId="38" borderId="12" xfId="0" applyFont="1" applyFill="1" applyBorder="1" applyAlignment="1" applyProtection="1">
      <alignment/>
      <protection locked="0"/>
    </xf>
    <xf numFmtId="0" fontId="53" fillId="39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right" vertical="top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11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22" fontId="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6" fillId="38" borderId="28" xfId="0" applyFont="1" applyFill="1" applyBorder="1" applyAlignment="1" applyProtection="1">
      <alignment horizontal="center" vertical="center" wrapText="1"/>
      <protection/>
    </xf>
    <xf numFmtId="0" fontId="26" fillId="40" borderId="28" xfId="0" applyFont="1" applyFill="1" applyBorder="1" applyAlignment="1" applyProtection="1">
      <alignment horizontal="center" vertical="center" wrapText="1"/>
      <protection/>
    </xf>
    <xf numFmtId="0" fontId="52" fillId="41" borderId="31" xfId="0" applyFont="1" applyFill="1" applyBorder="1" applyAlignment="1" applyProtection="1">
      <alignment horizontal="centerContinuous" vertical="center"/>
      <protection/>
    </xf>
    <xf numFmtId="0" fontId="52" fillId="34" borderId="31" xfId="0" applyFont="1" applyFill="1" applyBorder="1" applyAlignment="1" applyProtection="1">
      <alignment horizontal="centerContinuous" vertical="center"/>
      <protection/>
    </xf>
    <xf numFmtId="0" fontId="48" fillId="36" borderId="28" xfId="0" applyFont="1" applyFill="1" applyBorder="1" applyAlignment="1" applyProtection="1">
      <alignment horizontal="center" vertical="center" wrapText="1"/>
      <protection/>
    </xf>
    <xf numFmtId="0" fontId="26" fillId="37" borderId="28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/>
      <protection/>
    </xf>
    <xf numFmtId="0" fontId="51" fillId="39" borderId="15" xfId="0" applyFont="1" applyFill="1" applyBorder="1" applyAlignment="1" applyProtection="1">
      <alignment/>
      <protection/>
    </xf>
    <xf numFmtId="0" fontId="56" fillId="38" borderId="15" xfId="0" applyFont="1" applyFill="1" applyBorder="1" applyAlignment="1" applyProtection="1">
      <alignment/>
      <protection/>
    </xf>
    <xf numFmtId="0" fontId="56" fillId="40" borderId="15" xfId="0" applyFont="1" applyFill="1" applyBorder="1" applyAlignment="1" applyProtection="1">
      <alignment/>
      <protection/>
    </xf>
    <xf numFmtId="0" fontId="51" fillId="41" borderId="34" xfId="0" applyFont="1" applyFill="1" applyBorder="1" applyAlignment="1" applyProtection="1">
      <alignment horizontal="center"/>
      <protection/>
    </xf>
    <xf numFmtId="0" fontId="51" fillId="41" borderId="36" xfId="0" applyFont="1" applyFill="1" applyBorder="1" applyAlignment="1" applyProtection="1">
      <alignment/>
      <protection/>
    </xf>
    <xf numFmtId="0" fontId="51" fillId="34" borderId="34" xfId="0" applyFont="1" applyFill="1" applyBorder="1" applyAlignment="1" applyProtection="1">
      <alignment horizontal="center"/>
      <protection/>
    </xf>
    <xf numFmtId="0" fontId="51" fillId="34" borderId="36" xfId="0" applyFont="1" applyFill="1" applyBorder="1" applyAlignment="1" applyProtection="1">
      <alignment/>
      <protection/>
    </xf>
    <xf numFmtId="0" fontId="49" fillId="36" borderId="15" xfId="0" applyFont="1" applyFill="1" applyBorder="1" applyAlignment="1" applyProtection="1">
      <alignment/>
      <protection/>
    </xf>
    <xf numFmtId="0" fontId="56" fillId="37" borderId="15" xfId="0" applyFont="1" applyFill="1" applyBorder="1" applyAlignment="1" applyProtection="1">
      <alignment/>
      <protection/>
    </xf>
    <xf numFmtId="7" fontId="8" fillId="0" borderId="15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1" fillId="39" borderId="12" xfId="0" applyFont="1" applyFill="1" applyBorder="1" applyAlignment="1" applyProtection="1">
      <alignment/>
      <protection/>
    </xf>
    <xf numFmtId="0" fontId="56" fillId="38" borderId="12" xfId="0" applyFont="1" applyFill="1" applyBorder="1" applyAlignment="1" applyProtection="1">
      <alignment/>
      <protection/>
    </xf>
    <xf numFmtId="0" fontId="56" fillId="40" borderId="12" xfId="0" applyFont="1" applyFill="1" applyBorder="1" applyAlignment="1" applyProtection="1">
      <alignment/>
      <protection/>
    </xf>
    <xf numFmtId="0" fontId="51" fillId="41" borderId="37" xfId="0" applyFont="1" applyFill="1" applyBorder="1" applyAlignment="1" applyProtection="1">
      <alignment horizontal="center"/>
      <protection/>
    </xf>
    <xf numFmtId="0" fontId="51" fillId="41" borderId="16" xfId="0" applyFont="1" applyFill="1" applyBorder="1" applyAlignment="1" applyProtection="1">
      <alignment/>
      <protection/>
    </xf>
    <xf numFmtId="0" fontId="51" fillId="34" borderId="37" xfId="0" applyFont="1" applyFill="1" applyBorder="1" applyAlignment="1" applyProtection="1">
      <alignment horizontal="center"/>
      <protection/>
    </xf>
    <xf numFmtId="0" fontId="51" fillId="34" borderId="16" xfId="0" applyFont="1" applyFill="1" applyBorder="1" applyAlignment="1" applyProtection="1">
      <alignment/>
      <protection/>
    </xf>
    <xf numFmtId="0" fontId="49" fillId="36" borderId="12" xfId="0" applyFont="1" applyFill="1" applyBorder="1" applyAlignment="1" applyProtection="1">
      <alignment/>
      <protection/>
    </xf>
    <xf numFmtId="0" fontId="56" fillId="37" borderId="12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175" fontId="8" fillId="0" borderId="16" xfId="0" applyNumberFormat="1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38" fillId="0" borderId="32" xfId="0" applyFont="1" applyBorder="1" applyAlignment="1" applyProtection="1">
      <alignment horizontal="center"/>
      <protection/>
    </xf>
    <xf numFmtId="7" fontId="56" fillId="38" borderId="28" xfId="0" applyNumberFormat="1" applyFont="1" applyFill="1" applyBorder="1" applyAlignment="1" applyProtection="1">
      <alignment horizontal="center"/>
      <protection/>
    </xf>
    <xf numFmtId="7" fontId="56" fillId="40" borderId="28" xfId="0" applyNumberFormat="1" applyFont="1" applyFill="1" applyBorder="1" applyAlignment="1" applyProtection="1">
      <alignment horizontal="center"/>
      <protection/>
    </xf>
    <xf numFmtId="7" fontId="51" fillId="41" borderId="28" xfId="0" applyNumberFormat="1" applyFont="1" applyFill="1" applyBorder="1" applyAlignment="1" applyProtection="1">
      <alignment horizontal="center"/>
      <protection/>
    </xf>
    <xf numFmtId="7" fontId="51" fillId="34" borderId="28" xfId="0" applyNumberFormat="1" applyFont="1" applyFill="1" applyBorder="1" applyAlignment="1" applyProtection="1">
      <alignment horizontal="center"/>
      <protection/>
    </xf>
    <xf numFmtId="7" fontId="49" fillId="36" borderId="28" xfId="0" applyNumberFormat="1" applyFont="1" applyFill="1" applyBorder="1" applyAlignment="1" applyProtection="1">
      <alignment horizontal="center"/>
      <protection/>
    </xf>
    <xf numFmtId="7" fontId="56" fillId="37" borderId="28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7" fontId="9" fillId="0" borderId="28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Alignment="1" applyProtection="1">
      <alignment/>
      <protection/>
    </xf>
    <xf numFmtId="0" fontId="38" fillId="0" borderId="1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7" fontId="38" fillId="0" borderId="0" xfId="0" applyNumberFormat="1" applyFont="1" applyFill="1" applyBorder="1" applyAlignment="1" applyProtection="1">
      <alignment horizontal="center"/>
      <protection/>
    </xf>
    <xf numFmtId="7" fontId="44" fillId="0" borderId="0" xfId="0" applyNumberFormat="1" applyFont="1" applyFill="1" applyBorder="1" applyAlignment="1" applyProtection="1">
      <alignment horizontal="right"/>
      <protection/>
    </xf>
    <xf numFmtId="0" fontId="38" fillId="0" borderId="11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173" fontId="5" fillId="0" borderId="18" xfId="0" applyNumberFormat="1" applyFont="1" applyBorder="1" applyAlignment="1" applyProtection="1" quotePrefix="1">
      <alignment horizontal="center"/>
      <protection locked="0"/>
    </xf>
    <xf numFmtId="2" fontId="5" fillId="0" borderId="18" xfId="0" applyNumberFormat="1" applyFont="1" applyBorder="1" applyAlignment="1" applyProtection="1" quotePrefix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22" fontId="5" fillId="0" borderId="12" xfId="0" applyNumberFormat="1" applyFont="1" applyFill="1" applyBorder="1" applyAlignment="1" applyProtection="1">
      <alignment horizontal="center"/>
      <protection locked="0"/>
    </xf>
    <xf numFmtId="175" fontId="5" fillId="0" borderId="12" xfId="0" applyNumberFormat="1" applyFont="1" applyFill="1" applyBorder="1" applyAlignment="1" applyProtection="1">
      <alignment horizontal="center"/>
      <protection locked="0"/>
    </xf>
    <xf numFmtId="0" fontId="51" fillId="39" borderId="13" xfId="0" applyFont="1" applyFill="1" applyBorder="1" applyAlignment="1" applyProtection="1">
      <alignment/>
      <protection locked="0"/>
    </xf>
    <xf numFmtId="0" fontId="56" fillId="38" borderId="13" xfId="0" applyFont="1" applyFill="1" applyBorder="1" applyAlignment="1" applyProtection="1">
      <alignment/>
      <protection locked="0"/>
    </xf>
    <xf numFmtId="0" fontId="56" fillId="40" borderId="13" xfId="0" applyFont="1" applyFill="1" applyBorder="1" applyAlignment="1" applyProtection="1">
      <alignment/>
      <protection locked="0"/>
    </xf>
    <xf numFmtId="0" fontId="51" fillId="41" borderId="39" xfId="0" applyFont="1" applyFill="1" applyBorder="1" applyAlignment="1" applyProtection="1">
      <alignment/>
      <protection locked="0"/>
    </xf>
    <xf numFmtId="0" fontId="51" fillId="41" borderId="40" xfId="0" applyFont="1" applyFill="1" applyBorder="1" applyAlignment="1" applyProtection="1">
      <alignment/>
      <protection locked="0"/>
    </xf>
    <xf numFmtId="0" fontId="51" fillId="34" borderId="39" xfId="0" applyFont="1" applyFill="1" applyBorder="1" applyAlignment="1" applyProtection="1">
      <alignment/>
      <protection locked="0"/>
    </xf>
    <xf numFmtId="0" fontId="51" fillId="34" borderId="40" xfId="0" applyFont="1" applyFill="1" applyBorder="1" applyAlignment="1" applyProtection="1">
      <alignment/>
      <protection locked="0"/>
    </xf>
    <xf numFmtId="0" fontId="49" fillId="36" borderId="13" xfId="0" applyFont="1" applyFill="1" applyBorder="1" applyAlignment="1" applyProtection="1">
      <alignment/>
      <protection locked="0"/>
    </xf>
    <xf numFmtId="0" fontId="56" fillId="37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22" fontId="5" fillId="0" borderId="18" xfId="0" applyNumberFormat="1" applyFont="1" applyFill="1" applyBorder="1" applyAlignment="1" applyProtection="1">
      <alignment horizontal="center"/>
      <protection locked="0"/>
    </xf>
    <xf numFmtId="22" fontId="5" fillId="0" borderId="19" xfId="0" applyNumberFormat="1" applyFont="1" applyFill="1" applyBorder="1" applyAlignment="1" applyProtection="1">
      <alignment horizontal="center"/>
      <protection locked="0"/>
    </xf>
    <xf numFmtId="175" fontId="5" fillId="0" borderId="16" xfId="0" applyNumberFormat="1" applyFont="1" applyFill="1" applyBorder="1" applyAlignment="1" applyProtection="1">
      <alignment horizontal="center"/>
      <protection locked="0"/>
    </xf>
    <xf numFmtId="0" fontId="51" fillId="37" borderId="13" xfId="0" applyFont="1" applyFill="1" applyBorder="1" applyAlignment="1" applyProtection="1">
      <alignment/>
      <protection locked="0"/>
    </xf>
    <xf numFmtId="0" fontId="56" fillId="36" borderId="13" xfId="0" applyFont="1" applyFill="1" applyBorder="1" applyAlignment="1" applyProtection="1">
      <alignment/>
      <protection locked="0"/>
    </xf>
    <xf numFmtId="179" fontId="7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5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>
      <alignment horizontal="centerContinuous" vertical="center"/>
    </xf>
    <xf numFmtId="174" fontId="0" fillId="0" borderId="0" xfId="0" applyNumberFormat="1" applyFont="1" applyBorder="1" applyAlignment="1">
      <alignment horizontal="centerContinuous"/>
    </xf>
    <xf numFmtId="178" fontId="2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5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left"/>
      <protection/>
    </xf>
    <xf numFmtId="8" fontId="9" fillId="0" borderId="28" xfId="49" applyNumberFormat="1" applyFont="1" applyBorder="1" applyAlignment="1">
      <alignment horizontal="right"/>
    </xf>
    <xf numFmtId="175" fontId="5" fillId="0" borderId="12" xfId="0" applyNumberFormat="1" applyFont="1" applyBorder="1" applyAlignment="1" applyProtection="1" quotePrefix="1">
      <alignment horizontal="center"/>
      <protection/>
    </xf>
    <xf numFmtId="2" fontId="51" fillId="34" borderId="12" xfId="0" applyNumberFormat="1" applyFont="1" applyFill="1" applyBorder="1" applyAlignment="1" applyProtection="1">
      <alignment horizontal="center"/>
      <protection/>
    </xf>
    <xf numFmtId="2" fontId="51" fillId="35" borderId="12" xfId="0" applyNumberFormat="1" applyFont="1" applyFill="1" applyBorder="1" applyAlignment="1" applyProtection="1">
      <alignment horizontal="center"/>
      <protection/>
    </xf>
    <xf numFmtId="175" fontId="56" fillId="36" borderId="37" xfId="0" applyNumberFormat="1" applyFont="1" applyFill="1" applyBorder="1" applyAlignment="1" applyProtection="1" quotePrefix="1">
      <alignment horizontal="center"/>
      <protection/>
    </xf>
    <xf numFmtId="175" fontId="56" fillId="36" borderId="38" xfId="0" applyNumberFormat="1" applyFont="1" applyFill="1" applyBorder="1" applyAlignment="1" applyProtection="1" quotePrefix="1">
      <alignment horizontal="center"/>
      <protection/>
    </xf>
    <xf numFmtId="4" fontId="56" fillId="36" borderId="16" xfId="0" applyNumberFormat="1" applyFont="1" applyFill="1" applyBorder="1" applyAlignment="1" applyProtection="1">
      <alignment horizontal="center"/>
      <protection/>
    </xf>
    <xf numFmtId="175" fontId="56" fillId="37" borderId="37" xfId="0" applyNumberFormat="1" applyFont="1" applyFill="1" applyBorder="1" applyAlignment="1" applyProtection="1" quotePrefix="1">
      <alignment horizontal="center"/>
      <protection/>
    </xf>
    <xf numFmtId="175" fontId="56" fillId="37" borderId="38" xfId="0" applyNumberFormat="1" applyFont="1" applyFill="1" applyBorder="1" applyAlignment="1" applyProtection="1" quotePrefix="1">
      <alignment horizontal="center"/>
      <protection/>
    </xf>
    <xf numFmtId="4" fontId="56" fillId="37" borderId="16" xfId="0" applyNumberFormat="1" applyFont="1" applyFill="1" applyBorder="1" applyAlignment="1" applyProtection="1">
      <alignment horizontal="center"/>
      <protection/>
    </xf>
    <xf numFmtId="4" fontId="56" fillId="38" borderId="12" xfId="0" applyNumberFormat="1" applyFont="1" applyFill="1" applyBorder="1" applyAlignment="1" applyProtection="1">
      <alignment horizontal="center"/>
      <protection/>
    </xf>
    <xf numFmtId="4" fontId="51" fillId="39" borderId="12" xfId="0" applyNumberFormat="1" applyFont="1" applyFill="1" applyBorder="1" applyAlignment="1" applyProtection="1">
      <alignment horizontal="center"/>
      <protection/>
    </xf>
    <xf numFmtId="4" fontId="5" fillId="0" borderId="12" xfId="0" applyNumberFormat="1" applyFont="1" applyBorder="1" applyAlignment="1" applyProtection="1">
      <alignment horizontal="center"/>
      <protection/>
    </xf>
    <xf numFmtId="175" fontId="5" fillId="0" borderId="12" xfId="0" applyNumberFormat="1" applyFont="1" applyFill="1" applyBorder="1" applyAlignment="1" applyProtection="1" quotePrefix="1">
      <alignment horizontal="center"/>
      <protection/>
    </xf>
    <xf numFmtId="2" fontId="56" fillId="38" borderId="12" xfId="0" applyNumberFormat="1" applyFont="1" applyFill="1" applyBorder="1" applyAlignment="1" applyProtection="1">
      <alignment horizontal="center"/>
      <protection/>
    </xf>
    <xf numFmtId="2" fontId="56" fillId="40" borderId="12" xfId="0" applyNumberFormat="1" applyFont="1" applyFill="1" applyBorder="1" applyAlignment="1" applyProtection="1">
      <alignment horizontal="center"/>
      <protection/>
    </xf>
    <xf numFmtId="2" fontId="56" fillId="36" borderId="12" xfId="0" applyNumberFormat="1" applyFont="1" applyFill="1" applyBorder="1" applyAlignment="1" applyProtection="1">
      <alignment horizontal="center"/>
      <protection/>
    </xf>
    <xf numFmtId="175" fontId="5" fillId="0" borderId="12" xfId="0" applyNumberFormat="1" applyFont="1" applyBorder="1" applyAlignment="1" applyProtection="1">
      <alignment horizontal="center"/>
      <protection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48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 applyProtection="1">
      <alignment/>
      <protection/>
    </xf>
    <xf numFmtId="0" fontId="54" fillId="0" borderId="10" xfId="0" applyFont="1" applyFill="1" applyBorder="1" applyAlignment="1" applyProtection="1">
      <alignment/>
      <protection/>
    </xf>
    <xf numFmtId="0" fontId="54" fillId="0" borderId="48" xfId="0" applyFont="1" applyFill="1" applyBorder="1" applyAlignment="1" applyProtection="1">
      <alignment/>
      <protection/>
    </xf>
    <xf numFmtId="0" fontId="54" fillId="0" borderId="11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4" fillId="0" borderId="48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173" fontId="5" fillId="0" borderId="18" xfId="0" applyNumberFormat="1" applyFont="1" applyBorder="1" applyAlignment="1" applyProtection="1">
      <alignment horizontal="center"/>
      <protection locked="0"/>
    </xf>
    <xf numFmtId="0" fontId="68" fillId="0" borderId="0" xfId="0" applyFont="1" applyBorder="1" applyAlignment="1">
      <alignment horizontal="left"/>
    </xf>
    <xf numFmtId="0" fontId="5" fillId="0" borderId="18" xfId="0" applyNumberFormat="1" applyFont="1" applyBorder="1" applyAlignment="1" applyProtection="1" quotePrefix="1">
      <alignment horizontal="center"/>
      <protection locked="0"/>
    </xf>
    <xf numFmtId="180" fontId="0" fillId="0" borderId="30" xfId="0" applyNumberFormat="1" applyFont="1" applyBorder="1" applyAlignment="1">
      <alignment horizontal="centerContinuous" vertical="center"/>
    </xf>
    <xf numFmtId="178" fontId="0" fillId="0" borderId="33" xfId="0" applyNumberFormat="1" applyFont="1" applyBorder="1" applyAlignment="1" applyProtection="1">
      <alignment horizontal="center"/>
      <protection/>
    </xf>
    <xf numFmtId="0" fontId="27" fillId="0" borderId="0" xfId="52" applyFont="1">
      <alignment/>
      <protection/>
    </xf>
    <xf numFmtId="0" fontId="60" fillId="0" borderId="0" xfId="52" applyFont="1" applyAlignment="1">
      <alignment horizontal="right" vertical="top"/>
      <protection/>
    </xf>
    <xf numFmtId="0" fontId="27" fillId="0" borderId="0" xfId="52" applyFont="1" applyFill="1">
      <alignment/>
      <protection/>
    </xf>
    <xf numFmtId="0" fontId="21" fillId="0" borderId="0" xfId="52" applyFont="1" applyAlignment="1">
      <alignment horizontal="centerContinuous"/>
      <protection/>
    </xf>
    <xf numFmtId="0" fontId="28" fillId="0" borderId="0" xfId="52" applyFont="1" applyFill="1" applyBorder="1" applyAlignment="1" applyProtection="1">
      <alignment horizontal="left"/>
      <protection/>
    </xf>
    <xf numFmtId="0" fontId="5" fillId="0" borderId="0" xfId="52" applyFont="1">
      <alignment/>
      <protection/>
    </xf>
    <xf numFmtId="0" fontId="29" fillId="0" borderId="0" xfId="52" applyFont="1">
      <alignment/>
      <protection/>
    </xf>
    <xf numFmtId="0" fontId="29" fillId="0" borderId="0" xfId="52" applyFont="1" applyAlignment="1">
      <alignment horizontal="centerContinuous"/>
      <protection/>
    </xf>
    <xf numFmtId="0" fontId="5" fillId="0" borderId="0" xfId="52" applyFont="1" applyBorder="1">
      <alignment/>
      <protection/>
    </xf>
    <xf numFmtId="0" fontId="5" fillId="0" borderId="20" xfId="52" applyFont="1" applyBorder="1">
      <alignment/>
      <protection/>
    </xf>
    <xf numFmtId="0" fontId="5" fillId="0" borderId="21" xfId="52" applyFont="1" applyBorder="1">
      <alignment/>
      <protection/>
    </xf>
    <xf numFmtId="0" fontId="5" fillId="0" borderId="22" xfId="52" applyFont="1" applyBorder="1">
      <alignment/>
      <protection/>
    </xf>
    <xf numFmtId="0" fontId="14" fillId="0" borderId="0" xfId="52" applyFont="1" applyBorder="1">
      <alignment/>
      <protection/>
    </xf>
    <xf numFmtId="0" fontId="14" fillId="0" borderId="10" xfId="52" applyFont="1" applyBorder="1">
      <alignment/>
      <protection/>
    </xf>
    <xf numFmtId="0" fontId="10" fillId="0" borderId="0" xfId="52" applyFont="1" applyBorder="1">
      <alignment/>
      <protection/>
    </xf>
    <xf numFmtId="0" fontId="14" fillId="0" borderId="0" xfId="52" applyFont="1">
      <alignment/>
      <protection/>
    </xf>
    <xf numFmtId="0" fontId="14" fillId="0" borderId="11" xfId="52" applyFont="1" applyBorder="1">
      <alignment/>
      <protection/>
    </xf>
    <xf numFmtId="0" fontId="0" fillId="0" borderId="0" xfId="52" applyBorder="1">
      <alignment/>
      <protection/>
    </xf>
    <xf numFmtId="0" fontId="8" fillId="0" borderId="10" xfId="52" applyFont="1" applyBorder="1">
      <alignment/>
      <protection/>
    </xf>
    <xf numFmtId="0" fontId="8" fillId="0" borderId="0" xfId="52" applyFont="1" applyBorder="1">
      <alignment/>
      <protection/>
    </xf>
    <xf numFmtId="0" fontId="17" fillId="0" borderId="0" xfId="52" applyFont="1" applyBorder="1">
      <alignment/>
      <protection/>
    </xf>
    <xf numFmtId="0" fontId="8" fillId="0" borderId="0" xfId="52" applyFont="1">
      <alignment/>
      <protection/>
    </xf>
    <xf numFmtId="0" fontId="8" fillId="0" borderId="11" xfId="52" applyFont="1" applyBorder="1">
      <alignment/>
      <protection/>
    </xf>
    <xf numFmtId="0" fontId="0" fillId="0" borderId="0" xfId="52">
      <alignment/>
      <protection/>
    </xf>
    <xf numFmtId="0" fontId="14" fillId="0" borderId="10" xfId="52" applyFont="1" applyBorder="1" applyAlignment="1">
      <alignment horizontal="centerContinuous"/>
      <protection/>
    </xf>
    <xf numFmtId="0" fontId="10" fillId="0" borderId="0" xfId="52" applyFont="1" applyFill="1" applyBorder="1">
      <alignment/>
      <protection/>
    </xf>
    <xf numFmtId="0" fontId="36" fillId="0" borderId="0" xfId="52" applyFont="1" applyFill="1" applyBorder="1" applyAlignment="1">
      <alignment horizontal="centerContinuous"/>
      <protection/>
    </xf>
    <xf numFmtId="0" fontId="36" fillId="0" borderId="0" xfId="52" applyFont="1" applyFill="1" applyAlignment="1">
      <alignment horizontal="centerContinuous"/>
      <protection/>
    </xf>
    <xf numFmtId="0" fontId="36" fillId="0" borderId="11" xfId="52" applyFont="1" applyFill="1" applyBorder="1" applyAlignment="1">
      <alignment horizontal="centerContinuous"/>
      <protection/>
    </xf>
    <xf numFmtId="0" fontId="36" fillId="0" borderId="0" xfId="52" applyFont="1" applyFill="1" applyBorder="1">
      <alignment/>
      <protection/>
    </xf>
    <xf numFmtId="0" fontId="14" fillId="0" borderId="0" xfId="52" applyFont="1" applyFill="1" applyBorder="1">
      <alignment/>
      <protection/>
    </xf>
    <xf numFmtId="0" fontId="5" fillId="0" borderId="10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>
      <alignment/>
      <protection/>
    </xf>
    <xf numFmtId="0" fontId="5" fillId="0" borderId="11" xfId="52" applyFont="1" applyFill="1" applyBorder="1">
      <alignment/>
      <protection/>
    </xf>
    <xf numFmtId="0" fontId="12" fillId="0" borderId="0" xfId="52" applyFont="1" applyFill="1" applyBorder="1">
      <alignment/>
      <protection/>
    </xf>
    <xf numFmtId="0" fontId="15" fillId="0" borderId="0" xfId="52" applyFont="1" applyBorder="1">
      <alignment/>
      <protection/>
    </xf>
    <xf numFmtId="0" fontId="13" fillId="0" borderId="10" xfId="52" applyFont="1" applyBorder="1" applyAlignment="1">
      <alignment horizontal="centerContinuous"/>
      <protection/>
    </xf>
    <xf numFmtId="0" fontId="13" fillId="0" borderId="0" xfId="52" applyFont="1" applyBorder="1" applyAlignment="1">
      <alignment horizontal="centerContinuous"/>
      <protection/>
    </xf>
    <xf numFmtId="0" fontId="13" fillId="0" borderId="0" xfId="52" applyFont="1" applyFill="1" applyBorder="1" applyAlignment="1">
      <alignment horizontal="centerContinuous"/>
      <protection/>
    </xf>
    <xf numFmtId="0" fontId="13" fillId="0" borderId="11" xfId="52" applyFont="1" applyFill="1" applyBorder="1" applyAlignment="1">
      <alignment horizontal="centerContinuous"/>
      <protection/>
    </xf>
    <xf numFmtId="0" fontId="15" fillId="0" borderId="0" xfId="52" applyFont="1" applyFill="1" applyBorder="1">
      <alignment/>
      <protection/>
    </xf>
    <xf numFmtId="0" fontId="15" fillId="0" borderId="0" xfId="52" applyFont="1">
      <alignment/>
      <protection/>
    </xf>
    <xf numFmtId="0" fontId="8" fillId="0" borderId="0" xfId="52" applyFont="1" applyFill="1" applyBorder="1">
      <alignment/>
      <protection/>
    </xf>
    <xf numFmtId="0" fontId="61" fillId="0" borderId="0" xfId="52" applyFont="1" applyFill="1" applyBorder="1">
      <alignment/>
      <protection/>
    </xf>
    <xf numFmtId="0" fontId="8" fillId="0" borderId="11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62" fillId="0" borderId="0" xfId="52" applyFont="1" applyFill="1" applyBorder="1">
      <alignment/>
      <protection/>
    </xf>
    <xf numFmtId="175" fontId="8" fillId="0" borderId="0" xfId="52" applyNumberFormat="1" applyFont="1" applyBorder="1" applyAlignment="1" applyProtection="1">
      <alignment horizontal="left"/>
      <protection/>
    </xf>
    <xf numFmtId="0" fontId="17" fillId="0" borderId="0" xfId="52" applyFont="1" applyFill="1" applyBorder="1">
      <alignment/>
      <protection/>
    </xf>
    <xf numFmtId="5" fontId="8" fillId="0" borderId="0" xfId="52" applyNumberFormat="1" applyFont="1" applyFill="1" applyBorder="1">
      <alignment/>
      <protection/>
    </xf>
    <xf numFmtId="0" fontId="9" fillId="0" borderId="0" xfId="52" applyFont="1" applyFill="1" applyBorder="1">
      <alignment/>
      <protection/>
    </xf>
    <xf numFmtId="176" fontId="8" fillId="0" borderId="0" xfId="52" applyNumberFormat="1" applyFont="1" applyBorder="1" applyAlignment="1">
      <alignment horizontal="center"/>
      <protection/>
    </xf>
    <xf numFmtId="174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8" fillId="0" borderId="0" xfId="52" applyFont="1" applyBorder="1" applyAlignment="1">
      <alignment horizontal="left"/>
      <protection/>
    </xf>
    <xf numFmtId="0" fontId="4" fillId="0" borderId="0" xfId="52" applyFont="1" applyFill="1" applyBorder="1">
      <alignment/>
      <protection/>
    </xf>
    <xf numFmtId="0" fontId="0" fillId="0" borderId="49" xfId="52" applyFont="1" applyBorder="1" applyAlignment="1" applyProtection="1">
      <alignment horizontal="left"/>
      <protection/>
    </xf>
    <xf numFmtId="178" fontId="0" fillId="0" borderId="50" xfId="52" applyNumberFormat="1" applyFont="1" applyBorder="1" applyAlignment="1" applyProtection="1">
      <alignment horizontal="centerContinuous"/>
      <protection/>
    </xf>
    <xf numFmtId="0" fontId="8" fillId="0" borderId="51" xfId="52" applyFont="1" applyBorder="1" applyAlignment="1">
      <alignment horizontal="centerContinuous"/>
      <protection/>
    </xf>
    <xf numFmtId="0" fontId="16" fillId="0" borderId="0" xfId="52" applyFont="1" applyFill="1" applyBorder="1">
      <alignment/>
      <protection/>
    </xf>
    <xf numFmtId="0" fontId="8" fillId="0" borderId="52" xfId="52" applyFont="1" applyFill="1" applyBorder="1">
      <alignment/>
      <protection/>
    </xf>
    <xf numFmtId="0" fontId="8" fillId="0" borderId="53" xfId="52" applyFont="1" applyBorder="1" applyAlignment="1" applyProtection="1">
      <alignment horizontal="right"/>
      <protection/>
    </xf>
    <xf numFmtId="180" fontId="8" fillId="0" borderId="54" xfId="52" applyNumberFormat="1" applyFont="1" applyBorder="1" applyAlignment="1">
      <alignment horizontal="center"/>
      <protection/>
    </xf>
    <xf numFmtId="180" fontId="8" fillId="0" borderId="0" xfId="52" applyNumberFormat="1" applyFont="1" applyBorder="1" applyAlignment="1">
      <alignment horizontal="center"/>
      <protection/>
    </xf>
    <xf numFmtId="0" fontId="0" fillId="0" borderId="55" xfId="52" applyFont="1" applyBorder="1">
      <alignment/>
      <protection/>
    </xf>
    <xf numFmtId="178" fontId="23" fillId="0" borderId="56" xfId="52" applyNumberFormat="1" applyFont="1" applyBorder="1" applyAlignment="1">
      <alignment horizontal="centerContinuous"/>
      <protection/>
    </xf>
    <xf numFmtId="0" fontId="8" fillId="0" borderId="57" xfId="52" applyFont="1" applyBorder="1" applyAlignment="1">
      <alignment horizontal="centerContinuous"/>
      <protection/>
    </xf>
    <xf numFmtId="10" fontId="16" fillId="0" borderId="0" xfId="52" applyNumberFormat="1" applyFont="1" applyFill="1" applyBorder="1">
      <alignment/>
      <protection/>
    </xf>
    <xf numFmtId="0" fontId="8" fillId="0" borderId="58" xfId="52" applyFont="1" applyFill="1" applyBorder="1">
      <alignment/>
      <protection/>
    </xf>
    <xf numFmtId="175" fontId="8" fillId="0" borderId="59" xfId="52" applyNumberFormat="1" applyFont="1" applyBorder="1" applyAlignment="1" applyProtection="1">
      <alignment horizontal="right"/>
      <protection/>
    </xf>
    <xf numFmtId="178" fontId="8" fillId="0" borderId="60" xfId="52" applyNumberFormat="1" applyFont="1" applyBorder="1" applyAlignment="1">
      <alignment horizontal="center"/>
      <protection/>
    </xf>
    <xf numFmtId="178" fontId="8" fillId="0" borderId="0" xfId="52" applyNumberFormat="1" applyFont="1" applyBorder="1" applyAlignment="1">
      <alignment horizontal="center"/>
      <protection/>
    </xf>
    <xf numFmtId="0" fontId="0" fillId="0" borderId="61" xfId="52" applyFont="1" applyBorder="1" applyAlignment="1">
      <alignment horizontal="left"/>
      <protection/>
    </xf>
    <xf numFmtId="178" fontId="23" fillId="0" borderId="59" xfId="52" applyNumberFormat="1" applyFont="1" applyBorder="1" applyAlignment="1">
      <alignment horizontal="centerContinuous"/>
      <protection/>
    </xf>
    <xf numFmtId="0" fontId="8" fillId="0" borderId="62" xfId="52" applyFont="1" applyBorder="1" applyAlignment="1">
      <alignment horizontal="centerContinuous"/>
      <protection/>
    </xf>
    <xf numFmtId="0" fontId="8" fillId="0" borderId="0" xfId="52" applyFont="1" applyBorder="1" applyAlignment="1" applyProtection="1">
      <alignment horizontal="center"/>
      <protection/>
    </xf>
    <xf numFmtId="174" fontId="8" fillId="0" borderId="0" xfId="52" applyNumberFormat="1" applyFont="1" applyBorder="1">
      <alignment/>
      <protection/>
    </xf>
    <xf numFmtId="7" fontId="8" fillId="0" borderId="0" xfId="52" applyNumberFormat="1" applyFont="1" applyBorder="1" applyAlignment="1">
      <alignment horizontal="center"/>
      <protection/>
    </xf>
    <xf numFmtId="0" fontId="17" fillId="0" borderId="0" xfId="52" applyFont="1" applyBorder="1" applyAlignment="1" applyProtection="1">
      <alignment horizontal="left"/>
      <protection/>
    </xf>
    <xf numFmtId="7" fontId="8" fillId="0" borderId="63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6" fillId="0" borderId="30" xfId="52" applyFont="1" applyBorder="1" applyAlignment="1" applyProtection="1">
      <alignment horizontal="center"/>
      <protection/>
    </xf>
    <xf numFmtId="7" fontId="6" fillId="0" borderId="31" xfId="52" applyNumberFormat="1" applyFont="1" applyBorder="1" applyAlignment="1">
      <alignment horizontal="center"/>
      <protection/>
    </xf>
    <xf numFmtId="175" fontId="8" fillId="0" borderId="0" xfId="52" applyNumberFormat="1" applyFont="1" applyBorder="1" applyAlignment="1" applyProtection="1">
      <alignment horizontal="center"/>
      <protection/>
    </xf>
    <xf numFmtId="175" fontId="8" fillId="0" borderId="0" xfId="52" applyNumberFormat="1" applyFont="1" applyBorder="1" applyAlignment="1" applyProtection="1" quotePrefix="1">
      <alignment horizontal="center"/>
      <protection/>
    </xf>
    <xf numFmtId="2" fontId="20" fillId="0" borderId="0" xfId="52" applyNumberFormat="1" applyFont="1" applyBorder="1" applyAlignment="1">
      <alignment horizontal="center"/>
      <protection/>
    </xf>
    <xf numFmtId="2" fontId="8" fillId="0" borderId="11" xfId="52" applyNumberFormat="1" applyFont="1" applyBorder="1" applyAlignment="1">
      <alignment horizontal="center"/>
      <protection/>
    </xf>
    <xf numFmtId="2" fontId="8" fillId="0" borderId="0" xfId="52" applyNumberFormat="1" applyFont="1" applyBorder="1" applyAlignment="1" applyProtection="1">
      <alignment horizontal="center"/>
      <protection/>
    </xf>
    <xf numFmtId="0" fontId="8" fillId="0" borderId="64" xfId="52" applyFont="1" applyBorder="1" applyAlignment="1" applyProtection="1">
      <alignment horizontal="center"/>
      <protection/>
    </xf>
    <xf numFmtId="0" fontId="8" fillId="0" borderId="56" xfId="52" applyFont="1" applyBorder="1" applyAlignment="1" applyProtection="1">
      <alignment horizontal="center"/>
      <protection/>
    </xf>
    <xf numFmtId="2" fontId="8" fillId="0" borderId="56" xfId="52" applyNumberFormat="1" applyFont="1" applyBorder="1" applyAlignment="1" applyProtection="1">
      <alignment horizontal="center"/>
      <protection/>
    </xf>
    <xf numFmtId="175" fontId="8" fillId="0" borderId="56" xfId="52" applyNumberFormat="1" applyFont="1" applyBorder="1" applyAlignment="1" applyProtection="1">
      <alignment horizontal="center"/>
      <protection/>
    </xf>
    <xf numFmtId="181" fontId="9" fillId="0" borderId="56" xfId="52" applyNumberFormat="1" applyFont="1" applyBorder="1" applyAlignment="1" applyProtection="1">
      <alignment horizontal="right"/>
      <protection/>
    </xf>
    <xf numFmtId="175" fontId="9" fillId="0" borderId="56" xfId="52" applyNumberFormat="1" applyFont="1" applyBorder="1" applyAlignment="1" applyProtection="1">
      <alignment horizontal="left"/>
      <protection/>
    </xf>
    <xf numFmtId="175" fontId="9" fillId="0" borderId="56" xfId="52" applyNumberFormat="1" applyFont="1" applyBorder="1" applyAlignment="1" applyProtection="1">
      <alignment horizontal="center"/>
      <protection/>
    </xf>
    <xf numFmtId="0" fontId="0" fillId="0" borderId="56" xfId="52" applyBorder="1" applyAlignment="1">
      <alignment horizontal="center"/>
      <protection/>
    </xf>
    <xf numFmtId="7" fontId="17" fillId="0" borderId="65" xfId="52" applyNumberFormat="1" applyFont="1" applyBorder="1" applyAlignment="1">
      <alignment horizontal="center"/>
      <protection/>
    </xf>
    <xf numFmtId="0" fontId="8" fillId="0" borderId="66" xfId="52" applyFont="1" applyBorder="1" applyAlignment="1" applyProtection="1">
      <alignment horizontal="center"/>
      <protection/>
    </xf>
    <xf numFmtId="0" fontId="8" fillId="0" borderId="67" xfId="52" applyFont="1" applyBorder="1" applyAlignment="1" applyProtection="1">
      <alignment horizontal="center"/>
      <protection/>
    </xf>
    <xf numFmtId="2" fontId="8" fillId="0" borderId="67" xfId="52" applyNumberFormat="1" applyFont="1" applyBorder="1" applyAlignment="1" applyProtection="1">
      <alignment horizontal="center"/>
      <protection/>
    </xf>
    <xf numFmtId="175" fontId="8" fillId="0" borderId="67" xfId="52" applyNumberFormat="1" applyFont="1" applyBorder="1" applyAlignment="1" applyProtection="1">
      <alignment horizontal="center"/>
      <protection/>
    </xf>
    <xf numFmtId="7" fontId="8" fillId="0" borderId="67" xfId="52" applyNumberFormat="1" applyFont="1" applyBorder="1" applyAlignment="1" applyProtection="1">
      <alignment horizontal="center"/>
      <protection/>
    </xf>
    <xf numFmtId="7" fontId="8" fillId="0" borderId="67" xfId="52" applyNumberFormat="1" applyFont="1" applyBorder="1" applyAlignment="1" applyProtection="1">
      <alignment horizontal="centerContinuous"/>
      <protection/>
    </xf>
    <xf numFmtId="175" fontId="63" fillId="0" borderId="67" xfId="52" applyNumberFormat="1" applyFont="1" applyBorder="1" applyAlignment="1" applyProtection="1" quotePrefix="1">
      <alignment horizontal="left"/>
      <protection/>
    </xf>
    <xf numFmtId="0" fontId="8" fillId="0" borderId="67" xfId="52" applyFont="1" applyBorder="1" applyAlignment="1" applyProtection="1">
      <alignment horizontal="right"/>
      <protection/>
    </xf>
    <xf numFmtId="7" fontId="8" fillId="0" borderId="68" xfId="52" applyNumberFormat="1" applyFont="1" applyBorder="1" applyAlignment="1" applyProtection="1">
      <alignment horizontal="center"/>
      <protection/>
    </xf>
    <xf numFmtId="0" fontId="8" fillId="0" borderId="69" xfId="52" applyFont="1" applyBorder="1" applyAlignment="1" applyProtection="1">
      <alignment horizontal="center"/>
      <protection/>
    </xf>
    <xf numFmtId="7" fontId="8" fillId="0" borderId="0" xfId="52" applyNumberFormat="1" applyFont="1" applyBorder="1" applyAlignment="1" applyProtection="1">
      <alignment horizontal="center"/>
      <protection/>
    </xf>
    <xf numFmtId="7" fontId="8" fillId="0" borderId="0" xfId="52" applyNumberFormat="1" applyFont="1" applyBorder="1" applyAlignment="1" applyProtection="1">
      <alignment horizontal="centerContinuous"/>
      <protection/>
    </xf>
    <xf numFmtId="175" fontId="63" fillId="0" borderId="0" xfId="52" applyNumberFormat="1" applyFont="1" applyBorder="1" applyAlignment="1" applyProtection="1" quotePrefix="1">
      <alignment horizontal="left"/>
      <protection/>
    </xf>
    <xf numFmtId="0" fontId="8" fillId="0" borderId="0" xfId="52" applyFont="1" applyBorder="1" applyAlignment="1" applyProtection="1">
      <alignment horizontal="right"/>
      <protection/>
    </xf>
    <xf numFmtId="7" fontId="8" fillId="0" borderId="70" xfId="52" applyNumberFormat="1" applyFont="1" applyBorder="1" applyAlignment="1" applyProtection="1">
      <alignment horizontal="center"/>
      <protection/>
    </xf>
    <xf numFmtId="0" fontId="8" fillId="0" borderId="71" xfId="52" applyFont="1" applyBorder="1" applyAlignment="1" applyProtection="1">
      <alignment horizontal="center"/>
      <protection/>
    </xf>
    <xf numFmtId="0" fontId="8" fillId="0" borderId="63" xfId="52" applyFont="1" applyBorder="1" applyAlignment="1" applyProtection="1">
      <alignment horizontal="center"/>
      <protection/>
    </xf>
    <xf numFmtId="2" fontId="8" fillId="0" borderId="63" xfId="52" applyNumberFormat="1" applyFont="1" applyBorder="1" applyAlignment="1" applyProtection="1">
      <alignment horizontal="center"/>
      <protection/>
    </xf>
    <xf numFmtId="175" fontId="8" fillId="0" borderId="63" xfId="52" applyNumberFormat="1" applyFont="1" applyBorder="1" applyAlignment="1" applyProtection="1">
      <alignment horizontal="center"/>
      <protection/>
    </xf>
    <xf numFmtId="7" fontId="8" fillId="0" borderId="63" xfId="52" applyNumberFormat="1" applyFont="1" applyBorder="1" applyAlignment="1" applyProtection="1">
      <alignment horizontal="center"/>
      <protection/>
    </xf>
    <xf numFmtId="7" fontId="8" fillId="0" borderId="63" xfId="52" applyNumberFormat="1" applyFont="1" applyBorder="1" applyAlignment="1" applyProtection="1">
      <alignment horizontal="centerContinuous"/>
      <protection/>
    </xf>
    <xf numFmtId="175" fontId="63" fillId="0" borderId="63" xfId="52" applyNumberFormat="1" applyFont="1" applyBorder="1" applyAlignment="1" applyProtection="1" quotePrefix="1">
      <alignment horizontal="left"/>
      <protection/>
    </xf>
    <xf numFmtId="0" fontId="8" fillId="0" borderId="63" xfId="52" applyFont="1" applyBorder="1" applyAlignment="1" applyProtection="1">
      <alignment horizontal="right"/>
      <protection/>
    </xf>
    <xf numFmtId="7" fontId="8" fillId="0" borderId="72" xfId="52" applyNumberFormat="1" applyFont="1" applyBorder="1" applyAlignment="1" applyProtection="1">
      <alignment horizontal="center"/>
      <protection/>
    </xf>
    <xf numFmtId="2" fontId="8" fillId="0" borderId="0" xfId="52" applyNumberFormat="1" applyFont="1" applyBorder="1" applyAlignment="1" applyProtection="1">
      <alignment horizontal="right"/>
      <protection/>
    </xf>
    <xf numFmtId="5" fontId="8" fillId="0" borderId="0" xfId="52" applyNumberFormat="1" applyFont="1" applyBorder="1" applyAlignment="1" applyProtection="1">
      <alignment horizontal="center"/>
      <protection/>
    </xf>
    <xf numFmtId="7" fontId="8" fillId="0" borderId="65" xfId="52" applyNumberFormat="1" applyFont="1" applyBorder="1" applyAlignment="1" applyProtection="1">
      <alignment horizontal="center"/>
      <protection/>
    </xf>
    <xf numFmtId="7" fontId="8" fillId="0" borderId="0" xfId="52" applyNumberFormat="1" applyFont="1" applyBorder="1" applyAlignment="1">
      <alignment horizontal="right"/>
      <protection/>
    </xf>
    <xf numFmtId="2" fontId="8" fillId="0" borderId="56" xfId="52" applyNumberFormat="1" applyFont="1" applyBorder="1" applyAlignment="1" applyProtection="1">
      <alignment horizontal="centerContinuous"/>
      <protection/>
    </xf>
    <xf numFmtId="2" fontId="8" fillId="0" borderId="73" xfId="52" applyNumberFormat="1" applyFont="1" applyBorder="1" applyAlignment="1" applyProtection="1">
      <alignment horizontal="centerContinuous"/>
      <protection/>
    </xf>
    <xf numFmtId="181" fontId="9" fillId="0" borderId="65" xfId="52" applyNumberFormat="1" applyFont="1" applyBorder="1" applyAlignment="1" applyProtection="1">
      <alignment horizontal="right"/>
      <protection/>
    </xf>
    <xf numFmtId="0" fontId="0" fillId="0" borderId="64" xfId="52" applyBorder="1" applyAlignment="1">
      <alignment horizontal="centerContinuous"/>
      <protection/>
    </xf>
    <xf numFmtId="0" fontId="8" fillId="0" borderId="56" xfId="52" applyFont="1" applyBorder="1" applyAlignment="1" applyProtection="1">
      <alignment horizontal="centerContinuous"/>
      <protection/>
    </xf>
    <xf numFmtId="175" fontId="8" fillId="0" borderId="64" xfId="52" applyNumberFormat="1" applyFont="1" applyBorder="1" applyAlignment="1" applyProtection="1">
      <alignment horizontal="centerContinuous"/>
      <protection/>
    </xf>
    <xf numFmtId="2" fontId="20" fillId="0" borderId="73" xfId="52" applyNumberFormat="1" applyFont="1" applyBorder="1" applyAlignment="1">
      <alignment horizontal="centerContinuous"/>
      <protection/>
    </xf>
    <xf numFmtId="2" fontId="8" fillId="0" borderId="67" xfId="52" applyNumberFormat="1" applyFont="1" applyBorder="1" applyAlignment="1" applyProtection="1">
      <alignment horizontal="centerContinuous"/>
      <protection/>
    </xf>
    <xf numFmtId="2" fontId="8" fillId="0" borderId="74" xfId="52" applyNumberFormat="1" applyFont="1" applyBorder="1" applyAlignment="1" applyProtection="1">
      <alignment horizontal="centerContinuous"/>
      <protection/>
    </xf>
    <xf numFmtId="7" fontId="8" fillId="0" borderId="66" xfId="52" applyNumberFormat="1" applyFont="1" applyBorder="1" applyAlignment="1">
      <alignment horizontal="centerContinuous"/>
      <protection/>
    </xf>
    <xf numFmtId="0" fontId="8" fillId="0" borderId="67" xfId="52" applyFont="1" applyBorder="1" applyAlignment="1" applyProtection="1">
      <alignment horizontal="centerContinuous"/>
      <protection/>
    </xf>
    <xf numFmtId="175" fontId="8" fillId="0" borderId="67" xfId="52" applyNumberFormat="1" applyFont="1" applyBorder="1" applyAlignment="1" applyProtection="1" quotePrefix="1">
      <alignment horizontal="center"/>
      <protection/>
    </xf>
    <xf numFmtId="7" fontId="8" fillId="0" borderId="66" xfId="52" applyNumberFormat="1" applyFont="1" applyBorder="1" applyAlignment="1" applyProtection="1">
      <alignment horizontal="centerContinuous"/>
      <protection/>
    </xf>
    <xf numFmtId="2" fontId="20" fillId="0" borderId="74" xfId="52" applyNumberFormat="1" applyFont="1" applyBorder="1" applyAlignment="1">
      <alignment horizontal="centerContinuous"/>
      <protection/>
    </xf>
    <xf numFmtId="2" fontId="8" fillId="0" borderId="0" xfId="52" applyNumberFormat="1" applyFont="1" applyBorder="1" applyAlignment="1" applyProtection="1">
      <alignment horizontal="centerContinuous"/>
      <protection/>
    </xf>
    <xf numFmtId="2" fontId="8" fillId="0" borderId="75" xfId="52" applyNumberFormat="1" applyFont="1" applyBorder="1" applyAlignment="1" applyProtection="1">
      <alignment horizontal="centerContinuous"/>
      <protection/>
    </xf>
    <xf numFmtId="7" fontId="8" fillId="0" borderId="69" xfId="52" applyNumberFormat="1" applyFont="1" applyBorder="1" applyAlignment="1">
      <alignment horizontal="centerContinuous"/>
      <protection/>
    </xf>
    <xf numFmtId="0" fontId="8" fillId="0" borderId="0" xfId="52" applyFont="1" applyBorder="1" applyAlignment="1" applyProtection="1">
      <alignment horizontal="centerContinuous"/>
      <protection/>
    </xf>
    <xf numFmtId="7" fontId="8" fillId="0" borderId="69" xfId="52" applyNumberFormat="1" applyFont="1" applyBorder="1" applyAlignment="1" applyProtection="1">
      <alignment horizontal="centerContinuous"/>
      <protection/>
    </xf>
    <xf numFmtId="2" fontId="20" fillId="0" borderId="75" xfId="52" applyNumberFormat="1" applyFont="1" applyBorder="1" applyAlignment="1">
      <alignment horizontal="centerContinuous"/>
      <protection/>
    </xf>
    <xf numFmtId="2" fontId="8" fillId="0" borderId="63" xfId="52" applyNumberFormat="1" applyFont="1" applyBorder="1" applyAlignment="1" applyProtection="1">
      <alignment horizontal="centerContinuous"/>
      <protection/>
    </xf>
    <xf numFmtId="2" fontId="8" fillId="0" borderId="38" xfId="52" applyNumberFormat="1" applyFont="1" applyBorder="1" applyAlignment="1" applyProtection="1">
      <alignment horizontal="centerContinuous"/>
      <protection/>
    </xf>
    <xf numFmtId="7" fontId="8" fillId="0" borderId="71" xfId="52" applyNumberFormat="1" applyFont="1" applyBorder="1" applyAlignment="1">
      <alignment horizontal="centerContinuous"/>
      <protection/>
    </xf>
    <xf numFmtId="0" fontId="8" fillId="0" borderId="63" xfId="52" applyFont="1" applyBorder="1" applyAlignment="1" applyProtection="1">
      <alignment horizontal="centerContinuous"/>
      <protection/>
    </xf>
    <xf numFmtId="175" fontId="8" fillId="0" borderId="63" xfId="52" applyNumberFormat="1" applyFont="1" applyBorder="1" applyAlignment="1" applyProtection="1" quotePrefix="1">
      <alignment horizontal="center"/>
      <protection/>
    </xf>
    <xf numFmtId="7" fontId="8" fillId="0" borderId="71" xfId="52" applyNumberFormat="1" applyFont="1" applyBorder="1" applyAlignment="1" applyProtection="1">
      <alignment horizontal="centerContinuous"/>
      <protection/>
    </xf>
    <xf numFmtId="2" fontId="20" fillId="0" borderId="38" xfId="52" applyNumberFormat="1" applyFont="1" applyBorder="1" applyAlignment="1">
      <alignment horizontal="centerContinuous"/>
      <protection/>
    </xf>
    <xf numFmtId="7" fontId="8" fillId="0" borderId="64" xfId="52" applyNumberFormat="1" applyFont="1" applyBorder="1" applyAlignment="1" applyProtection="1">
      <alignment horizontal="centerContinuous"/>
      <protection/>
    </xf>
    <xf numFmtId="5" fontId="6" fillId="0" borderId="30" xfId="52" applyNumberFormat="1" applyFont="1" applyBorder="1" applyAlignment="1" applyProtection="1">
      <alignment horizontal="center"/>
      <protection/>
    </xf>
    <xf numFmtId="7" fontId="6" fillId="0" borderId="31" xfId="52" applyNumberFormat="1" applyFont="1" applyBorder="1" applyAlignment="1" applyProtection="1">
      <alignment horizontal="center"/>
      <protection/>
    </xf>
    <xf numFmtId="0" fontId="9" fillId="0" borderId="0" xfId="52" applyFont="1" applyBorder="1" applyAlignment="1">
      <alignment horizontal="left"/>
      <protection/>
    </xf>
    <xf numFmtId="175" fontId="8" fillId="0" borderId="0" xfId="52" applyNumberFormat="1" applyFont="1" applyBorder="1" applyAlignment="1" applyProtection="1">
      <alignment horizontal="right"/>
      <protection/>
    </xf>
    <xf numFmtId="1" fontId="8" fillId="0" borderId="0" xfId="52" applyNumberFormat="1" applyFont="1" applyBorder="1" applyAlignment="1" applyProtection="1">
      <alignment horizontal="right"/>
      <protection/>
    </xf>
    <xf numFmtId="0" fontId="6" fillId="0" borderId="30" xfId="52" applyFont="1" applyBorder="1" applyAlignment="1">
      <alignment horizontal="center"/>
      <protection/>
    </xf>
    <xf numFmtId="7" fontId="64" fillId="0" borderId="31" xfId="52" applyNumberFormat="1" applyFont="1" applyFill="1" applyBorder="1" applyAlignment="1">
      <alignment horizontal="center"/>
      <protection/>
    </xf>
    <xf numFmtId="0" fontId="33" fillId="0" borderId="0" xfId="52" applyFont="1" applyBorder="1">
      <alignment/>
      <protection/>
    </xf>
    <xf numFmtId="0" fontId="8" fillId="0" borderId="0" xfId="52" applyFont="1" applyFill="1" applyBorder="1" applyAlignment="1">
      <alignment horizontal="center"/>
      <protection/>
    </xf>
    <xf numFmtId="2" fontId="8" fillId="0" borderId="0" xfId="52" applyNumberFormat="1" applyFont="1" applyFill="1" applyBorder="1">
      <alignment/>
      <protection/>
    </xf>
    <xf numFmtId="0" fontId="6" fillId="0" borderId="30" xfId="52" applyFont="1" applyFill="1" applyBorder="1" applyAlignment="1">
      <alignment horizontal="center"/>
      <protection/>
    </xf>
    <xf numFmtId="8" fontId="6" fillId="0" borderId="31" xfId="52" applyNumberFormat="1" applyFont="1" applyBorder="1" applyAlignment="1" applyProtection="1">
      <alignment horizontal="center"/>
      <protection/>
    </xf>
    <xf numFmtId="0" fontId="8" fillId="0" borderId="23" xfId="52" applyFont="1" applyBorder="1">
      <alignment/>
      <protection/>
    </xf>
    <xf numFmtId="0" fontId="8" fillId="0" borderId="24" xfId="52" applyFont="1" applyBorder="1">
      <alignment/>
      <protection/>
    </xf>
    <xf numFmtId="0" fontId="8" fillId="0" borderId="25" xfId="52" applyFont="1" applyBorder="1">
      <alignment/>
      <protection/>
    </xf>
    <xf numFmtId="7" fontId="29" fillId="0" borderId="66" xfId="52" applyNumberFormat="1" applyFont="1" applyBorder="1" applyAlignment="1">
      <alignment horizontal="left"/>
      <protection/>
    </xf>
    <xf numFmtId="0" fontId="29" fillId="0" borderId="67" xfId="52" applyFont="1" applyBorder="1" applyAlignment="1" applyProtection="1">
      <alignment horizontal="centerContinuous"/>
      <protection/>
    </xf>
    <xf numFmtId="175" fontId="29" fillId="0" borderId="67" xfId="52" applyNumberFormat="1" applyFont="1" applyBorder="1" applyAlignment="1" applyProtection="1">
      <alignment horizontal="left"/>
      <protection/>
    </xf>
    <xf numFmtId="7" fontId="29" fillId="0" borderId="69" xfId="52" applyNumberFormat="1" applyFont="1" applyBorder="1" applyAlignment="1">
      <alignment horizontal="left"/>
      <protection/>
    </xf>
    <xf numFmtId="0" fontId="29" fillId="0" borderId="0" xfId="52" applyFont="1" applyBorder="1" applyAlignment="1" applyProtection="1">
      <alignment horizontal="centerContinuous"/>
      <protection/>
    </xf>
    <xf numFmtId="175" fontId="29" fillId="0" borderId="0" xfId="52" applyNumberFormat="1" applyFont="1" applyBorder="1" applyAlignment="1" applyProtection="1">
      <alignment horizontal="left"/>
      <protection/>
    </xf>
    <xf numFmtId="7" fontId="29" fillId="0" borderId="71" xfId="52" applyNumberFormat="1" applyFont="1" applyBorder="1" applyAlignment="1">
      <alignment horizontal="left"/>
      <protection/>
    </xf>
    <xf numFmtId="0" fontId="29" fillId="0" borderId="63" xfId="52" applyFont="1" applyBorder="1" applyAlignment="1" applyProtection="1">
      <alignment horizontal="centerContinuous"/>
      <protection/>
    </xf>
    <xf numFmtId="175" fontId="29" fillId="0" borderId="63" xfId="52" applyNumberFormat="1" applyFont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838450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685800</xdr:colOff>
      <xdr:row>0</xdr:row>
      <xdr:rowOff>0</xdr:rowOff>
    </xdr:from>
    <xdr:to>
      <xdr:col>1</xdr:col>
      <xdr:colOff>361950</xdr:colOff>
      <xdr:row>1</xdr:row>
      <xdr:rowOff>333375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657225</xdr:colOff>
      <xdr:row>0</xdr:row>
      <xdr:rowOff>0</xdr:rowOff>
    </xdr:from>
    <xdr:to>
      <xdr:col>1</xdr:col>
      <xdr:colOff>333375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0"/>
  <sheetViews>
    <sheetView tabSelected="1" zoomScale="85" zoomScaleNormal="85" zoomScalePageLayoutView="0" workbookViewId="0" topLeftCell="A1">
      <selection activeCell="B3" sqref="B3"/>
    </sheetView>
  </sheetViews>
  <sheetFormatPr defaultColWidth="11.421875" defaultRowHeight="12.75"/>
  <cols>
    <col min="1" max="1" width="24.2812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1.00390625" style="10" customWidth="1"/>
    <col min="9" max="9" width="15.710937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92" customFormat="1" ht="26.25">
      <c r="B1" s="93"/>
      <c r="K1" s="370"/>
    </row>
    <row r="2" spans="2:10" s="92" customFormat="1" ht="26.25">
      <c r="B2" s="93" t="s">
        <v>182</v>
      </c>
      <c r="C2" s="110"/>
      <c r="D2" s="94"/>
      <c r="E2" s="94"/>
      <c r="F2" s="94"/>
      <c r="G2" s="94"/>
      <c r="H2" s="94"/>
      <c r="I2" s="94"/>
      <c r="J2" s="94"/>
    </row>
    <row r="3" spans="3:19" ht="12.75">
      <c r="C3"/>
      <c r="D3" s="38"/>
      <c r="E3" s="38"/>
      <c r="F3" s="38"/>
      <c r="G3" s="38"/>
      <c r="H3" s="38"/>
      <c r="I3" s="38"/>
      <c r="J3" s="38"/>
      <c r="P3" s="8"/>
      <c r="Q3" s="8"/>
      <c r="R3" s="8"/>
      <c r="S3" s="8"/>
    </row>
    <row r="4" spans="1:19" s="95" customFormat="1" ht="11.25">
      <c r="A4" s="111" t="s">
        <v>17</v>
      </c>
      <c r="B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s="95" customFormat="1" ht="11.25">
      <c r="A5" s="111" t="s">
        <v>18</v>
      </c>
      <c r="B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2:19" s="92" customFormat="1" ht="26.25">
      <c r="B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2:19" s="97" customFormat="1" ht="21">
      <c r="B7" s="151" t="s">
        <v>0</v>
      </c>
      <c r="C7" s="116"/>
      <c r="D7" s="117"/>
      <c r="E7" s="117"/>
      <c r="F7" s="118"/>
      <c r="G7" s="118"/>
      <c r="H7" s="118"/>
      <c r="I7" s="118"/>
      <c r="J7" s="118"/>
      <c r="K7" s="44"/>
      <c r="L7" s="44"/>
      <c r="M7" s="44"/>
      <c r="N7" s="44"/>
      <c r="O7" s="44"/>
      <c r="P7" s="44"/>
      <c r="Q7" s="44"/>
      <c r="R7" s="44"/>
      <c r="S7" s="44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97" customFormat="1" ht="21">
      <c r="B9" s="151" t="s">
        <v>1</v>
      </c>
      <c r="C9" s="116"/>
      <c r="D9" s="117"/>
      <c r="E9" s="117"/>
      <c r="F9" s="117"/>
      <c r="G9" s="117"/>
      <c r="H9" s="117"/>
      <c r="I9" s="118"/>
      <c r="J9" s="118"/>
      <c r="K9" s="44"/>
      <c r="L9" s="44"/>
      <c r="M9" s="44"/>
      <c r="N9" s="44"/>
      <c r="O9" s="44"/>
      <c r="P9" s="44"/>
      <c r="Q9" s="44"/>
      <c r="R9" s="44"/>
      <c r="S9" s="44"/>
    </row>
    <row r="10" spans="4:19" ht="12.75">
      <c r="D10" s="119"/>
      <c r="E10" s="11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97" customFormat="1" ht="20.25">
      <c r="B11" s="151" t="s">
        <v>181</v>
      </c>
      <c r="C11" s="68"/>
      <c r="D11" s="39"/>
      <c r="E11" s="39"/>
      <c r="F11" s="117"/>
      <c r="G11" s="117"/>
      <c r="H11" s="117"/>
      <c r="I11" s="118"/>
      <c r="J11" s="118"/>
      <c r="K11" s="44"/>
      <c r="L11" s="44"/>
      <c r="M11" s="44"/>
      <c r="N11" s="44"/>
      <c r="O11" s="44"/>
      <c r="P11" s="44"/>
      <c r="Q11" s="44"/>
      <c r="R11" s="44"/>
      <c r="S11" s="44"/>
    </row>
    <row r="12" spans="4:19" s="120" customFormat="1" ht="16.5" thickBot="1">
      <c r="D12" s="7"/>
      <c r="E12" s="7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2:19" s="120" customFormat="1" ht="16.5" thickTop="1">
      <c r="B13" s="346">
        <v>1</v>
      </c>
      <c r="C13" s="367"/>
      <c r="D13" s="122"/>
      <c r="E13" s="122"/>
      <c r="F13" s="122"/>
      <c r="G13" s="122"/>
      <c r="H13" s="122"/>
      <c r="I13" s="122"/>
      <c r="J13" s="123"/>
      <c r="K13" s="121"/>
      <c r="L13" s="121"/>
      <c r="M13" s="121"/>
      <c r="N13" s="121"/>
      <c r="O13" s="121"/>
      <c r="P13" s="121"/>
      <c r="Q13" s="121"/>
      <c r="R13" s="121"/>
      <c r="S13" s="121"/>
    </row>
    <row r="14" spans="2:19" s="104" customFormat="1" ht="19.5">
      <c r="B14" s="214" t="s">
        <v>138</v>
      </c>
      <c r="C14" s="124"/>
      <c r="D14" s="125"/>
      <c r="E14" s="126"/>
      <c r="F14" s="126"/>
      <c r="G14" s="126"/>
      <c r="H14" s="126"/>
      <c r="I14" s="100"/>
      <c r="J14" s="103"/>
      <c r="K14" s="46"/>
      <c r="L14" s="46"/>
      <c r="M14" s="46"/>
      <c r="N14" s="46"/>
      <c r="O14" s="46"/>
      <c r="P14" s="46"/>
      <c r="Q14" s="46"/>
      <c r="R14" s="46"/>
      <c r="S14" s="46"/>
    </row>
    <row r="15" spans="2:19" s="104" customFormat="1" ht="9" customHeight="1">
      <c r="B15" s="127"/>
      <c r="C15" s="128"/>
      <c r="D15" s="128"/>
      <c r="E15" s="46"/>
      <c r="F15" s="129"/>
      <c r="G15" s="129"/>
      <c r="H15" s="129"/>
      <c r="I15" s="46"/>
      <c r="J15" s="130"/>
      <c r="K15" s="46"/>
      <c r="L15" s="46"/>
      <c r="M15" s="46"/>
      <c r="N15" s="46"/>
      <c r="O15" s="46"/>
      <c r="P15" s="46"/>
      <c r="Q15" s="46"/>
      <c r="R15" s="46"/>
      <c r="S15" s="46"/>
    </row>
    <row r="16" spans="2:18" s="104" customFormat="1" ht="9" customHeight="1">
      <c r="B16" s="214">
        <f>IF(B13=2,"Sanciones duplicadas por tasa de falla &gt; 4 Sal. x año/100km.","")</f>
      </c>
      <c r="C16" s="217"/>
      <c r="D16" s="217"/>
      <c r="E16" s="100"/>
      <c r="F16" s="126"/>
      <c r="G16" s="126"/>
      <c r="H16" s="100"/>
      <c r="I16" s="68"/>
      <c r="J16" s="103"/>
      <c r="K16" s="46"/>
      <c r="L16" s="46"/>
      <c r="M16" s="46"/>
      <c r="N16" s="46"/>
      <c r="O16" s="46"/>
      <c r="P16" s="46"/>
      <c r="Q16" s="46"/>
      <c r="R16" s="46"/>
    </row>
    <row r="17" spans="2:18" s="104" customFormat="1" ht="9" customHeight="1">
      <c r="B17" s="127"/>
      <c r="C17" s="128"/>
      <c r="D17" s="128"/>
      <c r="E17" s="46"/>
      <c r="F17" s="129"/>
      <c r="G17" s="129"/>
      <c r="H17" s="46"/>
      <c r="I17"/>
      <c r="J17" s="130"/>
      <c r="K17" s="46"/>
      <c r="L17" s="46"/>
      <c r="M17" s="46"/>
      <c r="N17" s="46"/>
      <c r="O17" s="46"/>
      <c r="P17" s="46"/>
      <c r="Q17" s="46"/>
      <c r="R17" s="46"/>
    </row>
    <row r="18" spans="2:19" s="104" customFormat="1" ht="19.5">
      <c r="B18" s="127"/>
      <c r="C18" s="131" t="s">
        <v>19</v>
      </c>
      <c r="D18" s="132" t="s">
        <v>20</v>
      </c>
      <c r="E18" s="46"/>
      <c r="F18" s="129"/>
      <c r="G18" s="129"/>
      <c r="H18" s="129"/>
      <c r="I18" s="45"/>
      <c r="J18" s="130"/>
      <c r="K18" s="46"/>
      <c r="L18" s="46"/>
      <c r="M18" s="46"/>
      <c r="N18" s="46"/>
      <c r="O18" s="46"/>
      <c r="P18" s="46"/>
      <c r="Q18" s="46"/>
      <c r="R18" s="46"/>
      <c r="S18" s="46"/>
    </row>
    <row r="19" spans="2:19" s="104" customFormat="1" ht="19.5">
      <c r="B19" s="127"/>
      <c r="C19"/>
      <c r="D19" s="131" t="s">
        <v>21</v>
      </c>
      <c r="E19" s="132" t="s">
        <v>22</v>
      </c>
      <c r="F19" s="129"/>
      <c r="G19" s="129"/>
      <c r="H19" s="129"/>
      <c r="I19" s="45">
        <f>'LI-12 (1)'!AA43</f>
        <v>11979.11</v>
      </c>
      <c r="J19" s="130"/>
      <c r="K19" s="46"/>
      <c r="L19" s="46"/>
      <c r="M19" s="46"/>
      <c r="N19" s="46"/>
      <c r="O19" s="46"/>
      <c r="P19" s="46"/>
      <c r="Q19" s="46"/>
      <c r="R19" s="46"/>
      <c r="S19" s="46"/>
    </row>
    <row r="20" spans="2:19" s="104" customFormat="1" ht="19.5">
      <c r="B20" s="127"/>
      <c r="C20" s="131"/>
      <c r="D20" s="131" t="s">
        <v>23</v>
      </c>
      <c r="E20" s="132" t="s">
        <v>24</v>
      </c>
      <c r="F20" s="129"/>
      <c r="G20" s="129"/>
      <c r="H20" s="129"/>
      <c r="I20" s="45">
        <f>'LI-EDERSA-12 (1)'!AA43</f>
        <v>51094.92</v>
      </c>
      <c r="J20" s="130"/>
      <c r="K20" s="46"/>
      <c r="L20" s="46"/>
      <c r="M20" s="46"/>
      <c r="N20" s="46"/>
      <c r="O20" s="46"/>
      <c r="P20" s="46"/>
      <c r="Q20" s="46"/>
      <c r="R20" s="46"/>
      <c r="S20" s="46"/>
    </row>
    <row r="21" spans="2:19" s="104" customFormat="1" ht="19.5">
      <c r="B21" s="127"/>
      <c r="C21" s="131"/>
      <c r="D21" s="128" t="s">
        <v>25</v>
      </c>
      <c r="E21" s="132" t="s">
        <v>130</v>
      </c>
      <c r="F21" s="129"/>
      <c r="G21" s="129"/>
      <c r="H21" s="129"/>
      <c r="I21" s="45">
        <f>'LI-TRANSACUE-12 (1)'!AA43</f>
        <v>16731.76</v>
      </c>
      <c r="J21" s="130"/>
      <c r="K21" s="46"/>
      <c r="L21" s="46"/>
      <c r="M21" s="46"/>
      <c r="N21" s="46"/>
      <c r="O21" s="46"/>
      <c r="P21" s="46"/>
      <c r="Q21" s="46"/>
      <c r="R21" s="46"/>
      <c r="S21" s="46"/>
    </row>
    <row r="22" spans="2:19" ht="13.5">
      <c r="B22" s="43"/>
      <c r="C22" s="133"/>
      <c r="D22" s="134"/>
      <c r="E22" s="8"/>
      <c r="F22" s="135"/>
      <c r="G22" s="135"/>
      <c r="H22" s="135"/>
      <c r="I22" s="136"/>
      <c r="J22" s="11"/>
      <c r="K22" s="8"/>
      <c r="L22" s="8"/>
      <c r="M22" s="8"/>
      <c r="N22" s="8"/>
      <c r="O22" s="8"/>
      <c r="P22" s="8"/>
      <c r="Q22" s="8"/>
      <c r="R22" s="8"/>
      <c r="S22" s="8"/>
    </row>
    <row r="23" spans="2:19" s="104" customFormat="1" ht="19.5">
      <c r="B23" s="127"/>
      <c r="C23" s="131" t="s">
        <v>26</v>
      </c>
      <c r="D23" s="132" t="s">
        <v>27</v>
      </c>
      <c r="E23" s="46"/>
      <c r="F23" s="129"/>
      <c r="G23" s="129"/>
      <c r="H23" s="129"/>
      <c r="I23" s="45"/>
      <c r="J23" s="130"/>
      <c r="K23" s="46"/>
      <c r="L23" s="46"/>
      <c r="M23" s="46"/>
      <c r="N23" s="46"/>
      <c r="O23" s="46"/>
      <c r="P23" s="46"/>
      <c r="Q23" s="46"/>
      <c r="R23" s="46"/>
      <c r="S23" s="46"/>
    </row>
    <row r="24" spans="2:19" ht="8.25" customHeight="1">
      <c r="B24" s="43"/>
      <c r="C24" s="133"/>
      <c r="D24" s="133"/>
      <c r="E24" s="8"/>
      <c r="F24" s="135"/>
      <c r="G24" s="135"/>
      <c r="H24" s="135"/>
      <c r="I24" s="137"/>
      <c r="J24" s="11"/>
      <c r="K24" s="8"/>
      <c r="L24" s="8"/>
      <c r="M24" s="8"/>
      <c r="N24" s="8"/>
      <c r="O24" s="8"/>
      <c r="P24" s="8"/>
      <c r="Q24" s="8"/>
      <c r="R24" s="8"/>
      <c r="S24" s="8"/>
    </row>
    <row r="25" spans="2:19" s="104" customFormat="1" ht="19.5">
      <c r="B25" s="127"/>
      <c r="C25" s="131"/>
      <c r="D25" s="131" t="s">
        <v>28</v>
      </c>
      <c r="E25" s="9" t="s">
        <v>29</v>
      </c>
      <c r="F25" s="129"/>
      <c r="G25" s="129"/>
      <c r="H25" s="129"/>
      <c r="I25" s="45"/>
      <c r="J25" s="130"/>
      <c r="K25" s="46"/>
      <c r="L25" s="46"/>
      <c r="M25" s="46"/>
      <c r="N25" s="46"/>
      <c r="O25" s="46"/>
      <c r="P25" s="46"/>
      <c r="Q25" s="46"/>
      <c r="R25" s="46"/>
      <c r="S25" s="46"/>
    </row>
    <row r="26" spans="2:19" s="104" customFormat="1" ht="19.5">
      <c r="B26" s="127"/>
      <c r="C26" s="131"/>
      <c r="D26" s="131"/>
      <c r="E26" s="131" t="s">
        <v>30</v>
      </c>
      <c r="F26" s="132" t="s">
        <v>22</v>
      </c>
      <c r="G26" s="129"/>
      <c r="H26" s="129"/>
      <c r="I26" s="45">
        <f>'TR-12 (1)'!AC45</f>
        <v>163.74</v>
      </c>
      <c r="J26" s="130"/>
      <c r="K26" s="46"/>
      <c r="L26" s="46"/>
      <c r="M26" s="46"/>
      <c r="N26" s="46"/>
      <c r="O26" s="46"/>
      <c r="P26" s="46"/>
      <c r="Q26" s="46"/>
      <c r="R26" s="46"/>
      <c r="S26" s="46"/>
    </row>
    <row r="27" spans="2:19" s="104" customFormat="1" ht="19.5">
      <c r="B27" s="127"/>
      <c r="C27" s="131"/>
      <c r="D27" s="131"/>
      <c r="E27" s="131" t="s">
        <v>31</v>
      </c>
      <c r="F27" s="132" t="s">
        <v>24</v>
      </c>
      <c r="G27" s="129"/>
      <c r="H27" s="129"/>
      <c r="I27" s="45">
        <f>'TR-EDERSA-12 (1)'!AC45</f>
        <v>129.01</v>
      </c>
      <c r="J27" s="130"/>
      <c r="K27" s="46"/>
      <c r="L27" s="46"/>
      <c r="M27" s="46"/>
      <c r="N27" s="46"/>
      <c r="O27" s="46"/>
      <c r="P27" s="46"/>
      <c r="Q27" s="46"/>
      <c r="R27" s="46"/>
      <c r="S27" s="46"/>
    </row>
    <row r="28" spans="2:19" ht="13.5">
      <c r="B28" s="43"/>
      <c r="C28" s="133"/>
      <c r="D28" s="133"/>
      <c r="E28" s="8"/>
      <c r="F28" s="135"/>
      <c r="G28" s="135"/>
      <c r="H28" s="135"/>
      <c r="I28" s="137"/>
      <c r="J28" s="11"/>
      <c r="K28" s="8"/>
      <c r="L28" s="8"/>
      <c r="M28" s="8"/>
      <c r="N28" s="8"/>
      <c r="O28" s="8"/>
      <c r="P28" s="8"/>
      <c r="Q28" s="8"/>
      <c r="R28" s="8"/>
      <c r="S28" s="8"/>
    </row>
    <row r="29" spans="2:19" s="104" customFormat="1" ht="19.5">
      <c r="B29" s="127"/>
      <c r="C29" s="131"/>
      <c r="D29" s="131" t="s">
        <v>32</v>
      </c>
      <c r="E29" s="9" t="s">
        <v>33</v>
      </c>
      <c r="F29" s="129"/>
      <c r="G29" s="129"/>
      <c r="H29" s="129"/>
      <c r="I29" s="45"/>
      <c r="J29" s="130"/>
      <c r="K29" s="46"/>
      <c r="L29" s="46"/>
      <c r="M29" s="46"/>
      <c r="N29" s="46"/>
      <c r="O29" s="46"/>
      <c r="P29" s="46"/>
      <c r="Q29" s="46"/>
      <c r="R29" s="46"/>
      <c r="S29" s="46"/>
    </row>
    <row r="30" spans="2:19" s="104" customFormat="1" ht="19.5">
      <c r="B30" s="127"/>
      <c r="C30" s="131"/>
      <c r="D30" s="131"/>
      <c r="E30" s="128" t="s">
        <v>34</v>
      </c>
      <c r="F30" s="132" t="s">
        <v>24</v>
      </c>
      <c r="G30" s="129"/>
      <c r="H30" s="129"/>
      <c r="I30" s="45">
        <f>'SA-EDERSA-12 (1)'!V45</f>
        <v>12.26232</v>
      </c>
      <c r="J30" s="130"/>
      <c r="K30" s="46"/>
      <c r="L30" s="46"/>
      <c r="M30" s="46"/>
      <c r="N30" s="46"/>
      <c r="O30" s="46"/>
      <c r="P30" s="46"/>
      <c r="Q30" s="46"/>
      <c r="R30" s="46"/>
      <c r="S30" s="46"/>
    </row>
    <row r="31" spans="2:19" ht="13.5">
      <c r="B31" s="43"/>
      <c r="C31" s="133"/>
      <c r="D31" s="134"/>
      <c r="E31" s="8"/>
      <c r="F31" s="135"/>
      <c r="G31" s="135"/>
      <c r="H31" s="135"/>
      <c r="I31" s="136"/>
      <c r="J31" s="11"/>
      <c r="K31" s="8"/>
      <c r="L31" s="8"/>
      <c r="M31" s="8"/>
      <c r="N31" s="8"/>
      <c r="O31" s="8"/>
      <c r="P31" s="8"/>
      <c r="Q31" s="8"/>
      <c r="R31" s="8"/>
      <c r="S31" s="8"/>
    </row>
    <row r="32" spans="2:19" s="104" customFormat="1" ht="19.5">
      <c r="B32" s="127"/>
      <c r="C32" s="128" t="s">
        <v>35</v>
      </c>
      <c r="D32" s="9" t="s">
        <v>36</v>
      </c>
      <c r="E32" s="129"/>
      <c r="F32"/>
      <c r="G32" s="129"/>
      <c r="H32" s="129"/>
      <c r="I32" s="45"/>
      <c r="J32" s="130"/>
      <c r="K32" s="46"/>
      <c r="L32" s="46"/>
      <c r="M32" s="46"/>
      <c r="N32" s="46"/>
      <c r="O32" s="46"/>
      <c r="P32" s="46"/>
      <c r="Q32" s="46"/>
      <c r="R32" s="46"/>
      <c r="S32" s="46"/>
    </row>
    <row r="33" spans="2:19" s="104" customFormat="1" ht="19.5">
      <c r="B33" s="127"/>
      <c r="C33" s="131"/>
      <c r="D33" s="128" t="s">
        <v>160</v>
      </c>
      <c r="E33" s="132" t="s">
        <v>24</v>
      </c>
      <c r="F33"/>
      <c r="G33" s="129"/>
      <c r="H33" s="129"/>
      <c r="I33" s="45">
        <f>'SUP-EDERSA '!I57</f>
        <v>13693.734564733608</v>
      </c>
      <c r="J33" s="130"/>
      <c r="K33" s="46"/>
      <c r="L33" s="46"/>
      <c r="M33" s="46"/>
      <c r="N33" s="46"/>
      <c r="O33" s="46"/>
      <c r="P33" s="46"/>
      <c r="Q33" s="46"/>
      <c r="R33" s="46"/>
      <c r="S33" s="46"/>
    </row>
    <row r="34" spans="2:19" s="104" customFormat="1" ht="19.5">
      <c r="B34" s="127"/>
      <c r="C34" s="131"/>
      <c r="D34" s="128" t="s">
        <v>161</v>
      </c>
      <c r="E34" s="132" t="s">
        <v>130</v>
      </c>
      <c r="F34"/>
      <c r="G34" s="129"/>
      <c r="H34" s="129"/>
      <c r="I34" s="45">
        <f>'SUP-TRANSACUE'!I55</f>
        <v>5344.307081744419</v>
      </c>
      <c r="J34" s="130"/>
      <c r="K34" s="46"/>
      <c r="L34" s="46"/>
      <c r="M34" s="46"/>
      <c r="N34" s="46"/>
      <c r="O34" s="46"/>
      <c r="P34" s="46"/>
      <c r="Q34" s="46"/>
      <c r="R34" s="46"/>
      <c r="S34" s="46"/>
    </row>
    <row r="35" spans="2:19" s="104" customFormat="1" ht="20.25" thickBot="1">
      <c r="B35" s="127"/>
      <c r="C35" s="128"/>
      <c r="D35" s="128"/>
      <c r="E35" s="46"/>
      <c r="F35" s="129"/>
      <c r="G35" s="129"/>
      <c r="H35" s="129"/>
      <c r="I35" s="46"/>
      <c r="J35" s="130"/>
      <c r="K35" s="46"/>
      <c r="L35" s="46"/>
      <c r="M35" s="46"/>
      <c r="N35" s="46"/>
      <c r="O35" s="46"/>
      <c r="P35" s="46"/>
      <c r="Q35" s="46"/>
      <c r="R35" s="46"/>
      <c r="S35" s="46"/>
    </row>
    <row r="36" spans="2:19" s="104" customFormat="1" ht="20.25" thickBot="1" thickTop="1">
      <c r="B36" s="127"/>
      <c r="C36" s="131"/>
      <c r="D36" s="131"/>
      <c r="F36" s="138" t="s">
        <v>37</v>
      </c>
      <c r="G36" s="139">
        <f>SUM(I18:I34)</f>
        <v>99148.84396647802</v>
      </c>
      <c r="H36" s="216"/>
      <c r="J36" s="130"/>
      <c r="K36" s="46"/>
      <c r="L36" s="46"/>
      <c r="M36" s="46"/>
      <c r="N36" s="46"/>
      <c r="O36" s="46"/>
      <c r="P36" s="46"/>
      <c r="Q36" s="46"/>
      <c r="R36" s="46"/>
      <c r="S36" s="46"/>
    </row>
    <row r="37" spans="2:19" s="104" customFormat="1" ht="8.25" customHeight="1" thickTop="1">
      <c r="B37" s="127"/>
      <c r="C37" s="131"/>
      <c r="D37" s="131"/>
      <c r="F37" s="534"/>
      <c r="G37" s="216"/>
      <c r="H37" s="216"/>
      <c r="J37" s="130"/>
      <c r="K37" s="46"/>
      <c r="L37" s="46"/>
      <c r="M37" s="46"/>
      <c r="N37" s="46"/>
      <c r="O37" s="46"/>
      <c r="P37" s="46"/>
      <c r="Q37" s="46"/>
      <c r="R37" s="46"/>
      <c r="S37" s="46"/>
    </row>
    <row r="38" spans="2:19" s="104" customFormat="1" ht="18.75">
      <c r="B38" s="127"/>
      <c r="C38" s="535" t="s">
        <v>164</v>
      </c>
      <c r="D38" s="131"/>
      <c r="F38" s="534"/>
      <c r="G38" s="216"/>
      <c r="H38" s="216"/>
      <c r="J38" s="130"/>
      <c r="K38" s="46"/>
      <c r="L38" s="46"/>
      <c r="M38" s="46"/>
      <c r="N38" s="46"/>
      <c r="O38" s="46"/>
      <c r="P38" s="46"/>
      <c r="Q38" s="46"/>
      <c r="R38" s="46"/>
      <c r="S38" s="46"/>
    </row>
    <row r="39" spans="2:19" s="120" customFormat="1" ht="6.75" customHeight="1" thickBot="1">
      <c r="B39" s="140"/>
      <c r="C39" s="141"/>
      <c r="D39" s="141"/>
      <c r="E39" s="142"/>
      <c r="F39" s="142"/>
      <c r="G39" s="142"/>
      <c r="H39" s="142"/>
      <c r="I39" s="142"/>
      <c r="J39" s="143"/>
      <c r="K39" s="121"/>
      <c r="L39" s="121"/>
      <c r="M39" s="67"/>
      <c r="N39" s="144"/>
      <c r="O39" s="144"/>
      <c r="P39" s="145"/>
      <c r="Q39" s="146"/>
      <c r="R39" s="121"/>
      <c r="S39" s="121"/>
    </row>
    <row r="40" spans="4:19" ht="13.5" thickTop="1">
      <c r="D40" s="8"/>
      <c r="F40" s="8"/>
      <c r="G40" s="8"/>
      <c r="H40" s="8"/>
      <c r="I40" s="8"/>
      <c r="J40" s="8"/>
      <c r="K40" s="8"/>
      <c r="L40" s="8"/>
      <c r="M40" s="29"/>
      <c r="N40" s="147"/>
      <c r="O40" s="147"/>
      <c r="P40" s="8"/>
      <c r="Q40" s="35"/>
      <c r="R40" s="8"/>
      <c r="S40" s="8"/>
    </row>
    <row r="41" spans="4:19" ht="12.75">
      <c r="D41" s="8"/>
      <c r="F41" s="8"/>
      <c r="G41" s="8"/>
      <c r="H41" s="8"/>
      <c r="I41" s="8"/>
      <c r="J41" s="8"/>
      <c r="K41" s="8"/>
      <c r="L41" s="8"/>
      <c r="M41" s="8"/>
      <c r="N41" s="148"/>
      <c r="O41" s="148"/>
      <c r="P41" s="149"/>
      <c r="Q41" s="35"/>
      <c r="R41" s="8"/>
      <c r="S41" s="8"/>
    </row>
    <row r="42" spans="4:19" ht="12.75">
      <c r="D42" s="8"/>
      <c r="E42" s="8"/>
      <c r="F42" s="8"/>
      <c r="G42" s="8"/>
      <c r="H42" s="8"/>
      <c r="I42" s="8"/>
      <c r="J42" s="8"/>
      <c r="K42" s="8"/>
      <c r="L42" s="8"/>
      <c r="M42" s="8"/>
      <c r="N42" s="148"/>
      <c r="O42" s="148"/>
      <c r="P42" s="149"/>
      <c r="Q42" s="35"/>
      <c r="R42" s="8"/>
      <c r="S42" s="8"/>
    </row>
    <row r="43" spans="4:19" ht="12.75">
      <c r="D43" s="8"/>
      <c r="E43" s="8"/>
      <c r="L43" s="8"/>
      <c r="M43" s="8"/>
      <c r="N43" s="8"/>
      <c r="O43" s="8"/>
      <c r="P43" s="8"/>
      <c r="Q43" s="8"/>
      <c r="R43" s="8"/>
      <c r="S43" s="8"/>
    </row>
    <row r="44" spans="4:19" ht="12.75">
      <c r="D44" s="8"/>
      <c r="E44" s="8"/>
      <c r="P44" s="8"/>
      <c r="Q44" s="8"/>
      <c r="R44" s="8"/>
      <c r="S44" s="8"/>
    </row>
    <row r="45" spans="4:19" ht="12.75">
      <c r="D45" s="8"/>
      <c r="E45" s="8"/>
      <c r="P45" s="8"/>
      <c r="Q45" s="8"/>
      <c r="R45" s="8"/>
      <c r="S45" s="8"/>
    </row>
    <row r="46" spans="4:19" ht="12.75">
      <c r="D46" s="8"/>
      <c r="E46" s="8"/>
      <c r="P46" s="8"/>
      <c r="Q46" s="8"/>
      <c r="R46" s="8"/>
      <c r="S46" s="8"/>
    </row>
    <row r="47" spans="4:19" ht="12.75">
      <c r="D47" s="8"/>
      <c r="E47" s="8"/>
      <c r="P47" s="8"/>
      <c r="Q47" s="8"/>
      <c r="R47" s="8"/>
      <c r="S47" s="8"/>
    </row>
    <row r="48" spans="4:19" ht="12.75">
      <c r="D48" s="8"/>
      <c r="E48" s="8"/>
      <c r="P48" s="8"/>
      <c r="Q48" s="8"/>
      <c r="R48" s="8"/>
      <c r="S48" s="8"/>
    </row>
    <row r="49" spans="16:19" ht="12.75">
      <c r="P49" s="8"/>
      <c r="Q49" s="8"/>
      <c r="R49" s="8"/>
      <c r="S49" s="8"/>
    </row>
    <row r="50" spans="16:19" ht="12.75">
      <c r="P50" s="8"/>
      <c r="Q50" s="8"/>
      <c r="R50" s="8"/>
      <c r="S50" s="8"/>
    </row>
  </sheetData>
  <sheetProtection/>
  <printOptions horizontalCentered="1"/>
  <pageMargins left="0.29" right="0.1968503937007874" top="0.7874015748031497" bottom="0.7874015748031497" header="0.5118110236220472" footer="0.5118110236220472"/>
  <pageSetup fitToHeight="1" fitToWidth="1" horizontalDpi="600" verticalDpi="600" orientation="landscape" paperSize="9" scale="80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85" zoomScaleNormal="85" zoomScalePageLayoutView="0" workbookViewId="0" topLeftCell="A1">
      <selection activeCell="G17" sqref="G17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92" customFormat="1" ht="26.25">
      <c r="AB1" s="370"/>
    </row>
    <row r="2" spans="2:28" s="92" customFormat="1" ht="26.25">
      <c r="B2" s="93" t="str">
        <f>+'TOT-1215'!B2</f>
        <v>ANEXO VI al Memorándum  D.T.E.E.  N°  379 / 2016              .-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="10" customFormat="1" ht="12.75"/>
    <row r="4" spans="1:3" s="95" customFormat="1" ht="11.25">
      <c r="A4" s="546" t="s">
        <v>17</v>
      </c>
      <c r="C4" s="545"/>
    </row>
    <row r="5" spans="1:3" s="95" customFormat="1" ht="11.25">
      <c r="A5" s="546" t="s">
        <v>136</v>
      </c>
      <c r="C5" s="545"/>
    </row>
    <row r="6" s="10" customFormat="1" ht="13.5" thickBot="1"/>
    <row r="7" spans="1:28" s="10" customFormat="1" ht="13.5" thickTop="1">
      <c r="A7" s="8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1:28" s="97" customFormat="1" ht="20.25">
      <c r="A8" s="44"/>
      <c r="B8" s="96"/>
      <c r="C8" s="44"/>
      <c r="D8" s="44"/>
      <c r="E8" s="44"/>
      <c r="F8" s="21" t="s">
        <v>38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8"/>
    </row>
    <row r="9" spans="1:28" s="10" customFormat="1" ht="12.75">
      <c r="A9" s="8"/>
      <c r="B9" s="43"/>
      <c r="C9" s="8"/>
      <c r="D9" s="8"/>
      <c r="E9" s="8"/>
      <c r="F9" s="109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97" customFormat="1" ht="20.25">
      <c r="A10" s="44"/>
      <c r="B10" s="96"/>
      <c r="C10" s="44"/>
      <c r="D10" s="44"/>
      <c r="E10" s="44"/>
      <c r="F10" s="21" t="s">
        <v>39</v>
      </c>
      <c r="G10" s="21"/>
      <c r="H10" s="44"/>
      <c r="I10" s="99"/>
      <c r="J10" s="99"/>
      <c r="K10" s="99"/>
      <c r="L10" s="99"/>
      <c r="M10" s="99"/>
      <c r="N10" s="99"/>
      <c r="O10" s="99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8"/>
    </row>
    <row r="11" spans="1:28" s="10" customFormat="1" ht="12.75">
      <c r="A11" s="8"/>
      <c r="B11" s="43"/>
      <c r="C11" s="8"/>
      <c r="D11" s="8"/>
      <c r="E11" s="8"/>
      <c r="F11" s="108"/>
      <c r="G11" s="106"/>
      <c r="H11" s="8"/>
      <c r="I11" s="105"/>
      <c r="J11" s="105"/>
      <c r="K11" s="105"/>
      <c r="L11" s="105"/>
      <c r="M11" s="105"/>
      <c r="N11" s="105"/>
      <c r="O11" s="10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97" customFormat="1" ht="20.25">
      <c r="A12" s="44"/>
      <c r="B12" s="96"/>
      <c r="C12" s="44"/>
      <c r="D12" s="44"/>
      <c r="E12" s="44"/>
      <c r="F12" s="21" t="s">
        <v>40</v>
      </c>
      <c r="G12" s="21"/>
      <c r="H12" s="44"/>
      <c r="I12" s="99"/>
      <c r="J12" s="99"/>
      <c r="K12" s="99"/>
      <c r="L12" s="99"/>
      <c r="M12" s="99"/>
      <c r="N12" s="99"/>
      <c r="O12" s="99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98"/>
    </row>
    <row r="13" spans="1:28" s="10" customFormat="1" ht="12.75">
      <c r="A13" s="8"/>
      <c r="B13" s="43"/>
      <c r="C13" s="8"/>
      <c r="D13" s="8"/>
      <c r="E13" s="8"/>
      <c r="F13" s="108"/>
      <c r="G13" s="106"/>
      <c r="H13" s="8"/>
      <c r="I13" s="105"/>
      <c r="J13" s="105"/>
      <c r="K13" s="105"/>
      <c r="L13" s="105"/>
      <c r="M13" s="105"/>
      <c r="N13" s="105"/>
      <c r="O13" s="10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</row>
    <row r="14" spans="1:28" s="104" customFormat="1" ht="19.5">
      <c r="A14" s="46"/>
      <c r="B14" s="70" t="str">
        <f>+'TOT-1215'!B14</f>
        <v>Desde el 01 al 31 de diciembre de 2015</v>
      </c>
      <c r="C14" s="100"/>
      <c r="D14" s="100"/>
      <c r="E14" s="100"/>
      <c r="F14" s="100"/>
      <c r="G14" s="101"/>
      <c r="H14" s="101"/>
      <c r="I14" s="102"/>
      <c r="J14" s="102"/>
      <c r="K14" s="102"/>
      <c r="L14" s="102"/>
      <c r="M14" s="102"/>
      <c r="N14" s="102"/>
      <c r="O14" s="102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3"/>
    </row>
    <row r="15" spans="1:28" s="10" customFormat="1" ht="13.5" thickBot="1">
      <c r="A15" s="8"/>
      <c r="B15" s="43"/>
      <c r="C15" s="8"/>
      <c r="D15" s="8"/>
      <c r="E15" s="8"/>
      <c r="F15" s="8"/>
      <c r="G15" s="106"/>
      <c r="H15" s="107"/>
      <c r="I15" s="105"/>
      <c r="J15" s="105"/>
      <c r="K15" s="105"/>
      <c r="L15" s="105"/>
      <c r="M15" s="105"/>
      <c r="N15" s="105"/>
      <c r="O15" s="10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</row>
    <row r="16" spans="1:28" s="78" customFormat="1" ht="16.5" customHeight="1" thickBot="1" thickTop="1">
      <c r="A16" s="74"/>
      <c r="B16" s="75"/>
      <c r="C16" s="74"/>
      <c r="D16" s="74"/>
      <c r="E16" s="74"/>
      <c r="F16" s="372" t="s">
        <v>41</v>
      </c>
      <c r="G16" s="373">
        <v>273.243</v>
      </c>
      <c r="H16" s="374"/>
      <c r="I16" s="79"/>
      <c r="J16" s="79"/>
      <c r="K16" s="79"/>
      <c r="L16" s="79"/>
      <c r="M16" s="79"/>
      <c r="N16" s="79"/>
      <c r="O16" s="79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7"/>
    </row>
    <row r="17" spans="1:28" s="78" customFormat="1" ht="16.5" customHeight="1" thickBot="1" thickTop="1">
      <c r="A17" s="74"/>
      <c r="B17" s="75"/>
      <c r="C17" s="74"/>
      <c r="D17" s="74"/>
      <c r="E17" s="74"/>
      <c r="F17" s="372" t="s">
        <v>42</v>
      </c>
      <c r="G17" s="373">
        <v>261.099</v>
      </c>
      <c r="H17" s="375"/>
      <c r="I17" s="74"/>
      <c r="K17" s="80" t="s">
        <v>43</v>
      </c>
      <c r="L17" s="81">
        <f>30*'TOT-1215'!B13</f>
        <v>30</v>
      </c>
      <c r="M17" s="215" t="str">
        <f>IF(L17=30," ",IF(L17=60,"Coeficiente duplicado por tasa de falla &gt;4 Sal. x año/100 km.","REVISAR COEFICIENTE"))</f>
        <v> 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7"/>
    </row>
    <row r="18" spans="1:28" s="569" customFormat="1" ht="14.25" thickBot="1" thickTop="1">
      <c r="A18" s="565"/>
      <c r="B18" s="566"/>
      <c r="C18" s="567">
        <v>3</v>
      </c>
      <c r="D18" s="567">
        <v>4</v>
      </c>
      <c r="E18" s="567">
        <v>5</v>
      </c>
      <c r="F18" s="567">
        <v>6</v>
      </c>
      <c r="G18" s="567">
        <v>7</v>
      </c>
      <c r="H18" s="567">
        <v>8</v>
      </c>
      <c r="I18" s="567">
        <v>9</v>
      </c>
      <c r="J18" s="567">
        <v>10</v>
      </c>
      <c r="K18" s="567">
        <v>11</v>
      </c>
      <c r="L18" s="567">
        <v>12</v>
      </c>
      <c r="M18" s="567">
        <v>13</v>
      </c>
      <c r="N18" s="567">
        <v>14</v>
      </c>
      <c r="O18" s="567">
        <v>15</v>
      </c>
      <c r="P18" s="567">
        <v>16</v>
      </c>
      <c r="Q18" s="567">
        <v>17</v>
      </c>
      <c r="R18" s="567">
        <v>18</v>
      </c>
      <c r="S18" s="567">
        <v>19</v>
      </c>
      <c r="T18" s="567">
        <v>20</v>
      </c>
      <c r="U18" s="567">
        <v>21</v>
      </c>
      <c r="V18" s="567">
        <v>22</v>
      </c>
      <c r="W18" s="567">
        <v>23</v>
      </c>
      <c r="X18" s="567">
        <v>24</v>
      </c>
      <c r="Y18" s="567">
        <v>25</v>
      </c>
      <c r="Z18" s="567">
        <v>26</v>
      </c>
      <c r="AA18" s="567">
        <v>27</v>
      </c>
      <c r="AB18" s="568"/>
    </row>
    <row r="19" spans="1:28" s="91" customFormat="1" ht="33.75" customHeight="1" thickBot="1" thickTop="1">
      <c r="A19" s="82"/>
      <c r="B19" s="83"/>
      <c r="C19" s="84" t="s">
        <v>44</v>
      </c>
      <c r="D19" s="84" t="s">
        <v>135</v>
      </c>
      <c r="E19" s="84" t="s">
        <v>134</v>
      </c>
      <c r="F19" s="85" t="s">
        <v>20</v>
      </c>
      <c r="G19" s="86" t="s">
        <v>45</v>
      </c>
      <c r="H19" s="87" t="s">
        <v>46</v>
      </c>
      <c r="I19" s="245" t="s">
        <v>47</v>
      </c>
      <c r="J19" s="85" t="s">
        <v>48</v>
      </c>
      <c r="K19" s="85" t="s">
        <v>49</v>
      </c>
      <c r="L19" s="86" t="s">
        <v>50</v>
      </c>
      <c r="M19" s="86" t="s">
        <v>51</v>
      </c>
      <c r="N19" s="88" t="s">
        <v>52</v>
      </c>
      <c r="O19" s="86" t="s">
        <v>53</v>
      </c>
      <c r="P19" s="255" t="s">
        <v>54</v>
      </c>
      <c r="Q19" s="258" t="s">
        <v>55</v>
      </c>
      <c r="R19" s="261" t="s">
        <v>56</v>
      </c>
      <c r="S19" s="262"/>
      <c r="T19" s="263"/>
      <c r="U19" s="272" t="s">
        <v>57</v>
      </c>
      <c r="V19" s="273"/>
      <c r="W19" s="274"/>
      <c r="X19" s="282" t="s">
        <v>58</v>
      </c>
      <c r="Y19" s="285" t="s">
        <v>59</v>
      </c>
      <c r="Z19" s="89" t="s">
        <v>60</v>
      </c>
      <c r="AA19" s="89" t="s">
        <v>61</v>
      </c>
      <c r="AB19" s="90"/>
    </row>
    <row r="20" spans="1:28" ht="16.5" customHeight="1" thickTop="1">
      <c r="A20" s="1"/>
      <c r="B20" s="2"/>
      <c r="C20" s="50"/>
      <c r="D20" s="544"/>
      <c r="E20" s="544"/>
      <c r="F20" s="368"/>
      <c r="G20" s="52"/>
      <c r="H20" s="52"/>
      <c r="I20" s="362"/>
      <c r="J20" s="52"/>
      <c r="K20" s="53"/>
      <c r="L20" s="53"/>
      <c r="M20" s="53"/>
      <c r="N20" s="51"/>
      <c r="O20" s="52"/>
      <c r="P20" s="256"/>
      <c r="Q20" s="259"/>
      <c r="R20" s="264"/>
      <c r="S20" s="265"/>
      <c r="T20" s="266"/>
      <c r="U20" s="275"/>
      <c r="V20" s="276"/>
      <c r="W20" s="277"/>
      <c r="X20" s="283"/>
      <c r="Y20" s="286"/>
      <c r="Z20" s="270"/>
      <c r="AA20" s="369"/>
      <c r="AB20" s="3"/>
    </row>
    <row r="21" spans="1:28" ht="16.5" customHeight="1">
      <c r="A21" s="1"/>
      <c r="B21" s="2"/>
      <c r="C21" s="398"/>
      <c r="D21" s="542"/>
      <c r="E21" s="542"/>
      <c r="F21" s="398"/>
      <c r="G21" s="399"/>
      <c r="H21" s="399"/>
      <c r="I21" s="363"/>
      <c r="J21" s="398"/>
      <c r="K21" s="400"/>
      <c r="L21" s="73"/>
      <c r="M21" s="73"/>
      <c r="N21" s="401"/>
      <c r="O21" s="398"/>
      <c r="P21" s="402"/>
      <c r="Q21" s="403"/>
      <c r="R21" s="404"/>
      <c r="S21" s="405"/>
      <c r="T21" s="406"/>
      <c r="U21" s="407"/>
      <c r="V21" s="408"/>
      <c r="W21" s="409"/>
      <c r="X21" s="410"/>
      <c r="Y21" s="411"/>
      <c r="Z21" s="412"/>
      <c r="AA21" s="73"/>
      <c r="AB21" s="3"/>
    </row>
    <row r="22" spans="1:28" ht="16.5" customHeight="1">
      <c r="A22" s="1"/>
      <c r="B22" s="2"/>
      <c r="C22" s="376">
        <v>1</v>
      </c>
      <c r="D22" s="376">
        <v>295568</v>
      </c>
      <c r="E22" s="376">
        <v>1637</v>
      </c>
      <c r="F22" s="377" t="s">
        <v>142</v>
      </c>
      <c r="G22" s="378">
        <v>330</v>
      </c>
      <c r="H22" s="379">
        <v>550</v>
      </c>
      <c r="I22" s="364">
        <f aca="true" t="shared" si="0" ref="I22:I38">IF(H22&gt;25,H22,25)*IF(G22=330,$G$16,$G$17)/100</f>
        <v>1502.8365</v>
      </c>
      <c r="J22" s="384">
        <v>42340.33541666667</v>
      </c>
      <c r="K22" s="384">
        <v>42340.67569444444</v>
      </c>
      <c r="L22" s="13">
        <f aca="true" t="shared" si="1" ref="L22:L38">IF(F22="","",(K22-J22)*24)</f>
        <v>8.166666666569654</v>
      </c>
      <c r="M22" s="14">
        <f aca="true" t="shared" si="2" ref="M22:M38">IF(F22="","",ROUND((K22-J22)*24*60,0))</f>
        <v>490</v>
      </c>
      <c r="N22" s="385" t="s">
        <v>139</v>
      </c>
      <c r="O22" s="564" t="s">
        <v>141</v>
      </c>
      <c r="P22" s="549">
        <f aca="true" t="shared" si="3" ref="P22:P38">IF(N22="P",ROUND(M22/60,2)*I22*$L$17*0.01,"--")</f>
        <v>3683.4522615</v>
      </c>
      <c r="Q22" s="550" t="str">
        <f aca="true" t="shared" si="4" ref="Q22:Q38">IF(N22="RP",ROUND(M22/60,2)*I22*$L$17*0.01*O22/100,"--")</f>
        <v>--</v>
      </c>
      <c r="R22" s="551" t="str">
        <f aca="true" t="shared" si="5" ref="R22:R38">IF(N22="F",I22*$L$17,"--")</f>
        <v>--</v>
      </c>
      <c r="S22" s="552" t="str">
        <f aca="true" t="shared" si="6" ref="S22:S38">IF(AND(M22&gt;10,N22="F"),I22*$L$17*IF(M22&gt;180,3,ROUND(M22/60,2)),"--")</f>
        <v>--</v>
      </c>
      <c r="T22" s="553" t="str">
        <f aca="true" t="shared" si="7" ref="T22:T38">IF(AND(M22&gt;180,N22="F"),(ROUND(M22/60,2)-3)*I22*$L$17*0.1,"--")</f>
        <v>--</v>
      </c>
      <c r="U22" s="554" t="str">
        <f aca="true" t="shared" si="8" ref="U22:U38">IF(N22="R",I22*$L$17*O22/100,"--")</f>
        <v>--</v>
      </c>
      <c r="V22" s="555" t="str">
        <f aca="true" t="shared" si="9" ref="V22:V38">IF(AND(M22&gt;10,N22="R"),I22*$L$17*O22/100*IF(M22&gt;180,3,ROUND(M22/60,2)),"--")</f>
        <v>--</v>
      </c>
      <c r="W22" s="556" t="str">
        <f aca="true" t="shared" si="10" ref="W22:W38">IF(AND(M22&gt;180,N22="R"),(ROUND(M22/60,2)-3)*O22/100*I22*$L$17*0.1,"--")</f>
        <v>--</v>
      </c>
      <c r="X22" s="557" t="str">
        <f aca="true" t="shared" si="11" ref="X22:X38">IF(N22="RF",ROUND(M22/60,2)*I22*$L$17*0.1,"--")</f>
        <v>--</v>
      </c>
      <c r="Y22" s="558" t="str">
        <f aca="true" t="shared" si="12" ref="Y22:Y38">IF(N22="RR",ROUND(M22/60,2)*O22/100*I22*$L$17*0.1,"--")</f>
        <v>--</v>
      </c>
      <c r="Z22" s="559" t="s">
        <v>140</v>
      </c>
      <c r="AA22" s="54">
        <f aca="true" t="shared" si="13" ref="AA22:AA38">IF(F22="","",SUM(P22:Y22)*IF(Z22="SI",1,2))</f>
        <v>3683.4522615</v>
      </c>
      <c r="AB22" s="3"/>
    </row>
    <row r="23" spans="1:28" ht="16.5" customHeight="1">
      <c r="A23" s="1"/>
      <c r="B23" s="2"/>
      <c r="C23" s="376">
        <v>2</v>
      </c>
      <c r="D23" s="376">
        <v>295569</v>
      </c>
      <c r="E23" s="376">
        <v>1637</v>
      </c>
      <c r="F23" s="377" t="s">
        <v>142</v>
      </c>
      <c r="G23" s="378">
        <v>330</v>
      </c>
      <c r="H23" s="379">
        <v>550</v>
      </c>
      <c r="I23" s="364">
        <f t="shared" si="0"/>
        <v>1502.8365</v>
      </c>
      <c r="J23" s="384">
        <v>42341.33263888889</v>
      </c>
      <c r="K23" s="384">
        <v>42341.79791666667</v>
      </c>
      <c r="L23" s="13">
        <f t="shared" si="1"/>
        <v>11.166666666744277</v>
      </c>
      <c r="M23" s="14">
        <f t="shared" si="2"/>
        <v>670</v>
      </c>
      <c r="N23" s="385" t="s">
        <v>139</v>
      </c>
      <c r="O23" s="564" t="s">
        <v>141</v>
      </c>
      <c r="P23" s="549">
        <f t="shared" si="3"/>
        <v>5036.0051115</v>
      </c>
      <c r="Q23" s="550" t="str">
        <f t="shared" si="4"/>
        <v>--</v>
      </c>
      <c r="R23" s="551" t="str">
        <f t="shared" si="5"/>
        <v>--</v>
      </c>
      <c r="S23" s="552" t="str">
        <f t="shared" si="6"/>
        <v>--</v>
      </c>
      <c r="T23" s="553" t="str">
        <f t="shared" si="7"/>
        <v>--</v>
      </c>
      <c r="U23" s="554" t="str">
        <f t="shared" si="8"/>
        <v>--</v>
      </c>
      <c r="V23" s="555" t="str">
        <f t="shared" si="9"/>
        <v>--</v>
      </c>
      <c r="W23" s="556" t="str">
        <f t="shared" si="10"/>
        <v>--</v>
      </c>
      <c r="X23" s="557" t="str">
        <f t="shared" si="11"/>
        <v>--</v>
      </c>
      <c r="Y23" s="558" t="str">
        <f t="shared" si="12"/>
        <v>--</v>
      </c>
      <c r="Z23" s="559" t="s">
        <v>140</v>
      </c>
      <c r="AA23" s="54">
        <f t="shared" si="13"/>
        <v>5036.0051115</v>
      </c>
      <c r="AB23" s="3"/>
    </row>
    <row r="24" spans="1:28" ht="16.5" customHeight="1">
      <c r="A24" s="1"/>
      <c r="B24" s="2"/>
      <c r="C24" s="376">
        <v>3</v>
      </c>
      <c r="D24" s="376">
        <v>295960</v>
      </c>
      <c r="E24" s="376">
        <v>1638</v>
      </c>
      <c r="F24" s="377" t="s">
        <v>143</v>
      </c>
      <c r="G24" s="378">
        <v>330</v>
      </c>
      <c r="H24" s="379">
        <v>550</v>
      </c>
      <c r="I24" s="364">
        <f t="shared" si="0"/>
        <v>1502.8365</v>
      </c>
      <c r="J24" s="384">
        <v>42347.399305555555</v>
      </c>
      <c r="K24" s="384">
        <v>42347.700694444444</v>
      </c>
      <c r="L24" s="13">
        <f t="shared" si="1"/>
        <v>7.233333333337214</v>
      </c>
      <c r="M24" s="14">
        <f t="shared" si="2"/>
        <v>434</v>
      </c>
      <c r="N24" s="385" t="s">
        <v>139</v>
      </c>
      <c r="O24" s="564" t="s">
        <v>141</v>
      </c>
      <c r="P24" s="549">
        <f t="shared" si="3"/>
        <v>3259.6523685000006</v>
      </c>
      <c r="Q24" s="550" t="str">
        <f t="shared" si="4"/>
        <v>--</v>
      </c>
      <c r="R24" s="551" t="str">
        <f t="shared" si="5"/>
        <v>--</v>
      </c>
      <c r="S24" s="552" t="str">
        <f t="shared" si="6"/>
        <v>--</v>
      </c>
      <c r="T24" s="553" t="str">
        <f t="shared" si="7"/>
        <v>--</v>
      </c>
      <c r="U24" s="554" t="str">
        <f t="shared" si="8"/>
        <v>--</v>
      </c>
      <c r="V24" s="555" t="str">
        <f t="shared" si="9"/>
        <v>--</v>
      </c>
      <c r="W24" s="556" t="str">
        <f t="shared" si="10"/>
        <v>--</v>
      </c>
      <c r="X24" s="557" t="str">
        <f t="shared" si="11"/>
        <v>--</v>
      </c>
      <c r="Y24" s="558" t="str">
        <f t="shared" si="12"/>
        <v>--</v>
      </c>
      <c r="Z24" s="559" t="s">
        <v>140</v>
      </c>
      <c r="AA24" s="54">
        <f t="shared" si="13"/>
        <v>3259.6523685000006</v>
      </c>
      <c r="AB24" s="3"/>
    </row>
    <row r="25" spans="1:28" ht="16.5" customHeight="1">
      <c r="A25" s="1"/>
      <c r="B25" s="2"/>
      <c r="C25" s="376"/>
      <c r="D25" s="376"/>
      <c r="E25" s="376"/>
      <c r="F25" s="377"/>
      <c r="G25" s="378"/>
      <c r="H25" s="379"/>
      <c r="I25" s="364"/>
      <c r="J25" s="384"/>
      <c r="K25" s="384"/>
      <c r="L25" s="13"/>
      <c r="M25" s="14"/>
      <c r="N25" s="385"/>
      <c r="O25" s="564"/>
      <c r="P25" s="549"/>
      <c r="Q25" s="550"/>
      <c r="R25" s="551"/>
      <c r="S25" s="552"/>
      <c r="T25" s="553"/>
      <c r="U25" s="554"/>
      <c r="V25" s="555"/>
      <c r="W25" s="556"/>
      <c r="X25" s="557"/>
      <c r="Y25" s="558"/>
      <c r="Z25" s="559"/>
      <c r="AA25" s="54"/>
      <c r="AB25" s="3"/>
    </row>
    <row r="26" spans="1:28" ht="16.5" customHeight="1">
      <c r="A26" s="1"/>
      <c r="B26" s="2"/>
      <c r="C26" s="376"/>
      <c r="D26" s="376"/>
      <c r="E26" s="376"/>
      <c r="F26" s="377"/>
      <c r="G26" s="378"/>
      <c r="H26" s="379"/>
      <c r="I26" s="364"/>
      <c r="J26" s="384"/>
      <c r="K26" s="384"/>
      <c r="L26" s="13"/>
      <c r="M26" s="14"/>
      <c r="N26" s="385"/>
      <c r="O26" s="564"/>
      <c r="P26" s="549"/>
      <c r="Q26" s="550"/>
      <c r="R26" s="551"/>
      <c r="S26" s="552"/>
      <c r="T26" s="553"/>
      <c r="U26" s="554"/>
      <c r="V26" s="555"/>
      <c r="W26" s="556"/>
      <c r="X26" s="557"/>
      <c r="Y26" s="558"/>
      <c r="Z26" s="559"/>
      <c r="AA26" s="54"/>
      <c r="AB26" s="3"/>
    </row>
    <row r="27" spans="1:28" ht="16.5" customHeight="1">
      <c r="A27" s="1"/>
      <c r="B27" s="2"/>
      <c r="C27" s="376"/>
      <c r="D27" s="376"/>
      <c r="E27" s="376"/>
      <c r="F27" s="377"/>
      <c r="G27" s="378"/>
      <c r="H27" s="379"/>
      <c r="I27" s="364"/>
      <c r="J27" s="384"/>
      <c r="K27" s="384"/>
      <c r="L27" s="13"/>
      <c r="M27" s="14"/>
      <c r="N27" s="385"/>
      <c r="O27" s="564"/>
      <c r="P27" s="549"/>
      <c r="Q27" s="550"/>
      <c r="R27" s="551"/>
      <c r="S27" s="552"/>
      <c r="T27" s="553"/>
      <c r="U27" s="554"/>
      <c r="V27" s="555"/>
      <c r="W27" s="556"/>
      <c r="X27" s="557"/>
      <c r="Y27" s="558"/>
      <c r="Z27" s="559"/>
      <c r="AA27" s="54"/>
      <c r="AB27" s="3"/>
    </row>
    <row r="28" spans="1:28" ht="16.5" customHeight="1">
      <c r="A28" s="1"/>
      <c r="B28" s="2"/>
      <c r="C28" s="376"/>
      <c r="D28" s="376"/>
      <c r="E28" s="376"/>
      <c r="F28" s="377"/>
      <c r="G28" s="378"/>
      <c r="H28" s="379"/>
      <c r="I28" s="364">
        <f t="shared" si="0"/>
        <v>65.27475</v>
      </c>
      <c r="J28" s="384"/>
      <c r="K28" s="384"/>
      <c r="L28" s="13">
        <f t="shared" si="1"/>
      </c>
      <c r="M28" s="14">
        <f t="shared" si="2"/>
      </c>
      <c r="N28" s="385"/>
      <c r="O28" s="548">
        <f aca="true" t="shared" si="14" ref="O28:O38">IF(F28="","","--")</f>
      </c>
      <c r="P28" s="549" t="str">
        <f t="shared" si="3"/>
        <v>--</v>
      </c>
      <c r="Q28" s="550" t="str">
        <f t="shared" si="4"/>
        <v>--</v>
      </c>
      <c r="R28" s="551" t="str">
        <f t="shared" si="5"/>
        <v>--</v>
      </c>
      <c r="S28" s="552" t="str">
        <f t="shared" si="6"/>
        <v>--</v>
      </c>
      <c r="T28" s="553" t="str">
        <f t="shared" si="7"/>
        <v>--</v>
      </c>
      <c r="U28" s="554" t="str">
        <f t="shared" si="8"/>
        <v>--</v>
      </c>
      <c r="V28" s="555" t="str">
        <f t="shared" si="9"/>
        <v>--</v>
      </c>
      <c r="W28" s="556" t="str">
        <f t="shared" si="10"/>
        <v>--</v>
      </c>
      <c r="X28" s="557" t="str">
        <f t="shared" si="11"/>
        <v>--</v>
      </c>
      <c r="Y28" s="558" t="str">
        <f t="shared" si="12"/>
        <v>--</v>
      </c>
      <c r="Z28" s="559">
        <f aca="true" t="shared" si="15" ref="Z28:Z38">IF(F28="","","SI")</f>
      </c>
      <c r="AA28" s="54">
        <f t="shared" si="13"/>
      </c>
      <c r="AB28" s="3"/>
    </row>
    <row r="29" spans="1:28" ht="16.5" customHeight="1">
      <c r="A29" s="1"/>
      <c r="B29" s="2"/>
      <c r="C29" s="376"/>
      <c r="D29" s="376"/>
      <c r="E29" s="376"/>
      <c r="F29" s="377"/>
      <c r="G29" s="378"/>
      <c r="H29" s="379"/>
      <c r="I29" s="364">
        <f t="shared" si="0"/>
        <v>65.27475</v>
      </c>
      <c r="J29" s="384"/>
      <c r="K29" s="384"/>
      <c r="L29" s="13">
        <f t="shared" si="1"/>
      </c>
      <c r="M29" s="14">
        <f t="shared" si="2"/>
      </c>
      <c r="N29" s="385"/>
      <c r="O29" s="548">
        <f t="shared" si="14"/>
      </c>
      <c r="P29" s="549" t="str">
        <f t="shared" si="3"/>
        <v>--</v>
      </c>
      <c r="Q29" s="550" t="str">
        <f t="shared" si="4"/>
        <v>--</v>
      </c>
      <c r="R29" s="551" t="str">
        <f t="shared" si="5"/>
        <v>--</v>
      </c>
      <c r="S29" s="552" t="str">
        <f t="shared" si="6"/>
        <v>--</v>
      </c>
      <c r="T29" s="553" t="str">
        <f t="shared" si="7"/>
        <v>--</v>
      </c>
      <c r="U29" s="554" t="str">
        <f t="shared" si="8"/>
        <v>--</v>
      </c>
      <c r="V29" s="555" t="str">
        <f t="shared" si="9"/>
        <v>--</v>
      </c>
      <c r="W29" s="556" t="str">
        <f t="shared" si="10"/>
        <v>--</v>
      </c>
      <c r="X29" s="557" t="str">
        <f t="shared" si="11"/>
        <v>--</v>
      </c>
      <c r="Y29" s="558" t="str">
        <f t="shared" si="12"/>
        <v>--</v>
      </c>
      <c r="Z29" s="559">
        <f t="shared" si="15"/>
      </c>
      <c r="AA29" s="54">
        <f t="shared" si="13"/>
      </c>
      <c r="AB29" s="3"/>
    </row>
    <row r="30" spans="1:28" ht="16.5" customHeight="1">
      <c r="A30" s="1"/>
      <c r="B30" s="2"/>
      <c r="C30" s="376"/>
      <c r="D30" s="376"/>
      <c r="E30" s="376"/>
      <c r="F30" s="377"/>
      <c r="G30" s="378"/>
      <c r="H30" s="379"/>
      <c r="I30" s="364">
        <f t="shared" si="0"/>
        <v>65.27475</v>
      </c>
      <c r="J30" s="384"/>
      <c r="K30" s="384"/>
      <c r="L30" s="13">
        <f t="shared" si="1"/>
      </c>
      <c r="M30" s="14">
        <f t="shared" si="2"/>
      </c>
      <c r="N30" s="385"/>
      <c r="O30" s="548">
        <f t="shared" si="14"/>
      </c>
      <c r="P30" s="549" t="str">
        <f t="shared" si="3"/>
        <v>--</v>
      </c>
      <c r="Q30" s="550" t="str">
        <f t="shared" si="4"/>
        <v>--</v>
      </c>
      <c r="R30" s="551" t="str">
        <f t="shared" si="5"/>
        <v>--</v>
      </c>
      <c r="S30" s="552" t="str">
        <f t="shared" si="6"/>
        <v>--</v>
      </c>
      <c r="T30" s="553" t="str">
        <f t="shared" si="7"/>
        <v>--</v>
      </c>
      <c r="U30" s="554" t="str">
        <f t="shared" si="8"/>
        <v>--</v>
      </c>
      <c r="V30" s="555" t="str">
        <f t="shared" si="9"/>
        <v>--</v>
      </c>
      <c r="W30" s="556" t="str">
        <f t="shared" si="10"/>
        <v>--</v>
      </c>
      <c r="X30" s="557" t="str">
        <f t="shared" si="11"/>
        <v>--</v>
      </c>
      <c r="Y30" s="558" t="str">
        <f t="shared" si="12"/>
        <v>--</v>
      </c>
      <c r="Z30" s="559">
        <f t="shared" si="15"/>
      </c>
      <c r="AA30" s="54">
        <f t="shared" si="13"/>
      </c>
      <c r="AB30" s="3"/>
    </row>
    <row r="31" spans="1:28" ht="16.5" customHeight="1">
      <c r="A31" s="1"/>
      <c r="B31" s="2"/>
      <c r="C31" s="376"/>
      <c r="D31" s="376"/>
      <c r="E31" s="376"/>
      <c r="F31" s="377"/>
      <c r="G31" s="378"/>
      <c r="H31" s="379"/>
      <c r="I31" s="364">
        <f t="shared" si="0"/>
        <v>65.27475</v>
      </c>
      <c r="J31" s="384"/>
      <c r="K31" s="384"/>
      <c r="L31" s="13">
        <f t="shared" si="1"/>
      </c>
      <c r="M31" s="14">
        <f t="shared" si="2"/>
      </c>
      <c r="N31" s="385"/>
      <c r="O31" s="548">
        <f t="shared" si="14"/>
      </c>
      <c r="P31" s="549" t="str">
        <f t="shared" si="3"/>
        <v>--</v>
      </c>
      <c r="Q31" s="550" t="str">
        <f t="shared" si="4"/>
        <v>--</v>
      </c>
      <c r="R31" s="551" t="str">
        <f t="shared" si="5"/>
        <v>--</v>
      </c>
      <c r="S31" s="552" t="str">
        <f t="shared" si="6"/>
        <v>--</v>
      </c>
      <c r="T31" s="553" t="str">
        <f t="shared" si="7"/>
        <v>--</v>
      </c>
      <c r="U31" s="554" t="str">
        <f t="shared" si="8"/>
        <v>--</v>
      </c>
      <c r="V31" s="555" t="str">
        <f t="shared" si="9"/>
        <v>--</v>
      </c>
      <c r="W31" s="556" t="str">
        <f t="shared" si="10"/>
        <v>--</v>
      </c>
      <c r="X31" s="557" t="str">
        <f t="shared" si="11"/>
        <v>--</v>
      </c>
      <c r="Y31" s="558" t="str">
        <f t="shared" si="12"/>
        <v>--</v>
      </c>
      <c r="Z31" s="559">
        <f t="shared" si="15"/>
      </c>
      <c r="AA31" s="54">
        <f t="shared" si="13"/>
      </c>
      <c r="AB31" s="3"/>
    </row>
    <row r="32" spans="1:28" ht="16.5" customHeight="1">
      <c r="A32" s="1"/>
      <c r="B32" s="2"/>
      <c r="C32" s="376"/>
      <c r="D32" s="376"/>
      <c r="E32" s="376"/>
      <c r="F32" s="377"/>
      <c r="G32" s="378"/>
      <c r="H32" s="379"/>
      <c r="I32" s="364">
        <f t="shared" si="0"/>
        <v>65.27475</v>
      </c>
      <c r="J32" s="384"/>
      <c r="K32" s="384"/>
      <c r="L32" s="13">
        <f t="shared" si="1"/>
      </c>
      <c r="M32" s="14">
        <f t="shared" si="2"/>
      </c>
      <c r="N32" s="385"/>
      <c r="O32" s="548">
        <f t="shared" si="14"/>
      </c>
      <c r="P32" s="549" t="str">
        <f t="shared" si="3"/>
        <v>--</v>
      </c>
      <c r="Q32" s="550" t="str">
        <f t="shared" si="4"/>
        <v>--</v>
      </c>
      <c r="R32" s="551" t="str">
        <f t="shared" si="5"/>
        <v>--</v>
      </c>
      <c r="S32" s="552" t="str">
        <f t="shared" si="6"/>
        <v>--</v>
      </c>
      <c r="T32" s="553" t="str">
        <f t="shared" si="7"/>
        <v>--</v>
      </c>
      <c r="U32" s="554" t="str">
        <f t="shared" si="8"/>
        <v>--</v>
      </c>
      <c r="V32" s="555" t="str">
        <f t="shared" si="9"/>
        <v>--</v>
      </c>
      <c r="W32" s="556" t="str">
        <f t="shared" si="10"/>
        <v>--</v>
      </c>
      <c r="X32" s="557" t="str">
        <f t="shared" si="11"/>
        <v>--</v>
      </c>
      <c r="Y32" s="558" t="str">
        <f t="shared" si="12"/>
        <v>--</v>
      </c>
      <c r="Z32" s="559">
        <f t="shared" si="15"/>
      </c>
      <c r="AA32" s="54">
        <f t="shared" si="13"/>
      </c>
      <c r="AB32" s="3"/>
    </row>
    <row r="33" spans="1:28" ht="16.5" customHeight="1">
      <c r="A33" s="1"/>
      <c r="B33" s="2"/>
      <c r="C33" s="376"/>
      <c r="D33" s="376"/>
      <c r="E33" s="376"/>
      <c r="F33" s="377"/>
      <c r="G33" s="378"/>
      <c r="H33" s="379"/>
      <c r="I33" s="364">
        <f t="shared" si="0"/>
        <v>65.27475</v>
      </c>
      <c r="J33" s="384"/>
      <c r="K33" s="384"/>
      <c r="L33" s="13">
        <f t="shared" si="1"/>
      </c>
      <c r="M33" s="14">
        <f t="shared" si="2"/>
      </c>
      <c r="N33" s="385"/>
      <c r="O33" s="548">
        <f t="shared" si="14"/>
      </c>
      <c r="P33" s="549" t="str">
        <f t="shared" si="3"/>
        <v>--</v>
      </c>
      <c r="Q33" s="550" t="str">
        <f t="shared" si="4"/>
        <v>--</v>
      </c>
      <c r="R33" s="551" t="str">
        <f t="shared" si="5"/>
        <v>--</v>
      </c>
      <c r="S33" s="552" t="str">
        <f t="shared" si="6"/>
        <v>--</v>
      </c>
      <c r="T33" s="553" t="str">
        <f t="shared" si="7"/>
        <v>--</v>
      </c>
      <c r="U33" s="554" t="str">
        <f t="shared" si="8"/>
        <v>--</v>
      </c>
      <c r="V33" s="555" t="str">
        <f t="shared" si="9"/>
        <v>--</v>
      </c>
      <c r="W33" s="556" t="str">
        <f t="shared" si="10"/>
        <v>--</v>
      </c>
      <c r="X33" s="557" t="str">
        <f t="shared" si="11"/>
        <v>--</v>
      </c>
      <c r="Y33" s="558" t="str">
        <f t="shared" si="12"/>
        <v>--</v>
      </c>
      <c r="Z33" s="559">
        <f t="shared" si="15"/>
      </c>
      <c r="AA33" s="54">
        <f t="shared" si="13"/>
      </c>
      <c r="AB33" s="3"/>
    </row>
    <row r="34" spans="1:28" ht="16.5" customHeight="1">
      <c r="A34" s="1"/>
      <c r="B34" s="2"/>
      <c r="C34" s="376"/>
      <c r="D34" s="376"/>
      <c r="E34" s="376"/>
      <c r="F34" s="377"/>
      <c r="G34" s="378"/>
      <c r="H34" s="379"/>
      <c r="I34" s="364">
        <f t="shared" si="0"/>
        <v>65.27475</v>
      </c>
      <c r="J34" s="384"/>
      <c r="K34" s="384"/>
      <c r="L34" s="13">
        <f t="shared" si="1"/>
      </c>
      <c r="M34" s="14">
        <f t="shared" si="2"/>
      </c>
      <c r="N34" s="385"/>
      <c r="O34" s="548">
        <f t="shared" si="14"/>
      </c>
      <c r="P34" s="549" t="str">
        <f t="shared" si="3"/>
        <v>--</v>
      </c>
      <c r="Q34" s="550" t="str">
        <f t="shared" si="4"/>
        <v>--</v>
      </c>
      <c r="R34" s="551" t="str">
        <f t="shared" si="5"/>
        <v>--</v>
      </c>
      <c r="S34" s="552" t="str">
        <f t="shared" si="6"/>
        <v>--</v>
      </c>
      <c r="T34" s="553" t="str">
        <f t="shared" si="7"/>
        <v>--</v>
      </c>
      <c r="U34" s="554" t="str">
        <f t="shared" si="8"/>
        <v>--</v>
      </c>
      <c r="V34" s="555" t="str">
        <f t="shared" si="9"/>
        <v>--</v>
      </c>
      <c r="W34" s="556" t="str">
        <f t="shared" si="10"/>
        <v>--</v>
      </c>
      <c r="X34" s="557" t="str">
        <f t="shared" si="11"/>
        <v>--</v>
      </c>
      <c r="Y34" s="558" t="str">
        <f t="shared" si="12"/>
        <v>--</v>
      </c>
      <c r="Z34" s="559">
        <f t="shared" si="15"/>
      </c>
      <c r="AA34" s="54">
        <f t="shared" si="13"/>
      </c>
      <c r="AB34" s="3"/>
    </row>
    <row r="35" spans="1:28" ht="16.5" customHeight="1">
      <c r="A35" s="1"/>
      <c r="B35" s="2"/>
      <c r="C35" s="376"/>
      <c r="D35" s="376"/>
      <c r="E35" s="376"/>
      <c r="F35" s="377"/>
      <c r="G35" s="378"/>
      <c r="H35" s="379"/>
      <c r="I35" s="364">
        <f t="shared" si="0"/>
        <v>65.27475</v>
      </c>
      <c r="J35" s="384"/>
      <c r="K35" s="384"/>
      <c r="L35" s="13">
        <f t="shared" si="1"/>
      </c>
      <c r="M35" s="14">
        <f t="shared" si="2"/>
      </c>
      <c r="N35" s="385"/>
      <c r="O35" s="548">
        <f t="shared" si="14"/>
      </c>
      <c r="P35" s="549" t="str">
        <f t="shared" si="3"/>
        <v>--</v>
      </c>
      <c r="Q35" s="550" t="str">
        <f t="shared" si="4"/>
        <v>--</v>
      </c>
      <c r="R35" s="551" t="str">
        <f t="shared" si="5"/>
        <v>--</v>
      </c>
      <c r="S35" s="552" t="str">
        <f t="shared" si="6"/>
        <v>--</v>
      </c>
      <c r="T35" s="553" t="str">
        <f t="shared" si="7"/>
        <v>--</v>
      </c>
      <c r="U35" s="554" t="str">
        <f t="shared" si="8"/>
        <v>--</v>
      </c>
      <c r="V35" s="555" t="str">
        <f t="shared" si="9"/>
        <v>--</v>
      </c>
      <c r="W35" s="556" t="str">
        <f t="shared" si="10"/>
        <v>--</v>
      </c>
      <c r="X35" s="557" t="str">
        <f t="shared" si="11"/>
        <v>--</v>
      </c>
      <c r="Y35" s="558" t="str">
        <f t="shared" si="12"/>
        <v>--</v>
      </c>
      <c r="Z35" s="559">
        <f t="shared" si="15"/>
      </c>
      <c r="AA35" s="54">
        <f t="shared" si="13"/>
      </c>
      <c r="AB35" s="3"/>
    </row>
    <row r="36" spans="1:28" ht="16.5" customHeight="1">
      <c r="A36" s="1"/>
      <c r="B36" s="2"/>
      <c r="C36" s="376"/>
      <c r="D36" s="376"/>
      <c r="E36" s="376"/>
      <c r="F36" s="377"/>
      <c r="G36" s="378"/>
      <c r="H36" s="379"/>
      <c r="I36" s="364">
        <f t="shared" si="0"/>
        <v>65.27475</v>
      </c>
      <c r="J36" s="384"/>
      <c r="K36" s="384"/>
      <c r="L36" s="13">
        <f t="shared" si="1"/>
      </c>
      <c r="M36" s="14">
        <f t="shared" si="2"/>
      </c>
      <c r="N36" s="385"/>
      <c r="O36" s="548">
        <f t="shared" si="14"/>
      </c>
      <c r="P36" s="549" t="str">
        <f t="shared" si="3"/>
        <v>--</v>
      </c>
      <c r="Q36" s="550" t="str">
        <f t="shared" si="4"/>
        <v>--</v>
      </c>
      <c r="R36" s="551" t="str">
        <f t="shared" si="5"/>
        <v>--</v>
      </c>
      <c r="S36" s="552" t="str">
        <f t="shared" si="6"/>
        <v>--</v>
      </c>
      <c r="T36" s="553" t="str">
        <f t="shared" si="7"/>
        <v>--</v>
      </c>
      <c r="U36" s="554" t="str">
        <f t="shared" si="8"/>
        <v>--</v>
      </c>
      <c r="V36" s="555" t="str">
        <f t="shared" si="9"/>
        <v>--</v>
      </c>
      <c r="W36" s="556" t="str">
        <f t="shared" si="10"/>
        <v>--</v>
      </c>
      <c r="X36" s="557" t="str">
        <f t="shared" si="11"/>
        <v>--</v>
      </c>
      <c r="Y36" s="558" t="str">
        <f t="shared" si="12"/>
        <v>--</v>
      </c>
      <c r="Z36" s="559">
        <f t="shared" si="15"/>
      </c>
      <c r="AA36" s="54">
        <f t="shared" si="13"/>
      </c>
      <c r="AB36" s="3"/>
    </row>
    <row r="37" spans="1:28" ht="16.5" customHeight="1">
      <c r="A37" s="1"/>
      <c r="B37" s="2"/>
      <c r="C37" s="376"/>
      <c r="D37" s="376"/>
      <c r="E37" s="376"/>
      <c r="F37" s="377"/>
      <c r="G37" s="378"/>
      <c r="H37" s="379"/>
      <c r="I37" s="364">
        <f t="shared" si="0"/>
        <v>65.27475</v>
      </c>
      <c r="J37" s="384"/>
      <c r="K37" s="384"/>
      <c r="L37" s="13">
        <f t="shared" si="1"/>
      </c>
      <c r="M37" s="14">
        <f t="shared" si="2"/>
      </c>
      <c r="N37" s="385"/>
      <c r="O37" s="548">
        <f t="shared" si="14"/>
      </c>
      <c r="P37" s="549" t="str">
        <f t="shared" si="3"/>
        <v>--</v>
      </c>
      <c r="Q37" s="550" t="str">
        <f t="shared" si="4"/>
        <v>--</v>
      </c>
      <c r="R37" s="551" t="str">
        <f t="shared" si="5"/>
        <v>--</v>
      </c>
      <c r="S37" s="552" t="str">
        <f t="shared" si="6"/>
        <v>--</v>
      </c>
      <c r="T37" s="553" t="str">
        <f t="shared" si="7"/>
        <v>--</v>
      </c>
      <c r="U37" s="554" t="str">
        <f t="shared" si="8"/>
        <v>--</v>
      </c>
      <c r="V37" s="555" t="str">
        <f t="shared" si="9"/>
        <v>--</v>
      </c>
      <c r="W37" s="556" t="str">
        <f t="shared" si="10"/>
        <v>--</v>
      </c>
      <c r="X37" s="557" t="str">
        <f t="shared" si="11"/>
        <v>--</v>
      </c>
      <c r="Y37" s="558" t="str">
        <f t="shared" si="12"/>
        <v>--</v>
      </c>
      <c r="Z37" s="559">
        <f t="shared" si="15"/>
      </c>
      <c r="AA37" s="54">
        <f t="shared" si="13"/>
      </c>
      <c r="AB37" s="3"/>
    </row>
    <row r="38" spans="2:28" ht="16.5" customHeight="1">
      <c r="B38" s="55"/>
      <c r="C38" s="376"/>
      <c r="D38" s="376"/>
      <c r="E38" s="376"/>
      <c r="F38" s="377"/>
      <c r="G38" s="378"/>
      <c r="H38" s="379"/>
      <c r="I38" s="364">
        <f t="shared" si="0"/>
        <v>65.27475</v>
      </c>
      <c r="J38" s="384"/>
      <c r="K38" s="384"/>
      <c r="L38" s="13">
        <f t="shared" si="1"/>
      </c>
      <c r="M38" s="14">
        <f t="shared" si="2"/>
      </c>
      <c r="N38" s="385"/>
      <c r="O38" s="548">
        <f t="shared" si="14"/>
      </c>
      <c r="P38" s="549" t="str">
        <f t="shared" si="3"/>
        <v>--</v>
      </c>
      <c r="Q38" s="550" t="str">
        <f t="shared" si="4"/>
        <v>--</v>
      </c>
      <c r="R38" s="551" t="str">
        <f t="shared" si="5"/>
        <v>--</v>
      </c>
      <c r="S38" s="552" t="str">
        <f t="shared" si="6"/>
        <v>--</v>
      </c>
      <c r="T38" s="553" t="str">
        <f t="shared" si="7"/>
        <v>--</v>
      </c>
      <c r="U38" s="554" t="str">
        <f t="shared" si="8"/>
        <v>--</v>
      </c>
      <c r="V38" s="555" t="str">
        <f t="shared" si="9"/>
        <v>--</v>
      </c>
      <c r="W38" s="556" t="str">
        <f t="shared" si="10"/>
        <v>--</v>
      </c>
      <c r="X38" s="557" t="str">
        <f t="shared" si="11"/>
        <v>--</v>
      </c>
      <c r="Y38" s="558" t="str">
        <f t="shared" si="12"/>
        <v>--</v>
      </c>
      <c r="Z38" s="559">
        <f t="shared" si="15"/>
      </c>
      <c r="AA38" s="54">
        <f t="shared" si="13"/>
      </c>
      <c r="AB38" s="3"/>
    </row>
    <row r="39" spans="2:28" ht="16.5" customHeight="1">
      <c r="B39" s="55"/>
      <c r="C39" s="376"/>
      <c r="D39" s="376"/>
      <c r="E39" s="376"/>
      <c r="F39" s="377"/>
      <c r="G39" s="378"/>
      <c r="H39" s="379"/>
      <c r="I39" s="364">
        <f>IF(H39&gt;25,H39,25)*IF(G39=330,$G$16,$G$17)/100</f>
        <v>65.27475</v>
      </c>
      <c r="J39" s="384"/>
      <c r="K39" s="384"/>
      <c r="L39" s="13">
        <f>IF(F39="","",(K39-J39)*24)</f>
      </c>
      <c r="M39" s="14">
        <f>IF(F39="","",ROUND((K39-J39)*24*60,0))</f>
      </c>
      <c r="N39" s="385"/>
      <c r="O39" s="548">
        <f>IF(F39="","","--")</f>
      </c>
      <c r="P39" s="549" t="str">
        <f>IF(N39="P",ROUND(M39/60,2)*I39*$L$17*0.01,"--")</f>
        <v>--</v>
      </c>
      <c r="Q39" s="550" t="str">
        <f>IF(N39="RP",ROUND(M39/60,2)*I39*$L$17*0.01*O39/100,"--")</f>
        <v>--</v>
      </c>
      <c r="R39" s="551" t="str">
        <f>IF(N39="F",I39*$L$17,"--")</f>
        <v>--</v>
      </c>
      <c r="S39" s="552" t="str">
        <f>IF(AND(M39&gt;10,N39="F"),I39*$L$17*IF(M39&gt;180,3,ROUND(M39/60,2)),"--")</f>
        <v>--</v>
      </c>
      <c r="T39" s="553" t="str">
        <f>IF(AND(M39&gt;180,N39="F"),(ROUND(M39/60,2)-3)*I39*$L$17*0.1,"--")</f>
        <v>--</v>
      </c>
      <c r="U39" s="554" t="str">
        <f>IF(N39="R",I39*$L$17*O39/100,"--")</f>
        <v>--</v>
      </c>
      <c r="V39" s="555" t="str">
        <f>IF(AND(M39&gt;10,N39="R"),I39*$L$17*O39/100*IF(M39&gt;180,3,ROUND(M39/60,2)),"--")</f>
        <v>--</v>
      </c>
      <c r="W39" s="556" t="str">
        <f>IF(AND(M39&gt;180,N39="R"),(ROUND(M39/60,2)-3)*O39/100*I39*$L$17*0.1,"--")</f>
        <v>--</v>
      </c>
      <c r="X39" s="557" t="str">
        <f>IF(N39="RF",ROUND(M39/60,2)*I39*$L$17*0.1,"--")</f>
        <v>--</v>
      </c>
      <c r="Y39" s="558" t="str">
        <f>IF(N39="RR",ROUND(M39/60,2)*O39/100*I39*$L$17*0.1,"--")</f>
        <v>--</v>
      </c>
      <c r="Z39" s="559">
        <f>IF(F39="","","SI")</f>
      </c>
      <c r="AA39" s="54">
        <f>IF(F39="","",SUM(P39:Y39)*IF(Z39="SI",1,2))</f>
      </c>
      <c r="AB39" s="3"/>
    </row>
    <row r="40" spans="2:28" ht="16.5" customHeight="1">
      <c r="B40" s="55"/>
      <c r="C40" s="376"/>
      <c r="D40" s="376"/>
      <c r="E40" s="376"/>
      <c r="F40" s="377"/>
      <c r="G40" s="378"/>
      <c r="H40" s="379"/>
      <c r="I40" s="364">
        <f>IF(H40&gt;25,H40,25)*IF(G40=330,$G$16,$G$17)/100</f>
        <v>65.27475</v>
      </c>
      <c r="J40" s="384"/>
      <c r="K40" s="384"/>
      <c r="L40" s="13">
        <f>IF(F40="","",(K40-J40)*24)</f>
      </c>
      <c r="M40" s="14">
        <f>IF(F40="","",ROUND((K40-J40)*24*60,0))</f>
      </c>
      <c r="N40" s="385"/>
      <c r="O40" s="548">
        <f>IF(F40="","","--")</f>
      </c>
      <c r="P40" s="549" t="str">
        <f>IF(N40="P",ROUND(M40/60,2)*I40*$L$17*0.01,"--")</f>
        <v>--</v>
      </c>
      <c r="Q40" s="550" t="str">
        <f>IF(N40="RP",ROUND(M40/60,2)*I40*$L$17*0.01*O40/100,"--")</f>
        <v>--</v>
      </c>
      <c r="R40" s="551" t="str">
        <f>IF(N40="F",I40*$L$17,"--")</f>
        <v>--</v>
      </c>
      <c r="S40" s="552" t="str">
        <f>IF(AND(M40&gt;10,N40="F"),I40*$L$17*IF(M40&gt;180,3,ROUND(M40/60,2)),"--")</f>
        <v>--</v>
      </c>
      <c r="T40" s="553" t="str">
        <f>IF(AND(M40&gt;180,N40="F"),(ROUND(M40/60,2)-3)*I40*$L$17*0.1,"--")</f>
        <v>--</v>
      </c>
      <c r="U40" s="554" t="str">
        <f>IF(N40="R",I40*$L$17*O40/100,"--")</f>
        <v>--</v>
      </c>
      <c r="V40" s="555" t="str">
        <f>IF(AND(M40&gt;10,N40="R"),I40*$L$17*O40/100*IF(M40&gt;180,3,ROUND(M40/60,2)),"--")</f>
        <v>--</v>
      </c>
      <c r="W40" s="556" t="str">
        <f>IF(AND(M40&gt;180,N40="R"),(ROUND(M40/60,2)-3)*O40/100*I40*$L$17*0.1,"--")</f>
        <v>--</v>
      </c>
      <c r="X40" s="557" t="str">
        <f>IF(N40="RF",ROUND(M40/60,2)*I40*$L$17*0.1,"--")</f>
        <v>--</v>
      </c>
      <c r="Y40" s="558" t="str">
        <f>IF(N40="RR",ROUND(M40/60,2)*O40/100*I40*$L$17*0.1,"--")</f>
        <v>--</v>
      </c>
      <c r="Z40" s="559">
        <f>IF(F40="","","SI")</f>
      </c>
      <c r="AA40" s="54">
        <f>IF(F40="","",SUM(P40:Y40)*IF(Z40="SI",1,2))</f>
      </c>
      <c r="AB40" s="3"/>
    </row>
    <row r="41" spans="2:28" ht="16.5" customHeight="1">
      <c r="B41" s="55"/>
      <c r="C41" s="376"/>
      <c r="D41" s="376"/>
      <c r="E41" s="376"/>
      <c r="F41" s="377"/>
      <c r="G41" s="378"/>
      <c r="H41" s="379"/>
      <c r="I41" s="364">
        <f>IF(H41&gt;25,H41,25)*IF(G41=330,$G$16,$G$17)/100</f>
        <v>65.27475</v>
      </c>
      <c r="J41" s="384"/>
      <c r="K41" s="384"/>
      <c r="L41" s="13">
        <f>IF(F41="","",(K41-J41)*24)</f>
      </c>
      <c r="M41" s="14">
        <f>IF(F41="","",ROUND((K41-J41)*24*60,0))</f>
      </c>
      <c r="N41" s="385"/>
      <c r="O41" s="548">
        <f>IF(F41="","","--")</f>
      </c>
      <c r="P41" s="549" t="str">
        <f>IF(N41="P",ROUND(M41/60,2)*I41*$L$17*0.01,"--")</f>
        <v>--</v>
      </c>
      <c r="Q41" s="550" t="str">
        <f>IF(N41="RP",ROUND(M41/60,2)*I41*$L$17*0.01*O41/100,"--")</f>
        <v>--</v>
      </c>
      <c r="R41" s="551" t="str">
        <f>IF(N41="F",I41*$L$17,"--")</f>
        <v>--</v>
      </c>
      <c r="S41" s="552" t="str">
        <f>IF(AND(M41&gt;10,N41="F"),I41*$L$17*IF(M41&gt;180,3,ROUND(M41/60,2)),"--")</f>
        <v>--</v>
      </c>
      <c r="T41" s="553" t="str">
        <f>IF(AND(M41&gt;180,N41="F"),(ROUND(M41/60,2)-3)*I41*$L$17*0.1,"--")</f>
        <v>--</v>
      </c>
      <c r="U41" s="554" t="str">
        <f>IF(N41="R",I41*$L$17*O41/100,"--")</f>
        <v>--</v>
      </c>
      <c r="V41" s="555" t="str">
        <f>IF(AND(M41&gt;10,N41="R"),I41*$L$17*O41/100*IF(M41&gt;180,3,ROUND(M41/60,2)),"--")</f>
        <v>--</v>
      </c>
      <c r="W41" s="556" t="str">
        <f>IF(AND(M41&gt;180,N41="R"),(ROUND(M41/60,2)-3)*O41/100*I41*$L$17*0.1,"--")</f>
        <v>--</v>
      </c>
      <c r="X41" s="557" t="str">
        <f>IF(N41="RF",ROUND(M41/60,2)*I41*$L$17*0.1,"--")</f>
        <v>--</v>
      </c>
      <c r="Y41" s="558" t="str">
        <f>IF(N41="RR",ROUND(M41/60,2)*O41/100*I41*$L$17*0.1,"--")</f>
        <v>--</v>
      </c>
      <c r="Z41" s="559">
        <f>IF(F41="","","SI")</f>
      </c>
      <c r="AA41" s="54">
        <f>IF(F41="","",SUM(P41:Y41)*IF(Z41="SI",1,2))</f>
      </c>
      <c r="AB41" s="3"/>
    </row>
    <row r="42" spans="1:28" ht="16.5" customHeight="1" thickBot="1">
      <c r="A42" s="1"/>
      <c r="B42" s="2"/>
      <c r="C42" s="380"/>
      <c r="D42" s="380"/>
      <c r="E42" s="380"/>
      <c r="F42" s="381"/>
      <c r="G42" s="382"/>
      <c r="H42" s="383"/>
      <c r="I42" s="365"/>
      <c r="J42" s="383"/>
      <c r="K42" s="383"/>
      <c r="L42" s="15"/>
      <c r="M42" s="15"/>
      <c r="N42" s="383"/>
      <c r="O42" s="386"/>
      <c r="P42" s="387"/>
      <c r="Q42" s="388"/>
      <c r="R42" s="389"/>
      <c r="S42" s="390"/>
      <c r="T42" s="391"/>
      <c r="U42" s="392"/>
      <c r="V42" s="393"/>
      <c r="W42" s="394"/>
      <c r="X42" s="395"/>
      <c r="Y42" s="396"/>
      <c r="Z42" s="397"/>
      <c r="AA42" s="56"/>
      <c r="AB42" s="3"/>
    </row>
    <row r="43" spans="1:28" ht="16.5" customHeight="1" thickBot="1" thickTop="1">
      <c r="A43" s="1"/>
      <c r="B43" s="2"/>
      <c r="C43" s="220" t="s">
        <v>62</v>
      </c>
      <c r="D43" s="580" t="s">
        <v>158</v>
      </c>
      <c r="E43" s="543"/>
      <c r="F43" s="221"/>
      <c r="G43" s="16"/>
      <c r="H43" s="17"/>
      <c r="I43" s="57"/>
      <c r="J43" s="57"/>
      <c r="K43" s="57"/>
      <c r="L43" s="57"/>
      <c r="M43" s="57"/>
      <c r="N43" s="57"/>
      <c r="O43" s="58"/>
      <c r="P43" s="288">
        <f aca="true" t="shared" si="16" ref="P43:Y43">ROUND(SUM(P20:P42),2)</f>
        <v>11979.11</v>
      </c>
      <c r="Q43" s="289">
        <f t="shared" si="16"/>
        <v>0</v>
      </c>
      <c r="R43" s="290">
        <f t="shared" si="16"/>
        <v>0</v>
      </c>
      <c r="S43" s="290">
        <f t="shared" si="16"/>
        <v>0</v>
      </c>
      <c r="T43" s="291">
        <f t="shared" si="16"/>
        <v>0</v>
      </c>
      <c r="U43" s="292">
        <f t="shared" si="16"/>
        <v>0</v>
      </c>
      <c r="V43" s="292">
        <f t="shared" si="16"/>
        <v>0</v>
      </c>
      <c r="W43" s="293">
        <f t="shared" si="16"/>
        <v>0</v>
      </c>
      <c r="X43" s="294">
        <f t="shared" si="16"/>
        <v>0</v>
      </c>
      <c r="Y43" s="295">
        <f t="shared" si="16"/>
        <v>0</v>
      </c>
      <c r="Z43" s="59"/>
      <c r="AA43" s="547">
        <f>ROUND(SUM(AA20:AA42),2)</f>
        <v>11979.11</v>
      </c>
      <c r="AB43" s="60"/>
    </row>
    <row r="44" spans="1:28" s="235" customFormat="1" ht="9.75" thickTop="1">
      <c r="A44" s="224"/>
      <c r="B44" s="225"/>
      <c r="C44" s="222"/>
      <c r="D44" s="222"/>
      <c r="E44" s="222"/>
      <c r="F44" s="223"/>
      <c r="G44" s="226"/>
      <c r="H44" s="227"/>
      <c r="I44" s="228"/>
      <c r="J44" s="228"/>
      <c r="K44" s="228"/>
      <c r="L44" s="228"/>
      <c r="M44" s="228"/>
      <c r="N44" s="228"/>
      <c r="O44" s="229"/>
      <c r="P44" s="230"/>
      <c r="Q44" s="230"/>
      <c r="R44" s="231"/>
      <c r="S44" s="231"/>
      <c r="T44" s="232"/>
      <c r="U44" s="232"/>
      <c r="V44" s="232"/>
      <c r="W44" s="232"/>
      <c r="X44" s="232"/>
      <c r="Y44" s="232"/>
      <c r="Z44" s="232"/>
      <c r="AA44" s="233"/>
      <c r="AB44" s="234"/>
    </row>
    <row r="45" spans="1:28" s="10" customFormat="1" ht="16.5" customHeight="1" thickBot="1">
      <c r="A45" s="8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91"/>
  <sheetViews>
    <sheetView zoomScale="85" zoomScaleNormal="85" zoomScalePageLayoutView="0" workbookViewId="0" topLeftCell="E1">
      <selection activeCell="G16" sqref="G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92" customFormat="1" ht="26.25">
      <c r="AB1" s="370"/>
    </row>
    <row r="2" spans="2:28" s="92" customFormat="1" ht="26.25">
      <c r="B2" s="93" t="str">
        <f>+'TOT-1215'!B2</f>
        <v>ANEXO VI al Memorándum  D.T.E.E.  N°  379 / 2016              .-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="10" customFormat="1" ht="12.75"/>
    <row r="4" spans="1:4" s="95" customFormat="1" ht="11.25">
      <c r="A4" s="546" t="s">
        <v>17</v>
      </c>
      <c r="C4" s="545"/>
      <c r="D4" s="545"/>
    </row>
    <row r="5" spans="1:4" s="95" customFormat="1" ht="11.25">
      <c r="A5" s="546" t="s">
        <v>136</v>
      </c>
      <c r="C5" s="545"/>
      <c r="D5" s="545"/>
    </row>
    <row r="6" s="10" customFormat="1" ht="13.5" thickBot="1"/>
    <row r="7" spans="1:28" s="10" customFormat="1" ht="13.5" thickTop="1">
      <c r="A7" s="8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1:28" s="97" customFormat="1" ht="20.25">
      <c r="A8" s="44"/>
      <c r="B8" s="96"/>
      <c r="C8" s="44"/>
      <c r="D8" s="44"/>
      <c r="E8" s="44"/>
      <c r="F8" s="21" t="s">
        <v>38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8"/>
    </row>
    <row r="9" spans="1:28" s="10" customFormat="1" ht="12.75">
      <c r="A9" s="8"/>
      <c r="B9" s="43"/>
      <c r="C9" s="8"/>
      <c r="D9" s="8"/>
      <c r="E9" s="8"/>
      <c r="F9" s="109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97" customFormat="1" ht="20.25">
      <c r="A10" s="44"/>
      <c r="B10" s="96"/>
      <c r="C10" s="44"/>
      <c r="D10" s="44"/>
      <c r="E10" s="44"/>
      <c r="F10" s="21" t="s">
        <v>133</v>
      </c>
      <c r="G10" s="21"/>
      <c r="H10" s="44"/>
      <c r="I10" s="99"/>
      <c r="J10" s="99"/>
      <c r="K10" s="99"/>
      <c r="L10" s="99"/>
      <c r="M10" s="99"/>
      <c r="N10" s="99"/>
      <c r="O10" s="99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8"/>
    </row>
    <row r="11" spans="1:28" s="10" customFormat="1" ht="12.75">
      <c r="A11" s="8"/>
      <c r="B11" s="43"/>
      <c r="C11" s="8"/>
      <c r="D11" s="8"/>
      <c r="E11" s="8"/>
      <c r="F11" s="108"/>
      <c r="G11" s="106"/>
      <c r="H11" s="8"/>
      <c r="I11" s="105"/>
      <c r="J11" s="105"/>
      <c r="K11" s="105"/>
      <c r="L11" s="105"/>
      <c r="M11" s="105"/>
      <c r="N11" s="105"/>
      <c r="O11" s="10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04" customFormat="1" ht="19.5">
      <c r="A12" s="46"/>
      <c r="B12" s="70" t="str">
        <f>+'TOT-1215'!B14</f>
        <v>Desde el 01 al 31 de diciembre de 2015</v>
      </c>
      <c r="C12" s="100"/>
      <c r="D12" s="100"/>
      <c r="E12" s="100"/>
      <c r="F12" s="100"/>
      <c r="G12" s="101"/>
      <c r="H12" s="101"/>
      <c r="I12" s="102"/>
      <c r="J12" s="102"/>
      <c r="K12" s="102"/>
      <c r="L12" s="102"/>
      <c r="M12" s="102"/>
      <c r="N12" s="102"/>
      <c r="O12" s="102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3"/>
    </row>
    <row r="13" spans="1:28" s="104" customFormat="1" ht="7.5" customHeight="1">
      <c r="A13" s="46"/>
      <c r="B13" s="70"/>
      <c r="C13" s="100"/>
      <c r="D13" s="100"/>
      <c r="E13" s="100"/>
      <c r="F13" s="100"/>
      <c r="G13" s="101"/>
      <c r="H13" s="101"/>
      <c r="I13" s="102"/>
      <c r="J13" s="102"/>
      <c r="K13" s="102"/>
      <c r="L13" s="102"/>
      <c r="M13" s="102"/>
      <c r="N13" s="102"/>
      <c r="O13" s="102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3"/>
    </row>
    <row r="14" spans="1:28" s="10" customFormat="1" ht="7.5" customHeight="1" thickBot="1">
      <c r="A14" s="8"/>
      <c r="B14" s="43"/>
      <c r="C14" s="8"/>
      <c r="D14" s="8"/>
      <c r="E14" s="8"/>
      <c r="F14" s="8"/>
      <c r="G14" s="106"/>
      <c r="H14" s="107"/>
      <c r="I14" s="105"/>
      <c r="J14" s="105"/>
      <c r="K14" s="105"/>
      <c r="L14" s="105"/>
      <c r="M14" s="105"/>
      <c r="N14" s="105"/>
      <c r="O14" s="10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78" customFormat="1" ht="16.5" customHeight="1" thickBot="1" thickTop="1">
      <c r="A15" s="74"/>
      <c r="B15" s="75"/>
      <c r="C15" s="74"/>
      <c r="D15" s="74"/>
      <c r="E15" s="74"/>
      <c r="F15" s="372" t="s">
        <v>41</v>
      </c>
      <c r="G15" s="582" t="s">
        <v>165</v>
      </c>
      <c r="H15" s="218"/>
      <c r="I15" s="79"/>
      <c r="J15" s="79"/>
      <c r="K15" s="79"/>
      <c r="L15" s="79"/>
      <c r="M15" s="79"/>
      <c r="N15" s="79"/>
      <c r="O15" s="79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7"/>
    </row>
    <row r="16" spans="1:28" s="78" customFormat="1" ht="16.5" customHeight="1" thickBot="1" thickTop="1">
      <c r="A16" s="74"/>
      <c r="B16" s="75"/>
      <c r="C16" s="74"/>
      <c r="D16" s="74"/>
      <c r="E16" s="74"/>
      <c r="F16" s="372" t="s">
        <v>42</v>
      </c>
      <c r="G16" s="373">
        <v>69.722</v>
      </c>
      <c r="H16" s="219"/>
      <c r="I16" s="74"/>
      <c r="K16" s="80" t="s">
        <v>43</v>
      </c>
      <c r="L16" s="81">
        <f>30*'TOT-1215'!B13</f>
        <v>30</v>
      </c>
      <c r="M16" s="215" t="str">
        <f>IF(L16=30," ",IF(L16=60,"Coeficiente duplicado por tasa de falla &gt;4 Sal. x año/100 km.","REVISAR COEFICIENTE"))</f>
        <v> 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7"/>
    </row>
    <row r="17" spans="1:28" s="78" customFormat="1" ht="7.5" customHeight="1" thickTop="1">
      <c r="A17" s="74"/>
      <c r="B17" s="75"/>
      <c r="C17" s="74"/>
      <c r="D17" s="74"/>
      <c r="E17" s="74"/>
      <c r="F17" s="536"/>
      <c r="G17" s="537"/>
      <c r="H17" s="538"/>
      <c r="I17" s="74"/>
      <c r="K17" s="80"/>
      <c r="L17" s="81"/>
      <c r="M17" s="215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7"/>
    </row>
    <row r="18" spans="1:28" s="569" customFormat="1" ht="15" customHeight="1" thickBot="1">
      <c r="A18" s="565"/>
      <c r="B18" s="566"/>
      <c r="C18" s="567">
        <v>3</v>
      </c>
      <c r="D18" s="567">
        <v>4</v>
      </c>
      <c r="E18" s="567">
        <v>5</v>
      </c>
      <c r="F18" s="567">
        <v>6</v>
      </c>
      <c r="G18" s="567">
        <v>7</v>
      </c>
      <c r="H18" s="567">
        <v>8</v>
      </c>
      <c r="I18" s="567">
        <v>9</v>
      </c>
      <c r="J18" s="567">
        <v>10</v>
      </c>
      <c r="K18" s="567">
        <v>11</v>
      </c>
      <c r="L18" s="567">
        <v>12</v>
      </c>
      <c r="M18" s="567">
        <v>13</v>
      </c>
      <c r="N18" s="567">
        <v>14</v>
      </c>
      <c r="O18" s="567">
        <v>15</v>
      </c>
      <c r="P18" s="567">
        <v>16</v>
      </c>
      <c r="Q18" s="567">
        <v>17</v>
      </c>
      <c r="R18" s="567">
        <v>18</v>
      </c>
      <c r="S18" s="567">
        <v>19</v>
      </c>
      <c r="T18" s="567">
        <v>20</v>
      </c>
      <c r="U18" s="567">
        <v>21</v>
      </c>
      <c r="V18" s="567">
        <v>22</v>
      </c>
      <c r="W18" s="567">
        <v>23</v>
      </c>
      <c r="X18" s="567">
        <v>24</v>
      </c>
      <c r="Y18" s="567">
        <v>25</v>
      </c>
      <c r="Z18" s="567">
        <v>26</v>
      </c>
      <c r="AA18" s="567">
        <v>27</v>
      </c>
      <c r="AB18" s="568"/>
    </row>
    <row r="19" spans="1:28" s="91" customFormat="1" ht="33.75" customHeight="1" thickBot="1" thickTop="1">
      <c r="A19" s="82"/>
      <c r="B19" s="83"/>
      <c r="C19" s="84" t="s">
        <v>44</v>
      </c>
      <c r="D19" s="84" t="s">
        <v>135</v>
      </c>
      <c r="E19" s="84" t="s">
        <v>134</v>
      </c>
      <c r="F19" s="85" t="s">
        <v>20</v>
      </c>
      <c r="G19" s="86" t="s">
        <v>45</v>
      </c>
      <c r="H19" s="87" t="s">
        <v>46</v>
      </c>
      <c r="I19" s="245" t="s">
        <v>47</v>
      </c>
      <c r="J19" s="85" t="s">
        <v>48</v>
      </c>
      <c r="K19" s="85" t="s">
        <v>49</v>
      </c>
      <c r="L19" s="86" t="s">
        <v>50</v>
      </c>
      <c r="M19" s="86" t="s">
        <v>51</v>
      </c>
      <c r="N19" s="88" t="s">
        <v>52</v>
      </c>
      <c r="O19" s="86" t="s">
        <v>53</v>
      </c>
      <c r="P19" s="255" t="s">
        <v>54</v>
      </c>
      <c r="Q19" s="258" t="s">
        <v>55</v>
      </c>
      <c r="R19" s="261" t="s">
        <v>56</v>
      </c>
      <c r="S19" s="262"/>
      <c r="T19" s="263"/>
      <c r="U19" s="272" t="s">
        <v>57</v>
      </c>
      <c r="V19" s="273"/>
      <c r="W19" s="274"/>
      <c r="X19" s="282" t="s">
        <v>58</v>
      </c>
      <c r="Y19" s="285" t="s">
        <v>59</v>
      </c>
      <c r="Z19" s="89" t="s">
        <v>60</v>
      </c>
      <c r="AA19" s="89" t="s">
        <v>61</v>
      </c>
      <c r="AB19" s="90"/>
    </row>
    <row r="20" spans="1:28" ht="16.5" customHeight="1" thickTop="1">
      <c r="A20" s="1"/>
      <c r="B20" s="2"/>
      <c r="C20" s="50"/>
      <c r="D20" s="71"/>
      <c r="E20" s="71"/>
      <c r="F20" s="51"/>
      <c r="G20" s="52"/>
      <c r="H20" s="52"/>
      <c r="I20" s="246"/>
      <c r="J20" s="52"/>
      <c r="K20" s="53"/>
      <c r="L20" s="53"/>
      <c r="M20" s="53"/>
      <c r="N20" s="51"/>
      <c r="O20" s="52"/>
      <c r="P20" s="256"/>
      <c r="Q20" s="259"/>
      <c r="R20" s="264"/>
      <c r="S20" s="265"/>
      <c r="T20" s="266"/>
      <c r="U20" s="275"/>
      <c r="V20" s="276"/>
      <c r="W20" s="277"/>
      <c r="X20" s="283"/>
      <c r="Y20" s="286"/>
      <c r="Z20" s="270"/>
      <c r="AA20" s="53"/>
      <c r="AB20" s="3"/>
    </row>
    <row r="21" spans="1:28" ht="16.5" customHeight="1">
      <c r="A21" s="1"/>
      <c r="B21" s="2"/>
      <c r="C21" s="50"/>
      <c r="D21" s="50"/>
      <c r="E21" s="50"/>
      <c r="F21" s="50"/>
      <c r="G21" s="72"/>
      <c r="H21" s="72"/>
      <c r="I21" s="247"/>
      <c r="J21" s="50"/>
      <c r="K21" s="73"/>
      <c r="L21" s="73"/>
      <c r="M21" s="73"/>
      <c r="N21" s="71"/>
      <c r="O21" s="50"/>
      <c r="P21" s="257"/>
      <c r="Q21" s="260"/>
      <c r="R21" s="267"/>
      <c r="S21" s="268"/>
      <c r="T21" s="269"/>
      <c r="U21" s="278"/>
      <c r="V21" s="279"/>
      <c r="W21" s="280"/>
      <c r="X21" s="284"/>
      <c r="Y21" s="287"/>
      <c r="Z21" s="271"/>
      <c r="AA21" s="73"/>
      <c r="AB21" s="3"/>
    </row>
    <row r="22" spans="1:28" ht="16.5" customHeight="1">
      <c r="A22" s="1"/>
      <c r="B22" s="2"/>
      <c r="C22" s="376">
        <v>4</v>
      </c>
      <c r="D22" s="376">
        <v>295987</v>
      </c>
      <c r="E22" s="376">
        <v>1633</v>
      </c>
      <c r="F22" s="377" t="s">
        <v>5</v>
      </c>
      <c r="G22" s="378">
        <v>132</v>
      </c>
      <c r="H22" s="379">
        <v>110.30000305175781</v>
      </c>
      <c r="I22" s="248">
        <f>IF(H22&gt;25,H22,25)*IF(G22=330,$G$15,$G$16)/100</f>
        <v>76.90336812774657</v>
      </c>
      <c r="J22" s="384">
        <v>42351.90555555555</v>
      </c>
      <c r="K22" s="384">
        <v>42352.24791666667</v>
      </c>
      <c r="L22" s="13">
        <f aca="true" t="shared" si="0" ref="L22:L41">IF(F22="","",(K22-J22)*24)</f>
        <v>8.216666666732635</v>
      </c>
      <c r="M22" s="14">
        <f aca="true" t="shared" si="1" ref="M22:M41">IF(F22="","",ROUND((K22-J22)*24*60,0))</f>
        <v>493</v>
      </c>
      <c r="N22" s="385" t="s">
        <v>144</v>
      </c>
      <c r="O22" s="564" t="s">
        <v>141</v>
      </c>
      <c r="P22" s="549" t="str">
        <f aca="true" t="shared" si="2" ref="P22:P41">IF(N22="P",ROUND(M22/60,2)*I22*$L$16*0.01,"--")</f>
        <v>--</v>
      </c>
      <c r="Q22" s="550" t="str">
        <f>IF(N22="RP",ROUND(M22/60,2)*I22*$L$16*0.01*O22/100,"--")</f>
        <v>--</v>
      </c>
      <c r="R22" s="551">
        <f aca="true" t="shared" si="3" ref="R22:R41">IF(N22="F",I22*$L$16,"--")</f>
        <v>2307.1010438323974</v>
      </c>
      <c r="S22" s="552">
        <f aca="true" t="shared" si="4" ref="S22:S41">IF(AND(M22&gt;10,N22="F"),I22*$L$16*IF(M22&gt;180,3,ROUND(M22/60,2)),"--")</f>
        <v>6921.303131497192</v>
      </c>
      <c r="T22" s="553">
        <f aca="true" t="shared" si="5" ref="T22:T41">IF(AND(M22&gt;180,N22="F"),(ROUND(M22/60,2)-3)*I22*$L$16*0.1,"--")</f>
        <v>1204.3067448805116</v>
      </c>
      <c r="U22" s="554" t="str">
        <f aca="true" t="shared" si="6" ref="U22:U41">IF(N22="R",I22*$L$16*O22/100,"--")</f>
        <v>--</v>
      </c>
      <c r="V22" s="555" t="str">
        <f aca="true" t="shared" si="7" ref="V22:V41">IF(AND(M22&gt;10,N22="R"),I22*$L$16*O22/100*IF(M22&gt;180,3,ROUND(M22/60,2)),"--")</f>
        <v>--</v>
      </c>
      <c r="W22" s="556" t="str">
        <f aca="true" t="shared" si="8" ref="W22:W41">IF(AND(M22&gt;180,N22="R"),(ROUND(M22/60,2)-3)*O22/100*I22*$L$16*0.1,"--")</f>
        <v>--</v>
      </c>
      <c r="X22" s="557" t="str">
        <f aca="true" t="shared" si="9" ref="X22:X41">IF(N22="RF",ROUND(M22/60,2)*I22*$L$16*0.1,"--")</f>
        <v>--</v>
      </c>
      <c r="Y22" s="558" t="str">
        <f aca="true" t="shared" si="10" ref="Y22:Y41">IF(N22="RR",ROUND(M22/60,2)*O22/100*I22*$L$16*0.1,"--")</f>
        <v>--</v>
      </c>
      <c r="Z22" s="559" t="s">
        <v>140</v>
      </c>
      <c r="AA22" s="54">
        <f aca="true" t="shared" si="11" ref="AA22:AA41">IF(F22="","",SUM(P22:Y22)*IF(Z22="SI",1,2))</f>
        <v>10432.710920210102</v>
      </c>
      <c r="AB22" s="3"/>
    </row>
    <row r="23" spans="1:28" ht="16.5" customHeight="1">
      <c r="A23" s="1"/>
      <c r="B23" s="2"/>
      <c r="C23" s="376">
        <v>5</v>
      </c>
      <c r="D23" s="376">
        <v>296254</v>
      </c>
      <c r="E23" s="376">
        <v>1634</v>
      </c>
      <c r="F23" s="377" t="s">
        <v>145</v>
      </c>
      <c r="G23" s="378">
        <v>132</v>
      </c>
      <c r="H23" s="379">
        <v>23</v>
      </c>
      <c r="I23" s="248">
        <f aca="true" t="shared" si="12" ref="I23:I38">IF(H23&gt;25,H23,25)*IF(G23=330,$G$15,$G$16)/100</f>
        <v>17.4305</v>
      </c>
      <c r="J23" s="384">
        <v>42355.26666666667</v>
      </c>
      <c r="K23" s="384">
        <v>42355.73472222222</v>
      </c>
      <c r="L23" s="13">
        <f t="shared" si="0"/>
        <v>11.233333333279006</v>
      </c>
      <c r="M23" s="14">
        <f t="shared" si="1"/>
        <v>674</v>
      </c>
      <c r="N23" s="385" t="s">
        <v>139</v>
      </c>
      <c r="O23" s="564" t="s">
        <v>141</v>
      </c>
      <c r="P23" s="549">
        <f t="shared" si="2"/>
        <v>58.7233545</v>
      </c>
      <c r="Q23" s="550" t="str">
        <f aca="true" t="shared" si="13" ref="Q23:Q38">IF(N23="RP",ROUND(M23/60,2)*I23*$L$16*0.01*O23/100,"--")</f>
        <v>--</v>
      </c>
      <c r="R23" s="551" t="str">
        <f t="shared" si="3"/>
        <v>--</v>
      </c>
      <c r="S23" s="552" t="str">
        <f t="shared" si="4"/>
        <v>--</v>
      </c>
      <c r="T23" s="553" t="str">
        <f t="shared" si="5"/>
        <v>--</v>
      </c>
      <c r="U23" s="554" t="str">
        <f t="shared" si="6"/>
        <v>--</v>
      </c>
      <c r="V23" s="555" t="str">
        <f t="shared" si="7"/>
        <v>--</v>
      </c>
      <c r="W23" s="556" t="str">
        <f t="shared" si="8"/>
        <v>--</v>
      </c>
      <c r="X23" s="557" t="str">
        <f t="shared" si="9"/>
        <v>--</v>
      </c>
      <c r="Y23" s="558" t="str">
        <f t="shared" si="10"/>
        <v>--</v>
      </c>
      <c r="Z23" s="559" t="s">
        <v>140</v>
      </c>
      <c r="AA23" s="54">
        <f t="shared" si="11"/>
        <v>58.7233545</v>
      </c>
      <c r="AB23" s="3"/>
    </row>
    <row r="24" spans="1:28" ht="16.5" customHeight="1">
      <c r="A24" s="1"/>
      <c r="B24" s="2"/>
      <c r="C24" s="376">
        <v>6</v>
      </c>
      <c r="D24" s="376">
        <v>296255</v>
      </c>
      <c r="E24" s="376">
        <v>1635</v>
      </c>
      <c r="F24" s="377" t="s">
        <v>146</v>
      </c>
      <c r="G24" s="378">
        <v>132</v>
      </c>
      <c r="H24" s="379">
        <v>162.60000610351562</v>
      </c>
      <c r="I24" s="248">
        <f t="shared" si="12"/>
        <v>113.36797625549316</v>
      </c>
      <c r="J24" s="384">
        <v>42355.26666666667</v>
      </c>
      <c r="K24" s="384">
        <v>42355.73472222222</v>
      </c>
      <c r="L24" s="13">
        <f t="shared" si="0"/>
        <v>11.233333333279006</v>
      </c>
      <c r="M24" s="14">
        <f t="shared" si="1"/>
        <v>674</v>
      </c>
      <c r="N24" s="385" t="s">
        <v>139</v>
      </c>
      <c r="O24" s="564" t="s">
        <v>141</v>
      </c>
      <c r="P24" s="549">
        <f t="shared" si="2"/>
        <v>381.93671200475643</v>
      </c>
      <c r="Q24" s="550" t="str">
        <f t="shared" si="13"/>
        <v>--</v>
      </c>
      <c r="R24" s="551" t="str">
        <f t="shared" si="3"/>
        <v>--</v>
      </c>
      <c r="S24" s="552" t="str">
        <f t="shared" si="4"/>
        <v>--</v>
      </c>
      <c r="T24" s="553" t="str">
        <f t="shared" si="5"/>
        <v>--</v>
      </c>
      <c r="U24" s="554" t="str">
        <f t="shared" si="6"/>
        <v>--</v>
      </c>
      <c r="V24" s="555" t="str">
        <f t="shared" si="7"/>
        <v>--</v>
      </c>
      <c r="W24" s="556" t="str">
        <f t="shared" si="8"/>
        <v>--</v>
      </c>
      <c r="X24" s="557" t="str">
        <f t="shared" si="9"/>
        <v>--</v>
      </c>
      <c r="Y24" s="558" t="str">
        <f t="shared" si="10"/>
        <v>--</v>
      </c>
      <c r="Z24" s="559" t="s">
        <v>140</v>
      </c>
      <c r="AA24" s="54">
        <f t="shared" si="11"/>
        <v>381.93671200475643</v>
      </c>
      <c r="AB24" s="3"/>
    </row>
    <row r="25" spans="1:28" ht="16.5" customHeight="1">
      <c r="A25" s="1"/>
      <c r="B25" s="2"/>
      <c r="C25" s="376">
        <v>7</v>
      </c>
      <c r="D25" s="376">
        <v>296256</v>
      </c>
      <c r="E25" s="376">
        <v>1634</v>
      </c>
      <c r="F25" s="377" t="s">
        <v>145</v>
      </c>
      <c r="G25" s="378">
        <v>132</v>
      </c>
      <c r="H25" s="379">
        <v>23</v>
      </c>
      <c r="I25" s="248">
        <f t="shared" si="12"/>
        <v>17.4305</v>
      </c>
      <c r="J25" s="384">
        <v>42356.25</v>
      </c>
      <c r="K25" s="384">
        <v>42356.76180555556</v>
      </c>
      <c r="L25" s="13">
        <f t="shared" si="0"/>
        <v>12.28333333338378</v>
      </c>
      <c r="M25" s="14">
        <f t="shared" si="1"/>
        <v>737</v>
      </c>
      <c r="N25" s="385" t="s">
        <v>139</v>
      </c>
      <c r="O25" s="564" t="s">
        <v>141</v>
      </c>
      <c r="P25" s="549">
        <f t="shared" si="2"/>
        <v>64.213962</v>
      </c>
      <c r="Q25" s="550" t="str">
        <f t="shared" si="13"/>
        <v>--</v>
      </c>
      <c r="R25" s="551" t="str">
        <f t="shared" si="3"/>
        <v>--</v>
      </c>
      <c r="S25" s="552" t="str">
        <f t="shared" si="4"/>
        <v>--</v>
      </c>
      <c r="T25" s="553" t="str">
        <f t="shared" si="5"/>
        <v>--</v>
      </c>
      <c r="U25" s="554" t="str">
        <f t="shared" si="6"/>
        <v>--</v>
      </c>
      <c r="V25" s="555" t="str">
        <f t="shared" si="7"/>
        <v>--</v>
      </c>
      <c r="W25" s="556" t="str">
        <f t="shared" si="8"/>
        <v>--</v>
      </c>
      <c r="X25" s="557" t="str">
        <f t="shared" si="9"/>
        <v>--</v>
      </c>
      <c r="Y25" s="558" t="str">
        <f t="shared" si="10"/>
        <v>--</v>
      </c>
      <c r="Z25" s="559" t="s">
        <v>140</v>
      </c>
      <c r="AA25" s="54">
        <f t="shared" si="11"/>
        <v>64.213962</v>
      </c>
      <c r="AB25" s="3"/>
    </row>
    <row r="26" spans="1:28" ht="16.5" customHeight="1">
      <c r="A26" s="1"/>
      <c r="B26" s="2"/>
      <c r="C26" s="376">
        <v>8</v>
      </c>
      <c r="D26" s="376">
        <v>296257</v>
      </c>
      <c r="E26" s="376">
        <v>1635</v>
      </c>
      <c r="F26" s="377" t="s">
        <v>146</v>
      </c>
      <c r="G26" s="378">
        <v>132</v>
      </c>
      <c r="H26" s="379">
        <v>162.60000610351562</v>
      </c>
      <c r="I26" s="248">
        <f t="shared" si="12"/>
        <v>113.36797625549316</v>
      </c>
      <c r="J26" s="384">
        <v>42356.25</v>
      </c>
      <c r="K26" s="384">
        <v>42356.76180555556</v>
      </c>
      <c r="L26" s="13">
        <f t="shared" si="0"/>
        <v>12.28333333338378</v>
      </c>
      <c r="M26" s="14">
        <f t="shared" si="1"/>
        <v>737</v>
      </c>
      <c r="N26" s="385" t="s">
        <v>139</v>
      </c>
      <c r="O26" s="564" t="s">
        <v>141</v>
      </c>
      <c r="P26" s="549">
        <f t="shared" si="2"/>
        <v>417.6476245252368</v>
      </c>
      <c r="Q26" s="550" t="str">
        <f t="shared" si="13"/>
        <v>--</v>
      </c>
      <c r="R26" s="551" t="str">
        <f t="shared" si="3"/>
        <v>--</v>
      </c>
      <c r="S26" s="552" t="str">
        <f t="shared" si="4"/>
        <v>--</v>
      </c>
      <c r="T26" s="553" t="str">
        <f t="shared" si="5"/>
        <v>--</v>
      </c>
      <c r="U26" s="554" t="str">
        <f t="shared" si="6"/>
        <v>--</v>
      </c>
      <c r="V26" s="555" t="str">
        <f t="shared" si="7"/>
        <v>--</v>
      </c>
      <c r="W26" s="556" t="str">
        <f t="shared" si="8"/>
        <v>--</v>
      </c>
      <c r="X26" s="557" t="str">
        <f t="shared" si="9"/>
        <v>--</v>
      </c>
      <c r="Y26" s="558" t="str">
        <f t="shared" si="10"/>
        <v>--</v>
      </c>
      <c r="Z26" s="559" t="s">
        <v>140</v>
      </c>
      <c r="AA26" s="54">
        <f t="shared" si="11"/>
        <v>417.6476245252368</v>
      </c>
      <c r="AB26" s="3"/>
    </row>
    <row r="27" spans="1:28" ht="16.5" customHeight="1">
      <c r="A27" s="1"/>
      <c r="B27" s="2"/>
      <c r="C27" s="376">
        <v>9</v>
      </c>
      <c r="D27" s="376">
        <v>296258</v>
      </c>
      <c r="E27" s="376">
        <v>1634</v>
      </c>
      <c r="F27" s="377" t="s">
        <v>145</v>
      </c>
      <c r="G27" s="378">
        <v>132</v>
      </c>
      <c r="H27" s="379">
        <v>23</v>
      </c>
      <c r="I27" s="248">
        <f t="shared" si="12"/>
        <v>17.4305</v>
      </c>
      <c r="J27" s="384">
        <v>42357.26180555556</v>
      </c>
      <c r="K27" s="384">
        <v>42357.771527777775</v>
      </c>
      <c r="L27" s="13">
        <f t="shared" si="0"/>
        <v>12.233333333220799</v>
      </c>
      <c r="M27" s="14">
        <f t="shared" si="1"/>
        <v>734</v>
      </c>
      <c r="N27" s="385" t="s">
        <v>139</v>
      </c>
      <c r="O27" s="564" t="s">
        <v>141</v>
      </c>
      <c r="P27" s="549">
        <f t="shared" si="2"/>
        <v>63.9525045</v>
      </c>
      <c r="Q27" s="550" t="str">
        <f t="shared" si="13"/>
        <v>--</v>
      </c>
      <c r="R27" s="551" t="str">
        <f t="shared" si="3"/>
        <v>--</v>
      </c>
      <c r="S27" s="552" t="str">
        <f t="shared" si="4"/>
        <v>--</v>
      </c>
      <c r="T27" s="553" t="str">
        <f t="shared" si="5"/>
        <v>--</v>
      </c>
      <c r="U27" s="554" t="str">
        <f t="shared" si="6"/>
        <v>--</v>
      </c>
      <c r="V27" s="555" t="str">
        <f t="shared" si="7"/>
        <v>--</v>
      </c>
      <c r="W27" s="556" t="str">
        <f t="shared" si="8"/>
        <v>--</v>
      </c>
      <c r="X27" s="557" t="str">
        <f t="shared" si="9"/>
        <v>--</v>
      </c>
      <c r="Y27" s="558" t="str">
        <f t="shared" si="10"/>
        <v>--</v>
      </c>
      <c r="Z27" s="559" t="s">
        <v>140</v>
      </c>
      <c r="AA27" s="54">
        <f t="shared" si="11"/>
        <v>63.9525045</v>
      </c>
      <c r="AB27" s="3"/>
    </row>
    <row r="28" spans="1:28" ht="16.5" customHeight="1">
      <c r="A28" s="1"/>
      <c r="B28" s="2"/>
      <c r="C28" s="376">
        <v>10</v>
      </c>
      <c r="D28" s="376">
        <v>296259</v>
      </c>
      <c r="E28" s="376">
        <v>1635</v>
      </c>
      <c r="F28" s="377" t="s">
        <v>146</v>
      </c>
      <c r="G28" s="378">
        <v>132</v>
      </c>
      <c r="H28" s="379">
        <v>162.60000610351562</v>
      </c>
      <c r="I28" s="248">
        <f t="shared" si="12"/>
        <v>113.36797625549316</v>
      </c>
      <c r="J28" s="384">
        <v>42357.26180555556</v>
      </c>
      <c r="K28" s="384">
        <v>42357.771527777775</v>
      </c>
      <c r="L28" s="13">
        <f t="shared" si="0"/>
        <v>12.233333333220799</v>
      </c>
      <c r="M28" s="14">
        <f t="shared" si="1"/>
        <v>734</v>
      </c>
      <c r="N28" s="385" t="s">
        <v>139</v>
      </c>
      <c r="O28" s="564" t="s">
        <v>141</v>
      </c>
      <c r="P28" s="549">
        <f t="shared" si="2"/>
        <v>415.94710488140436</v>
      </c>
      <c r="Q28" s="550" t="str">
        <f t="shared" si="13"/>
        <v>--</v>
      </c>
      <c r="R28" s="551" t="str">
        <f t="shared" si="3"/>
        <v>--</v>
      </c>
      <c r="S28" s="552" t="str">
        <f t="shared" si="4"/>
        <v>--</v>
      </c>
      <c r="T28" s="553" t="str">
        <f t="shared" si="5"/>
        <v>--</v>
      </c>
      <c r="U28" s="554" t="str">
        <f t="shared" si="6"/>
        <v>--</v>
      </c>
      <c r="V28" s="555" t="str">
        <f t="shared" si="7"/>
        <v>--</v>
      </c>
      <c r="W28" s="556" t="str">
        <f t="shared" si="8"/>
        <v>--</v>
      </c>
      <c r="X28" s="557" t="str">
        <f t="shared" si="9"/>
        <v>--</v>
      </c>
      <c r="Y28" s="558" t="str">
        <f t="shared" si="10"/>
        <v>--</v>
      </c>
      <c r="Z28" s="559" t="s">
        <v>140</v>
      </c>
      <c r="AA28" s="54">
        <f t="shared" si="11"/>
        <v>415.94710488140436</v>
      </c>
      <c r="AB28" s="3"/>
    </row>
    <row r="29" spans="1:28" ht="16.5" customHeight="1">
      <c r="A29" s="1"/>
      <c r="B29" s="2"/>
      <c r="C29" s="376">
        <v>11</v>
      </c>
      <c r="D29" s="376">
        <v>296260</v>
      </c>
      <c r="E29" s="376">
        <v>1634</v>
      </c>
      <c r="F29" s="377" t="s">
        <v>145</v>
      </c>
      <c r="G29" s="378">
        <v>132</v>
      </c>
      <c r="H29" s="379">
        <v>23</v>
      </c>
      <c r="I29" s="248">
        <f t="shared" si="12"/>
        <v>17.4305</v>
      </c>
      <c r="J29" s="384">
        <v>42357.77361111111</v>
      </c>
      <c r="K29" s="384">
        <v>42358.66458333333</v>
      </c>
      <c r="L29" s="13">
        <f t="shared" si="0"/>
        <v>21.383333333360497</v>
      </c>
      <c r="M29" s="14">
        <f t="shared" si="1"/>
        <v>1283</v>
      </c>
      <c r="N29" s="385" t="s">
        <v>144</v>
      </c>
      <c r="O29" s="564" t="s">
        <v>141</v>
      </c>
      <c r="P29" s="549" t="str">
        <f t="shared" si="2"/>
        <v>--</v>
      </c>
      <c r="Q29" s="550" t="str">
        <f t="shared" si="13"/>
        <v>--</v>
      </c>
      <c r="R29" s="551">
        <f t="shared" si="3"/>
        <v>522.915</v>
      </c>
      <c r="S29" s="552">
        <f t="shared" si="4"/>
        <v>1568.745</v>
      </c>
      <c r="T29" s="553">
        <f t="shared" si="5"/>
        <v>961.1177699999998</v>
      </c>
      <c r="U29" s="554" t="str">
        <f t="shared" si="6"/>
        <v>--</v>
      </c>
      <c r="V29" s="555" t="str">
        <f t="shared" si="7"/>
        <v>--</v>
      </c>
      <c r="W29" s="556" t="str">
        <f t="shared" si="8"/>
        <v>--</v>
      </c>
      <c r="X29" s="557" t="str">
        <f t="shared" si="9"/>
        <v>--</v>
      </c>
      <c r="Y29" s="558" t="str">
        <f t="shared" si="10"/>
        <v>--</v>
      </c>
      <c r="Z29" s="559" t="s">
        <v>140</v>
      </c>
      <c r="AA29" s="54">
        <f t="shared" si="11"/>
        <v>3052.7777699999997</v>
      </c>
      <c r="AB29" s="3"/>
    </row>
    <row r="30" spans="1:28" ht="16.5" customHeight="1">
      <c r="A30" s="1"/>
      <c r="B30" s="2"/>
      <c r="C30" s="376">
        <v>12</v>
      </c>
      <c r="D30" s="376">
        <v>296261</v>
      </c>
      <c r="E30" s="376">
        <v>1635</v>
      </c>
      <c r="F30" s="377" t="s">
        <v>146</v>
      </c>
      <c r="G30" s="378">
        <v>132</v>
      </c>
      <c r="H30" s="379">
        <v>162.60000610351562</v>
      </c>
      <c r="I30" s="248">
        <f t="shared" si="12"/>
        <v>113.36797625549316</v>
      </c>
      <c r="J30" s="384">
        <v>42357.77361111111</v>
      </c>
      <c r="K30" s="384">
        <v>42358.66458333333</v>
      </c>
      <c r="L30" s="13">
        <f t="shared" si="0"/>
        <v>21.383333333360497</v>
      </c>
      <c r="M30" s="14">
        <f t="shared" si="1"/>
        <v>1283</v>
      </c>
      <c r="N30" s="385" t="s">
        <v>144</v>
      </c>
      <c r="O30" s="564" t="s">
        <v>141</v>
      </c>
      <c r="P30" s="549" t="str">
        <f t="shared" si="2"/>
        <v>--</v>
      </c>
      <c r="Q30" s="550" t="str">
        <f t="shared" si="13"/>
        <v>--</v>
      </c>
      <c r="R30" s="551">
        <f t="shared" si="3"/>
        <v>3401.0392876647948</v>
      </c>
      <c r="S30" s="552">
        <f t="shared" si="4"/>
        <v>10203.117862994384</v>
      </c>
      <c r="T30" s="553">
        <f t="shared" si="5"/>
        <v>6251.110210727893</v>
      </c>
      <c r="U30" s="554" t="str">
        <f t="shared" si="6"/>
        <v>--</v>
      </c>
      <c r="V30" s="555" t="str">
        <f t="shared" si="7"/>
        <v>--</v>
      </c>
      <c r="W30" s="556" t="str">
        <f t="shared" si="8"/>
        <v>--</v>
      </c>
      <c r="X30" s="557" t="str">
        <f t="shared" si="9"/>
        <v>--</v>
      </c>
      <c r="Y30" s="558" t="str">
        <f t="shared" si="10"/>
        <v>--</v>
      </c>
      <c r="Z30" s="559" t="s">
        <v>140</v>
      </c>
      <c r="AA30" s="54">
        <f t="shared" si="11"/>
        <v>19855.267361387072</v>
      </c>
      <c r="AB30" s="3"/>
    </row>
    <row r="31" spans="1:28" ht="16.5" customHeight="1">
      <c r="A31" s="1"/>
      <c r="B31" s="2"/>
      <c r="C31" s="376">
        <v>13</v>
      </c>
      <c r="D31" s="376">
        <v>296262</v>
      </c>
      <c r="E31" s="376">
        <v>1634</v>
      </c>
      <c r="F31" s="377" t="s">
        <v>145</v>
      </c>
      <c r="G31" s="378">
        <v>132</v>
      </c>
      <c r="H31" s="379">
        <v>23</v>
      </c>
      <c r="I31" s="248">
        <f t="shared" si="12"/>
        <v>17.4305</v>
      </c>
      <c r="J31" s="384">
        <v>42358.665972222225</v>
      </c>
      <c r="K31" s="384">
        <v>42358.717361111114</v>
      </c>
      <c r="L31" s="13">
        <f t="shared" si="0"/>
        <v>1.2333333333372138</v>
      </c>
      <c r="M31" s="14">
        <f t="shared" si="1"/>
        <v>74</v>
      </c>
      <c r="N31" s="385" t="s">
        <v>144</v>
      </c>
      <c r="O31" s="564" t="s">
        <v>141</v>
      </c>
      <c r="P31" s="549" t="str">
        <f t="shared" si="2"/>
        <v>--</v>
      </c>
      <c r="Q31" s="550" t="str">
        <f t="shared" si="13"/>
        <v>--</v>
      </c>
      <c r="R31" s="551">
        <f t="shared" si="3"/>
        <v>522.915</v>
      </c>
      <c r="S31" s="552">
        <f t="shared" si="4"/>
        <v>643.18545</v>
      </c>
      <c r="T31" s="553" t="str">
        <f t="shared" si="5"/>
        <v>--</v>
      </c>
      <c r="U31" s="554" t="str">
        <f t="shared" si="6"/>
        <v>--</v>
      </c>
      <c r="V31" s="555" t="str">
        <f t="shared" si="7"/>
        <v>--</v>
      </c>
      <c r="W31" s="556" t="str">
        <f t="shared" si="8"/>
        <v>--</v>
      </c>
      <c r="X31" s="557" t="str">
        <f t="shared" si="9"/>
        <v>--</v>
      </c>
      <c r="Y31" s="558" t="str">
        <f t="shared" si="10"/>
        <v>--</v>
      </c>
      <c r="Z31" s="559" t="s">
        <v>140</v>
      </c>
      <c r="AA31" s="54">
        <f t="shared" si="11"/>
        <v>1166.10045</v>
      </c>
      <c r="AB31" s="3"/>
    </row>
    <row r="32" spans="1:28" ht="16.5" customHeight="1">
      <c r="A32" s="1"/>
      <c r="B32" s="2"/>
      <c r="C32" s="376">
        <v>14</v>
      </c>
      <c r="D32" s="376">
        <v>296263</v>
      </c>
      <c r="E32" s="376">
        <v>1635</v>
      </c>
      <c r="F32" s="377" t="s">
        <v>146</v>
      </c>
      <c r="G32" s="378">
        <v>132</v>
      </c>
      <c r="H32" s="379">
        <v>162.60000610351562</v>
      </c>
      <c r="I32" s="248">
        <f t="shared" si="12"/>
        <v>113.36797625549316</v>
      </c>
      <c r="J32" s="384">
        <v>42358.665972222225</v>
      </c>
      <c r="K32" s="384">
        <v>42358.98472222222</v>
      </c>
      <c r="L32" s="13">
        <f t="shared" si="0"/>
        <v>7.649999999965075</v>
      </c>
      <c r="M32" s="14">
        <f t="shared" si="1"/>
        <v>459</v>
      </c>
      <c r="N32" s="385" t="s">
        <v>144</v>
      </c>
      <c r="O32" s="564" t="s">
        <v>141</v>
      </c>
      <c r="P32" s="549" t="str">
        <f t="shared" si="2"/>
        <v>--</v>
      </c>
      <c r="Q32" s="550" t="str">
        <f t="shared" si="13"/>
        <v>--</v>
      </c>
      <c r="R32" s="551">
        <f t="shared" si="3"/>
        <v>3401.0392876647948</v>
      </c>
      <c r="S32" s="552">
        <f t="shared" si="4"/>
        <v>10203.117862994384</v>
      </c>
      <c r="T32" s="553">
        <f t="shared" si="5"/>
        <v>1581.4832687641301</v>
      </c>
      <c r="U32" s="554" t="str">
        <f t="shared" si="6"/>
        <v>--</v>
      </c>
      <c r="V32" s="555" t="str">
        <f t="shared" si="7"/>
        <v>--</v>
      </c>
      <c r="W32" s="556" t="str">
        <f t="shared" si="8"/>
        <v>--</v>
      </c>
      <c r="X32" s="557" t="str">
        <f t="shared" si="9"/>
        <v>--</v>
      </c>
      <c r="Y32" s="558" t="str">
        <f t="shared" si="10"/>
        <v>--</v>
      </c>
      <c r="Z32" s="559" t="s">
        <v>140</v>
      </c>
      <c r="AA32" s="54">
        <f t="shared" si="11"/>
        <v>15185.64041942331</v>
      </c>
      <c r="AB32" s="3"/>
    </row>
    <row r="33" spans="1:28" ht="16.5" customHeight="1">
      <c r="A33" s="1"/>
      <c r="B33" s="2"/>
      <c r="C33" s="376"/>
      <c r="D33" s="376"/>
      <c r="E33" s="376"/>
      <c r="F33" s="377"/>
      <c r="G33" s="378"/>
      <c r="H33" s="379"/>
      <c r="I33" s="248">
        <f t="shared" si="12"/>
        <v>17.4305</v>
      </c>
      <c r="J33" s="384"/>
      <c r="K33" s="384"/>
      <c r="L33" s="13">
        <f t="shared" si="0"/>
      </c>
      <c r="M33" s="14">
        <f t="shared" si="1"/>
      </c>
      <c r="N33" s="385"/>
      <c r="O33" s="548">
        <f aca="true" t="shared" si="14" ref="O33:O41">IF(F33="","","--")</f>
      </c>
      <c r="P33" s="549" t="str">
        <f t="shared" si="2"/>
        <v>--</v>
      </c>
      <c r="Q33" s="550" t="str">
        <f t="shared" si="13"/>
        <v>--</v>
      </c>
      <c r="R33" s="551" t="str">
        <f t="shared" si="3"/>
        <v>--</v>
      </c>
      <c r="S33" s="552" t="str">
        <f t="shared" si="4"/>
        <v>--</v>
      </c>
      <c r="T33" s="553" t="str">
        <f t="shared" si="5"/>
        <v>--</v>
      </c>
      <c r="U33" s="554" t="str">
        <f t="shared" si="6"/>
        <v>--</v>
      </c>
      <c r="V33" s="555" t="str">
        <f t="shared" si="7"/>
        <v>--</v>
      </c>
      <c r="W33" s="556" t="str">
        <f t="shared" si="8"/>
        <v>--</v>
      </c>
      <c r="X33" s="557" t="str">
        <f t="shared" si="9"/>
        <v>--</v>
      </c>
      <c r="Y33" s="558" t="str">
        <f t="shared" si="10"/>
        <v>--</v>
      </c>
      <c r="Z33" s="559">
        <f aca="true" t="shared" si="15" ref="Z33:Z41">IF(F33="","","SI")</f>
      </c>
      <c r="AA33" s="54">
        <f t="shared" si="11"/>
      </c>
      <c r="AB33" s="3"/>
    </row>
    <row r="34" spans="1:28" ht="16.5" customHeight="1">
      <c r="A34" s="1"/>
      <c r="B34" s="2"/>
      <c r="C34" s="376"/>
      <c r="D34" s="376"/>
      <c r="E34" s="376"/>
      <c r="F34" s="377"/>
      <c r="G34" s="378"/>
      <c r="H34" s="379"/>
      <c r="I34" s="248">
        <f t="shared" si="12"/>
        <v>17.4305</v>
      </c>
      <c r="J34" s="384"/>
      <c r="K34" s="384"/>
      <c r="L34" s="13">
        <f t="shared" si="0"/>
      </c>
      <c r="M34" s="14">
        <f t="shared" si="1"/>
      </c>
      <c r="N34" s="385"/>
      <c r="O34" s="548">
        <f t="shared" si="14"/>
      </c>
      <c r="P34" s="549" t="str">
        <f t="shared" si="2"/>
        <v>--</v>
      </c>
      <c r="Q34" s="550" t="str">
        <f t="shared" si="13"/>
        <v>--</v>
      </c>
      <c r="R34" s="551" t="str">
        <f t="shared" si="3"/>
        <v>--</v>
      </c>
      <c r="S34" s="552" t="str">
        <f t="shared" si="4"/>
        <v>--</v>
      </c>
      <c r="T34" s="553" t="str">
        <f t="shared" si="5"/>
        <v>--</v>
      </c>
      <c r="U34" s="554" t="str">
        <f t="shared" si="6"/>
        <v>--</v>
      </c>
      <c r="V34" s="555" t="str">
        <f t="shared" si="7"/>
        <v>--</v>
      </c>
      <c r="W34" s="556" t="str">
        <f t="shared" si="8"/>
        <v>--</v>
      </c>
      <c r="X34" s="557" t="str">
        <f t="shared" si="9"/>
        <v>--</v>
      </c>
      <c r="Y34" s="558" t="str">
        <f t="shared" si="10"/>
        <v>--</v>
      </c>
      <c r="Z34" s="559">
        <f t="shared" si="15"/>
      </c>
      <c r="AA34" s="54">
        <f t="shared" si="11"/>
      </c>
      <c r="AB34" s="3"/>
    </row>
    <row r="35" spans="1:28" ht="16.5" customHeight="1">
      <c r="A35" s="1"/>
      <c r="B35" s="2"/>
      <c r="C35" s="376"/>
      <c r="D35" s="376"/>
      <c r="E35" s="376"/>
      <c r="F35" s="377"/>
      <c r="G35" s="378"/>
      <c r="H35" s="379"/>
      <c r="I35" s="248">
        <f t="shared" si="12"/>
        <v>17.4305</v>
      </c>
      <c r="J35" s="384"/>
      <c r="K35" s="384"/>
      <c r="L35" s="13">
        <f t="shared" si="0"/>
      </c>
      <c r="M35" s="14">
        <f t="shared" si="1"/>
      </c>
      <c r="N35" s="385"/>
      <c r="O35" s="548">
        <f t="shared" si="14"/>
      </c>
      <c r="P35" s="549" t="str">
        <f t="shared" si="2"/>
        <v>--</v>
      </c>
      <c r="Q35" s="550" t="str">
        <f t="shared" si="13"/>
        <v>--</v>
      </c>
      <c r="R35" s="551" t="str">
        <f t="shared" si="3"/>
        <v>--</v>
      </c>
      <c r="S35" s="552" t="str">
        <f t="shared" si="4"/>
        <v>--</v>
      </c>
      <c r="T35" s="553" t="str">
        <f t="shared" si="5"/>
        <v>--</v>
      </c>
      <c r="U35" s="554" t="str">
        <f t="shared" si="6"/>
        <v>--</v>
      </c>
      <c r="V35" s="555" t="str">
        <f t="shared" si="7"/>
        <v>--</v>
      </c>
      <c r="W35" s="556" t="str">
        <f t="shared" si="8"/>
        <v>--</v>
      </c>
      <c r="X35" s="557" t="str">
        <f t="shared" si="9"/>
        <v>--</v>
      </c>
      <c r="Y35" s="558" t="str">
        <f t="shared" si="10"/>
        <v>--</v>
      </c>
      <c r="Z35" s="559">
        <f t="shared" si="15"/>
      </c>
      <c r="AA35" s="54">
        <f t="shared" si="11"/>
      </c>
      <c r="AB35" s="3"/>
    </row>
    <row r="36" spans="1:28" ht="16.5" customHeight="1">
      <c r="A36" s="1"/>
      <c r="B36" s="2"/>
      <c r="C36" s="376"/>
      <c r="D36" s="376"/>
      <c r="E36" s="376"/>
      <c r="F36" s="377"/>
      <c r="G36" s="378"/>
      <c r="H36" s="379"/>
      <c r="I36" s="248">
        <f t="shared" si="12"/>
        <v>17.4305</v>
      </c>
      <c r="J36" s="384"/>
      <c r="K36" s="384"/>
      <c r="L36" s="13">
        <f t="shared" si="0"/>
      </c>
      <c r="M36" s="14">
        <f t="shared" si="1"/>
      </c>
      <c r="N36" s="385"/>
      <c r="O36" s="548">
        <f t="shared" si="14"/>
      </c>
      <c r="P36" s="549" t="str">
        <f t="shared" si="2"/>
        <v>--</v>
      </c>
      <c r="Q36" s="550" t="str">
        <f t="shared" si="13"/>
        <v>--</v>
      </c>
      <c r="R36" s="551" t="str">
        <f t="shared" si="3"/>
        <v>--</v>
      </c>
      <c r="S36" s="552" t="str">
        <f t="shared" si="4"/>
        <v>--</v>
      </c>
      <c r="T36" s="553" t="str">
        <f t="shared" si="5"/>
        <v>--</v>
      </c>
      <c r="U36" s="554" t="str">
        <f t="shared" si="6"/>
        <v>--</v>
      </c>
      <c r="V36" s="555" t="str">
        <f t="shared" si="7"/>
        <v>--</v>
      </c>
      <c r="W36" s="556" t="str">
        <f t="shared" si="8"/>
        <v>--</v>
      </c>
      <c r="X36" s="557" t="str">
        <f t="shared" si="9"/>
        <v>--</v>
      </c>
      <c r="Y36" s="558" t="str">
        <f t="shared" si="10"/>
        <v>--</v>
      </c>
      <c r="Z36" s="559">
        <f t="shared" si="15"/>
      </c>
      <c r="AA36" s="54">
        <f t="shared" si="11"/>
      </c>
      <c r="AB36" s="3"/>
    </row>
    <row r="37" spans="1:28" ht="16.5" customHeight="1">
      <c r="A37" s="1"/>
      <c r="B37" s="2"/>
      <c r="C37" s="376"/>
      <c r="D37" s="376"/>
      <c r="E37" s="376"/>
      <c r="F37" s="377"/>
      <c r="G37" s="378"/>
      <c r="H37" s="379"/>
      <c r="I37" s="248">
        <f t="shared" si="12"/>
        <v>17.4305</v>
      </c>
      <c r="J37" s="384"/>
      <c r="K37" s="384"/>
      <c r="L37" s="13">
        <f t="shared" si="0"/>
      </c>
      <c r="M37" s="14">
        <f t="shared" si="1"/>
      </c>
      <c r="N37" s="385"/>
      <c r="O37" s="548">
        <f t="shared" si="14"/>
      </c>
      <c r="P37" s="549" t="str">
        <f t="shared" si="2"/>
        <v>--</v>
      </c>
      <c r="Q37" s="550" t="str">
        <f t="shared" si="13"/>
        <v>--</v>
      </c>
      <c r="R37" s="551" t="str">
        <f t="shared" si="3"/>
        <v>--</v>
      </c>
      <c r="S37" s="552" t="str">
        <f t="shared" si="4"/>
        <v>--</v>
      </c>
      <c r="T37" s="553" t="str">
        <f t="shared" si="5"/>
        <v>--</v>
      </c>
      <c r="U37" s="554" t="str">
        <f t="shared" si="6"/>
        <v>--</v>
      </c>
      <c r="V37" s="555" t="str">
        <f t="shared" si="7"/>
        <v>--</v>
      </c>
      <c r="W37" s="556" t="str">
        <f t="shared" si="8"/>
        <v>--</v>
      </c>
      <c r="X37" s="557" t="str">
        <f t="shared" si="9"/>
        <v>--</v>
      </c>
      <c r="Y37" s="558" t="str">
        <f t="shared" si="10"/>
        <v>--</v>
      </c>
      <c r="Z37" s="559">
        <f t="shared" si="15"/>
      </c>
      <c r="AA37" s="54">
        <f t="shared" si="11"/>
      </c>
      <c r="AB37" s="3"/>
    </row>
    <row r="38" spans="2:28" ht="16.5" customHeight="1">
      <c r="B38" s="55"/>
      <c r="C38" s="376"/>
      <c r="D38" s="376"/>
      <c r="E38" s="376"/>
      <c r="F38" s="377"/>
      <c r="G38" s="378"/>
      <c r="H38" s="379"/>
      <c r="I38" s="248">
        <f t="shared" si="12"/>
        <v>17.4305</v>
      </c>
      <c r="J38" s="384"/>
      <c r="K38" s="384"/>
      <c r="L38" s="13">
        <f t="shared" si="0"/>
      </c>
      <c r="M38" s="14">
        <f t="shared" si="1"/>
      </c>
      <c r="N38" s="385"/>
      <c r="O38" s="548">
        <f t="shared" si="14"/>
      </c>
      <c r="P38" s="549" t="str">
        <f t="shared" si="2"/>
        <v>--</v>
      </c>
      <c r="Q38" s="550" t="str">
        <f t="shared" si="13"/>
        <v>--</v>
      </c>
      <c r="R38" s="551" t="str">
        <f t="shared" si="3"/>
        <v>--</v>
      </c>
      <c r="S38" s="552" t="str">
        <f t="shared" si="4"/>
        <v>--</v>
      </c>
      <c r="T38" s="553" t="str">
        <f t="shared" si="5"/>
        <v>--</v>
      </c>
      <c r="U38" s="554" t="str">
        <f t="shared" si="6"/>
        <v>--</v>
      </c>
      <c r="V38" s="555" t="str">
        <f t="shared" si="7"/>
        <v>--</v>
      </c>
      <c r="W38" s="556" t="str">
        <f t="shared" si="8"/>
        <v>--</v>
      </c>
      <c r="X38" s="557" t="str">
        <f t="shared" si="9"/>
        <v>--</v>
      </c>
      <c r="Y38" s="558" t="str">
        <f t="shared" si="10"/>
        <v>--</v>
      </c>
      <c r="Z38" s="559">
        <f t="shared" si="15"/>
      </c>
      <c r="AA38" s="54">
        <f t="shared" si="11"/>
      </c>
      <c r="AB38" s="3"/>
    </row>
    <row r="39" spans="2:28" ht="16.5" customHeight="1">
      <c r="B39" s="55"/>
      <c r="C39" s="376"/>
      <c r="D39" s="376"/>
      <c r="E39" s="376"/>
      <c r="F39" s="377"/>
      <c r="G39" s="378"/>
      <c r="H39" s="379"/>
      <c r="I39" s="248">
        <f>IF(H39&gt;25,H39,25)*IF(G39=330,$G$15,$G$16)/100</f>
        <v>17.4305</v>
      </c>
      <c r="J39" s="384"/>
      <c r="K39" s="384"/>
      <c r="L39" s="13">
        <f t="shared" si="0"/>
      </c>
      <c r="M39" s="14">
        <f t="shared" si="1"/>
      </c>
      <c r="N39" s="385"/>
      <c r="O39" s="548">
        <f t="shared" si="14"/>
      </c>
      <c r="P39" s="549" t="str">
        <f t="shared" si="2"/>
        <v>--</v>
      </c>
      <c r="Q39" s="550" t="str">
        <f>IF(N39="RP",ROUND(M39/60,2)*I39*$L$16*0.01*O39/100,"--")</f>
        <v>--</v>
      </c>
      <c r="R39" s="551" t="str">
        <f t="shared" si="3"/>
        <v>--</v>
      </c>
      <c r="S39" s="552" t="str">
        <f t="shared" si="4"/>
        <v>--</v>
      </c>
      <c r="T39" s="553" t="str">
        <f t="shared" si="5"/>
        <v>--</v>
      </c>
      <c r="U39" s="554" t="str">
        <f t="shared" si="6"/>
        <v>--</v>
      </c>
      <c r="V39" s="555" t="str">
        <f t="shared" si="7"/>
        <v>--</v>
      </c>
      <c r="W39" s="556" t="str">
        <f t="shared" si="8"/>
        <v>--</v>
      </c>
      <c r="X39" s="557" t="str">
        <f t="shared" si="9"/>
        <v>--</v>
      </c>
      <c r="Y39" s="558" t="str">
        <f t="shared" si="10"/>
        <v>--</v>
      </c>
      <c r="Z39" s="559">
        <f t="shared" si="15"/>
      </c>
      <c r="AA39" s="54">
        <f t="shared" si="11"/>
      </c>
      <c r="AB39" s="3"/>
    </row>
    <row r="40" spans="2:28" ht="16.5" customHeight="1">
      <c r="B40" s="55"/>
      <c r="C40" s="376"/>
      <c r="D40" s="376"/>
      <c r="E40" s="376"/>
      <c r="F40" s="377"/>
      <c r="G40" s="378"/>
      <c r="H40" s="379"/>
      <c r="I40" s="248">
        <f>IF(H40&gt;25,H40,25)*IF(G40=330,$G$15,$G$16)/100</f>
        <v>17.4305</v>
      </c>
      <c r="J40" s="384"/>
      <c r="K40" s="384"/>
      <c r="L40" s="13">
        <f t="shared" si="0"/>
      </c>
      <c r="M40" s="14">
        <f t="shared" si="1"/>
      </c>
      <c r="N40" s="385"/>
      <c r="O40" s="548">
        <f t="shared" si="14"/>
      </c>
      <c r="P40" s="549" t="str">
        <f t="shared" si="2"/>
        <v>--</v>
      </c>
      <c r="Q40" s="550" t="str">
        <f>IF(N40="RP",ROUND(M40/60,2)*I40*$L$16*0.01*O40/100,"--")</f>
        <v>--</v>
      </c>
      <c r="R40" s="551" t="str">
        <f t="shared" si="3"/>
        <v>--</v>
      </c>
      <c r="S40" s="552" t="str">
        <f t="shared" si="4"/>
        <v>--</v>
      </c>
      <c r="T40" s="553" t="str">
        <f t="shared" si="5"/>
        <v>--</v>
      </c>
      <c r="U40" s="554" t="str">
        <f t="shared" si="6"/>
        <v>--</v>
      </c>
      <c r="V40" s="555" t="str">
        <f t="shared" si="7"/>
        <v>--</v>
      </c>
      <c r="W40" s="556" t="str">
        <f t="shared" si="8"/>
        <v>--</v>
      </c>
      <c r="X40" s="557" t="str">
        <f t="shared" si="9"/>
        <v>--</v>
      </c>
      <c r="Y40" s="558" t="str">
        <f t="shared" si="10"/>
        <v>--</v>
      </c>
      <c r="Z40" s="559">
        <f t="shared" si="15"/>
      </c>
      <c r="AA40" s="54">
        <f t="shared" si="11"/>
      </c>
      <c r="AB40" s="3"/>
    </row>
    <row r="41" spans="2:28" ht="16.5" customHeight="1">
      <c r="B41" s="55"/>
      <c r="C41" s="376"/>
      <c r="D41" s="376"/>
      <c r="E41" s="376"/>
      <c r="F41" s="377"/>
      <c r="G41" s="378"/>
      <c r="H41" s="379"/>
      <c r="I41" s="248">
        <f>IF(H41&gt;25,H41,25)*IF(G41=330,$G$15,$G$16)/100</f>
        <v>17.4305</v>
      </c>
      <c r="J41" s="384"/>
      <c r="K41" s="384"/>
      <c r="L41" s="13">
        <f t="shared" si="0"/>
      </c>
      <c r="M41" s="14">
        <f t="shared" si="1"/>
      </c>
      <c r="N41" s="385"/>
      <c r="O41" s="548">
        <f t="shared" si="14"/>
      </c>
      <c r="P41" s="549" t="str">
        <f t="shared" si="2"/>
        <v>--</v>
      </c>
      <c r="Q41" s="550" t="str">
        <f>IF(N41="RP",ROUND(M41/60,2)*I41*$L$16*0.01*O41/100,"--")</f>
        <v>--</v>
      </c>
      <c r="R41" s="551" t="str">
        <f t="shared" si="3"/>
        <v>--</v>
      </c>
      <c r="S41" s="552" t="str">
        <f t="shared" si="4"/>
        <v>--</v>
      </c>
      <c r="T41" s="553" t="str">
        <f t="shared" si="5"/>
        <v>--</v>
      </c>
      <c r="U41" s="554" t="str">
        <f t="shared" si="6"/>
        <v>--</v>
      </c>
      <c r="V41" s="555" t="str">
        <f t="shared" si="7"/>
        <v>--</v>
      </c>
      <c r="W41" s="556" t="str">
        <f t="shared" si="8"/>
        <v>--</v>
      </c>
      <c r="X41" s="557" t="str">
        <f t="shared" si="9"/>
        <v>--</v>
      </c>
      <c r="Y41" s="558" t="str">
        <f t="shared" si="10"/>
        <v>--</v>
      </c>
      <c r="Z41" s="559">
        <f t="shared" si="15"/>
      </c>
      <c r="AA41" s="54">
        <f t="shared" si="11"/>
      </c>
      <c r="AB41" s="3"/>
    </row>
    <row r="42" spans="1:28" ht="16.5" customHeight="1" thickBot="1">
      <c r="A42" s="1"/>
      <c r="B42" s="2"/>
      <c r="C42" s="380"/>
      <c r="D42" s="380"/>
      <c r="E42" s="380"/>
      <c r="F42" s="381"/>
      <c r="G42" s="382"/>
      <c r="H42" s="383"/>
      <c r="I42" s="249"/>
      <c r="J42" s="383"/>
      <c r="K42" s="383"/>
      <c r="L42" s="15"/>
      <c r="M42" s="15"/>
      <c r="N42" s="383"/>
      <c r="O42" s="386"/>
      <c r="P42" s="387"/>
      <c r="Q42" s="388"/>
      <c r="R42" s="389"/>
      <c r="S42" s="390"/>
      <c r="T42" s="391"/>
      <c r="U42" s="392"/>
      <c r="V42" s="393"/>
      <c r="W42" s="394"/>
      <c r="X42" s="395"/>
      <c r="Y42" s="396"/>
      <c r="Z42" s="397"/>
      <c r="AA42" s="56"/>
      <c r="AB42" s="3"/>
    </row>
    <row r="43" spans="1:28" ht="16.5" customHeight="1" thickBot="1" thickTop="1">
      <c r="A43" s="1"/>
      <c r="B43" s="2"/>
      <c r="C43" s="220" t="s">
        <v>62</v>
      </c>
      <c r="D43" s="580" t="s">
        <v>159</v>
      </c>
      <c r="E43" s="543"/>
      <c r="F43" s="221"/>
      <c r="G43" s="16"/>
      <c r="H43" s="17"/>
      <c r="I43" s="57"/>
      <c r="J43" s="57"/>
      <c r="K43" s="57"/>
      <c r="L43" s="57"/>
      <c r="M43" s="57"/>
      <c r="N43" s="57"/>
      <c r="O43" s="58"/>
      <c r="P43" s="288">
        <f aca="true" t="shared" si="16" ref="P43:Y43">ROUND(SUM(P20:P42),2)</f>
        <v>1402.42</v>
      </c>
      <c r="Q43" s="289">
        <f t="shared" si="16"/>
        <v>0</v>
      </c>
      <c r="R43" s="290">
        <f t="shared" si="16"/>
        <v>10155.01</v>
      </c>
      <c r="S43" s="290">
        <f t="shared" si="16"/>
        <v>29539.47</v>
      </c>
      <c r="T43" s="291">
        <f t="shared" si="16"/>
        <v>9998.02</v>
      </c>
      <c r="U43" s="292">
        <f t="shared" si="16"/>
        <v>0</v>
      </c>
      <c r="V43" s="292">
        <f t="shared" si="16"/>
        <v>0</v>
      </c>
      <c r="W43" s="293">
        <f t="shared" si="16"/>
        <v>0</v>
      </c>
      <c r="X43" s="294">
        <f t="shared" si="16"/>
        <v>0</v>
      </c>
      <c r="Y43" s="295">
        <f t="shared" si="16"/>
        <v>0</v>
      </c>
      <c r="Z43" s="59"/>
      <c r="AA43" s="547">
        <f>ROUND(SUM(AA20:AA42),2)</f>
        <v>51094.92</v>
      </c>
      <c r="AB43" s="60"/>
    </row>
    <row r="44" spans="1:28" s="235" customFormat="1" ht="9.75" thickTop="1">
      <c r="A44" s="224"/>
      <c r="B44" s="225"/>
      <c r="C44" s="222"/>
      <c r="D44" s="222"/>
      <c r="E44" s="222"/>
      <c r="F44" s="223"/>
      <c r="G44" s="226"/>
      <c r="H44" s="227"/>
      <c r="I44" s="228"/>
      <c r="J44" s="228"/>
      <c r="K44" s="228"/>
      <c r="L44" s="228"/>
      <c r="M44" s="228"/>
      <c r="N44" s="228"/>
      <c r="O44" s="229"/>
      <c r="P44" s="230"/>
      <c r="Q44" s="230"/>
      <c r="R44" s="231"/>
      <c r="S44" s="231"/>
      <c r="T44" s="232"/>
      <c r="U44" s="232"/>
      <c r="V44" s="232"/>
      <c r="W44" s="232"/>
      <c r="X44" s="232"/>
      <c r="Y44" s="232"/>
      <c r="Z44" s="232"/>
      <c r="AA44" s="233"/>
      <c r="AB44" s="234"/>
    </row>
    <row r="45" spans="1:28" s="10" customFormat="1" ht="16.5" customHeight="1" thickBot="1">
      <c r="A45" s="8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B91"/>
  <sheetViews>
    <sheetView zoomScale="85" zoomScaleNormal="85" zoomScalePageLayoutView="0" workbookViewId="0" topLeftCell="F1">
      <selection activeCell="G16" sqref="G16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92" customFormat="1" ht="26.25">
      <c r="AB1" s="370"/>
    </row>
    <row r="2" spans="2:28" s="92" customFormat="1" ht="26.25">
      <c r="B2" s="93" t="str">
        <f>+'TOT-1215'!B2</f>
        <v>ANEXO VI al Memorándum  D.T.E.E.  N°  379 / 2016              .-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="10" customFormat="1" ht="12.75"/>
    <row r="4" spans="1:4" s="95" customFormat="1" ht="11.25">
      <c r="A4" s="546" t="s">
        <v>17</v>
      </c>
      <c r="C4" s="545"/>
      <c r="D4" s="545"/>
    </row>
    <row r="5" spans="1:4" s="95" customFormat="1" ht="11.25">
      <c r="A5" s="546" t="s">
        <v>136</v>
      </c>
      <c r="C5" s="545"/>
      <c r="D5" s="545"/>
    </row>
    <row r="6" s="10" customFormat="1" ht="13.5" thickBot="1"/>
    <row r="7" spans="1:28" s="10" customFormat="1" ht="13.5" thickTop="1">
      <c r="A7" s="8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1:28" s="97" customFormat="1" ht="20.25">
      <c r="A8" s="44"/>
      <c r="B8" s="96"/>
      <c r="C8" s="44"/>
      <c r="D8" s="44"/>
      <c r="E8" s="44"/>
      <c r="F8" s="21" t="s">
        <v>38</v>
      </c>
      <c r="G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98"/>
    </row>
    <row r="9" spans="1:28" s="10" customFormat="1" ht="12.75">
      <c r="A9" s="8"/>
      <c r="B9" s="43"/>
      <c r="C9" s="8"/>
      <c r="D9" s="8"/>
      <c r="E9" s="8"/>
      <c r="F9" s="109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97" customFormat="1" ht="20.25">
      <c r="A10" s="44"/>
      <c r="B10" s="96"/>
      <c r="C10" s="44"/>
      <c r="D10" s="44"/>
      <c r="E10" s="44"/>
      <c r="F10" s="21" t="s">
        <v>132</v>
      </c>
      <c r="G10" s="21"/>
      <c r="H10" s="44"/>
      <c r="I10" s="99"/>
      <c r="J10" s="99"/>
      <c r="K10" s="99"/>
      <c r="L10" s="99"/>
      <c r="M10" s="99"/>
      <c r="N10" s="99"/>
      <c r="O10" s="99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98"/>
    </row>
    <row r="11" spans="1:28" s="10" customFormat="1" ht="12.75">
      <c r="A11" s="8"/>
      <c r="B11" s="43"/>
      <c r="C11" s="8"/>
      <c r="D11" s="8"/>
      <c r="E11" s="8"/>
      <c r="F11" s="108"/>
      <c r="G11" s="106"/>
      <c r="H11" s="8"/>
      <c r="I11" s="105"/>
      <c r="J11" s="105"/>
      <c r="K11" s="105"/>
      <c r="L11" s="105"/>
      <c r="M11" s="105"/>
      <c r="N11" s="105"/>
      <c r="O11" s="10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04" customFormat="1" ht="19.5">
      <c r="A12" s="46"/>
      <c r="B12" s="70" t="str">
        <f>+'TOT-1215'!B14</f>
        <v>Desde el 01 al 31 de diciembre de 2015</v>
      </c>
      <c r="C12" s="100"/>
      <c r="D12" s="100"/>
      <c r="E12" s="100"/>
      <c r="F12" s="100"/>
      <c r="G12" s="101"/>
      <c r="H12" s="101"/>
      <c r="I12" s="102"/>
      <c r="J12" s="102"/>
      <c r="K12" s="102"/>
      <c r="L12" s="102"/>
      <c r="M12" s="102"/>
      <c r="N12" s="102"/>
      <c r="O12" s="102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3"/>
    </row>
    <row r="13" spans="1:28" s="104" customFormat="1" ht="7.5" customHeight="1">
      <c r="A13" s="46"/>
      <c r="B13" s="70"/>
      <c r="C13" s="100"/>
      <c r="D13" s="100"/>
      <c r="E13" s="100"/>
      <c r="F13" s="100"/>
      <c r="G13" s="101"/>
      <c r="H13" s="101"/>
      <c r="I13" s="102"/>
      <c r="J13" s="102"/>
      <c r="K13" s="102"/>
      <c r="L13" s="102"/>
      <c r="M13" s="102"/>
      <c r="N13" s="102"/>
      <c r="O13" s="102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3"/>
    </row>
    <row r="14" spans="1:28" s="10" customFormat="1" ht="7.5" customHeight="1" thickBot="1">
      <c r="A14" s="8"/>
      <c r="B14" s="43"/>
      <c r="C14" s="8"/>
      <c r="D14" s="8"/>
      <c r="E14" s="8"/>
      <c r="F14" s="8"/>
      <c r="G14" s="106"/>
      <c r="H14" s="107"/>
      <c r="I14" s="105"/>
      <c r="J14" s="105"/>
      <c r="K14" s="105"/>
      <c r="L14" s="105"/>
      <c r="M14" s="105"/>
      <c r="N14" s="105"/>
      <c r="O14" s="10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78" customFormat="1" ht="16.5" customHeight="1" thickBot="1" thickTop="1">
      <c r="A15" s="74"/>
      <c r="B15" s="75"/>
      <c r="C15" s="74"/>
      <c r="D15" s="74"/>
      <c r="E15" s="74"/>
      <c r="F15" s="372" t="s">
        <v>41</v>
      </c>
      <c r="G15" s="582" t="s">
        <v>165</v>
      </c>
      <c r="H15" s="218"/>
      <c r="I15" s="79"/>
      <c r="J15" s="79"/>
      <c r="K15" s="79"/>
      <c r="L15" s="79"/>
      <c r="M15" s="79"/>
      <c r="N15" s="79"/>
      <c r="O15" s="79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7"/>
    </row>
    <row r="16" spans="1:28" s="78" customFormat="1" ht="16.5" customHeight="1" thickBot="1" thickTop="1">
      <c r="A16" s="74"/>
      <c r="B16" s="75"/>
      <c r="C16" s="74"/>
      <c r="D16" s="74"/>
      <c r="E16" s="74"/>
      <c r="F16" s="372" t="s">
        <v>42</v>
      </c>
      <c r="G16" s="373">
        <v>69.722</v>
      </c>
      <c r="H16" s="219"/>
      <c r="I16" s="74"/>
      <c r="K16" s="80" t="s">
        <v>43</v>
      </c>
      <c r="L16" s="81">
        <f>30*'TOT-1215'!B13</f>
        <v>30</v>
      </c>
      <c r="M16" s="215" t="str">
        <f>IF(L16=30," ",IF(L16=60,"Coeficiente duplicado por tasa de falla &gt;4 Sal. x año/100 km.","REVISAR COEFICIENTE"))</f>
        <v> 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7"/>
    </row>
    <row r="17" spans="1:28" s="78" customFormat="1" ht="7.5" customHeight="1" thickTop="1">
      <c r="A17" s="74"/>
      <c r="B17" s="75"/>
      <c r="C17" s="74"/>
      <c r="D17" s="74"/>
      <c r="E17" s="74"/>
      <c r="F17" s="536"/>
      <c r="G17" s="537"/>
      <c r="H17" s="538"/>
      <c r="I17" s="74"/>
      <c r="K17" s="80"/>
      <c r="L17" s="81"/>
      <c r="M17" s="215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7"/>
    </row>
    <row r="18" spans="1:28" s="569" customFormat="1" ht="15" customHeight="1" thickBot="1">
      <c r="A18" s="565"/>
      <c r="B18" s="566"/>
      <c r="C18" s="567">
        <v>3</v>
      </c>
      <c r="D18" s="567">
        <v>4</v>
      </c>
      <c r="E18" s="567">
        <v>5</v>
      </c>
      <c r="F18" s="567">
        <v>6</v>
      </c>
      <c r="G18" s="567">
        <v>7</v>
      </c>
      <c r="H18" s="567">
        <v>8</v>
      </c>
      <c r="I18" s="567">
        <v>9</v>
      </c>
      <c r="J18" s="567">
        <v>10</v>
      </c>
      <c r="K18" s="567">
        <v>11</v>
      </c>
      <c r="L18" s="567">
        <v>12</v>
      </c>
      <c r="M18" s="567">
        <v>13</v>
      </c>
      <c r="N18" s="567">
        <v>14</v>
      </c>
      <c r="O18" s="567">
        <v>15</v>
      </c>
      <c r="P18" s="567">
        <v>16</v>
      </c>
      <c r="Q18" s="567">
        <v>17</v>
      </c>
      <c r="R18" s="567">
        <v>18</v>
      </c>
      <c r="S18" s="567">
        <v>19</v>
      </c>
      <c r="T18" s="567">
        <v>20</v>
      </c>
      <c r="U18" s="567">
        <v>21</v>
      </c>
      <c r="V18" s="567">
        <v>22</v>
      </c>
      <c r="W18" s="567">
        <v>23</v>
      </c>
      <c r="X18" s="567">
        <v>24</v>
      </c>
      <c r="Y18" s="567">
        <v>25</v>
      </c>
      <c r="Z18" s="567">
        <v>26</v>
      </c>
      <c r="AA18" s="567">
        <v>27</v>
      </c>
      <c r="AB18" s="568"/>
    </row>
    <row r="19" spans="1:28" s="91" customFormat="1" ht="33.75" customHeight="1" thickBot="1" thickTop="1">
      <c r="A19" s="82"/>
      <c r="B19" s="83"/>
      <c r="C19" s="84" t="s">
        <v>44</v>
      </c>
      <c r="D19" s="84" t="s">
        <v>135</v>
      </c>
      <c r="E19" s="84" t="s">
        <v>134</v>
      </c>
      <c r="F19" s="85" t="s">
        <v>20</v>
      </c>
      <c r="G19" s="86" t="s">
        <v>45</v>
      </c>
      <c r="H19" s="87" t="s">
        <v>46</v>
      </c>
      <c r="I19" s="245" t="s">
        <v>47</v>
      </c>
      <c r="J19" s="85" t="s">
        <v>48</v>
      </c>
      <c r="K19" s="85" t="s">
        <v>49</v>
      </c>
      <c r="L19" s="86" t="s">
        <v>50</v>
      </c>
      <c r="M19" s="86" t="s">
        <v>51</v>
      </c>
      <c r="N19" s="88" t="s">
        <v>52</v>
      </c>
      <c r="O19" s="86" t="s">
        <v>53</v>
      </c>
      <c r="P19" s="255" t="s">
        <v>54</v>
      </c>
      <c r="Q19" s="258" t="s">
        <v>55</v>
      </c>
      <c r="R19" s="261" t="s">
        <v>56</v>
      </c>
      <c r="S19" s="262"/>
      <c r="T19" s="263"/>
      <c r="U19" s="272" t="s">
        <v>57</v>
      </c>
      <c r="V19" s="273"/>
      <c r="W19" s="274"/>
      <c r="X19" s="282" t="s">
        <v>58</v>
      </c>
      <c r="Y19" s="285" t="s">
        <v>59</v>
      </c>
      <c r="Z19" s="89" t="s">
        <v>60</v>
      </c>
      <c r="AA19" s="89" t="s">
        <v>61</v>
      </c>
      <c r="AB19" s="90"/>
    </row>
    <row r="20" spans="1:28" ht="16.5" customHeight="1" thickTop="1">
      <c r="A20" s="1"/>
      <c r="B20" s="2"/>
      <c r="C20" s="50"/>
      <c r="D20" s="71"/>
      <c r="E20" s="71"/>
      <c r="F20" s="51"/>
      <c r="G20" s="52"/>
      <c r="H20" s="52"/>
      <c r="I20" s="246"/>
      <c r="J20" s="52"/>
      <c r="K20" s="53"/>
      <c r="L20" s="53"/>
      <c r="M20" s="53"/>
      <c r="N20" s="51"/>
      <c r="O20" s="52"/>
      <c r="P20" s="256"/>
      <c r="Q20" s="259"/>
      <c r="R20" s="264"/>
      <c r="S20" s="265"/>
      <c r="T20" s="266"/>
      <c r="U20" s="275"/>
      <c r="V20" s="276"/>
      <c r="W20" s="277"/>
      <c r="X20" s="283"/>
      <c r="Y20" s="286"/>
      <c r="Z20" s="270"/>
      <c r="AA20" s="53"/>
      <c r="AB20" s="3"/>
    </row>
    <row r="21" spans="1:28" ht="16.5" customHeight="1">
      <c r="A21" s="1"/>
      <c r="B21" s="2"/>
      <c r="C21" s="50"/>
      <c r="D21" s="50"/>
      <c r="E21" s="50"/>
      <c r="F21" s="50"/>
      <c r="G21" s="72"/>
      <c r="H21" s="72"/>
      <c r="I21" s="247"/>
      <c r="J21" s="50"/>
      <c r="K21" s="73"/>
      <c r="L21" s="73"/>
      <c r="M21" s="73"/>
      <c r="N21" s="71"/>
      <c r="O21" s="50"/>
      <c r="P21" s="257"/>
      <c r="Q21" s="260"/>
      <c r="R21" s="267"/>
      <c r="S21" s="268"/>
      <c r="T21" s="269"/>
      <c r="U21" s="278"/>
      <c r="V21" s="279"/>
      <c r="W21" s="280"/>
      <c r="X21" s="284"/>
      <c r="Y21" s="287"/>
      <c r="Z21" s="271"/>
      <c r="AA21" s="73"/>
      <c r="AB21" s="3"/>
    </row>
    <row r="22" spans="1:28" ht="16.5" customHeight="1">
      <c r="A22" s="1"/>
      <c r="B22" s="2"/>
      <c r="C22" s="376">
        <v>15</v>
      </c>
      <c r="D22" s="376">
        <v>295965</v>
      </c>
      <c r="E22" s="376">
        <v>4726</v>
      </c>
      <c r="F22" s="377" t="s">
        <v>147</v>
      </c>
      <c r="G22" s="378">
        <v>132</v>
      </c>
      <c r="H22" s="379">
        <v>27.600000381469727</v>
      </c>
      <c r="I22" s="248">
        <f aca="true" t="shared" si="0" ref="I22:I41">IF(H22&gt;25,H22,25)*IF(G22=330,$G$15,$G$16)/100</f>
        <v>19.243272265968322</v>
      </c>
      <c r="J22" s="384">
        <v>42349.17013888889</v>
      </c>
      <c r="K22" s="384">
        <v>42349.464583333334</v>
      </c>
      <c r="L22" s="13">
        <f aca="true" t="shared" si="1" ref="L22:L41">IF(F22="","",(K22-J22)*24)</f>
        <v>7.066666666651145</v>
      </c>
      <c r="M22" s="14">
        <f aca="true" t="shared" si="2" ref="M22:M41">IF(F22="","",ROUND((K22-J22)*24*60,0))</f>
        <v>424</v>
      </c>
      <c r="N22" s="385" t="s">
        <v>144</v>
      </c>
      <c r="O22" s="564" t="s">
        <v>141</v>
      </c>
      <c r="P22" s="549" t="str">
        <f aca="true" t="shared" si="3" ref="P22:P41">IF(N22="P",ROUND(M22/60,2)*I22*$L$16*0.01,"--")</f>
        <v>--</v>
      </c>
      <c r="Q22" s="550" t="str">
        <f aca="true" t="shared" si="4" ref="Q22:Q41">IF(N22="RP",ROUND(M22/60,2)*I22*$L$16*0.01*O22/100,"--")</f>
        <v>--</v>
      </c>
      <c r="R22" s="551">
        <f aca="true" t="shared" si="5" ref="R22:R41">IF(N22="F",I22*$L$16,"--")</f>
        <v>577.2981679790497</v>
      </c>
      <c r="S22" s="552">
        <f aca="true" t="shared" si="6" ref="S22:S41">IF(AND(M22&gt;10,N22="F"),I22*$L$16*IF(M22&gt;180,3,ROUND(M22/60,2)),"--")</f>
        <v>1731.8945039371492</v>
      </c>
      <c r="T22" s="553">
        <f aca="true" t="shared" si="7" ref="T22:T41">IF(AND(M22&gt;180,N22="F"),(ROUND(M22/60,2)-3)*I22*$L$16*0.1,"--")</f>
        <v>234.96035436747326</v>
      </c>
      <c r="U22" s="554" t="str">
        <f aca="true" t="shared" si="8" ref="U22:U41">IF(N22="R",I22*$L$16*O22/100,"--")</f>
        <v>--</v>
      </c>
      <c r="V22" s="555" t="str">
        <f aca="true" t="shared" si="9" ref="V22:V41">IF(AND(M22&gt;10,N22="R"),I22*$L$16*O22/100*IF(M22&gt;180,3,ROUND(M22/60,2)),"--")</f>
        <v>--</v>
      </c>
      <c r="W22" s="556" t="str">
        <f aca="true" t="shared" si="10" ref="W22:W41">IF(AND(M22&gt;180,N22="R"),(ROUND(M22/60,2)-3)*O22/100*I22*$L$16*0.1,"--")</f>
        <v>--</v>
      </c>
      <c r="X22" s="557" t="str">
        <f aca="true" t="shared" si="11" ref="X22:X41">IF(N22="RF",ROUND(M22/60,2)*I22*$L$16*0.1,"--")</f>
        <v>--</v>
      </c>
      <c r="Y22" s="558" t="str">
        <f aca="true" t="shared" si="12" ref="Y22:Y41">IF(N22="RR",ROUND(M22/60,2)*O22/100*I22*$L$16*0.1,"--")</f>
        <v>--</v>
      </c>
      <c r="Z22" s="559" t="s">
        <v>140</v>
      </c>
      <c r="AA22" s="54">
        <f aca="true" t="shared" si="13" ref="AA22:AA41">IF(F22="","",SUM(P22:Y22)*IF(Z22="SI",1,2))</f>
        <v>2544.1530262836723</v>
      </c>
      <c r="AB22" s="3"/>
    </row>
    <row r="23" spans="1:28" ht="16.5" customHeight="1">
      <c r="A23" s="1"/>
      <c r="B23" s="2"/>
      <c r="C23" s="376">
        <v>16</v>
      </c>
      <c r="D23" s="376">
        <v>295975</v>
      </c>
      <c r="E23" s="376">
        <v>4586</v>
      </c>
      <c r="F23" s="377" t="s">
        <v>163</v>
      </c>
      <c r="G23" s="378">
        <v>132</v>
      </c>
      <c r="H23" s="379">
        <v>127.98</v>
      </c>
      <c r="I23" s="248">
        <f t="shared" si="0"/>
        <v>89.2302156</v>
      </c>
      <c r="J23" s="384">
        <v>42350.83125</v>
      </c>
      <c r="K23" s="384">
        <v>42350.91805555556</v>
      </c>
      <c r="L23" s="13">
        <f t="shared" si="1"/>
        <v>2.083333333313931</v>
      </c>
      <c r="M23" s="14">
        <f t="shared" si="2"/>
        <v>125</v>
      </c>
      <c r="N23" s="385" t="s">
        <v>144</v>
      </c>
      <c r="O23" s="564" t="s">
        <v>141</v>
      </c>
      <c r="P23" s="549" t="str">
        <f t="shared" si="3"/>
        <v>--</v>
      </c>
      <c r="Q23" s="550" t="str">
        <f t="shared" si="4"/>
        <v>--</v>
      </c>
      <c r="R23" s="551">
        <f t="shared" si="5"/>
        <v>2676.9064679999997</v>
      </c>
      <c r="S23" s="552">
        <f t="shared" si="6"/>
        <v>5567.96545344</v>
      </c>
      <c r="T23" s="553" t="str">
        <f t="shared" si="7"/>
        <v>--</v>
      </c>
      <c r="U23" s="554" t="str">
        <f t="shared" si="8"/>
        <v>--</v>
      </c>
      <c r="V23" s="555" t="str">
        <f t="shared" si="9"/>
        <v>--</v>
      </c>
      <c r="W23" s="556" t="str">
        <f t="shared" si="10"/>
        <v>--</v>
      </c>
      <c r="X23" s="557" t="str">
        <f t="shared" si="11"/>
        <v>--</v>
      </c>
      <c r="Y23" s="558" t="str">
        <f t="shared" si="12"/>
        <v>--</v>
      </c>
      <c r="Z23" s="559" t="str">
        <f aca="true" t="shared" si="14" ref="Z23:Z41">IF(F23="","","SI")</f>
        <v>SI</v>
      </c>
      <c r="AA23" s="54">
        <f t="shared" si="13"/>
        <v>8244.871921439999</v>
      </c>
      <c r="AB23" s="3"/>
    </row>
    <row r="24" spans="1:28" ht="16.5" customHeight="1">
      <c r="A24" s="1"/>
      <c r="B24" s="2"/>
      <c r="C24" s="376">
        <v>17</v>
      </c>
      <c r="D24" s="376">
        <v>295979</v>
      </c>
      <c r="E24" s="376">
        <v>4586</v>
      </c>
      <c r="F24" s="377" t="s">
        <v>163</v>
      </c>
      <c r="G24" s="378">
        <v>132</v>
      </c>
      <c r="H24" s="379">
        <v>127.98</v>
      </c>
      <c r="I24" s="248">
        <f t="shared" si="0"/>
        <v>89.2302156</v>
      </c>
      <c r="J24" s="384">
        <v>42350.927777777775</v>
      </c>
      <c r="K24" s="384">
        <v>42350.92916666667</v>
      </c>
      <c r="L24" s="13">
        <f t="shared" si="1"/>
        <v>0.033333333441987634</v>
      </c>
      <c r="M24" s="14">
        <f t="shared" si="2"/>
        <v>2</v>
      </c>
      <c r="N24" s="385" t="s">
        <v>144</v>
      </c>
      <c r="O24" s="564" t="s">
        <v>141</v>
      </c>
      <c r="P24" s="549" t="str">
        <f t="shared" si="3"/>
        <v>--</v>
      </c>
      <c r="Q24" s="550" t="str">
        <f t="shared" si="4"/>
        <v>--</v>
      </c>
      <c r="R24" s="551">
        <f t="shared" si="5"/>
        <v>2676.9064679999997</v>
      </c>
      <c r="S24" s="552" t="str">
        <f t="shared" si="6"/>
        <v>--</v>
      </c>
      <c r="T24" s="553" t="str">
        <f t="shared" si="7"/>
        <v>--</v>
      </c>
      <c r="U24" s="554" t="str">
        <f t="shared" si="8"/>
        <v>--</v>
      </c>
      <c r="V24" s="555" t="str">
        <f t="shared" si="9"/>
        <v>--</v>
      </c>
      <c r="W24" s="556" t="str">
        <f t="shared" si="10"/>
        <v>--</v>
      </c>
      <c r="X24" s="557" t="str">
        <f t="shared" si="11"/>
        <v>--</v>
      </c>
      <c r="Y24" s="558" t="str">
        <f t="shared" si="12"/>
        <v>--</v>
      </c>
      <c r="Z24" s="559" t="str">
        <f t="shared" si="14"/>
        <v>SI</v>
      </c>
      <c r="AA24" s="54">
        <f t="shared" si="13"/>
        <v>2676.9064679999997</v>
      </c>
      <c r="AB24" s="3"/>
    </row>
    <row r="25" spans="1:28" ht="16.5" customHeight="1">
      <c r="A25" s="1"/>
      <c r="B25" s="2"/>
      <c r="C25" s="376">
        <v>18</v>
      </c>
      <c r="D25" s="376">
        <v>295983</v>
      </c>
      <c r="E25" s="376">
        <v>4586</v>
      </c>
      <c r="F25" s="377" t="s">
        <v>163</v>
      </c>
      <c r="G25" s="378">
        <v>132</v>
      </c>
      <c r="H25" s="379">
        <v>127.98</v>
      </c>
      <c r="I25" s="248">
        <f t="shared" si="0"/>
        <v>89.2302156</v>
      </c>
      <c r="J25" s="384">
        <v>42350.97152777778</v>
      </c>
      <c r="K25" s="384">
        <v>42350.98055555556</v>
      </c>
      <c r="L25" s="13">
        <f t="shared" si="1"/>
        <v>0.2166666666744277</v>
      </c>
      <c r="M25" s="14">
        <f t="shared" si="2"/>
        <v>13</v>
      </c>
      <c r="N25" s="385" t="s">
        <v>144</v>
      </c>
      <c r="O25" s="564" t="s">
        <v>141</v>
      </c>
      <c r="P25" s="549" t="str">
        <f t="shared" si="3"/>
        <v>--</v>
      </c>
      <c r="Q25" s="550" t="str">
        <f t="shared" si="4"/>
        <v>--</v>
      </c>
      <c r="R25" s="551">
        <f t="shared" si="5"/>
        <v>2676.9064679999997</v>
      </c>
      <c r="S25" s="552">
        <f t="shared" si="6"/>
        <v>588.9194229599999</v>
      </c>
      <c r="T25" s="553" t="str">
        <f t="shared" si="7"/>
        <v>--</v>
      </c>
      <c r="U25" s="554" t="str">
        <f t="shared" si="8"/>
        <v>--</v>
      </c>
      <c r="V25" s="555" t="str">
        <f t="shared" si="9"/>
        <v>--</v>
      </c>
      <c r="W25" s="556" t="str">
        <f t="shared" si="10"/>
        <v>--</v>
      </c>
      <c r="X25" s="557" t="str">
        <f t="shared" si="11"/>
        <v>--</v>
      </c>
      <c r="Y25" s="558" t="str">
        <f t="shared" si="12"/>
        <v>--</v>
      </c>
      <c r="Z25" s="559" t="str">
        <f t="shared" si="14"/>
        <v>SI</v>
      </c>
      <c r="AA25" s="54">
        <f t="shared" si="13"/>
        <v>3265.8258909599995</v>
      </c>
      <c r="AB25" s="3"/>
    </row>
    <row r="26" spans="1:28" ht="16.5" customHeight="1">
      <c r="A26" s="1"/>
      <c r="B26" s="2"/>
      <c r="C26" s="376"/>
      <c r="D26" s="376"/>
      <c r="E26" s="376"/>
      <c r="F26" s="377"/>
      <c r="G26" s="378"/>
      <c r="H26" s="379"/>
      <c r="I26" s="248">
        <f t="shared" si="0"/>
        <v>17.4305</v>
      </c>
      <c r="J26" s="384"/>
      <c r="K26" s="384"/>
      <c r="L26" s="13">
        <f t="shared" si="1"/>
      </c>
      <c r="M26" s="14">
        <f t="shared" si="2"/>
      </c>
      <c r="N26" s="385"/>
      <c r="O26" s="548">
        <f aca="true" t="shared" si="15" ref="O26:O41">IF(F26="","","--")</f>
      </c>
      <c r="P26" s="549" t="str">
        <f t="shared" si="3"/>
        <v>--</v>
      </c>
      <c r="Q26" s="550" t="str">
        <f t="shared" si="4"/>
        <v>--</v>
      </c>
      <c r="R26" s="551" t="str">
        <f t="shared" si="5"/>
        <v>--</v>
      </c>
      <c r="S26" s="552" t="str">
        <f t="shared" si="6"/>
        <v>--</v>
      </c>
      <c r="T26" s="553" t="str">
        <f t="shared" si="7"/>
        <v>--</v>
      </c>
      <c r="U26" s="554" t="str">
        <f t="shared" si="8"/>
        <v>--</v>
      </c>
      <c r="V26" s="555" t="str">
        <f t="shared" si="9"/>
        <v>--</v>
      </c>
      <c r="W26" s="556" t="str">
        <f t="shared" si="10"/>
        <v>--</v>
      </c>
      <c r="X26" s="557" t="str">
        <f t="shared" si="11"/>
        <v>--</v>
      </c>
      <c r="Y26" s="558" t="str">
        <f t="shared" si="12"/>
        <v>--</v>
      </c>
      <c r="Z26" s="559">
        <f t="shared" si="14"/>
      </c>
      <c r="AA26" s="54">
        <f t="shared" si="13"/>
      </c>
      <c r="AB26" s="3"/>
    </row>
    <row r="27" spans="1:28" ht="16.5" customHeight="1">
      <c r="A27" s="1"/>
      <c r="B27" s="2"/>
      <c r="C27" s="376"/>
      <c r="D27" s="376"/>
      <c r="E27" s="376"/>
      <c r="F27" s="377"/>
      <c r="G27" s="378"/>
      <c r="H27" s="379"/>
      <c r="I27" s="248">
        <f t="shared" si="0"/>
        <v>17.4305</v>
      </c>
      <c r="J27" s="384"/>
      <c r="K27" s="384"/>
      <c r="L27" s="13">
        <f t="shared" si="1"/>
      </c>
      <c r="M27" s="14">
        <f t="shared" si="2"/>
      </c>
      <c r="N27" s="385"/>
      <c r="O27" s="548">
        <f t="shared" si="15"/>
      </c>
      <c r="P27" s="549" t="str">
        <f t="shared" si="3"/>
        <v>--</v>
      </c>
      <c r="Q27" s="550" t="str">
        <f t="shared" si="4"/>
        <v>--</v>
      </c>
      <c r="R27" s="551" t="str">
        <f t="shared" si="5"/>
        <v>--</v>
      </c>
      <c r="S27" s="552" t="str">
        <f t="shared" si="6"/>
        <v>--</v>
      </c>
      <c r="T27" s="553" t="str">
        <f t="shared" si="7"/>
        <v>--</v>
      </c>
      <c r="U27" s="554" t="str">
        <f t="shared" si="8"/>
        <v>--</v>
      </c>
      <c r="V27" s="555" t="str">
        <f t="shared" si="9"/>
        <v>--</v>
      </c>
      <c r="W27" s="556" t="str">
        <f t="shared" si="10"/>
        <v>--</v>
      </c>
      <c r="X27" s="557" t="str">
        <f t="shared" si="11"/>
        <v>--</v>
      </c>
      <c r="Y27" s="558" t="str">
        <f t="shared" si="12"/>
        <v>--</v>
      </c>
      <c r="Z27" s="559">
        <f t="shared" si="14"/>
      </c>
      <c r="AA27" s="54">
        <f t="shared" si="13"/>
      </c>
      <c r="AB27" s="3"/>
    </row>
    <row r="28" spans="1:28" ht="16.5" customHeight="1">
      <c r="A28" s="1"/>
      <c r="B28" s="2"/>
      <c r="C28" s="376"/>
      <c r="D28" s="376"/>
      <c r="E28" s="376"/>
      <c r="F28" s="377"/>
      <c r="G28" s="378"/>
      <c r="H28" s="379"/>
      <c r="I28" s="248">
        <f t="shared" si="0"/>
        <v>17.4305</v>
      </c>
      <c r="J28" s="384"/>
      <c r="K28" s="384"/>
      <c r="L28" s="13">
        <f t="shared" si="1"/>
      </c>
      <c r="M28" s="14">
        <f t="shared" si="2"/>
      </c>
      <c r="N28" s="385"/>
      <c r="O28" s="548">
        <f t="shared" si="15"/>
      </c>
      <c r="P28" s="549" t="str">
        <f t="shared" si="3"/>
        <v>--</v>
      </c>
      <c r="Q28" s="550" t="str">
        <f t="shared" si="4"/>
        <v>--</v>
      </c>
      <c r="R28" s="551" t="str">
        <f t="shared" si="5"/>
        <v>--</v>
      </c>
      <c r="S28" s="552" t="str">
        <f t="shared" si="6"/>
        <v>--</v>
      </c>
      <c r="T28" s="553" t="str">
        <f t="shared" si="7"/>
        <v>--</v>
      </c>
      <c r="U28" s="554" t="str">
        <f t="shared" si="8"/>
        <v>--</v>
      </c>
      <c r="V28" s="555" t="str">
        <f t="shared" si="9"/>
        <v>--</v>
      </c>
      <c r="W28" s="556" t="str">
        <f t="shared" si="10"/>
        <v>--</v>
      </c>
      <c r="X28" s="557" t="str">
        <f t="shared" si="11"/>
        <v>--</v>
      </c>
      <c r="Y28" s="558" t="str">
        <f t="shared" si="12"/>
        <v>--</v>
      </c>
      <c r="Z28" s="559">
        <f t="shared" si="14"/>
      </c>
      <c r="AA28" s="54">
        <f t="shared" si="13"/>
      </c>
      <c r="AB28" s="3"/>
    </row>
    <row r="29" spans="1:28" ht="16.5" customHeight="1">
      <c r="A29" s="1"/>
      <c r="B29" s="2"/>
      <c r="C29" s="376"/>
      <c r="D29" s="376"/>
      <c r="E29" s="376"/>
      <c r="F29" s="377"/>
      <c r="G29" s="378"/>
      <c r="H29" s="379"/>
      <c r="I29" s="248">
        <f t="shared" si="0"/>
        <v>17.4305</v>
      </c>
      <c r="J29" s="384"/>
      <c r="K29" s="384"/>
      <c r="L29" s="13">
        <f t="shared" si="1"/>
      </c>
      <c r="M29" s="14">
        <f t="shared" si="2"/>
      </c>
      <c r="N29" s="385"/>
      <c r="O29" s="548">
        <f t="shared" si="15"/>
      </c>
      <c r="P29" s="549" t="str">
        <f t="shared" si="3"/>
        <v>--</v>
      </c>
      <c r="Q29" s="550" t="str">
        <f t="shared" si="4"/>
        <v>--</v>
      </c>
      <c r="R29" s="551" t="str">
        <f t="shared" si="5"/>
        <v>--</v>
      </c>
      <c r="S29" s="552" t="str">
        <f t="shared" si="6"/>
        <v>--</v>
      </c>
      <c r="T29" s="553" t="str">
        <f t="shared" si="7"/>
        <v>--</v>
      </c>
      <c r="U29" s="554" t="str">
        <f t="shared" si="8"/>
        <v>--</v>
      </c>
      <c r="V29" s="555" t="str">
        <f t="shared" si="9"/>
        <v>--</v>
      </c>
      <c r="W29" s="556" t="str">
        <f t="shared" si="10"/>
        <v>--</v>
      </c>
      <c r="X29" s="557" t="str">
        <f t="shared" si="11"/>
        <v>--</v>
      </c>
      <c r="Y29" s="558" t="str">
        <f t="shared" si="12"/>
        <v>--</v>
      </c>
      <c r="Z29" s="559">
        <f t="shared" si="14"/>
      </c>
      <c r="AA29" s="54">
        <f t="shared" si="13"/>
      </c>
      <c r="AB29" s="3"/>
    </row>
    <row r="30" spans="1:28" ht="16.5" customHeight="1">
      <c r="A30" s="1"/>
      <c r="B30" s="2"/>
      <c r="C30" s="376"/>
      <c r="D30" s="376"/>
      <c r="E30" s="376"/>
      <c r="F30" s="377"/>
      <c r="G30" s="378"/>
      <c r="H30" s="379"/>
      <c r="I30" s="248">
        <f t="shared" si="0"/>
        <v>17.4305</v>
      </c>
      <c r="J30" s="384"/>
      <c r="K30" s="384"/>
      <c r="L30" s="13">
        <f t="shared" si="1"/>
      </c>
      <c r="M30" s="14">
        <f t="shared" si="2"/>
      </c>
      <c r="N30" s="385"/>
      <c r="O30" s="548">
        <f t="shared" si="15"/>
      </c>
      <c r="P30" s="549" t="str">
        <f t="shared" si="3"/>
        <v>--</v>
      </c>
      <c r="Q30" s="550" t="str">
        <f t="shared" si="4"/>
        <v>--</v>
      </c>
      <c r="R30" s="551" t="str">
        <f t="shared" si="5"/>
        <v>--</v>
      </c>
      <c r="S30" s="552" t="str">
        <f t="shared" si="6"/>
        <v>--</v>
      </c>
      <c r="T30" s="553" t="str">
        <f t="shared" si="7"/>
        <v>--</v>
      </c>
      <c r="U30" s="554" t="str">
        <f t="shared" si="8"/>
        <v>--</v>
      </c>
      <c r="V30" s="555" t="str">
        <f t="shared" si="9"/>
        <v>--</v>
      </c>
      <c r="W30" s="556" t="str">
        <f t="shared" si="10"/>
        <v>--</v>
      </c>
      <c r="X30" s="557" t="str">
        <f t="shared" si="11"/>
        <v>--</v>
      </c>
      <c r="Y30" s="558" t="str">
        <f t="shared" si="12"/>
        <v>--</v>
      </c>
      <c r="Z30" s="559">
        <f t="shared" si="14"/>
      </c>
      <c r="AA30" s="54">
        <f t="shared" si="13"/>
      </c>
      <c r="AB30" s="3"/>
    </row>
    <row r="31" spans="1:28" ht="16.5" customHeight="1">
      <c r="A31" s="1"/>
      <c r="B31" s="2"/>
      <c r="C31" s="376"/>
      <c r="D31" s="376"/>
      <c r="E31" s="376"/>
      <c r="F31" s="377"/>
      <c r="G31" s="378"/>
      <c r="H31" s="379"/>
      <c r="I31" s="248">
        <f t="shared" si="0"/>
        <v>17.4305</v>
      </c>
      <c r="J31" s="384"/>
      <c r="K31" s="384"/>
      <c r="L31" s="13">
        <f t="shared" si="1"/>
      </c>
      <c r="M31" s="14">
        <f t="shared" si="2"/>
      </c>
      <c r="N31" s="385"/>
      <c r="O31" s="548">
        <f t="shared" si="15"/>
      </c>
      <c r="P31" s="549" t="str">
        <f t="shared" si="3"/>
        <v>--</v>
      </c>
      <c r="Q31" s="550" t="str">
        <f t="shared" si="4"/>
        <v>--</v>
      </c>
      <c r="R31" s="551" t="str">
        <f t="shared" si="5"/>
        <v>--</v>
      </c>
      <c r="S31" s="552" t="str">
        <f t="shared" si="6"/>
        <v>--</v>
      </c>
      <c r="T31" s="553" t="str">
        <f t="shared" si="7"/>
        <v>--</v>
      </c>
      <c r="U31" s="554" t="str">
        <f t="shared" si="8"/>
        <v>--</v>
      </c>
      <c r="V31" s="555" t="str">
        <f t="shared" si="9"/>
        <v>--</v>
      </c>
      <c r="W31" s="556" t="str">
        <f t="shared" si="10"/>
        <v>--</v>
      </c>
      <c r="X31" s="557" t="str">
        <f t="shared" si="11"/>
        <v>--</v>
      </c>
      <c r="Y31" s="558" t="str">
        <f t="shared" si="12"/>
        <v>--</v>
      </c>
      <c r="Z31" s="559">
        <f t="shared" si="14"/>
      </c>
      <c r="AA31" s="54">
        <f t="shared" si="13"/>
      </c>
      <c r="AB31" s="3"/>
    </row>
    <row r="32" spans="1:28" ht="16.5" customHeight="1">
      <c r="A32" s="1"/>
      <c r="B32" s="2"/>
      <c r="C32" s="376"/>
      <c r="D32" s="376"/>
      <c r="E32" s="376"/>
      <c r="F32" s="377"/>
      <c r="G32" s="378"/>
      <c r="H32" s="379"/>
      <c r="I32" s="248">
        <f t="shared" si="0"/>
        <v>17.4305</v>
      </c>
      <c r="J32" s="384"/>
      <c r="K32" s="384"/>
      <c r="L32" s="13">
        <f t="shared" si="1"/>
      </c>
      <c r="M32" s="14">
        <f t="shared" si="2"/>
      </c>
      <c r="N32" s="385"/>
      <c r="O32" s="548">
        <f t="shared" si="15"/>
      </c>
      <c r="P32" s="549" t="str">
        <f t="shared" si="3"/>
        <v>--</v>
      </c>
      <c r="Q32" s="550" t="str">
        <f t="shared" si="4"/>
        <v>--</v>
      </c>
      <c r="R32" s="551" t="str">
        <f t="shared" si="5"/>
        <v>--</v>
      </c>
      <c r="S32" s="552" t="str">
        <f t="shared" si="6"/>
        <v>--</v>
      </c>
      <c r="T32" s="553" t="str">
        <f t="shared" si="7"/>
        <v>--</v>
      </c>
      <c r="U32" s="554" t="str">
        <f t="shared" si="8"/>
        <v>--</v>
      </c>
      <c r="V32" s="555" t="str">
        <f t="shared" si="9"/>
        <v>--</v>
      </c>
      <c r="W32" s="556" t="str">
        <f t="shared" si="10"/>
        <v>--</v>
      </c>
      <c r="X32" s="557" t="str">
        <f t="shared" si="11"/>
        <v>--</v>
      </c>
      <c r="Y32" s="558" t="str">
        <f t="shared" si="12"/>
        <v>--</v>
      </c>
      <c r="Z32" s="559">
        <f t="shared" si="14"/>
      </c>
      <c r="AA32" s="54">
        <f t="shared" si="13"/>
      </c>
      <c r="AB32" s="3"/>
    </row>
    <row r="33" spans="1:28" ht="16.5" customHeight="1">
      <c r="A33" s="1"/>
      <c r="B33" s="2"/>
      <c r="C33" s="376"/>
      <c r="D33" s="376"/>
      <c r="E33" s="376"/>
      <c r="F33" s="377"/>
      <c r="G33" s="378"/>
      <c r="H33" s="379"/>
      <c r="I33" s="248">
        <f t="shared" si="0"/>
        <v>17.4305</v>
      </c>
      <c r="J33" s="384"/>
      <c r="K33" s="384"/>
      <c r="L33" s="13">
        <f t="shared" si="1"/>
      </c>
      <c r="M33" s="14">
        <f t="shared" si="2"/>
      </c>
      <c r="N33" s="385"/>
      <c r="O33" s="548">
        <f t="shared" si="15"/>
      </c>
      <c r="P33" s="549" t="str">
        <f t="shared" si="3"/>
        <v>--</v>
      </c>
      <c r="Q33" s="550" t="str">
        <f t="shared" si="4"/>
        <v>--</v>
      </c>
      <c r="R33" s="551" t="str">
        <f t="shared" si="5"/>
        <v>--</v>
      </c>
      <c r="S33" s="552" t="str">
        <f t="shared" si="6"/>
        <v>--</v>
      </c>
      <c r="T33" s="553" t="str">
        <f t="shared" si="7"/>
        <v>--</v>
      </c>
      <c r="U33" s="554" t="str">
        <f t="shared" si="8"/>
        <v>--</v>
      </c>
      <c r="V33" s="555" t="str">
        <f t="shared" si="9"/>
        <v>--</v>
      </c>
      <c r="W33" s="556" t="str">
        <f t="shared" si="10"/>
        <v>--</v>
      </c>
      <c r="X33" s="557" t="str">
        <f t="shared" si="11"/>
        <v>--</v>
      </c>
      <c r="Y33" s="558" t="str">
        <f t="shared" si="12"/>
        <v>--</v>
      </c>
      <c r="Z33" s="559">
        <f t="shared" si="14"/>
      </c>
      <c r="AA33" s="54">
        <f t="shared" si="13"/>
      </c>
      <c r="AB33" s="3"/>
    </row>
    <row r="34" spans="1:28" ht="16.5" customHeight="1">
      <c r="A34" s="1"/>
      <c r="B34" s="2"/>
      <c r="C34" s="376"/>
      <c r="D34" s="376"/>
      <c r="E34" s="376"/>
      <c r="F34" s="377"/>
      <c r="G34" s="378"/>
      <c r="H34" s="379"/>
      <c r="I34" s="248">
        <f t="shared" si="0"/>
        <v>17.4305</v>
      </c>
      <c r="J34" s="384"/>
      <c r="K34" s="384"/>
      <c r="L34" s="13">
        <f t="shared" si="1"/>
      </c>
      <c r="M34" s="14">
        <f t="shared" si="2"/>
      </c>
      <c r="N34" s="385"/>
      <c r="O34" s="548">
        <f t="shared" si="15"/>
      </c>
      <c r="P34" s="549" t="str">
        <f t="shared" si="3"/>
        <v>--</v>
      </c>
      <c r="Q34" s="550" t="str">
        <f t="shared" si="4"/>
        <v>--</v>
      </c>
      <c r="R34" s="551" t="str">
        <f t="shared" si="5"/>
        <v>--</v>
      </c>
      <c r="S34" s="552" t="str">
        <f t="shared" si="6"/>
        <v>--</v>
      </c>
      <c r="T34" s="553" t="str">
        <f t="shared" si="7"/>
        <v>--</v>
      </c>
      <c r="U34" s="554" t="str">
        <f t="shared" si="8"/>
        <v>--</v>
      </c>
      <c r="V34" s="555" t="str">
        <f t="shared" si="9"/>
        <v>--</v>
      </c>
      <c r="W34" s="556" t="str">
        <f t="shared" si="10"/>
        <v>--</v>
      </c>
      <c r="X34" s="557" t="str">
        <f t="shared" si="11"/>
        <v>--</v>
      </c>
      <c r="Y34" s="558" t="str">
        <f t="shared" si="12"/>
        <v>--</v>
      </c>
      <c r="Z34" s="559">
        <f t="shared" si="14"/>
      </c>
      <c r="AA34" s="54">
        <f t="shared" si="13"/>
      </c>
      <c r="AB34" s="3"/>
    </row>
    <row r="35" spans="1:28" ht="16.5" customHeight="1">
      <c r="A35" s="1"/>
      <c r="B35" s="2"/>
      <c r="C35" s="376"/>
      <c r="D35" s="376"/>
      <c r="E35" s="376"/>
      <c r="F35" s="377"/>
      <c r="G35" s="378"/>
      <c r="H35" s="379"/>
      <c r="I35" s="248">
        <f t="shared" si="0"/>
        <v>17.4305</v>
      </c>
      <c r="J35" s="384"/>
      <c r="K35" s="384"/>
      <c r="L35" s="13">
        <f t="shared" si="1"/>
      </c>
      <c r="M35" s="14">
        <f t="shared" si="2"/>
      </c>
      <c r="N35" s="385"/>
      <c r="O35" s="548">
        <f t="shared" si="15"/>
      </c>
      <c r="P35" s="549" t="str">
        <f t="shared" si="3"/>
        <v>--</v>
      </c>
      <c r="Q35" s="550" t="str">
        <f t="shared" si="4"/>
        <v>--</v>
      </c>
      <c r="R35" s="551" t="str">
        <f t="shared" si="5"/>
        <v>--</v>
      </c>
      <c r="S35" s="552" t="str">
        <f t="shared" si="6"/>
        <v>--</v>
      </c>
      <c r="T35" s="553" t="str">
        <f t="shared" si="7"/>
        <v>--</v>
      </c>
      <c r="U35" s="554" t="str">
        <f t="shared" si="8"/>
        <v>--</v>
      </c>
      <c r="V35" s="555" t="str">
        <f t="shared" si="9"/>
        <v>--</v>
      </c>
      <c r="W35" s="556" t="str">
        <f t="shared" si="10"/>
        <v>--</v>
      </c>
      <c r="X35" s="557" t="str">
        <f t="shared" si="11"/>
        <v>--</v>
      </c>
      <c r="Y35" s="558" t="str">
        <f t="shared" si="12"/>
        <v>--</v>
      </c>
      <c r="Z35" s="559">
        <f t="shared" si="14"/>
      </c>
      <c r="AA35" s="54">
        <f t="shared" si="13"/>
      </c>
      <c r="AB35" s="3"/>
    </row>
    <row r="36" spans="1:28" ht="16.5" customHeight="1">
      <c r="A36" s="1"/>
      <c r="B36" s="2"/>
      <c r="C36" s="376"/>
      <c r="D36" s="376"/>
      <c r="E36" s="376"/>
      <c r="F36" s="377"/>
      <c r="G36" s="378"/>
      <c r="H36" s="379"/>
      <c r="I36" s="248">
        <f t="shared" si="0"/>
        <v>17.4305</v>
      </c>
      <c r="J36" s="384"/>
      <c r="K36" s="384"/>
      <c r="L36" s="13">
        <f t="shared" si="1"/>
      </c>
      <c r="M36" s="14">
        <f t="shared" si="2"/>
      </c>
      <c r="N36" s="385"/>
      <c r="O36" s="548">
        <f t="shared" si="15"/>
      </c>
      <c r="P36" s="549" t="str">
        <f t="shared" si="3"/>
        <v>--</v>
      </c>
      <c r="Q36" s="550" t="str">
        <f t="shared" si="4"/>
        <v>--</v>
      </c>
      <c r="R36" s="551" t="str">
        <f t="shared" si="5"/>
        <v>--</v>
      </c>
      <c r="S36" s="552" t="str">
        <f t="shared" si="6"/>
        <v>--</v>
      </c>
      <c r="T36" s="553" t="str">
        <f t="shared" si="7"/>
        <v>--</v>
      </c>
      <c r="U36" s="554" t="str">
        <f t="shared" si="8"/>
        <v>--</v>
      </c>
      <c r="V36" s="555" t="str">
        <f t="shared" si="9"/>
        <v>--</v>
      </c>
      <c r="W36" s="556" t="str">
        <f t="shared" si="10"/>
        <v>--</v>
      </c>
      <c r="X36" s="557" t="str">
        <f t="shared" si="11"/>
        <v>--</v>
      </c>
      <c r="Y36" s="558" t="str">
        <f t="shared" si="12"/>
        <v>--</v>
      </c>
      <c r="Z36" s="559">
        <f t="shared" si="14"/>
      </c>
      <c r="AA36" s="54">
        <f t="shared" si="13"/>
      </c>
      <c r="AB36" s="3"/>
    </row>
    <row r="37" spans="1:28" ht="16.5" customHeight="1">
      <c r="A37" s="1"/>
      <c r="B37" s="2"/>
      <c r="C37" s="376"/>
      <c r="D37" s="376"/>
      <c r="E37" s="376"/>
      <c r="F37" s="377"/>
      <c r="G37" s="378"/>
      <c r="H37" s="379"/>
      <c r="I37" s="248">
        <f t="shared" si="0"/>
        <v>17.4305</v>
      </c>
      <c r="J37" s="384"/>
      <c r="K37" s="384"/>
      <c r="L37" s="13">
        <f t="shared" si="1"/>
      </c>
      <c r="M37" s="14">
        <f t="shared" si="2"/>
      </c>
      <c r="N37" s="385"/>
      <c r="O37" s="548">
        <f t="shared" si="15"/>
      </c>
      <c r="P37" s="549" t="str">
        <f t="shared" si="3"/>
        <v>--</v>
      </c>
      <c r="Q37" s="550" t="str">
        <f t="shared" si="4"/>
        <v>--</v>
      </c>
      <c r="R37" s="551" t="str">
        <f t="shared" si="5"/>
        <v>--</v>
      </c>
      <c r="S37" s="552" t="str">
        <f t="shared" si="6"/>
        <v>--</v>
      </c>
      <c r="T37" s="553" t="str">
        <f t="shared" si="7"/>
        <v>--</v>
      </c>
      <c r="U37" s="554" t="str">
        <f t="shared" si="8"/>
        <v>--</v>
      </c>
      <c r="V37" s="555" t="str">
        <f t="shared" si="9"/>
        <v>--</v>
      </c>
      <c r="W37" s="556" t="str">
        <f t="shared" si="10"/>
        <v>--</v>
      </c>
      <c r="X37" s="557" t="str">
        <f t="shared" si="11"/>
        <v>--</v>
      </c>
      <c r="Y37" s="558" t="str">
        <f t="shared" si="12"/>
        <v>--</v>
      </c>
      <c r="Z37" s="559">
        <f t="shared" si="14"/>
      </c>
      <c r="AA37" s="54">
        <f t="shared" si="13"/>
      </c>
      <c r="AB37" s="3"/>
    </row>
    <row r="38" spans="2:28" ht="16.5" customHeight="1">
      <c r="B38" s="55"/>
      <c r="C38" s="376"/>
      <c r="D38" s="376"/>
      <c r="E38" s="376"/>
      <c r="F38" s="377"/>
      <c r="G38" s="378"/>
      <c r="H38" s="379"/>
      <c r="I38" s="248">
        <f t="shared" si="0"/>
        <v>17.4305</v>
      </c>
      <c r="J38" s="384"/>
      <c r="K38" s="384"/>
      <c r="L38" s="13">
        <f t="shared" si="1"/>
      </c>
      <c r="M38" s="14">
        <f t="shared" si="2"/>
      </c>
      <c r="N38" s="385"/>
      <c r="O38" s="548">
        <f t="shared" si="15"/>
      </c>
      <c r="P38" s="549" t="str">
        <f t="shared" si="3"/>
        <v>--</v>
      </c>
      <c r="Q38" s="550" t="str">
        <f t="shared" si="4"/>
        <v>--</v>
      </c>
      <c r="R38" s="551" t="str">
        <f t="shared" si="5"/>
        <v>--</v>
      </c>
      <c r="S38" s="552" t="str">
        <f t="shared" si="6"/>
        <v>--</v>
      </c>
      <c r="T38" s="553" t="str">
        <f t="shared" si="7"/>
        <v>--</v>
      </c>
      <c r="U38" s="554" t="str">
        <f t="shared" si="8"/>
        <v>--</v>
      </c>
      <c r="V38" s="555" t="str">
        <f t="shared" si="9"/>
        <v>--</v>
      </c>
      <c r="W38" s="556" t="str">
        <f t="shared" si="10"/>
        <v>--</v>
      </c>
      <c r="X38" s="557" t="str">
        <f t="shared" si="11"/>
        <v>--</v>
      </c>
      <c r="Y38" s="558" t="str">
        <f t="shared" si="12"/>
        <v>--</v>
      </c>
      <c r="Z38" s="559">
        <f t="shared" si="14"/>
      </c>
      <c r="AA38" s="54">
        <f t="shared" si="13"/>
      </c>
      <c r="AB38" s="3"/>
    </row>
    <row r="39" spans="2:28" ht="16.5" customHeight="1">
      <c r="B39" s="55"/>
      <c r="C39" s="376"/>
      <c r="D39" s="376"/>
      <c r="E39" s="376"/>
      <c r="F39" s="377"/>
      <c r="G39" s="378"/>
      <c r="H39" s="379"/>
      <c r="I39" s="248">
        <f t="shared" si="0"/>
        <v>17.4305</v>
      </c>
      <c r="J39" s="384"/>
      <c r="K39" s="384"/>
      <c r="L39" s="13">
        <f t="shared" si="1"/>
      </c>
      <c r="M39" s="14">
        <f t="shared" si="2"/>
      </c>
      <c r="N39" s="385"/>
      <c r="O39" s="548">
        <f t="shared" si="15"/>
      </c>
      <c r="P39" s="549" t="str">
        <f t="shared" si="3"/>
        <v>--</v>
      </c>
      <c r="Q39" s="550" t="str">
        <f t="shared" si="4"/>
        <v>--</v>
      </c>
      <c r="R39" s="551" t="str">
        <f t="shared" si="5"/>
        <v>--</v>
      </c>
      <c r="S39" s="552" t="str">
        <f t="shared" si="6"/>
        <v>--</v>
      </c>
      <c r="T39" s="553" t="str">
        <f t="shared" si="7"/>
        <v>--</v>
      </c>
      <c r="U39" s="554" t="str">
        <f t="shared" si="8"/>
        <v>--</v>
      </c>
      <c r="V39" s="555" t="str">
        <f t="shared" si="9"/>
        <v>--</v>
      </c>
      <c r="W39" s="556" t="str">
        <f t="shared" si="10"/>
        <v>--</v>
      </c>
      <c r="X39" s="557" t="str">
        <f t="shared" si="11"/>
        <v>--</v>
      </c>
      <c r="Y39" s="558" t="str">
        <f t="shared" si="12"/>
        <v>--</v>
      </c>
      <c r="Z39" s="559">
        <f t="shared" si="14"/>
      </c>
      <c r="AA39" s="54">
        <f t="shared" si="13"/>
      </c>
      <c r="AB39" s="3"/>
    </row>
    <row r="40" spans="2:28" ht="16.5" customHeight="1">
      <c r="B40" s="55"/>
      <c r="C40" s="376"/>
      <c r="D40" s="376"/>
      <c r="E40" s="376"/>
      <c r="F40" s="377"/>
      <c r="G40" s="378"/>
      <c r="H40" s="379"/>
      <c r="I40" s="248">
        <f t="shared" si="0"/>
        <v>17.4305</v>
      </c>
      <c r="J40" s="384"/>
      <c r="K40" s="384"/>
      <c r="L40" s="13">
        <f t="shared" si="1"/>
      </c>
      <c r="M40" s="14">
        <f t="shared" si="2"/>
      </c>
      <c r="N40" s="385"/>
      <c r="O40" s="548">
        <f t="shared" si="15"/>
      </c>
      <c r="P40" s="549" t="str">
        <f t="shared" si="3"/>
        <v>--</v>
      </c>
      <c r="Q40" s="550" t="str">
        <f t="shared" si="4"/>
        <v>--</v>
      </c>
      <c r="R40" s="551" t="str">
        <f t="shared" si="5"/>
        <v>--</v>
      </c>
      <c r="S40" s="552" t="str">
        <f t="shared" si="6"/>
        <v>--</v>
      </c>
      <c r="T40" s="553" t="str">
        <f t="shared" si="7"/>
        <v>--</v>
      </c>
      <c r="U40" s="554" t="str">
        <f t="shared" si="8"/>
        <v>--</v>
      </c>
      <c r="V40" s="555" t="str">
        <f t="shared" si="9"/>
        <v>--</v>
      </c>
      <c r="W40" s="556" t="str">
        <f t="shared" si="10"/>
        <v>--</v>
      </c>
      <c r="X40" s="557" t="str">
        <f t="shared" si="11"/>
        <v>--</v>
      </c>
      <c r="Y40" s="558" t="str">
        <f t="shared" si="12"/>
        <v>--</v>
      </c>
      <c r="Z40" s="559">
        <f t="shared" si="14"/>
      </c>
      <c r="AA40" s="54">
        <f t="shared" si="13"/>
      </c>
      <c r="AB40" s="3"/>
    </row>
    <row r="41" spans="2:28" ht="16.5" customHeight="1">
      <c r="B41" s="55"/>
      <c r="C41" s="376"/>
      <c r="D41" s="376"/>
      <c r="E41" s="376"/>
      <c r="F41" s="377"/>
      <c r="G41" s="378"/>
      <c r="H41" s="379"/>
      <c r="I41" s="248">
        <f t="shared" si="0"/>
        <v>17.4305</v>
      </c>
      <c r="J41" s="384"/>
      <c r="K41" s="384"/>
      <c r="L41" s="13">
        <f t="shared" si="1"/>
      </c>
      <c r="M41" s="14">
        <f t="shared" si="2"/>
      </c>
      <c r="N41" s="385"/>
      <c r="O41" s="548">
        <f t="shared" si="15"/>
      </c>
      <c r="P41" s="549" t="str">
        <f t="shared" si="3"/>
        <v>--</v>
      </c>
      <c r="Q41" s="550" t="str">
        <f t="shared" si="4"/>
        <v>--</v>
      </c>
      <c r="R41" s="551" t="str">
        <f t="shared" si="5"/>
        <v>--</v>
      </c>
      <c r="S41" s="552" t="str">
        <f t="shared" si="6"/>
        <v>--</v>
      </c>
      <c r="T41" s="553" t="str">
        <f t="shared" si="7"/>
        <v>--</v>
      </c>
      <c r="U41" s="554" t="str">
        <f t="shared" si="8"/>
        <v>--</v>
      </c>
      <c r="V41" s="555" t="str">
        <f t="shared" si="9"/>
        <v>--</v>
      </c>
      <c r="W41" s="556" t="str">
        <f t="shared" si="10"/>
        <v>--</v>
      </c>
      <c r="X41" s="557" t="str">
        <f t="shared" si="11"/>
        <v>--</v>
      </c>
      <c r="Y41" s="558" t="str">
        <f t="shared" si="12"/>
        <v>--</v>
      </c>
      <c r="Z41" s="559">
        <f t="shared" si="14"/>
      </c>
      <c r="AA41" s="54">
        <f t="shared" si="13"/>
      </c>
      <c r="AB41" s="3"/>
    </row>
    <row r="42" spans="1:28" ht="16.5" customHeight="1" thickBot="1">
      <c r="A42" s="1"/>
      <c r="B42" s="2"/>
      <c r="C42" s="380"/>
      <c r="D42" s="380"/>
      <c r="E42" s="380"/>
      <c r="F42" s="381"/>
      <c r="G42" s="382"/>
      <c r="H42" s="383"/>
      <c r="I42" s="249"/>
      <c r="J42" s="383"/>
      <c r="K42" s="383"/>
      <c r="L42" s="15"/>
      <c r="M42" s="15"/>
      <c r="N42" s="383"/>
      <c r="O42" s="386"/>
      <c r="P42" s="387"/>
      <c r="Q42" s="388"/>
      <c r="R42" s="389"/>
      <c r="S42" s="390"/>
      <c r="T42" s="391"/>
      <c r="U42" s="392"/>
      <c r="V42" s="393"/>
      <c r="W42" s="394"/>
      <c r="X42" s="395"/>
      <c r="Y42" s="396"/>
      <c r="Z42" s="397"/>
      <c r="AA42" s="56"/>
      <c r="AB42" s="3"/>
    </row>
    <row r="43" spans="1:28" ht="16.5" customHeight="1" thickBot="1" thickTop="1">
      <c r="A43" s="1"/>
      <c r="B43" s="2"/>
      <c r="C43" s="220" t="s">
        <v>62</v>
      </c>
      <c r="D43" s="580" t="s">
        <v>178</v>
      </c>
      <c r="E43" s="543"/>
      <c r="F43" s="221"/>
      <c r="G43" s="16"/>
      <c r="H43" s="17"/>
      <c r="I43" s="57"/>
      <c r="J43" s="57"/>
      <c r="K43" s="57"/>
      <c r="L43" s="57"/>
      <c r="M43" s="57"/>
      <c r="N43" s="57"/>
      <c r="O43" s="58"/>
      <c r="P43" s="288">
        <f aca="true" t="shared" si="16" ref="P43:Y43">ROUND(SUM(P20:P42),2)</f>
        <v>0</v>
      </c>
      <c r="Q43" s="289">
        <f t="shared" si="16"/>
        <v>0</v>
      </c>
      <c r="R43" s="290">
        <f t="shared" si="16"/>
        <v>8608.02</v>
      </c>
      <c r="S43" s="290">
        <f t="shared" si="16"/>
        <v>7888.78</v>
      </c>
      <c r="T43" s="291">
        <f t="shared" si="16"/>
        <v>234.96</v>
      </c>
      <c r="U43" s="292">
        <f t="shared" si="16"/>
        <v>0</v>
      </c>
      <c r="V43" s="292">
        <f t="shared" si="16"/>
        <v>0</v>
      </c>
      <c r="W43" s="293">
        <f t="shared" si="16"/>
        <v>0</v>
      </c>
      <c r="X43" s="294">
        <f t="shared" si="16"/>
        <v>0</v>
      </c>
      <c r="Y43" s="295">
        <f t="shared" si="16"/>
        <v>0</v>
      </c>
      <c r="Z43" s="59"/>
      <c r="AA43" s="547">
        <f>ROUND(SUM(AA20:AA42),2)</f>
        <v>16731.76</v>
      </c>
      <c r="AB43" s="60"/>
    </row>
    <row r="44" spans="1:28" s="235" customFormat="1" ht="9.75" thickTop="1">
      <c r="A44" s="224"/>
      <c r="B44" s="225"/>
      <c r="C44" s="222"/>
      <c r="D44" s="222"/>
      <c r="E44" s="222"/>
      <c r="F44" s="223"/>
      <c r="G44" s="226"/>
      <c r="H44" s="227"/>
      <c r="I44" s="228"/>
      <c r="J44" s="228"/>
      <c r="K44" s="228"/>
      <c r="L44" s="228"/>
      <c r="M44" s="228"/>
      <c r="N44" s="228"/>
      <c r="O44" s="229"/>
      <c r="P44" s="230"/>
      <c r="Q44" s="230"/>
      <c r="R44" s="231"/>
      <c r="S44" s="231"/>
      <c r="T44" s="232"/>
      <c r="U44" s="232"/>
      <c r="V44" s="232"/>
      <c r="W44" s="232"/>
      <c r="X44" s="232"/>
      <c r="Y44" s="232"/>
      <c r="Z44" s="232"/>
      <c r="AA44" s="233"/>
      <c r="AB44" s="234"/>
    </row>
    <row r="45" spans="1:28" s="10" customFormat="1" ht="16.5" customHeight="1" thickBot="1">
      <c r="A45" s="8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85" zoomScaleNormal="85" zoomScalePageLayoutView="0" workbookViewId="0" topLeftCell="A1">
      <selection activeCell="M32" sqref="M32"/>
    </sheetView>
  </sheetViews>
  <sheetFormatPr defaultColWidth="11.421875" defaultRowHeight="12.75"/>
  <cols>
    <col min="1" max="2" width="4.140625" style="508" customWidth="1"/>
    <col min="3" max="3" width="5.57421875" style="508" customWidth="1"/>
    <col min="4" max="5" width="13.7109375" style="508" customWidth="1"/>
    <col min="6" max="6" width="38.140625" style="508" customWidth="1"/>
    <col min="7" max="7" width="18.421875" style="508" customWidth="1"/>
    <col min="8" max="8" width="7.7109375" style="508" customWidth="1"/>
    <col min="9" max="9" width="12.7109375" style="508" customWidth="1"/>
    <col min="10" max="10" width="11.8515625" style="508" hidden="1" customWidth="1"/>
    <col min="11" max="12" width="15.7109375" style="508" customWidth="1"/>
    <col min="13" max="15" width="9.7109375" style="508" customWidth="1"/>
    <col min="16" max="16" width="5.8515625" style="508" customWidth="1"/>
    <col min="17" max="18" width="7.00390625" style="508" customWidth="1"/>
    <col min="19" max="19" width="11.7109375" style="508" hidden="1" customWidth="1"/>
    <col min="20" max="21" width="14.00390625" style="508" hidden="1" customWidth="1"/>
    <col min="22" max="22" width="14.28125" style="508" hidden="1" customWidth="1"/>
    <col min="23" max="27" width="14.140625" style="508" hidden="1" customWidth="1"/>
    <col min="28" max="28" width="9.00390625" style="508" customWidth="1"/>
    <col min="29" max="29" width="15.7109375" style="508" customWidth="1"/>
    <col min="30" max="30" width="4.140625" style="508" customWidth="1"/>
    <col min="31" max="16384" width="11.421875" style="508" customWidth="1"/>
  </cols>
  <sheetData>
    <row r="1" spans="1:30" s="415" customFormat="1" ht="26.25">
      <c r="A1" s="92"/>
      <c r="B1" s="92"/>
      <c r="C1" s="92"/>
      <c r="D1" s="92"/>
      <c r="E1" s="92"/>
      <c r="F1" s="92"/>
      <c r="G1" s="92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4"/>
    </row>
    <row r="2" spans="1:30" s="415" customFormat="1" ht="26.25">
      <c r="A2" s="92"/>
      <c r="B2" s="93" t="str">
        <f>+'TOT-1215'!B2</f>
        <v>ANEXO VI al Memorándum  D.T.E.E.  N°  379 / 2016              .-</v>
      </c>
      <c r="C2" s="94"/>
      <c r="D2" s="94"/>
      <c r="E2" s="94"/>
      <c r="F2" s="94"/>
      <c r="G2" s="94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</row>
    <row r="3" spans="1:30" s="418" customFormat="1" ht="12.75">
      <c r="A3" s="10"/>
      <c r="B3" s="10"/>
      <c r="C3" s="10"/>
      <c r="D3" s="10"/>
      <c r="E3" s="10"/>
      <c r="F3" s="10"/>
      <c r="G3" s="10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</row>
    <row r="4" spans="1:30" s="420" customFormat="1" ht="11.25">
      <c r="A4" s="546" t="s">
        <v>17</v>
      </c>
      <c r="B4" s="95"/>
      <c r="C4" s="545"/>
      <c r="D4" s="545"/>
      <c r="E4" s="545"/>
      <c r="F4" s="95"/>
      <c r="G4" s="95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</row>
    <row r="5" spans="1:30" s="420" customFormat="1" ht="11.25">
      <c r="A5" s="546" t="s">
        <v>136</v>
      </c>
      <c r="B5" s="95"/>
      <c r="C5" s="545"/>
      <c r="D5" s="545"/>
      <c r="E5" s="545"/>
      <c r="F5" s="95"/>
      <c r="G5" s="95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</row>
    <row r="6" spans="1:30" s="418" customFormat="1" ht="13.5" thickBo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</row>
    <row r="7" spans="1:30" s="418" customFormat="1" ht="13.5" thickTop="1">
      <c r="A7" s="417"/>
      <c r="B7" s="421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3"/>
    </row>
    <row r="8" spans="1:30" s="427" customFormat="1" ht="20.25">
      <c r="A8" s="424"/>
      <c r="B8" s="425"/>
      <c r="C8" s="173"/>
      <c r="D8" s="173"/>
      <c r="E8" s="173"/>
      <c r="F8" s="426" t="s">
        <v>38</v>
      </c>
      <c r="H8" s="173"/>
      <c r="I8" s="424"/>
      <c r="J8" s="424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428"/>
    </row>
    <row r="9" spans="1:30" s="418" customFormat="1" ht="12.75">
      <c r="A9" s="417"/>
      <c r="B9" s="429"/>
      <c r="C9" s="160"/>
      <c r="D9" s="160"/>
      <c r="E9" s="160"/>
      <c r="F9" s="160"/>
      <c r="G9" s="160"/>
      <c r="H9" s="160"/>
      <c r="I9" s="417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430"/>
    </row>
    <row r="10" spans="1:30" s="427" customFormat="1" ht="20.25">
      <c r="A10" s="424"/>
      <c r="B10" s="425"/>
      <c r="C10" s="173"/>
      <c r="D10" s="173"/>
      <c r="E10" s="173"/>
      <c r="F10" s="426" t="s">
        <v>63</v>
      </c>
      <c r="G10" s="173"/>
      <c r="H10" s="173"/>
      <c r="I10" s="424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428"/>
    </row>
    <row r="11" spans="1:30" s="418" customFormat="1" ht="12.75">
      <c r="A11" s="417"/>
      <c r="B11" s="429"/>
      <c r="C11" s="160"/>
      <c r="D11" s="160"/>
      <c r="E11" s="160"/>
      <c r="F11" s="431"/>
      <c r="G11" s="160"/>
      <c r="H11" s="160"/>
      <c r="I11" s="417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430"/>
    </row>
    <row r="12" spans="1:30" s="427" customFormat="1" ht="20.25">
      <c r="A12" s="424"/>
      <c r="B12" s="425"/>
      <c r="C12" s="173"/>
      <c r="D12" s="173"/>
      <c r="E12" s="173"/>
      <c r="F12" s="426" t="s">
        <v>64</v>
      </c>
      <c r="G12" s="432"/>
      <c r="H12" s="424"/>
      <c r="I12" s="424"/>
      <c r="J12" s="173"/>
      <c r="K12" s="173"/>
      <c r="L12" s="424"/>
      <c r="M12" s="424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428"/>
    </row>
    <row r="13" spans="1:30" s="418" customFormat="1" ht="12.75">
      <c r="A13" s="417"/>
      <c r="B13" s="429"/>
      <c r="C13" s="160"/>
      <c r="D13" s="160"/>
      <c r="E13" s="160"/>
      <c r="F13" s="433"/>
      <c r="G13" s="434"/>
      <c r="H13" s="417"/>
      <c r="I13" s="417"/>
      <c r="J13" s="160"/>
      <c r="K13" s="160"/>
      <c r="L13" s="417"/>
      <c r="M13" s="417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430"/>
    </row>
    <row r="14" spans="1:30" s="427" customFormat="1" ht="20.25">
      <c r="A14" s="424"/>
      <c r="B14" s="425"/>
      <c r="C14" s="173"/>
      <c r="D14" s="173"/>
      <c r="E14" s="173"/>
      <c r="F14" s="426" t="s">
        <v>65</v>
      </c>
      <c r="G14" s="174"/>
      <c r="H14" s="174"/>
      <c r="I14" s="175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428"/>
    </row>
    <row r="15" spans="1:30" s="418" customFormat="1" ht="12.75">
      <c r="A15" s="417"/>
      <c r="B15" s="429"/>
      <c r="C15" s="160"/>
      <c r="D15" s="160"/>
      <c r="E15" s="160"/>
      <c r="F15" s="435"/>
      <c r="G15" s="161"/>
      <c r="H15" s="161"/>
      <c r="I15" s="162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430"/>
    </row>
    <row r="16" spans="1:30" s="441" customFormat="1" ht="19.5">
      <c r="A16" s="436"/>
      <c r="B16" s="70" t="str">
        <f>+'TOT-1215'!B14</f>
        <v>Desde el 01 al 31 de diciembre de 2015</v>
      </c>
      <c r="C16" s="437"/>
      <c r="D16" s="437"/>
      <c r="E16" s="437"/>
      <c r="F16" s="437"/>
      <c r="G16" s="437"/>
      <c r="H16" s="437"/>
      <c r="I16" s="438"/>
      <c r="J16" s="437"/>
      <c r="K16" s="439"/>
      <c r="L16" s="439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40"/>
    </row>
    <row r="17" spans="1:30" s="418" customFormat="1" ht="14.25" thickBot="1">
      <c r="A17" s="417"/>
      <c r="B17" s="429"/>
      <c r="C17" s="160"/>
      <c r="D17" s="160"/>
      <c r="E17" s="160"/>
      <c r="F17" s="160"/>
      <c r="G17" s="160"/>
      <c r="H17" s="160"/>
      <c r="I17" s="36"/>
      <c r="J17" s="160"/>
      <c r="K17" s="442"/>
      <c r="L17" s="443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430"/>
    </row>
    <row r="18" spans="1:30" s="418" customFormat="1" ht="16.5" customHeight="1" thickBot="1" thickTop="1">
      <c r="A18" s="417"/>
      <c r="B18" s="429"/>
      <c r="C18" s="160"/>
      <c r="D18" s="160"/>
      <c r="E18" s="160"/>
      <c r="F18" s="180" t="s">
        <v>66</v>
      </c>
      <c r="G18" s="181"/>
      <c r="H18" s="444"/>
      <c r="I18" s="445">
        <v>0.909</v>
      </c>
      <c r="J18" s="417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430"/>
    </row>
    <row r="19" spans="1:30" s="418" customFormat="1" ht="16.5" customHeight="1" thickBot="1" thickTop="1">
      <c r="A19" s="417"/>
      <c r="B19" s="429"/>
      <c r="C19" s="160"/>
      <c r="D19" s="160"/>
      <c r="E19" s="160"/>
      <c r="F19" s="184" t="s">
        <v>67</v>
      </c>
      <c r="G19" s="185"/>
      <c r="H19" s="185"/>
      <c r="I19" s="186">
        <v>30</v>
      </c>
      <c r="J19" s="160"/>
      <c r="K19" s="215" t="str">
        <f>IF(I19=30," ",IF(I19=60,"Coeficiente duplicado por tasa de falla &gt;4 Sal. x año/100 km.","REVISAR COEFICIENTE"))</f>
        <v> 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446"/>
      <c r="X19" s="446"/>
      <c r="Y19" s="446"/>
      <c r="Z19" s="446"/>
      <c r="AA19" s="446"/>
      <c r="AB19" s="446"/>
      <c r="AC19" s="446"/>
      <c r="AD19" s="430"/>
    </row>
    <row r="20" spans="1:30" s="574" customFormat="1" ht="16.5" customHeight="1" thickBot="1" thickTop="1">
      <c r="A20" s="570"/>
      <c r="B20" s="571"/>
      <c r="C20" s="572">
        <v>3</v>
      </c>
      <c r="D20" s="572">
        <v>4</v>
      </c>
      <c r="E20" s="572">
        <v>5</v>
      </c>
      <c r="F20" s="572">
        <v>6</v>
      </c>
      <c r="G20" s="572">
        <v>7</v>
      </c>
      <c r="H20" s="572">
        <v>8</v>
      </c>
      <c r="I20" s="572">
        <v>9</v>
      </c>
      <c r="J20" s="572">
        <v>10</v>
      </c>
      <c r="K20" s="572">
        <v>11</v>
      </c>
      <c r="L20" s="572">
        <v>12</v>
      </c>
      <c r="M20" s="572">
        <v>13</v>
      </c>
      <c r="N20" s="572">
        <v>14</v>
      </c>
      <c r="O20" s="572">
        <v>15</v>
      </c>
      <c r="P20" s="572">
        <v>16</v>
      </c>
      <c r="Q20" s="572">
        <v>17</v>
      </c>
      <c r="R20" s="572">
        <v>18</v>
      </c>
      <c r="S20" s="572">
        <v>19</v>
      </c>
      <c r="T20" s="572">
        <v>20</v>
      </c>
      <c r="U20" s="572">
        <v>21</v>
      </c>
      <c r="V20" s="572">
        <v>22</v>
      </c>
      <c r="W20" s="572">
        <v>23</v>
      </c>
      <c r="X20" s="572">
        <v>24</v>
      </c>
      <c r="Y20" s="572">
        <v>25</v>
      </c>
      <c r="Z20" s="572">
        <v>26</v>
      </c>
      <c r="AA20" s="572">
        <v>27</v>
      </c>
      <c r="AB20" s="572">
        <v>28</v>
      </c>
      <c r="AC20" s="572">
        <v>29</v>
      </c>
      <c r="AD20" s="573"/>
    </row>
    <row r="21" spans="1:30" s="456" customFormat="1" ht="33.75" customHeight="1" thickBot="1" thickTop="1">
      <c r="A21" s="447"/>
      <c r="B21" s="448"/>
      <c r="C21" s="196" t="s">
        <v>44</v>
      </c>
      <c r="D21" s="84" t="s">
        <v>135</v>
      </c>
      <c r="E21" s="84" t="s">
        <v>134</v>
      </c>
      <c r="F21" s="195" t="s">
        <v>68</v>
      </c>
      <c r="G21" s="191" t="s">
        <v>15</v>
      </c>
      <c r="H21" s="192" t="s">
        <v>69</v>
      </c>
      <c r="I21" s="195" t="s">
        <v>45</v>
      </c>
      <c r="J21" s="245" t="s">
        <v>47</v>
      </c>
      <c r="K21" s="194" t="s">
        <v>70</v>
      </c>
      <c r="L21" s="194" t="s">
        <v>71</v>
      </c>
      <c r="M21" s="195" t="s">
        <v>72</v>
      </c>
      <c r="N21" s="195" t="s">
        <v>73</v>
      </c>
      <c r="O21" s="88" t="s">
        <v>52</v>
      </c>
      <c r="P21" s="196" t="s">
        <v>74</v>
      </c>
      <c r="Q21" s="195" t="s">
        <v>75</v>
      </c>
      <c r="R21" s="191" t="s">
        <v>76</v>
      </c>
      <c r="S21" s="296" t="s">
        <v>77</v>
      </c>
      <c r="T21" s="449" t="s">
        <v>54</v>
      </c>
      <c r="U21" s="450" t="s">
        <v>55</v>
      </c>
      <c r="V21" s="312" t="s">
        <v>78</v>
      </c>
      <c r="W21" s="451"/>
      <c r="X21" s="321" t="s">
        <v>78</v>
      </c>
      <c r="Y21" s="452"/>
      <c r="Z21" s="453" t="s">
        <v>58</v>
      </c>
      <c r="AA21" s="454" t="s">
        <v>59</v>
      </c>
      <c r="AB21" s="195" t="s">
        <v>60</v>
      </c>
      <c r="AC21" s="195" t="s">
        <v>61</v>
      </c>
      <c r="AD21" s="455"/>
    </row>
    <row r="22" spans="1:30" s="418" customFormat="1" ht="16.5" customHeight="1" thickTop="1">
      <c r="A22" s="417"/>
      <c r="B22" s="429"/>
      <c r="C22" s="457"/>
      <c r="D22" s="457"/>
      <c r="E22" s="457"/>
      <c r="F22" s="458"/>
      <c r="G22" s="459"/>
      <c r="H22" s="459"/>
      <c r="I22" s="459"/>
      <c r="J22" s="460"/>
      <c r="K22" s="458"/>
      <c r="L22" s="459"/>
      <c r="M22" s="458"/>
      <c r="N22" s="458"/>
      <c r="O22" s="459"/>
      <c r="P22" s="459"/>
      <c r="Q22" s="459"/>
      <c r="R22" s="459"/>
      <c r="S22" s="461"/>
      <c r="T22" s="462"/>
      <c r="U22" s="463"/>
      <c r="V22" s="464"/>
      <c r="W22" s="465"/>
      <c r="X22" s="466"/>
      <c r="Y22" s="467"/>
      <c r="Z22" s="468"/>
      <c r="AA22" s="469"/>
      <c r="AB22" s="459"/>
      <c r="AC22" s="470"/>
      <c r="AD22" s="430"/>
    </row>
    <row r="23" spans="1:30" s="418" customFormat="1" ht="16.5" customHeight="1">
      <c r="A23" s="417"/>
      <c r="B23" s="429"/>
      <c r="C23" s="457"/>
      <c r="D23" s="457"/>
      <c r="E23" s="457"/>
      <c r="F23" s="471"/>
      <c r="G23" s="471"/>
      <c r="H23" s="471"/>
      <c r="I23" s="471"/>
      <c r="J23" s="472"/>
      <c r="K23" s="473"/>
      <c r="L23" s="471"/>
      <c r="M23" s="473"/>
      <c r="N23" s="473"/>
      <c r="O23" s="471"/>
      <c r="P23" s="471"/>
      <c r="Q23" s="471"/>
      <c r="R23" s="471"/>
      <c r="S23" s="474"/>
      <c r="T23" s="475"/>
      <c r="U23" s="476"/>
      <c r="V23" s="477"/>
      <c r="W23" s="478"/>
      <c r="X23" s="479"/>
      <c r="Y23" s="480"/>
      <c r="Z23" s="481"/>
      <c r="AA23" s="482"/>
      <c r="AB23" s="471"/>
      <c r="AC23" s="483"/>
      <c r="AD23" s="430"/>
    </row>
    <row r="24" spans="1:30" s="418" customFormat="1" ht="16.5" customHeight="1">
      <c r="A24" s="417"/>
      <c r="B24" s="429"/>
      <c r="C24" s="511">
        <v>19</v>
      </c>
      <c r="D24" s="511">
        <v>295961</v>
      </c>
      <c r="E24" s="511">
        <v>4749</v>
      </c>
      <c r="F24" s="377" t="s">
        <v>149</v>
      </c>
      <c r="G24" s="376" t="s">
        <v>9</v>
      </c>
      <c r="H24" s="512">
        <v>15</v>
      </c>
      <c r="I24" s="581" t="s">
        <v>148</v>
      </c>
      <c r="J24" s="248">
        <f>H24*$I$18</f>
        <v>13.635</v>
      </c>
      <c r="K24" s="515">
        <v>42347.39097222222</v>
      </c>
      <c r="L24" s="515">
        <v>42347.51666666667</v>
      </c>
      <c r="M24" s="25">
        <f>IF(F24="","",(L24-K24)*24)</f>
        <v>3.016666666720994</v>
      </c>
      <c r="N24" s="26">
        <f>IF(F24="","",ROUND((L24-K24)*24*60,0))</f>
        <v>181</v>
      </c>
      <c r="O24" s="516" t="s">
        <v>139</v>
      </c>
      <c r="P24" s="24" t="str">
        <f aca="true" t="shared" si="0" ref="P24:P43">IF(F24="","",IF(OR(O24="P",O24="RP"),"--","NO"))</f>
        <v>--</v>
      </c>
      <c r="Q24" s="560" t="str">
        <f aca="true" t="shared" si="1" ref="Q24:Q43">IF(F24="","","--")</f>
        <v>--</v>
      </c>
      <c r="R24" s="24" t="str">
        <f aca="true" t="shared" si="2" ref="R24:R43">IF(F24="","","NO")</f>
        <v>NO</v>
      </c>
      <c r="S24" s="299">
        <f>$I$19*IF(OR(O24="P",O24="RP"),0.1,1)*IF(R24="SI",1,0.1)</f>
        <v>0.30000000000000004</v>
      </c>
      <c r="T24" s="561">
        <f>IF(O24="P",J24*S24*ROUND(N24/60,2),"--")</f>
        <v>12.353310000000002</v>
      </c>
      <c r="U24" s="562" t="str">
        <f>IF(O24="RP",J24*S24*ROUND(N24/60,2)*Q24/100,"--")</f>
        <v>--</v>
      </c>
      <c r="V24" s="318" t="str">
        <f>IF(AND(O24="F",P24="NO"),J24*S24,"--")</f>
        <v>--</v>
      </c>
      <c r="W24" s="319" t="str">
        <f>IF(O24="F",J24*S24*ROUND(N24/60,2),"--")</f>
        <v>--</v>
      </c>
      <c r="X24" s="327" t="str">
        <f>IF(AND(O24="R",P24="NO"),J24*S24*Q24/100,"--")</f>
        <v>--</v>
      </c>
      <c r="Y24" s="328" t="str">
        <f>IF(O24="R",J24*S24*ROUND(N24/60,2)*Q24/100,"--")</f>
        <v>--</v>
      </c>
      <c r="Z24" s="333" t="str">
        <f>IF(O24="RF",J24*S24*ROUND(N24/60,2),"--")</f>
        <v>--</v>
      </c>
      <c r="AA24" s="339" t="str">
        <f>IF(O24="RR",J24*S24*ROUND(N24/60,2)*Q24/100,"--")</f>
        <v>--</v>
      </c>
      <c r="AB24" s="24" t="s">
        <v>140</v>
      </c>
      <c r="AC24" s="484">
        <f>IF(F24="","",SUM(T24:AA24)*IF(AB24="SI",1,2))</f>
        <v>12.353310000000002</v>
      </c>
      <c r="AD24" s="430"/>
    </row>
    <row r="25" spans="1:30" s="418" customFormat="1" ht="16.5" customHeight="1">
      <c r="A25" s="417"/>
      <c r="B25" s="429"/>
      <c r="C25" s="511">
        <v>20</v>
      </c>
      <c r="D25" s="511">
        <v>296577</v>
      </c>
      <c r="E25" s="511">
        <v>4749</v>
      </c>
      <c r="F25" s="377" t="s">
        <v>149</v>
      </c>
      <c r="G25" s="376" t="s">
        <v>9</v>
      </c>
      <c r="H25" s="512">
        <v>15</v>
      </c>
      <c r="I25" s="581" t="s">
        <v>148</v>
      </c>
      <c r="J25" s="248">
        <f>H25*$I$18</f>
        <v>13.635</v>
      </c>
      <c r="K25" s="515">
        <v>42360.29513888889</v>
      </c>
      <c r="L25" s="515">
        <v>42360.42152777778</v>
      </c>
      <c r="M25" s="25">
        <f>IF(F25="","",(L25-K25)*24)</f>
        <v>3.0333333332673647</v>
      </c>
      <c r="N25" s="26">
        <f>IF(F25="","",ROUND((L25-K25)*24*60,0))</f>
        <v>182</v>
      </c>
      <c r="O25" s="516" t="s">
        <v>139</v>
      </c>
      <c r="P25" s="24" t="str">
        <f t="shared" si="0"/>
        <v>--</v>
      </c>
      <c r="Q25" s="560" t="str">
        <f t="shared" si="1"/>
        <v>--</v>
      </c>
      <c r="R25" s="24" t="str">
        <f t="shared" si="2"/>
        <v>NO</v>
      </c>
      <c r="S25" s="299">
        <f>$I$19*IF(OR(O25="P",O25="RP"),0.1,1)*IF(R25="SI",1,0.1)</f>
        <v>0.30000000000000004</v>
      </c>
      <c r="T25" s="561">
        <f>IF(O25="P",J25*S25*ROUND(N25/60,2),"--")</f>
        <v>12.394215</v>
      </c>
      <c r="U25" s="562" t="str">
        <f>IF(O25="RP",J25*S25*ROUND(N25/60,2)*Q25/100,"--")</f>
        <v>--</v>
      </c>
      <c r="V25" s="318" t="str">
        <f>IF(AND(O25="F",P25="NO"),J25*S25,"--")</f>
        <v>--</v>
      </c>
      <c r="W25" s="319" t="str">
        <f>IF(O25="F",J25*S25*ROUND(N25/60,2),"--")</f>
        <v>--</v>
      </c>
      <c r="X25" s="327" t="str">
        <f>IF(AND(O25="R",P25="NO"),J25*S25*Q25/100,"--")</f>
        <v>--</v>
      </c>
      <c r="Y25" s="328" t="str">
        <f>IF(O25="R",J25*S25*ROUND(N25/60,2)*Q25/100,"--")</f>
        <v>--</v>
      </c>
      <c r="Z25" s="333" t="str">
        <f>IF(O25="RF",J25*S25*ROUND(N25/60,2),"--")</f>
        <v>--</v>
      </c>
      <c r="AA25" s="339" t="str">
        <f>IF(O25="RR",J25*S25*ROUND(N25/60,2)*Q25/100,"--")</f>
        <v>--</v>
      </c>
      <c r="AB25" s="24" t="s">
        <v>140</v>
      </c>
      <c r="AC25" s="484">
        <f>IF(F25="","",SUM(T25:AA25)*IF(AB25="SI",1,2))</f>
        <v>12.394215</v>
      </c>
      <c r="AD25" s="430"/>
    </row>
    <row r="26" spans="1:30" s="418" customFormat="1" ht="16.5" customHeight="1">
      <c r="A26" s="417"/>
      <c r="B26" s="429"/>
      <c r="C26" s="511">
        <v>21</v>
      </c>
      <c r="D26" s="511">
        <v>296578</v>
      </c>
      <c r="E26" s="511">
        <v>5682</v>
      </c>
      <c r="F26" s="377" t="s">
        <v>149</v>
      </c>
      <c r="G26" s="376" t="s">
        <v>8</v>
      </c>
      <c r="H26" s="579">
        <v>15</v>
      </c>
      <c r="I26" s="513" t="s">
        <v>148</v>
      </c>
      <c r="J26" s="248">
        <f>H26*$I$18</f>
        <v>13.635</v>
      </c>
      <c r="K26" s="515">
        <v>42360.424305555556</v>
      </c>
      <c r="L26" s="515">
        <v>42360.47361111111</v>
      </c>
      <c r="M26" s="25">
        <f>IF(F26="","",(L26-K26)*24)</f>
        <v>1.1833333333488554</v>
      </c>
      <c r="N26" s="26">
        <f>IF(F26="","",ROUND((L26-K26)*24*60,0))</f>
        <v>71</v>
      </c>
      <c r="O26" s="516" t="s">
        <v>139</v>
      </c>
      <c r="P26" s="24" t="str">
        <f t="shared" si="0"/>
        <v>--</v>
      </c>
      <c r="Q26" s="560" t="str">
        <f t="shared" si="1"/>
        <v>--</v>
      </c>
      <c r="R26" s="24" t="str">
        <f t="shared" si="2"/>
        <v>NO</v>
      </c>
      <c r="S26" s="299">
        <f>$I$19*IF(OR(O26="P",O26="RP"),0.1,1)*IF(R26="SI",1,0.1)</f>
        <v>0.30000000000000004</v>
      </c>
      <c r="T26" s="561">
        <f>IF(O26="P",J26*S26*ROUND(N26/60,2),"--")</f>
        <v>4.82679</v>
      </c>
      <c r="U26" s="562" t="str">
        <f>IF(O26="RP",J26*S26*ROUND(N26/60,2)*Q26/100,"--")</f>
        <v>--</v>
      </c>
      <c r="V26" s="318" t="str">
        <f>IF(AND(O26="F",P26="NO"),J26*S26,"--")</f>
        <v>--</v>
      </c>
      <c r="W26" s="319" t="str">
        <f>IF(O26="F",J26*S26*ROUND(N26/60,2),"--")</f>
        <v>--</v>
      </c>
      <c r="X26" s="327" t="str">
        <f>IF(AND(O26="R",P26="NO"),J26*S26*Q26/100,"--")</f>
        <v>--</v>
      </c>
      <c r="Y26" s="328" t="str">
        <f>IF(O26="R",J26*S26*ROUND(N26/60,2)*Q26/100,"--")</f>
        <v>--</v>
      </c>
      <c r="Z26" s="333" t="str">
        <f>IF(O26="RF",J26*S26*ROUND(N26/60,2),"--")</f>
        <v>--</v>
      </c>
      <c r="AA26" s="339" t="str">
        <f>IF(O26="RR",J26*S26*ROUND(N26/60,2)*Q26/100,"--")</f>
        <v>--</v>
      </c>
      <c r="AB26" s="24" t="s">
        <v>140</v>
      </c>
      <c r="AC26" s="484">
        <f>IF(F26="","",SUM(T26:AA26)*IF(AB26="SI",1,2))</f>
        <v>4.82679</v>
      </c>
      <c r="AD26" s="430"/>
    </row>
    <row r="27" spans="1:30" s="418" customFormat="1" ht="16.5" customHeight="1">
      <c r="A27" s="417"/>
      <c r="B27" s="429"/>
      <c r="C27" s="511">
        <v>22</v>
      </c>
      <c r="D27" s="511">
        <v>296579</v>
      </c>
      <c r="E27" s="511">
        <v>1797</v>
      </c>
      <c r="F27" s="377" t="s">
        <v>150</v>
      </c>
      <c r="G27" s="376" t="s">
        <v>151</v>
      </c>
      <c r="H27" s="512">
        <v>40</v>
      </c>
      <c r="I27" s="541" t="s">
        <v>148</v>
      </c>
      <c r="J27" s="248">
        <f>H27*$I$18</f>
        <v>36.36</v>
      </c>
      <c r="K27" s="515">
        <v>42363.32430555556</v>
      </c>
      <c r="L27" s="515">
        <v>42363.334027777775</v>
      </c>
      <c r="M27" s="25">
        <f>IF(F27="","",(L27-K27)*24)</f>
        <v>0.23333333322079852</v>
      </c>
      <c r="N27" s="26">
        <f>IF(F27="","",ROUND((L27-K27)*24*60,0))</f>
        <v>14</v>
      </c>
      <c r="O27" s="516" t="s">
        <v>144</v>
      </c>
      <c r="P27" s="24" t="str">
        <f t="shared" si="0"/>
        <v>NO</v>
      </c>
      <c r="Q27" s="560" t="str">
        <f t="shared" si="1"/>
        <v>--</v>
      </c>
      <c r="R27" s="24" t="str">
        <f t="shared" si="2"/>
        <v>NO</v>
      </c>
      <c r="S27" s="299">
        <f>$I$19*IF(OR(O27="P",O27="RP"),0.1,1)*IF(R27="SI",1,0.1)</f>
        <v>3</v>
      </c>
      <c r="T27" s="561" t="str">
        <f>IF(O27="P",J27*S27*ROUND(N27/60,2),"--")</f>
        <v>--</v>
      </c>
      <c r="U27" s="562" t="str">
        <f>IF(O27="RP",J27*S27*ROUND(N27/60,2)*Q27/100,"--")</f>
        <v>--</v>
      </c>
      <c r="V27" s="318">
        <f>IF(AND(O27="F",P27="NO"),J27*S27,"--")</f>
        <v>109.08</v>
      </c>
      <c r="W27" s="319">
        <f>IF(O27="F",J27*S27*ROUND(N27/60,2),"--")</f>
        <v>25.0884</v>
      </c>
      <c r="X27" s="327" t="str">
        <f>IF(AND(O27="R",P27="NO"),J27*S27*Q27/100,"--")</f>
        <v>--</v>
      </c>
      <c r="Y27" s="328" t="str">
        <f>IF(O27="R",J27*S27*ROUND(N27/60,2)*Q27/100,"--")</f>
        <v>--</v>
      </c>
      <c r="Z27" s="333" t="str">
        <f>IF(O27="RF",J27*S27*ROUND(N27/60,2),"--")</f>
        <v>--</v>
      </c>
      <c r="AA27" s="339" t="str">
        <f>IF(O27="RR",J27*S27*ROUND(N27/60,2)*Q27/100,"--")</f>
        <v>--</v>
      </c>
      <c r="AB27" s="24" t="s">
        <v>140</v>
      </c>
      <c r="AC27" s="484">
        <f>IF(F27="","",SUM(T27:AA27)*IF(AB27="SI",1,2))</f>
        <v>134.1684</v>
      </c>
      <c r="AD27" s="430"/>
    </row>
    <row r="28" spans="1:30" s="418" customFormat="1" ht="16.5" customHeight="1">
      <c r="A28" s="417"/>
      <c r="B28" s="429"/>
      <c r="C28" s="511"/>
      <c r="D28" s="511"/>
      <c r="E28" s="511"/>
      <c r="F28" s="377"/>
      <c r="G28" s="376"/>
      <c r="H28" s="512"/>
      <c r="I28" s="541"/>
      <c r="J28" s="248"/>
      <c r="K28" s="515"/>
      <c r="L28" s="515"/>
      <c r="M28" s="25"/>
      <c r="N28" s="26"/>
      <c r="O28" s="516"/>
      <c r="P28" s="24"/>
      <c r="Q28" s="560"/>
      <c r="R28" s="24"/>
      <c r="S28" s="299"/>
      <c r="T28" s="561"/>
      <c r="U28" s="562"/>
      <c r="V28" s="318"/>
      <c r="W28" s="319"/>
      <c r="X28" s="327"/>
      <c r="Y28" s="328"/>
      <c r="Z28" s="333"/>
      <c r="AA28" s="339"/>
      <c r="AB28" s="24"/>
      <c r="AC28" s="484"/>
      <c r="AD28" s="430"/>
    </row>
    <row r="29" spans="1:30" s="418" customFormat="1" ht="16.5" customHeight="1">
      <c r="A29" s="417"/>
      <c r="B29" s="429"/>
      <c r="C29" s="511"/>
      <c r="D29" s="511"/>
      <c r="E29" s="511"/>
      <c r="F29" s="377"/>
      <c r="G29" s="376"/>
      <c r="H29" s="512"/>
      <c r="I29" s="541"/>
      <c r="J29" s="248"/>
      <c r="K29" s="515"/>
      <c r="L29" s="515"/>
      <c r="M29" s="25"/>
      <c r="N29" s="26"/>
      <c r="O29" s="516"/>
      <c r="P29" s="24"/>
      <c r="Q29" s="560"/>
      <c r="R29" s="24"/>
      <c r="S29" s="299"/>
      <c r="T29" s="561"/>
      <c r="U29" s="562"/>
      <c r="V29" s="318"/>
      <c r="W29" s="319"/>
      <c r="X29" s="327"/>
      <c r="Y29" s="328"/>
      <c r="Z29" s="333"/>
      <c r="AA29" s="339"/>
      <c r="AB29" s="24"/>
      <c r="AC29" s="484"/>
      <c r="AD29" s="430"/>
    </row>
    <row r="30" spans="1:30" s="418" customFormat="1" ht="16.5" customHeight="1">
      <c r="A30" s="417"/>
      <c r="B30" s="429"/>
      <c r="C30" s="511"/>
      <c r="D30" s="511"/>
      <c r="E30" s="511"/>
      <c r="F30" s="377"/>
      <c r="G30" s="376"/>
      <c r="H30" s="512"/>
      <c r="I30" s="541"/>
      <c r="J30" s="248"/>
      <c r="K30" s="515"/>
      <c r="L30" s="515"/>
      <c r="M30" s="25"/>
      <c r="N30" s="26"/>
      <c r="O30" s="516"/>
      <c r="P30" s="24"/>
      <c r="Q30" s="560"/>
      <c r="R30" s="24"/>
      <c r="S30" s="299"/>
      <c r="T30" s="561"/>
      <c r="U30" s="562"/>
      <c r="V30" s="318"/>
      <c r="W30" s="319"/>
      <c r="X30" s="327"/>
      <c r="Y30" s="328"/>
      <c r="Z30" s="333"/>
      <c r="AA30" s="339"/>
      <c r="AB30" s="24"/>
      <c r="AC30" s="484"/>
      <c r="AD30" s="430"/>
    </row>
    <row r="31" spans="1:30" s="418" customFormat="1" ht="16.5" customHeight="1">
      <c r="A31" s="417"/>
      <c r="B31" s="429"/>
      <c r="C31" s="511"/>
      <c r="D31" s="511"/>
      <c r="E31" s="511"/>
      <c r="F31" s="377"/>
      <c r="G31" s="376"/>
      <c r="H31" s="512"/>
      <c r="I31" s="541"/>
      <c r="J31" s="248"/>
      <c r="K31" s="515"/>
      <c r="L31" s="515"/>
      <c r="M31" s="25"/>
      <c r="N31" s="26"/>
      <c r="O31" s="516"/>
      <c r="P31" s="24"/>
      <c r="Q31" s="560"/>
      <c r="R31" s="24"/>
      <c r="S31" s="299"/>
      <c r="T31" s="561"/>
      <c r="U31" s="562"/>
      <c r="V31" s="318"/>
      <c r="W31" s="319"/>
      <c r="X31" s="327"/>
      <c r="Y31" s="328"/>
      <c r="Z31" s="333"/>
      <c r="AA31" s="339"/>
      <c r="AB31" s="24"/>
      <c r="AC31" s="484"/>
      <c r="AD31" s="430"/>
    </row>
    <row r="32" spans="1:30" s="418" customFormat="1" ht="16.5" customHeight="1">
      <c r="A32" s="417"/>
      <c r="B32" s="429"/>
      <c r="C32" s="511"/>
      <c r="D32" s="511"/>
      <c r="E32" s="511"/>
      <c r="F32" s="377"/>
      <c r="G32" s="376"/>
      <c r="H32" s="512"/>
      <c r="I32" s="541"/>
      <c r="J32" s="248"/>
      <c r="K32" s="515"/>
      <c r="L32" s="515"/>
      <c r="M32" s="25"/>
      <c r="N32" s="26"/>
      <c r="O32" s="516"/>
      <c r="P32" s="24"/>
      <c r="Q32" s="560"/>
      <c r="R32" s="24"/>
      <c r="S32" s="299"/>
      <c r="T32" s="561"/>
      <c r="U32" s="562"/>
      <c r="V32" s="318"/>
      <c r="W32" s="319"/>
      <c r="X32" s="327"/>
      <c r="Y32" s="328"/>
      <c r="Z32" s="333"/>
      <c r="AA32" s="339"/>
      <c r="AB32" s="24"/>
      <c r="AC32" s="484"/>
      <c r="AD32" s="430"/>
    </row>
    <row r="33" spans="1:30" s="418" customFormat="1" ht="16.5" customHeight="1">
      <c r="A33" s="417"/>
      <c r="B33" s="429"/>
      <c r="C33" s="511"/>
      <c r="D33" s="511"/>
      <c r="E33" s="511"/>
      <c r="F33" s="377"/>
      <c r="G33" s="376"/>
      <c r="H33" s="512"/>
      <c r="I33" s="541"/>
      <c r="J33" s="248"/>
      <c r="K33" s="515"/>
      <c r="L33" s="515"/>
      <c r="M33" s="25"/>
      <c r="N33" s="26"/>
      <c r="O33" s="516"/>
      <c r="P33" s="24"/>
      <c r="Q33" s="560"/>
      <c r="R33" s="24"/>
      <c r="S33" s="299"/>
      <c r="T33" s="561"/>
      <c r="U33" s="562"/>
      <c r="V33" s="318"/>
      <c r="W33" s="319"/>
      <c r="X33" s="327"/>
      <c r="Y33" s="328"/>
      <c r="Z33" s="333"/>
      <c r="AA33" s="339"/>
      <c r="AB33" s="24"/>
      <c r="AC33" s="484"/>
      <c r="AD33" s="430"/>
    </row>
    <row r="34" spans="1:30" s="418" customFormat="1" ht="16.5" customHeight="1">
      <c r="A34" s="417"/>
      <c r="B34" s="429"/>
      <c r="C34" s="511"/>
      <c r="D34" s="511"/>
      <c r="E34" s="511"/>
      <c r="F34" s="377"/>
      <c r="G34" s="376"/>
      <c r="H34" s="512"/>
      <c r="I34" s="541"/>
      <c r="J34" s="248"/>
      <c r="K34" s="515"/>
      <c r="L34" s="515"/>
      <c r="M34" s="25"/>
      <c r="N34" s="26"/>
      <c r="O34" s="516"/>
      <c r="P34" s="24"/>
      <c r="Q34" s="560"/>
      <c r="R34" s="24"/>
      <c r="S34" s="299"/>
      <c r="T34" s="561"/>
      <c r="U34" s="562"/>
      <c r="V34" s="318"/>
      <c r="W34" s="319"/>
      <c r="X34" s="327"/>
      <c r="Y34" s="328"/>
      <c r="Z34" s="333"/>
      <c r="AA34" s="339"/>
      <c r="AB34" s="24"/>
      <c r="AC34" s="484"/>
      <c r="AD34" s="430"/>
    </row>
    <row r="35" spans="1:30" s="418" customFormat="1" ht="16.5" customHeight="1">
      <c r="A35" s="417"/>
      <c r="B35" s="429"/>
      <c r="C35" s="511"/>
      <c r="D35" s="511"/>
      <c r="E35" s="511"/>
      <c r="F35" s="377"/>
      <c r="G35" s="376"/>
      <c r="H35" s="512"/>
      <c r="I35" s="541"/>
      <c r="J35" s="248"/>
      <c r="K35" s="515"/>
      <c r="L35" s="515"/>
      <c r="M35" s="25"/>
      <c r="N35" s="26"/>
      <c r="O35" s="516"/>
      <c r="P35" s="24"/>
      <c r="Q35" s="560"/>
      <c r="R35" s="24"/>
      <c r="S35" s="299"/>
      <c r="T35" s="561"/>
      <c r="U35" s="562"/>
      <c r="V35" s="318"/>
      <c r="W35" s="319"/>
      <c r="X35" s="327"/>
      <c r="Y35" s="328"/>
      <c r="Z35" s="333"/>
      <c r="AA35" s="339"/>
      <c r="AB35" s="24"/>
      <c r="AC35" s="484"/>
      <c r="AD35" s="430"/>
    </row>
    <row r="36" spans="1:30" s="418" customFormat="1" ht="16.5" customHeight="1">
      <c r="A36" s="417"/>
      <c r="B36" s="429"/>
      <c r="C36" s="511"/>
      <c r="D36" s="511"/>
      <c r="E36" s="511"/>
      <c r="F36" s="377"/>
      <c r="G36" s="376"/>
      <c r="H36" s="512"/>
      <c r="I36" s="541"/>
      <c r="J36" s="248"/>
      <c r="K36" s="515"/>
      <c r="L36" s="515"/>
      <c r="M36" s="25"/>
      <c r="N36" s="26"/>
      <c r="O36" s="516"/>
      <c r="P36" s="24"/>
      <c r="Q36" s="560"/>
      <c r="R36" s="24"/>
      <c r="S36" s="299"/>
      <c r="T36" s="561"/>
      <c r="U36" s="562"/>
      <c r="V36" s="318"/>
      <c r="W36" s="319"/>
      <c r="X36" s="327"/>
      <c r="Y36" s="328"/>
      <c r="Z36" s="333"/>
      <c r="AA36" s="339"/>
      <c r="AB36" s="24"/>
      <c r="AC36" s="484"/>
      <c r="AD36" s="430"/>
    </row>
    <row r="37" spans="1:30" s="418" customFormat="1" ht="16.5" customHeight="1">
      <c r="A37" s="417"/>
      <c r="B37" s="429"/>
      <c r="C37" s="511"/>
      <c r="D37" s="511"/>
      <c r="E37" s="511"/>
      <c r="F37" s="377"/>
      <c r="G37" s="376"/>
      <c r="H37" s="512"/>
      <c r="I37" s="513"/>
      <c r="J37" s="248">
        <f aca="true" t="shared" si="3" ref="J37:J43">H37*$I$18</f>
        <v>0</v>
      </c>
      <c r="K37" s="515"/>
      <c r="L37" s="515"/>
      <c r="M37" s="25">
        <f aca="true" t="shared" si="4" ref="M37:M43">IF(F37="","",(L37-K37)*24)</f>
      </c>
      <c r="N37" s="26">
        <f aca="true" t="shared" si="5" ref="N37:N43">IF(F37="","",ROUND((L37-K37)*24*60,0))</f>
      </c>
      <c r="O37" s="516"/>
      <c r="P37" s="24">
        <f t="shared" si="0"/>
      </c>
      <c r="Q37" s="560">
        <f t="shared" si="1"/>
      </c>
      <c r="R37" s="24">
        <f t="shared" si="2"/>
      </c>
      <c r="S37" s="299">
        <f aca="true" t="shared" si="6" ref="S37:S43">$I$19*IF(OR(O37="P",O37="RP"),0.1,1)*IF(R37="SI",1,0.1)</f>
        <v>3</v>
      </c>
      <c r="T37" s="561" t="str">
        <f aca="true" t="shared" si="7" ref="T37:T43">IF(O37="P",J37*S37*ROUND(N37/60,2),"--")</f>
        <v>--</v>
      </c>
      <c r="U37" s="562" t="str">
        <f aca="true" t="shared" si="8" ref="U37:U43">IF(O37="RP",J37*S37*ROUND(N37/60,2)*Q37/100,"--")</f>
        <v>--</v>
      </c>
      <c r="V37" s="318" t="str">
        <f aca="true" t="shared" si="9" ref="V37:V43">IF(AND(O37="F",P37="NO"),J37*S37,"--")</f>
        <v>--</v>
      </c>
      <c r="W37" s="319" t="str">
        <f aca="true" t="shared" si="10" ref="W37:W43">IF(O37="F",J37*S37*ROUND(N37/60,2),"--")</f>
        <v>--</v>
      </c>
      <c r="X37" s="327" t="str">
        <f aca="true" t="shared" si="11" ref="X37:X43">IF(AND(O37="R",P37="NO"),J37*S37*Q37/100,"--")</f>
        <v>--</v>
      </c>
      <c r="Y37" s="328" t="str">
        <f aca="true" t="shared" si="12" ref="Y37:Y43">IF(O37="R",J37*S37*ROUND(N37/60,2)*Q37/100,"--")</f>
        <v>--</v>
      </c>
      <c r="Z37" s="333" t="str">
        <f aca="true" t="shared" si="13" ref="Z37:Z43">IF(O37="RF",J37*S37*ROUND(N37/60,2),"--")</f>
        <v>--</v>
      </c>
      <c r="AA37" s="339" t="str">
        <f aca="true" t="shared" si="14" ref="AA37:AA43">IF(O37="RR",J37*S37*ROUND(N37/60,2)*Q37/100,"--")</f>
        <v>--</v>
      </c>
      <c r="AB37" s="24">
        <f aca="true" t="shared" si="15" ref="AB37:AB43">IF(F37="","","SI")</f>
      </c>
      <c r="AC37" s="484">
        <f aca="true" t="shared" si="16" ref="AC37:AC43">IF(F37="","",SUM(T37:AA37)*IF(AB37="SI",1,2))</f>
      </c>
      <c r="AD37" s="430"/>
    </row>
    <row r="38" spans="1:30" s="418" customFormat="1" ht="16.5" customHeight="1">
      <c r="A38" s="417"/>
      <c r="B38" s="429"/>
      <c r="C38" s="511"/>
      <c r="D38" s="511"/>
      <c r="E38" s="511"/>
      <c r="F38" s="377"/>
      <c r="G38" s="376"/>
      <c r="H38" s="512"/>
      <c r="I38" s="513"/>
      <c r="J38" s="248">
        <f t="shared" si="3"/>
        <v>0</v>
      </c>
      <c r="K38" s="515"/>
      <c r="L38" s="515"/>
      <c r="M38" s="25">
        <f t="shared" si="4"/>
      </c>
      <c r="N38" s="26">
        <f t="shared" si="5"/>
      </c>
      <c r="O38" s="516"/>
      <c r="P38" s="24">
        <f t="shared" si="0"/>
      </c>
      <c r="Q38" s="560">
        <f t="shared" si="1"/>
      </c>
      <c r="R38" s="24">
        <f t="shared" si="2"/>
      </c>
      <c r="S38" s="299">
        <f t="shared" si="6"/>
        <v>3</v>
      </c>
      <c r="T38" s="561" t="str">
        <f t="shared" si="7"/>
        <v>--</v>
      </c>
      <c r="U38" s="562" t="str">
        <f t="shared" si="8"/>
        <v>--</v>
      </c>
      <c r="V38" s="318" t="str">
        <f t="shared" si="9"/>
        <v>--</v>
      </c>
      <c r="W38" s="319" t="str">
        <f t="shared" si="10"/>
        <v>--</v>
      </c>
      <c r="X38" s="327" t="str">
        <f t="shared" si="11"/>
        <v>--</v>
      </c>
      <c r="Y38" s="328" t="str">
        <f t="shared" si="12"/>
        <v>--</v>
      </c>
      <c r="Z38" s="333" t="str">
        <f t="shared" si="13"/>
        <v>--</v>
      </c>
      <c r="AA38" s="339" t="str">
        <f t="shared" si="14"/>
        <v>--</v>
      </c>
      <c r="AB38" s="24">
        <f t="shared" si="15"/>
      </c>
      <c r="AC38" s="484">
        <f t="shared" si="16"/>
      </c>
      <c r="AD38" s="430"/>
    </row>
    <row r="39" spans="1:30" s="418" customFormat="1" ht="16.5" customHeight="1">
      <c r="A39" s="417"/>
      <c r="B39" s="429"/>
      <c r="C39" s="511"/>
      <c r="D39" s="511"/>
      <c r="E39" s="511"/>
      <c r="F39" s="377"/>
      <c r="G39" s="376"/>
      <c r="H39" s="512"/>
      <c r="I39" s="513"/>
      <c r="J39" s="248">
        <f t="shared" si="3"/>
        <v>0</v>
      </c>
      <c r="K39" s="515"/>
      <c r="L39" s="515"/>
      <c r="M39" s="25">
        <f t="shared" si="4"/>
      </c>
      <c r="N39" s="26">
        <f t="shared" si="5"/>
      </c>
      <c r="O39" s="516"/>
      <c r="P39" s="24">
        <f t="shared" si="0"/>
      </c>
      <c r="Q39" s="560">
        <f t="shared" si="1"/>
      </c>
      <c r="R39" s="24">
        <f t="shared" si="2"/>
      </c>
      <c r="S39" s="299">
        <f t="shared" si="6"/>
        <v>3</v>
      </c>
      <c r="T39" s="561" t="str">
        <f t="shared" si="7"/>
        <v>--</v>
      </c>
      <c r="U39" s="562" t="str">
        <f t="shared" si="8"/>
        <v>--</v>
      </c>
      <c r="V39" s="318" t="str">
        <f t="shared" si="9"/>
        <v>--</v>
      </c>
      <c r="W39" s="319" t="str">
        <f t="shared" si="10"/>
        <v>--</v>
      </c>
      <c r="X39" s="327" t="str">
        <f t="shared" si="11"/>
        <v>--</v>
      </c>
      <c r="Y39" s="328" t="str">
        <f t="shared" si="12"/>
        <v>--</v>
      </c>
      <c r="Z39" s="333" t="str">
        <f t="shared" si="13"/>
        <v>--</v>
      </c>
      <c r="AA39" s="339" t="str">
        <f t="shared" si="14"/>
        <v>--</v>
      </c>
      <c r="AB39" s="24">
        <f t="shared" si="15"/>
      </c>
      <c r="AC39" s="484">
        <f t="shared" si="16"/>
      </c>
      <c r="AD39" s="430"/>
    </row>
    <row r="40" spans="1:30" s="418" customFormat="1" ht="16.5" customHeight="1">
      <c r="A40" s="417"/>
      <c r="B40" s="429"/>
      <c r="C40" s="511"/>
      <c r="D40" s="511"/>
      <c r="E40" s="511"/>
      <c r="F40" s="377"/>
      <c r="G40" s="376"/>
      <c r="H40" s="512"/>
      <c r="I40" s="513"/>
      <c r="J40" s="248">
        <f t="shared" si="3"/>
        <v>0</v>
      </c>
      <c r="K40" s="515"/>
      <c r="L40" s="515"/>
      <c r="M40" s="25">
        <f t="shared" si="4"/>
      </c>
      <c r="N40" s="26">
        <f t="shared" si="5"/>
      </c>
      <c r="O40" s="516"/>
      <c r="P40" s="24">
        <f t="shared" si="0"/>
      </c>
      <c r="Q40" s="560">
        <f t="shared" si="1"/>
      </c>
      <c r="R40" s="24">
        <f t="shared" si="2"/>
      </c>
      <c r="S40" s="299">
        <f t="shared" si="6"/>
        <v>3</v>
      </c>
      <c r="T40" s="561" t="str">
        <f t="shared" si="7"/>
        <v>--</v>
      </c>
      <c r="U40" s="562" t="str">
        <f t="shared" si="8"/>
        <v>--</v>
      </c>
      <c r="V40" s="318" t="str">
        <f t="shared" si="9"/>
        <v>--</v>
      </c>
      <c r="W40" s="319" t="str">
        <f t="shared" si="10"/>
        <v>--</v>
      </c>
      <c r="X40" s="327" t="str">
        <f t="shared" si="11"/>
        <v>--</v>
      </c>
      <c r="Y40" s="328" t="str">
        <f t="shared" si="12"/>
        <v>--</v>
      </c>
      <c r="Z40" s="333" t="str">
        <f t="shared" si="13"/>
        <v>--</v>
      </c>
      <c r="AA40" s="339" t="str">
        <f t="shared" si="14"/>
        <v>--</v>
      </c>
      <c r="AB40" s="24">
        <f t="shared" si="15"/>
      </c>
      <c r="AC40" s="484">
        <f t="shared" si="16"/>
      </c>
      <c r="AD40" s="430"/>
    </row>
    <row r="41" spans="1:30" s="418" customFormat="1" ht="16.5" customHeight="1">
      <c r="A41" s="417"/>
      <c r="B41" s="429"/>
      <c r="C41" s="511"/>
      <c r="D41" s="511"/>
      <c r="E41" s="511"/>
      <c r="F41" s="377"/>
      <c r="G41" s="376"/>
      <c r="H41" s="512"/>
      <c r="I41" s="513"/>
      <c r="J41" s="248">
        <f t="shared" si="3"/>
        <v>0</v>
      </c>
      <c r="K41" s="515"/>
      <c r="L41" s="515"/>
      <c r="M41" s="25">
        <f t="shared" si="4"/>
      </c>
      <c r="N41" s="26">
        <f t="shared" si="5"/>
      </c>
      <c r="O41" s="516"/>
      <c r="P41" s="24">
        <f t="shared" si="0"/>
      </c>
      <c r="Q41" s="560">
        <f t="shared" si="1"/>
      </c>
      <c r="R41" s="24">
        <f t="shared" si="2"/>
      </c>
      <c r="S41" s="299">
        <f t="shared" si="6"/>
        <v>3</v>
      </c>
      <c r="T41" s="561" t="str">
        <f t="shared" si="7"/>
        <v>--</v>
      </c>
      <c r="U41" s="562" t="str">
        <f t="shared" si="8"/>
        <v>--</v>
      </c>
      <c r="V41" s="318" t="str">
        <f t="shared" si="9"/>
        <v>--</v>
      </c>
      <c r="W41" s="319" t="str">
        <f t="shared" si="10"/>
        <v>--</v>
      </c>
      <c r="X41" s="327" t="str">
        <f t="shared" si="11"/>
        <v>--</v>
      </c>
      <c r="Y41" s="328" t="str">
        <f t="shared" si="12"/>
        <v>--</v>
      </c>
      <c r="Z41" s="333" t="str">
        <f t="shared" si="13"/>
        <v>--</v>
      </c>
      <c r="AA41" s="339" t="str">
        <f t="shared" si="14"/>
        <v>--</v>
      </c>
      <c r="AB41" s="24">
        <f t="shared" si="15"/>
      </c>
      <c r="AC41" s="484">
        <f t="shared" si="16"/>
      </c>
      <c r="AD41" s="430"/>
    </row>
    <row r="42" spans="1:30" s="418" customFormat="1" ht="16.5" customHeight="1">
      <c r="A42" s="417"/>
      <c r="B42" s="429"/>
      <c r="C42" s="511"/>
      <c r="D42" s="511"/>
      <c r="E42" s="511"/>
      <c r="F42" s="377"/>
      <c r="G42" s="376"/>
      <c r="H42" s="512"/>
      <c r="I42" s="513"/>
      <c r="J42" s="248">
        <f t="shared" si="3"/>
        <v>0</v>
      </c>
      <c r="K42" s="515"/>
      <c r="L42" s="515"/>
      <c r="M42" s="25">
        <f t="shared" si="4"/>
      </c>
      <c r="N42" s="26">
        <f t="shared" si="5"/>
      </c>
      <c r="O42" s="516"/>
      <c r="P42" s="24">
        <f t="shared" si="0"/>
      </c>
      <c r="Q42" s="560">
        <f t="shared" si="1"/>
      </c>
      <c r="R42" s="24">
        <f t="shared" si="2"/>
      </c>
      <c r="S42" s="299">
        <f t="shared" si="6"/>
        <v>3</v>
      </c>
      <c r="T42" s="561" t="str">
        <f t="shared" si="7"/>
        <v>--</v>
      </c>
      <c r="U42" s="562" t="str">
        <f t="shared" si="8"/>
        <v>--</v>
      </c>
      <c r="V42" s="318" t="str">
        <f t="shared" si="9"/>
        <v>--</v>
      </c>
      <c r="W42" s="319" t="str">
        <f t="shared" si="10"/>
        <v>--</v>
      </c>
      <c r="X42" s="327" t="str">
        <f t="shared" si="11"/>
        <v>--</v>
      </c>
      <c r="Y42" s="328" t="str">
        <f t="shared" si="12"/>
        <v>--</v>
      </c>
      <c r="Z42" s="333" t="str">
        <f t="shared" si="13"/>
        <v>--</v>
      </c>
      <c r="AA42" s="339" t="str">
        <f t="shared" si="14"/>
        <v>--</v>
      </c>
      <c r="AB42" s="24">
        <f t="shared" si="15"/>
      </c>
      <c r="AC42" s="484">
        <f t="shared" si="16"/>
      </c>
      <c r="AD42" s="430"/>
    </row>
    <row r="43" spans="1:30" s="418" customFormat="1" ht="16.5" customHeight="1">
      <c r="A43" s="417"/>
      <c r="B43" s="429"/>
      <c r="C43" s="511"/>
      <c r="D43" s="511"/>
      <c r="E43" s="511"/>
      <c r="F43" s="377"/>
      <c r="G43" s="376"/>
      <c r="H43" s="512"/>
      <c r="I43" s="513"/>
      <c r="J43" s="248">
        <f t="shared" si="3"/>
        <v>0</v>
      </c>
      <c r="K43" s="515"/>
      <c r="L43" s="515"/>
      <c r="M43" s="25">
        <f t="shared" si="4"/>
      </c>
      <c r="N43" s="26">
        <f t="shared" si="5"/>
      </c>
      <c r="O43" s="516"/>
      <c r="P43" s="24">
        <f t="shared" si="0"/>
      </c>
      <c r="Q43" s="560">
        <f t="shared" si="1"/>
      </c>
      <c r="R43" s="24">
        <f t="shared" si="2"/>
      </c>
      <c r="S43" s="299">
        <f t="shared" si="6"/>
        <v>3</v>
      </c>
      <c r="T43" s="561" t="str">
        <f t="shared" si="7"/>
        <v>--</v>
      </c>
      <c r="U43" s="562" t="str">
        <f t="shared" si="8"/>
        <v>--</v>
      </c>
      <c r="V43" s="318" t="str">
        <f t="shared" si="9"/>
        <v>--</v>
      </c>
      <c r="W43" s="319" t="str">
        <f t="shared" si="10"/>
        <v>--</v>
      </c>
      <c r="X43" s="327" t="str">
        <f t="shared" si="11"/>
        <v>--</v>
      </c>
      <c r="Y43" s="328" t="str">
        <f t="shared" si="12"/>
        <v>--</v>
      </c>
      <c r="Z43" s="333" t="str">
        <f t="shared" si="13"/>
        <v>--</v>
      </c>
      <c r="AA43" s="339" t="str">
        <f t="shared" si="14"/>
        <v>--</v>
      </c>
      <c r="AB43" s="24">
        <f t="shared" si="15"/>
      </c>
      <c r="AC43" s="484">
        <f t="shared" si="16"/>
      </c>
      <c r="AD43" s="430"/>
    </row>
    <row r="44" spans="1:30" s="418" customFormat="1" ht="16.5" customHeight="1" thickBot="1">
      <c r="A44" s="417"/>
      <c r="B44" s="429"/>
      <c r="C44" s="514"/>
      <c r="D44" s="514"/>
      <c r="E44" s="514"/>
      <c r="F44" s="514"/>
      <c r="G44" s="514"/>
      <c r="H44" s="514"/>
      <c r="I44" s="514"/>
      <c r="J44" s="486"/>
      <c r="K44" s="514"/>
      <c r="L44" s="514"/>
      <c r="M44" s="485"/>
      <c r="N44" s="485"/>
      <c r="O44" s="514"/>
      <c r="P44" s="514"/>
      <c r="Q44" s="514"/>
      <c r="R44" s="514"/>
      <c r="S44" s="517"/>
      <c r="T44" s="518"/>
      <c r="U44" s="519"/>
      <c r="V44" s="520"/>
      <c r="W44" s="521"/>
      <c r="X44" s="522"/>
      <c r="Y44" s="523"/>
      <c r="Z44" s="524"/>
      <c r="AA44" s="525"/>
      <c r="AB44" s="514"/>
      <c r="AC44" s="487"/>
      <c r="AD44" s="430"/>
    </row>
    <row r="45" spans="1:30" s="418" customFormat="1" ht="16.5" customHeight="1" thickBot="1" thickTop="1">
      <c r="A45" s="417"/>
      <c r="B45" s="429"/>
      <c r="C45" s="488" t="s">
        <v>62</v>
      </c>
      <c r="D45" s="763" t="s">
        <v>179</v>
      </c>
      <c r="E45" s="226"/>
      <c r="F45" s="221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489">
        <f aca="true" t="shared" si="17" ref="T45:AA45">SUM(T22:T44)</f>
        <v>29.574315000000002</v>
      </c>
      <c r="U45" s="490">
        <f t="shared" si="17"/>
        <v>0</v>
      </c>
      <c r="V45" s="491">
        <f t="shared" si="17"/>
        <v>109.08</v>
      </c>
      <c r="W45" s="491">
        <f t="shared" si="17"/>
        <v>25.0884</v>
      </c>
      <c r="X45" s="492">
        <f t="shared" si="17"/>
        <v>0</v>
      </c>
      <c r="Y45" s="492">
        <f t="shared" si="17"/>
        <v>0</v>
      </c>
      <c r="Z45" s="493">
        <f t="shared" si="17"/>
        <v>0</v>
      </c>
      <c r="AA45" s="494">
        <f t="shared" si="17"/>
        <v>0</v>
      </c>
      <c r="AB45" s="495"/>
      <c r="AC45" s="496">
        <f>ROUND(SUM(AC22:AC44),2)</f>
        <v>163.74</v>
      </c>
      <c r="AD45" s="430"/>
    </row>
    <row r="46" spans="1:30" s="504" customFormat="1" ht="9.75" thickTop="1">
      <c r="A46" s="497"/>
      <c r="B46" s="498"/>
      <c r="C46" s="499"/>
      <c r="D46" s="499"/>
      <c r="E46" s="499"/>
      <c r="F46" s="223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1"/>
      <c r="U46" s="501"/>
      <c r="V46" s="501"/>
      <c r="W46" s="501"/>
      <c r="X46" s="501"/>
      <c r="Y46" s="501"/>
      <c r="Z46" s="501"/>
      <c r="AA46" s="501"/>
      <c r="AB46" s="500"/>
      <c r="AC46" s="502"/>
      <c r="AD46" s="503"/>
    </row>
    <row r="47" spans="1:30" s="418" customFormat="1" ht="16.5" customHeight="1" thickBot="1">
      <c r="A47" s="417"/>
      <c r="B47" s="505"/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7"/>
    </row>
    <row r="48" spans="2:30" ht="16.5" customHeight="1" thickTop="1">
      <c r="B48" s="509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09"/>
      <c r="T48" s="509"/>
      <c r="U48" s="509"/>
      <c r="V48" s="509"/>
      <c r="W48" s="509"/>
      <c r="X48" s="509"/>
      <c r="Y48" s="509"/>
      <c r="Z48" s="509"/>
      <c r="AA48" s="509"/>
      <c r="AB48" s="509"/>
      <c r="AC48" s="509"/>
      <c r="AD48" s="510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D48"/>
  <sheetViews>
    <sheetView zoomScale="85" zoomScaleNormal="85" zoomScalePageLayoutView="0" workbookViewId="0" topLeftCell="E1">
      <selection activeCell="I17" sqref="I17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92" customFormat="1" ht="26.25"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371"/>
    </row>
    <row r="2" spans="2:30" s="92" customFormat="1" ht="26.25">
      <c r="B2" s="93" t="str">
        <f>+'TOT-1215'!B2</f>
        <v>ANEXO VI al Memorándum  D.T.E.E.  N°  379 / 2016              .-</v>
      </c>
      <c r="C2" s="94"/>
      <c r="D2" s="94"/>
      <c r="E2" s="154"/>
      <c r="F2" s="154"/>
      <c r="G2" s="93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5:30" s="10" customFormat="1" ht="12.75"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0" s="95" customFormat="1" ht="11.25">
      <c r="A4" s="546" t="s">
        <v>17</v>
      </c>
      <c r="C4" s="545"/>
      <c r="D4" s="545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</row>
    <row r="5" spans="1:30" s="95" customFormat="1" ht="11.25">
      <c r="A5" s="546" t="s">
        <v>136</v>
      </c>
      <c r="C5" s="545"/>
      <c r="D5" s="545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</row>
    <row r="6" spans="1:30" s="10" customFormat="1" ht="13.5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s="10" customFormat="1" ht="13.5" thickTop="1">
      <c r="A7" s="152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7"/>
    </row>
    <row r="8" spans="1:30" s="97" customFormat="1" ht="20.25">
      <c r="A8" s="170"/>
      <c r="B8" s="171"/>
      <c r="C8" s="159"/>
      <c r="D8" s="159"/>
      <c r="E8" s="159"/>
      <c r="F8" s="21" t="s">
        <v>38</v>
      </c>
      <c r="H8" s="159"/>
      <c r="I8" s="170"/>
      <c r="J8" s="170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72"/>
    </row>
    <row r="9" spans="1:30" s="97" customFormat="1" ht="7.5" customHeight="1">
      <c r="A9" s="170"/>
      <c r="B9" s="171"/>
      <c r="C9" s="159"/>
      <c r="D9" s="159"/>
      <c r="E9" s="159"/>
      <c r="F9" s="21"/>
      <c r="H9" s="159"/>
      <c r="I9" s="170"/>
      <c r="J9" s="170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72"/>
    </row>
    <row r="10" spans="1:30" s="10" customFormat="1" ht="7.5" customHeight="1">
      <c r="A10" s="152"/>
      <c r="B10" s="158"/>
      <c r="C10" s="29"/>
      <c r="D10" s="29"/>
      <c r="E10" s="29"/>
      <c r="F10" s="29"/>
      <c r="G10" s="29"/>
      <c r="H10" s="29"/>
      <c r="I10" s="152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7"/>
    </row>
    <row r="11" spans="1:30" s="97" customFormat="1" ht="20.25">
      <c r="A11" s="170"/>
      <c r="B11" s="171"/>
      <c r="C11" s="159"/>
      <c r="D11" s="159"/>
      <c r="E11" s="159"/>
      <c r="F11" s="200" t="s">
        <v>79</v>
      </c>
      <c r="G11" s="159"/>
      <c r="H11" s="159"/>
      <c r="I11" s="170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72"/>
    </row>
    <row r="12" spans="1:30" s="97" customFormat="1" ht="8.25" customHeight="1">
      <c r="A12" s="170"/>
      <c r="B12" s="171"/>
      <c r="C12" s="159"/>
      <c r="D12" s="159"/>
      <c r="E12" s="159"/>
      <c r="F12" s="200"/>
      <c r="G12" s="159"/>
      <c r="H12" s="159"/>
      <c r="I12" s="170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72"/>
    </row>
    <row r="13" spans="1:30" s="10" customFormat="1" ht="8.25" customHeight="1">
      <c r="A13" s="152"/>
      <c r="B13" s="158"/>
      <c r="C13" s="29"/>
      <c r="D13" s="29"/>
      <c r="E13" s="29"/>
      <c r="F13" s="106"/>
      <c r="G13" s="161"/>
      <c r="H13" s="161"/>
      <c r="I13" s="162"/>
      <c r="J13" s="16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7"/>
    </row>
    <row r="14" spans="1:30" s="104" customFormat="1" ht="19.5">
      <c r="A14" s="176"/>
      <c r="B14" s="70" t="str">
        <f>+'TOT-1215'!B14</f>
        <v>Desde el 01 al 31 de diciembre de 2015</v>
      </c>
      <c r="C14" s="177"/>
      <c r="D14" s="177"/>
      <c r="E14" s="177"/>
      <c r="F14" s="177"/>
      <c r="G14" s="177"/>
      <c r="H14" s="177"/>
      <c r="I14" s="178"/>
      <c r="J14" s="177"/>
      <c r="K14" s="101"/>
      <c r="L14" s="101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9"/>
    </row>
    <row r="15" spans="1:30" s="78" customFormat="1" ht="8.25" customHeight="1">
      <c r="A15" s="74"/>
      <c r="B15" s="75"/>
      <c r="C15" s="74"/>
      <c r="D15" s="74"/>
      <c r="E15" s="74"/>
      <c r="F15" s="536"/>
      <c r="G15" s="537"/>
      <c r="H15" s="538"/>
      <c r="I15" s="74"/>
      <c r="K15" s="80"/>
      <c r="L15" s="81"/>
      <c r="M15" s="215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7"/>
    </row>
    <row r="16" spans="1:30" s="10" customFormat="1" ht="8.25" customHeight="1" thickBot="1">
      <c r="A16" s="152"/>
      <c r="B16" s="158"/>
      <c r="C16" s="29"/>
      <c r="D16" s="29"/>
      <c r="E16" s="29"/>
      <c r="F16" s="29"/>
      <c r="G16" s="29"/>
      <c r="H16" s="29"/>
      <c r="I16" s="66"/>
      <c r="J16" s="29"/>
      <c r="K16" s="167"/>
      <c r="L16" s="168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7"/>
    </row>
    <row r="17" spans="1:30" s="10" customFormat="1" ht="16.5" customHeight="1" thickBot="1" thickTop="1">
      <c r="A17" s="152"/>
      <c r="B17" s="158"/>
      <c r="C17" s="29"/>
      <c r="D17" s="29"/>
      <c r="E17" s="29"/>
      <c r="F17" s="180" t="s">
        <v>66</v>
      </c>
      <c r="G17" s="181"/>
      <c r="H17" s="182"/>
      <c r="I17" s="183">
        <v>0.243</v>
      </c>
      <c r="J17" s="152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7"/>
    </row>
    <row r="18" spans="1:30" s="10" customFormat="1" ht="16.5" customHeight="1" thickBot="1" thickTop="1">
      <c r="A18" s="152"/>
      <c r="B18" s="158"/>
      <c r="C18" s="29"/>
      <c r="D18" s="29"/>
      <c r="E18" s="29"/>
      <c r="F18" s="184" t="s">
        <v>67</v>
      </c>
      <c r="G18" s="185"/>
      <c r="H18" s="185"/>
      <c r="I18" s="186">
        <f>30*'TOT-1215'!B13</f>
        <v>30</v>
      </c>
      <c r="J18" s="29"/>
      <c r="K18" s="215" t="str">
        <f>IF(I18=30," ",IF(I18=60,"Coeficiente duplicado por tasa de falla &gt;4 Sal. x año/100 km.","REVISAR COEFICIENTE"))</f>
        <v> 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163"/>
      <c r="X18" s="163"/>
      <c r="Y18" s="163"/>
      <c r="Z18" s="163"/>
      <c r="AA18" s="163"/>
      <c r="AB18" s="163"/>
      <c r="AC18" s="163"/>
      <c r="AD18" s="37"/>
    </row>
    <row r="19" spans="1:30" s="78" customFormat="1" ht="8.25" customHeight="1" thickTop="1">
      <c r="A19" s="74"/>
      <c r="B19" s="75"/>
      <c r="C19" s="74"/>
      <c r="D19" s="74"/>
      <c r="E19" s="74"/>
      <c r="F19" s="536"/>
      <c r="G19" s="537"/>
      <c r="H19" s="538"/>
      <c r="I19" s="74"/>
      <c r="K19" s="80"/>
      <c r="L19" s="81"/>
      <c r="M19" s="215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7"/>
    </row>
    <row r="20" spans="1:30" s="569" customFormat="1" ht="15" customHeight="1" thickBot="1">
      <c r="A20" s="575"/>
      <c r="B20" s="576"/>
      <c r="C20" s="577">
        <v>3</v>
      </c>
      <c r="D20" s="577">
        <v>4</v>
      </c>
      <c r="E20" s="577">
        <v>5</v>
      </c>
      <c r="F20" s="577">
        <v>6</v>
      </c>
      <c r="G20" s="577">
        <v>7</v>
      </c>
      <c r="H20" s="577">
        <v>8</v>
      </c>
      <c r="I20" s="577">
        <v>9</v>
      </c>
      <c r="J20" s="577">
        <v>10</v>
      </c>
      <c r="K20" s="577">
        <v>11</v>
      </c>
      <c r="L20" s="577">
        <v>12</v>
      </c>
      <c r="M20" s="577">
        <v>13</v>
      </c>
      <c r="N20" s="577">
        <v>14</v>
      </c>
      <c r="O20" s="577">
        <v>15</v>
      </c>
      <c r="P20" s="577">
        <v>16</v>
      </c>
      <c r="Q20" s="577">
        <v>17</v>
      </c>
      <c r="R20" s="577">
        <v>18</v>
      </c>
      <c r="S20" s="577">
        <v>19</v>
      </c>
      <c r="T20" s="577">
        <v>20</v>
      </c>
      <c r="U20" s="577">
        <v>21</v>
      </c>
      <c r="V20" s="577">
        <v>22</v>
      </c>
      <c r="W20" s="577">
        <v>23</v>
      </c>
      <c r="X20" s="577">
        <v>24</v>
      </c>
      <c r="Y20" s="577">
        <v>25</v>
      </c>
      <c r="Z20" s="577">
        <v>26</v>
      </c>
      <c r="AA20" s="577">
        <v>27</v>
      </c>
      <c r="AB20" s="577">
        <v>28</v>
      </c>
      <c r="AC20" s="577">
        <v>29</v>
      </c>
      <c r="AD20" s="578"/>
    </row>
    <row r="21" spans="1:30" s="91" customFormat="1" ht="33.75" customHeight="1" thickBot="1" thickTop="1">
      <c r="A21" s="187"/>
      <c r="B21" s="188"/>
      <c r="C21" s="190" t="s">
        <v>44</v>
      </c>
      <c r="D21" s="84" t="s">
        <v>135</v>
      </c>
      <c r="E21" s="84" t="s">
        <v>134</v>
      </c>
      <c r="F21" s="195" t="s">
        <v>68</v>
      </c>
      <c r="G21" s="191" t="s">
        <v>15</v>
      </c>
      <c r="H21" s="192" t="s">
        <v>69</v>
      </c>
      <c r="I21" s="193" t="s">
        <v>45</v>
      </c>
      <c r="J21" s="245" t="s">
        <v>47</v>
      </c>
      <c r="K21" s="194" t="s">
        <v>70</v>
      </c>
      <c r="L21" s="194" t="s">
        <v>71</v>
      </c>
      <c r="M21" s="195" t="s">
        <v>72</v>
      </c>
      <c r="N21" s="195" t="s">
        <v>73</v>
      </c>
      <c r="O21" s="88" t="s">
        <v>52</v>
      </c>
      <c r="P21" s="196" t="s">
        <v>74</v>
      </c>
      <c r="Q21" s="195" t="s">
        <v>75</v>
      </c>
      <c r="R21" s="191" t="s">
        <v>76</v>
      </c>
      <c r="S21" s="296" t="s">
        <v>77</v>
      </c>
      <c r="T21" s="282" t="s">
        <v>54</v>
      </c>
      <c r="U21" s="306" t="s">
        <v>55</v>
      </c>
      <c r="V21" s="312" t="s">
        <v>78</v>
      </c>
      <c r="W21" s="313"/>
      <c r="X21" s="321" t="s">
        <v>78</v>
      </c>
      <c r="Y21" s="322"/>
      <c r="Z21" s="330" t="s">
        <v>58</v>
      </c>
      <c r="AA21" s="336" t="s">
        <v>59</v>
      </c>
      <c r="AB21" s="193" t="s">
        <v>60</v>
      </c>
      <c r="AC21" s="193" t="s">
        <v>61</v>
      </c>
      <c r="AD21" s="189"/>
    </row>
    <row r="22" spans="1:30" s="10" customFormat="1" ht="16.5" customHeight="1" thickTop="1">
      <c r="A22" s="152"/>
      <c r="B22" s="158"/>
      <c r="C22" s="18"/>
      <c r="D22" s="18"/>
      <c r="E22" s="18"/>
      <c r="F22" s="22"/>
      <c r="G22" s="22"/>
      <c r="H22" s="22"/>
      <c r="I22" s="22"/>
      <c r="J22" s="250"/>
      <c r="K22" s="23"/>
      <c r="L22" s="22"/>
      <c r="M22" s="23"/>
      <c r="N22" s="23"/>
      <c r="O22" s="22"/>
      <c r="P22" s="22"/>
      <c r="Q22" s="22"/>
      <c r="R22" s="22"/>
      <c r="S22" s="297"/>
      <c r="T22" s="301"/>
      <c r="U22" s="307"/>
      <c r="V22" s="314"/>
      <c r="W22" s="315"/>
      <c r="X22" s="323"/>
      <c r="Y22" s="324"/>
      <c r="Z22" s="331"/>
      <c r="AA22" s="337"/>
      <c r="AB22" s="22"/>
      <c r="AC22" s="61"/>
      <c r="AD22" s="37"/>
    </row>
    <row r="23" spans="1:30" s="10" customFormat="1" ht="16.5" customHeight="1">
      <c r="A23" s="152"/>
      <c r="B23" s="158"/>
      <c r="C23" s="18"/>
      <c r="D23" s="18"/>
      <c r="E23" s="18"/>
      <c r="F23" s="19"/>
      <c r="G23" s="19"/>
      <c r="H23" s="19"/>
      <c r="I23" s="19"/>
      <c r="J23" s="251"/>
      <c r="K23" s="20"/>
      <c r="L23" s="19"/>
      <c r="M23" s="20"/>
      <c r="N23" s="20"/>
      <c r="O23" s="19"/>
      <c r="P23" s="19"/>
      <c r="Q23" s="19"/>
      <c r="R23" s="19"/>
      <c r="S23" s="298"/>
      <c r="T23" s="302"/>
      <c r="U23" s="308"/>
      <c r="V23" s="316"/>
      <c r="W23" s="317"/>
      <c r="X23" s="325"/>
      <c r="Y23" s="326"/>
      <c r="Z23" s="332"/>
      <c r="AA23" s="338"/>
      <c r="AB23" s="19"/>
      <c r="AC23" s="198"/>
      <c r="AD23" s="37"/>
    </row>
    <row r="24" spans="1:30" s="10" customFormat="1" ht="16.5" customHeight="1">
      <c r="A24" s="152"/>
      <c r="B24" s="158"/>
      <c r="C24" s="511">
        <v>23</v>
      </c>
      <c r="D24" s="511">
        <v>296252</v>
      </c>
      <c r="E24" s="511">
        <v>1817</v>
      </c>
      <c r="F24" s="377" t="s">
        <v>13</v>
      </c>
      <c r="G24" s="376" t="s">
        <v>8</v>
      </c>
      <c r="H24" s="512">
        <v>12</v>
      </c>
      <c r="I24" s="513" t="s">
        <v>152</v>
      </c>
      <c r="J24" s="248">
        <f aca="true" t="shared" si="0" ref="J24:J43">H24*$I$17</f>
        <v>2.916</v>
      </c>
      <c r="K24" s="515">
        <v>42353.415972222225</v>
      </c>
      <c r="L24" s="515">
        <v>42353.66180555556</v>
      </c>
      <c r="M24" s="25">
        <f aca="true" t="shared" si="1" ref="M24:M43">IF(F24="","",(L24-K24)*24)</f>
        <v>5.900000000023283</v>
      </c>
      <c r="N24" s="26">
        <f aca="true" t="shared" si="2" ref="N24:N43">IF(F24="","",ROUND((L24-K24)*24*60,0))</f>
        <v>354</v>
      </c>
      <c r="O24" s="516" t="s">
        <v>139</v>
      </c>
      <c r="P24" s="24" t="str">
        <f>IF(F24="","",IF(OR(O24="P",O24="RP"),"--","NO"))</f>
        <v>--</v>
      </c>
      <c r="Q24" s="560" t="str">
        <f aca="true" t="shared" si="3" ref="Q24:Q43">IF(F24="","","--")</f>
        <v>--</v>
      </c>
      <c r="R24" s="24" t="str">
        <f aca="true" t="shared" si="4" ref="R24:R43">IF(F24="","","NO")</f>
        <v>NO</v>
      </c>
      <c r="S24" s="299">
        <f aca="true" t="shared" si="5" ref="S24:S43">$I$18*IF(OR(O24="P",O24="RP"),0.1,1)*IF(R24="SI",1,0.1)</f>
        <v>0.30000000000000004</v>
      </c>
      <c r="T24" s="303">
        <f aca="true" t="shared" si="6" ref="T24:T43">IF(O24="P",J24*S24*ROUND(N24/60,2),"--")</f>
        <v>5.161320000000001</v>
      </c>
      <c r="U24" s="309" t="str">
        <f aca="true" t="shared" si="7" ref="U24:U43">IF(O24="RP",J24*S24*ROUND(N24/60,2)*Q24/100,"--")</f>
        <v>--</v>
      </c>
      <c r="V24" s="318" t="str">
        <f aca="true" t="shared" si="8" ref="V24:V43">IF(AND(O24="F",P24="NO"),J24*S24,"--")</f>
        <v>--</v>
      </c>
      <c r="W24" s="319" t="str">
        <f aca="true" t="shared" si="9" ref="W24:W43">IF(O24="F",J24*S24*ROUND(N24/60,2),"--")</f>
        <v>--</v>
      </c>
      <c r="X24" s="327" t="str">
        <f aca="true" t="shared" si="10" ref="X24:X43">IF(AND(O24="R",P24="NO"),J24*S24*Q24/100,"--")</f>
        <v>--</v>
      </c>
      <c r="Y24" s="328" t="str">
        <f aca="true" t="shared" si="11" ref="Y24:Y43">IF(O24="R",J24*S24*ROUND(N24/60,2)*Q24/100,"--")</f>
        <v>--</v>
      </c>
      <c r="Z24" s="333" t="str">
        <f aca="true" t="shared" si="12" ref="Z24:Z43">IF(O24="RF",J24*S24*ROUND(N24/60,2),"--")</f>
        <v>--</v>
      </c>
      <c r="AA24" s="339" t="str">
        <f aca="true" t="shared" si="13" ref="AA24:AA43">IF(O24="RR",J24*S24*ROUND(N24/60,2)*Q24/100,"--")</f>
        <v>--</v>
      </c>
      <c r="AB24" s="24" t="str">
        <f aca="true" t="shared" si="14" ref="AB24:AB43">IF(F24="","","SI")</f>
        <v>SI</v>
      </c>
      <c r="AC24" s="62">
        <f aca="true" t="shared" si="15" ref="AC24:AC43">IF(F24="","",SUM(T24:AA24)*IF(AB24="SI",1,2))</f>
        <v>5.161320000000001</v>
      </c>
      <c r="AD24" s="366"/>
    </row>
    <row r="25" spans="1:30" s="10" customFormat="1" ht="16.5" customHeight="1">
      <c r="A25" s="152"/>
      <c r="B25" s="158"/>
      <c r="C25" s="511">
        <v>24</v>
      </c>
      <c r="D25" s="511">
        <v>296253</v>
      </c>
      <c r="E25" s="511">
        <v>1806</v>
      </c>
      <c r="F25" s="377" t="s">
        <v>13</v>
      </c>
      <c r="G25" s="376" t="s">
        <v>153</v>
      </c>
      <c r="H25" s="512">
        <v>16</v>
      </c>
      <c r="I25" s="513" t="s">
        <v>154</v>
      </c>
      <c r="J25" s="248">
        <f t="shared" si="0"/>
        <v>3.888</v>
      </c>
      <c r="K25" s="515">
        <v>42353.41736111111</v>
      </c>
      <c r="L25" s="515">
        <v>42353.66180555556</v>
      </c>
      <c r="M25" s="25">
        <f t="shared" si="1"/>
        <v>5.866666666755918</v>
      </c>
      <c r="N25" s="26">
        <f t="shared" si="2"/>
        <v>352</v>
      </c>
      <c r="O25" s="516" t="s">
        <v>139</v>
      </c>
      <c r="P25" s="24" t="str">
        <f aca="true" t="shared" si="16" ref="P25:P43">IF(F25="","",IF(OR(O25="P",O25="RP"),"--","NO"))</f>
        <v>--</v>
      </c>
      <c r="Q25" s="560" t="str">
        <f t="shared" si="3"/>
        <v>--</v>
      </c>
      <c r="R25" s="24" t="str">
        <f t="shared" si="4"/>
        <v>NO</v>
      </c>
      <c r="S25" s="299">
        <f t="shared" si="5"/>
        <v>0.30000000000000004</v>
      </c>
      <c r="T25" s="303">
        <f t="shared" si="6"/>
        <v>6.846768000000001</v>
      </c>
      <c r="U25" s="309" t="str">
        <f t="shared" si="7"/>
        <v>--</v>
      </c>
      <c r="V25" s="318" t="str">
        <f t="shared" si="8"/>
        <v>--</v>
      </c>
      <c r="W25" s="319" t="str">
        <f t="shared" si="9"/>
        <v>--</v>
      </c>
      <c r="X25" s="327" t="str">
        <f t="shared" si="10"/>
        <v>--</v>
      </c>
      <c r="Y25" s="328" t="str">
        <f t="shared" si="11"/>
        <v>--</v>
      </c>
      <c r="Z25" s="333" t="str">
        <f t="shared" si="12"/>
        <v>--</v>
      </c>
      <c r="AA25" s="339" t="str">
        <f t="shared" si="13"/>
        <v>--</v>
      </c>
      <c r="AB25" s="24" t="str">
        <f t="shared" si="14"/>
        <v>SI</v>
      </c>
      <c r="AC25" s="62">
        <f t="shared" si="15"/>
        <v>6.846768000000001</v>
      </c>
      <c r="AD25" s="366"/>
    </row>
    <row r="26" spans="1:30" s="10" customFormat="1" ht="16.5" customHeight="1">
      <c r="A26" s="152"/>
      <c r="B26" s="158"/>
      <c r="C26" s="511">
        <v>25</v>
      </c>
      <c r="D26" s="511">
        <v>296815</v>
      </c>
      <c r="E26" s="511">
        <v>1805</v>
      </c>
      <c r="F26" s="377" t="s">
        <v>155</v>
      </c>
      <c r="G26" s="376" t="s">
        <v>8</v>
      </c>
      <c r="H26" s="512">
        <v>15</v>
      </c>
      <c r="I26" s="513" t="s">
        <v>148</v>
      </c>
      <c r="J26" s="248">
        <f t="shared" si="0"/>
        <v>3.645</v>
      </c>
      <c r="K26" s="515">
        <v>42366.71527777778</v>
      </c>
      <c r="L26" s="515">
        <v>42366.71805555555</v>
      </c>
      <c r="M26" s="25">
        <f t="shared" si="1"/>
        <v>0.0666666665347293</v>
      </c>
      <c r="N26" s="26">
        <f t="shared" si="2"/>
        <v>4</v>
      </c>
      <c r="O26" s="516" t="s">
        <v>144</v>
      </c>
      <c r="P26" s="24" t="str">
        <f t="shared" si="16"/>
        <v>NO</v>
      </c>
      <c r="Q26" s="560" t="str">
        <f t="shared" si="3"/>
        <v>--</v>
      </c>
      <c r="R26" s="24" t="s">
        <v>140</v>
      </c>
      <c r="S26" s="299">
        <f t="shared" si="5"/>
        <v>30</v>
      </c>
      <c r="T26" s="303" t="str">
        <f t="shared" si="6"/>
        <v>--</v>
      </c>
      <c r="U26" s="309" t="str">
        <f t="shared" si="7"/>
        <v>--</v>
      </c>
      <c r="V26" s="318">
        <f t="shared" si="8"/>
        <v>109.35</v>
      </c>
      <c r="W26" s="319">
        <f t="shared" si="9"/>
        <v>7.6545000000000005</v>
      </c>
      <c r="X26" s="327" t="str">
        <f t="shared" si="10"/>
        <v>--</v>
      </c>
      <c r="Y26" s="328" t="str">
        <f t="shared" si="11"/>
        <v>--</v>
      </c>
      <c r="Z26" s="333" t="str">
        <f t="shared" si="12"/>
        <v>--</v>
      </c>
      <c r="AA26" s="339" t="str">
        <f t="shared" si="13"/>
        <v>--</v>
      </c>
      <c r="AB26" s="24" t="str">
        <f t="shared" si="14"/>
        <v>SI</v>
      </c>
      <c r="AC26" s="62">
        <f t="shared" si="15"/>
        <v>117.0045</v>
      </c>
      <c r="AD26" s="366"/>
    </row>
    <row r="27" spans="1:30" s="10" customFormat="1" ht="16.5" customHeight="1">
      <c r="A27" s="152"/>
      <c r="B27" s="158"/>
      <c r="C27" s="511"/>
      <c r="D27" s="511"/>
      <c r="E27" s="511"/>
      <c r="F27" s="377"/>
      <c r="G27" s="376"/>
      <c r="H27" s="512"/>
      <c r="I27" s="513"/>
      <c r="J27" s="248">
        <f t="shared" si="0"/>
        <v>0</v>
      </c>
      <c r="K27" s="515"/>
      <c r="L27" s="515"/>
      <c r="M27" s="25">
        <f t="shared" si="1"/>
      </c>
      <c r="N27" s="26">
        <f t="shared" si="2"/>
      </c>
      <c r="O27" s="516"/>
      <c r="P27" s="24">
        <f t="shared" si="16"/>
      </c>
      <c r="Q27" s="560">
        <f t="shared" si="3"/>
      </c>
      <c r="R27" s="24">
        <f t="shared" si="4"/>
      </c>
      <c r="S27" s="299">
        <f t="shared" si="5"/>
        <v>3</v>
      </c>
      <c r="T27" s="303" t="str">
        <f t="shared" si="6"/>
        <v>--</v>
      </c>
      <c r="U27" s="309" t="str">
        <f t="shared" si="7"/>
        <v>--</v>
      </c>
      <c r="V27" s="318" t="str">
        <f t="shared" si="8"/>
        <v>--</v>
      </c>
      <c r="W27" s="319" t="str">
        <f t="shared" si="9"/>
        <v>--</v>
      </c>
      <c r="X27" s="327" t="str">
        <f t="shared" si="10"/>
        <v>--</v>
      </c>
      <c r="Y27" s="328" t="str">
        <f t="shared" si="11"/>
        <v>--</v>
      </c>
      <c r="Z27" s="333" t="str">
        <f t="shared" si="12"/>
        <v>--</v>
      </c>
      <c r="AA27" s="339" t="str">
        <f t="shared" si="13"/>
        <v>--</v>
      </c>
      <c r="AB27" s="24">
        <f t="shared" si="14"/>
      </c>
      <c r="AC27" s="62">
        <f t="shared" si="15"/>
      </c>
      <c r="AD27" s="366"/>
    </row>
    <row r="28" spans="1:30" s="10" customFormat="1" ht="16.5" customHeight="1">
      <c r="A28" s="152"/>
      <c r="B28" s="158"/>
      <c r="C28" s="511"/>
      <c r="D28" s="511"/>
      <c r="E28" s="511"/>
      <c r="F28" s="377"/>
      <c r="G28" s="376"/>
      <c r="H28" s="512"/>
      <c r="I28" s="513"/>
      <c r="J28" s="248">
        <f t="shared" si="0"/>
        <v>0</v>
      </c>
      <c r="K28" s="515"/>
      <c r="L28" s="515"/>
      <c r="M28" s="25">
        <f t="shared" si="1"/>
      </c>
      <c r="N28" s="26">
        <f t="shared" si="2"/>
      </c>
      <c r="O28" s="516"/>
      <c r="P28" s="24">
        <f t="shared" si="16"/>
      </c>
      <c r="Q28" s="560">
        <f t="shared" si="3"/>
      </c>
      <c r="R28" s="24">
        <f t="shared" si="4"/>
      </c>
      <c r="S28" s="299">
        <f t="shared" si="5"/>
        <v>3</v>
      </c>
      <c r="T28" s="303" t="str">
        <f t="shared" si="6"/>
        <v>--</v>
      </c>
      <c r="U28" s="309" t="str">
        <f t="shared" si="7"/>
        <v>--</v>
      </c>
      <c r="V28" s="318" t="str">
        <f t="shared" si="8"/>
        <v>--</v>
      </c>
      <c r="W28" s="319" t="str">
        <f t="shared" si="9"/>
        <v>--</v>
      </c>
      <c r="X28" s="327" t="str">
        <f t="shared" si="10"/>
        <v>--</v>
      </c>
      <c r="Y28" s="328" t="str">
        <f t="shared" si="11"/>
        <v>--</v>
      </c>
      <c r="Z28" s="333" t="str">
        <f t="shared" si="12"/>
        <v>--</v>
      </c>
      <c r="AA28" s="339" t="str">
        <f t="shared" si="13"/>
        <v>--</v>
      </c>
      <c r="AB28" s="24">
        <f t="shared" si="14"/>
      </c>
      <c r="AC28" s="62">
        <f t="shared" si="15"/>
      </c>
      <c r="AD28" s="366"/>
    </row>
    <row r="29" spans="1:30" s="10" customFormat="1" ht="16.5" customHeight="1">
      <c r="A29" s="152"/>
      <c r="B29" s="158"/>
      <c r="C29" s="511"/>
      <c r="D29" s="511"/>
      <c r="E29" s="511"/>
      <c r="F29" s="377"/>
      <c r="G29" s="376"/>
      <c r="H29" s="512"/>
      <c r="I29" s="513"/>
      <c r="J29" s="248">
        <f t="shared" si="0"/>
        <v>0</v>
      </c>
      <c r="K29" s="515"/>
      <c r="L29" s="515"/>
      <c r="M29" s="25">
        <f t="shared" si="1"/>
      </c>
      <c r="N29" s="26">
        <f t="shared" si="2"/>
      </c>
      <c r="O29" s="516"/>
      <c r="P29" s="24">
        <f t="shared" si="16"/>
      </c>
      <c r="Q29" s="560">
        <f t="shared" si="3"/>
      </c>
      <c r="R29" s="24">
        <f t="shared" si="4"/>
      </c>
      <c r="S29" s="299">
        <f t="shared" si="5"/>
        <v>3</v>
      </c>
      <c r="T29" s="303" t="str">
        <f t="shared" si="6"/>
        <v>--</v>
      </c>
      <c r="U29" s="309" t="str">
        <f t="shared" si="7"/>
        <v>--</v>
      </c>
      <c r="V29" s="318" t="str">
        <f t="shared" si="8"/>
        <v>--</v>
      </c>
      <c r="W29" s="319" t="str">
        <f t="shared" si="9"/>
        <v>--</v>
      </c>
      <c r="X29" s="327" t="str">
        <f t="shared" si="10"/>
        <v>--</v>
      </c>
      <c r="Y29" s="328" t="str">
        <f t="shared" si="11"/>
        <v>--</v>
      </c>
      <c r="Z29" s="333" t="str">
        <f t="shared" si="12"/>
        <v>--</v>
      </c>
      <c r="AA29" s="339" t="str">
        <f t="shared" si="13"/>
        <v>--</v>
      </c>
      <c r="AB29" s="24">
        <f t="shared" si="14"/>
      </c>
      <c r="AC29" s="62">
        <f t="shared" si="15"/>
      </c>
      <c r="AD29" s="366"/>
    </row>
    <row r="30" spans="1:30" s="10" customFormat="1" ht="16.5" customHeight="1">
      <c r="A30" s="152"/>
      <c r="B30" s="158"/>
      <c r="C30" s="511"/>
      <c r="D30" s="511"/>
      <c r="E30" s="511"/>
      <c r="F30" s="377"/>
      <c r="G30" s="376"/>
      <c r="H30" s="512"/>
      <c r="I30" s="513"/>
      <c r="J30" s="248">
        <f t="shared" si="0"/>
        <v>0</v>
      </c>
      <c r="K30" s="515"/>
      <c r="L30" s="515"/>
      <c r="M30" s="25">
        <f t="shared" si="1"/>
      </c>
      <c r="N30" s="26">
        <f t="shared" si="2"/>
      </c>
      <c r="O30" s="516"/>
      <c r="P30" s="24">
        <f t="shared" si="16"/>
      </c>
      <c r="Q30" s="560">
        <f t="shared" si="3"/>
      </c>
      <c r="R30" s="24">
        <f t="shared" si="4"/>
      </c>
      <c r="S30" s="299">
        <f t="shared" si="5"/>
        <v>3</v>
      </c>
      <c r="T30" s="303" t="str">
        <f t="shared" si="6"/>
        <v>--</v>
      </c>
      <c r="U30" s="309" t="str">
        <f t="shared" si="7"/>
        <v>--</v>
      </c>
      <c r="V30" s="318" t="str">
        <f t="shared" si="8"/>
        <v>--</v>
      </c>
      <c r="W30" s="319" t="str">
        <f t="shared" si="9"/>
        <v>--</v>
      </c>
      <c r="X30" s="327" t="str">
        <f t="shared" si="10"/>
        <v>--</v>
      </c>
      <c r="Y30" s="328" t="str">
        <f t="shared" si="11"/>
        <v>--</v>
      </c>
      <c r="Z30" s="333" t="str">
        <f t="shared" si="12"/>
        <v>--</v>
      </c>
      <c r="AA30" s="339" t="str">
        <f t="shared" si="13"/>
        <v>--</v>
      </c>
      <c r="AB30" s="24">
        <f t="shared" si="14"/>
      </c>
      <c r="AC30" s="62">
        <f t="shared" si="15"/>
      </c>
      <c r="AD30" s="37"/>
    </row>
    <row r="31" spans="1:30" s="10" customFormat="1" ht="16.5" customHeight="1">
      <c r="A31" s="152"/>
      <c r="B31" s="158"/>
      <c r="C31" s="511"/>
      <c r="D31" s="511"/>
      <c r="E31" s="511"/>
      <c r="F31" s="377"/>
      <c r="G31" s="376"/>
      <c r="H31" s="512"/>
      <c r="I31" s="513"/>
      <c r="J31" s="248">
        <f t="shared" si="0"/>
        <v>0</v>
      </c>
      <c r="K31" s="515"/>
      <c r="L31" s="515"/>
      <c r="M31" s="25">
        <f t="shared" si="1"/>
      </c>
      <c r="N31" s="26">
        <f t="shared" si="2"/>
      </c>
      <c r="O31" s="516"/>
      <c r="P31" s="24">
        <f t="shared" si="16"/>
      </c>
      <c r="Q31" s="560">
        <f t="shared" si="3"/>
      </c>
      <c r="R31" s="24">
        <f t="shared" si="4"/>
      </c>
      <c r="S31" s="299">
        <f t="shared" si="5"/>
        <v>3</v>
      </c>
      <c r="T31" s="303" t="str">
        <f t="shared" si="6"/>
        <v>--</v>
      </c>
      <c r="U31" s="309" t="str">
        <f t="shared" si="7"/>
        <v>--</v>
      </c>
      <c r="V31" s="318" t="str">
        <f t="shared" si="8"/>
        <v>--</v>
      </c>
      <c r="W31" s="319" t="str">
        <f t="shared" si="9"/>
        <v>--</v>
      </c>
      <c r="X31" s="327" t="str">
        <f t="shared" si="10"/>
        <v>--</v>
      </c>
      <c r="Y31" s="328" t="str">
        <f t="shared" si="11"/>
        <v>--</v>
      </c>
      <c r="Z31" s="333" t="str">
        <f t="shared" si="12"/>
        <v>--</v>
      </c>
      <c r="AA31" s="339" t="str">
        <f t="shared" si="13"/>
        <v>--</v>
      </c>
      <c r="AB31" s="24">
        <f t="shared" si="14"/>
      </c>
      <c r="AC31" s="62">
        <f t="shared" si="15"/>
      </c>
      <c r="AD31" s="37"/>
    </row>
    <row r="32" spans="1:30" s="10" customFormat="1" ht="16.5" customHeight="1">
      <c r="A32" s="152"/>
      <c r="B32" s="158"/>
      <c r="C32" s="511"/>
      <c r="D32" s="511"/>
      <c r="E32" s="511"/>
      <c r="F32" s="377"/>
      <c r="G32" s="376"/>
      <c r="H32" s="512"/>
      <c r="I32" s="513"/>
      <c r="J32" s="248">
        <f t="shared" si="0"/>
        <v>0</v>
      </c>
      <c r="K32" s="515"/>
      <c r="L32" s="515"/>
      <c r="M32" s="25">
        <f t="shared" si="1"/>
      </c>
      <c r="N32" s="26">
        <f t="shared" si="2"/>
      </c>
      <c r="O32" s="516"/>
      <c r="P32" s="24">
        <f t="shared" si="16"/>
      </c>
      <c r="Q32" s="560">
        <f t="shared" si="3"/>
      </c>
      <c r="R32" s="24">
        <f t="shared" si="4"/>
      </c>
      <c r="S32" s="299">
        <f t="shared" si="5"/>
        <v>3</v>
      </c>
      <c r="T32" s="303" t="str">
        <f t="shared" si="6"/>
        <v>--</v>
      </c>
      <c r="U32" s="309" t="str">
        <f t="shared" si="7"/>
        <v>--</v>
      </c>
      <c r="V32" s="318" t="str">
        <f t="shared" si="8"/>
        <v>--</v>
      </c>
      <c r="W32" s="319" t="str">
        <f t="shared" si="9"/>
        <v>--</v>
      </c>
      <c r="X32" s="327" t="str">
        <f t="shared" si="10"/>
        <v>--</v>
      </c>
      <c r="Y32" s="328" t="str">
        <f t="shared" si="11"/>
        <v>--</v>
      </c>
      <c r="Z32" s="333" t="str">
        <f t="shared" si="12"/>
        <v>--</v>
      </c>
      <c r="AA32" s="339" t="str">
        <f t="shared" si="13"/>
        <v>--</v>
      </c>
      <c r="AB32" s="24">
        <f t="shared" si="14"/>
      </c>
      <c r="AC32" s="62">
        <f t="shared" si="15"/>
      </c>
      <c r="AD32" s="37"/>
    </row>
    <row r="33" spans="1:30" s="10" customFormat="1" ht="16.5" customHeight="1">
      <c r="A33" s="152"/>
      <c r="B33" s="158"/>
      <c r="C33" s="511"/>
      <c r="D33" s="511"/>
      <c r="E33" s="511"/>
      <c r="F33" s="377"/>
      <c r="G33" s="376"/>
      <c r="H33" s="512"/>
      <c r="I33" s="513"/>
      <c r="J33" s="248">
        <f t="shared" si="0"/>
        <v>0</v>
      </c>
      <c r="K33" s="515"/>
      <c r="L33" s="515"/>
      <c r="M33" s="25">
        <f t="shared" si="1"/>
      </c>
      <c r="N33" s="26">
        <f t="shared" si="2"/>
      </c>
      <c r="O33" s="516"/>
      <c r="P33" s="24">
        <f t="shared" si="16"/>
      </c>
      <c r="Q33" s="560">
        <f t="shared" si="3"/>
      </c>
      <c r="R33" s="24">
        <f t="shared" si="4"/>
      </c>
      <c r="S33" s="299">
        <f t="shared" si="5"/>
        <v>3</v>
      </c>
      <c r="T33" s="303" t="str">
        <f t="shared" si="6"/>
        <v>--</v>
      </c>
      <c r="U33" s="309" t="str">
        <f t="shared" si="7"/>
        <v>--</v>
      </c>
      <c r="V33" s="318" t="str">
        <f t="shared" si="8"/>
        <v>--</v>
      </c>
      <c r="W33" s="319" t="str">
        <f t="shared" si="9"/>
        <v>--</v>
      </c>
      <c r="X33" s="327" t="str">
        <f t="shared" si="10"/>
        <v>--</v>
      </c>
      <c r="Y33" s="328" t="str">
        <f t="shared" si="11"/>
        <v>--</v>
      </c>
      <c r="Z33" s="333" t="str">
        <f t="shared" si="12"/>
        <v>--</v>
      </c>
      <c r="AA33" s="339" t="str">
        <f t="shared" si="13"/>
        <v>--</v>
      </c>
      <c r="AB33" s="24">
        <f t="shared" si="14"/>
      </c>
      <c r="AC33" s="62">
        <f t="shared" si="15"/>
      </c>
      <c r="AD33" s="37"/>
    </row>
    <row r="34" spans="1:30" s="10" customFormat="1" ht="16.5" customHeight="1">
      <c r="A34" s="152"/>
      <c r="B34" s="158"/>
      <c r="C34" s="511"/>
      <c r="D34" s="511"/>
      <c r="E34" s="511"/>
      <c r="F34" s="377"/>
      <c r="G34" s="376"/>
      <c r="H34" s="512"/>
      <c r="I34" s="513"/>
      <c r="J34" s="248">
        <f t="shared" si="0"/>
        <v>0</v>
      </c>
      <c r="K34" s="515"/>
      <c r="L34" s="515"/>
      <c r="M34" s="25">
        <f t="shared" si="1"/>
      </c>
      <c r="N34" s="26">
        <f t="shared" si="2"/>
      </c>
      <c r="O34" s="516"/>
      <c r="P34" s="24">
        <f t="shared" si="16"/>
      </c>
      <c r="Q34" s="560">
        <f t="shared" si="3"/>
      </c>
      <c r="R34" s="24">
        <f t="shared" si="4"/>
      </c>
      <c r="S34" s="299">
        <f t="shared" si="5"/>
        <v>3</v>
      </c>
      <c r="T34" s="303" t="str">
        <f t="shared" si="6"/>
        <v>--</v>
      </c>
      <c r="U34" s="309" t="str">
        <f t="shared" si="7"/>
        <v>--</v>
      </c>
      <c r="V34" s="318" t="str">
        <f t="shared" si="8"/>
        <v>--</v>
      </c>
      <c r="W34" s="319" t="str">
        <f t="shared" si="9"/>
        <v>--</v>
      </c>
      <c r="X34" s="327" t="str">
        <f t="shared" si="10"/>
        <v>--</v>
      </c>
      <c r="Y34" s="328" t="str">
        <f t="shared" si="11"/>
        <v>--</v>
      </c>
      <c r="Z34" s="333" t="str">
        <f t="shared" si="12"/>
        <v>--</v>
      </c>
      <c r="AA34" s="339" t="str">
        <f t="shared" si="13"/>
        <v>--</v>
      </c>
      <c r="AB34" s="24">
        <f t="shared" si="14"/>
      </c>
      <c r="AC34" s="62">
        <f t="shared" si="15"/>
      </c>
      <c r="AD34" s="37"/>
    </row>
    <row r="35" spans="1:30" s="10" customFormat="1" ht="16.5" customHeight="1">
      <c r="A35" s="152"/>
      <c r="B35" s="158"/>
      <c r="C35" s="511"/>
      <c r="D35" s="511"/>
      <c r="E35" s="511"/>
      <c r="F35" s="377"/>
      <c r="G35" s="376"/>
      <c r="H35" s="512"/>
      <c r="I35" s="513"/>
      <c r="J35" s="248">
        <f t="shared" si="0"/>
        <v>0</v>
      </c>
      <c r="K35" s="515"/>
      <c r="L35" s="515"/>
      <c r="M35" s="25">
        <f t="shared" si="1"/>
      </c>
      <c r="N35" s="26">
        <f t="shared" si="2"/>
      </c>
      <c r="O35" s="516"/>
      <c r="P35" s="24">
        <f t="shared" si="16"/>
      </c>
      <c r="Q35" s="560">
        <f t="shared" si="3"/>
      </c>
      <c r="R35" s="24">
        <f t="shared" si="4"/>
      </c>
      <c r="S35" s="299">
        <f t="shared" si="5"/>
        <v>3</v>
      </c>
      <c r="T35" s="303" t="str">
        <f t="shared" si="6"/>
        <v>--</v>
      </c>
      <c r="U35" s="309" t="str">
        <f t="shared" si="7"/>
        <v>--</v>
      </c>
      <c r="V35" s="318" t="str">
        <f t="shared" si="8"/>
        <v>--</v>
      </c>
      <c r="W35" s="319" t="str">
        <f t="shared" si="9"/>
        <v>--</v>
      </c>
      <c r="X35" s="327" t="str">
        <f t="shared" si="10"/>
        <v>--</v>
      </c>
      <c r="Y35" s="328" t="str">
        <f t="shared" si="11"/>
        <v>--</v>
      </c>
      <c r="Z35" s="333" t="str">
        <f t="shared" si="12"/>
        <v>--</v>
      </c>
      <c r="AA35" s="339" t="str">
        <f t="shared" si="13"/>
        <v>--</v>
      </c>
      <c r="AB35" s="24">
        <f t="shared" si="14"/>
      </c>
      <c r="AC35" s="62">
        <f t="shared" si="15"/>
      </c>
      <c r="AD35" s="37"/>
    </row>
    <row r="36" spans="1:30" s="10" customFormat="1" ht="16.5" customHeight="1">
      <c r="A36" s="152"/>
      <c r="B36" s="158"/>
      <c r="C36" s="511"/>
      <c r="D36" s="511"/>
      <c r="E36" s="511"/>
      <c r="F36" s="377"/>
      <c r="G36" s="376"/>
      <c r="H36" s="512"/>
      <c r="I36" s="513"/>
      <c r="J36" s="248">
        <f t="shared" si="0"/>
        <v>0</v>
      </c>
      <c r="K36" s="515"/>
      <c r="L36" s="515"/>
      <c r="M36" s="25">
        <f t="shared" si="1"/>
      </c>
      <c r="N36" s="26">
        <f t="shared" si="2"/>
      </c>
      <c r="O36" s="516"/>
      <c r="P36" s="24">
        <f t="shared" si="16"/>
      </c>
      <c r="Q36" s="560">
        <f t="shared" si="3"/>
      </c>
      <c r="R36" s="24">
        <f t="shared" si="4"/>
      </c>
      <c r="S36" s="299">
        <f t="shared" si="5"/>
        <v>3</v>
      </c>
      <c r="T36" s="303" t="str">
        <f t="shared" si="6"/>
        <v>--</v>
      </c>
      <c r="U36" s="309" t="str">
        <f t="shared" si="7"/>
        <v>--</v>
      </c>
      <c r="V36" s="318" t="str">
        <f t="shared" si="8"/>
        <v>--</v>
      </c>
      <c r="W36" s="319" t="str">
        <f t="shared" si="9"/>
        <v>--</v>
      </c>
      <c r="X36" s="327" t="str">
        <f t="shared" si="10"/>
        <v>--</v>
      </c>
      <c r="Y36" s="328" t="str">
        <f t="shared" si="11"/>
        <v>--</v>
      </c>
      <c r="Z36" s="333" t="str">
        <f t="shared" si="12"/>
        <v>--</v>
      </c>
      <c r="AA36" s="339" t="str">
        <f t="shared" si="13"/>
        <v>--</v>
      </c>
      <c r="AB36" s="24">
        <f t="shared" si="14"/>
      </c>
      <c r="AC36" s="62">
        <f t="shared" si="15"/>
      </c>
      <c r="AD36" s="37"/>
    </row>
    <row r="37" spans="1:30" s="10" customFormat="1" ht="16.5" customHeight="1">
      <c r="A37" s="152"/>
      <c r="B37" s="158"/>
      <c r="C37" s="511"/>
      <c r="D37" s="511"/>
      <c r="E37" s="511"/>
      <c r="F37" s="377"/>
      <c r="G37" s="376"/>
      <c r="H37" s="512"/>
      <c r="I37" s="513"/>
      <c r="J37" s="248">
        <f t="shared" si="0"/>
        <v>0</v>
      </c>
      <c r="K37" s="515"/>
      <c r="L37" s="515"/>
      <c r="M37" s="25">
        <f t="shared" si="1"/>
      </c>
      <c r="N37" s="26">
        <f t="shared" si="2"/>
      </c>
      <c r="O37" s="516"/>
      <c r="P37" s="24">
        <f t="shared" si="16"/>
      </c>
      <c r="Q37" s="560">
        <f t="shared" si="3"/>
      </c>
      <c r="R37" s="24">
        <f t="shared" si="4"/>
      </c>
      <c r="S37" s="299">
        <f t="shared" si="5"/>
        <v>3</v>
      </c>
      <c r="T37" s="303" t="str">
        <f t="shared" si="6"/>
        <v>--</v>
      </c>
      <c r="U37" s="309" t="str">
        <f t="shared" si="7"/>
        <v>--</v>
      </c>
      <c r="V37" s="318" t="str">
        <f t="shared" si="8"/>
        <v>--</v>
      </c>
      <c r="W37" s="319" t="str">
        <f t="shared" si="9"/>
        <v>--</v>
      </c>
      <c r="X37" s="327" t="str">
        <f t="shared" si="10"/>
        <v>--</v>
      </c>
      <c r="Y37" s="328" t="str">
        <f t="shared" si="11"/>
        <v>--</v>
      </c>
      <c r="Z37" s="333" t="str">
        <f t="shared" si="12"/>
        <v>--</v>
      </c>
      <c r="AA37" s="339" t="str">
        <f t="shared" si="13"/>
        <v>--</v>
      </c>
      <c r="AB37" s="24">
        <f t="shared" si="14"/>
      </c>
      <c r="AC37" s="62">
        <f t="shared" si="15"/>
      </c>
      <c r="AD37" s="37"/>
    </row>
    <row r="38" spans="1:30" s="10" customFormat="1" ht="16.5" customHeight="1">
      <c r="A38" s="152"/>
      <c r="B38" s="158"/>
      <c r="C38" s="511"/>
      <c r="D38" s="511"/>
      <c r="E38" s="511"/>
      <c r="F38" s="377"/>
      <c r="G38" s="376"/>
      <c r="H38" s="512"/>
      <c r="I38" s="513"/>
      <c r="J38" s="248">
        <f t="shared" si="0"/>
        <v>0</v>
      </c>
      <c r="K38" s="515"/>
      <c r="L38" s="515"/>
      <c r="M38" s="25">
        <f t="shared" si="1"/>
      </c>
      <c r="N38" s="26">
        <f t="shared" si="2"/>
      </c>
      <c r="O38" s="516"/>
      <c r="P38" s="24">
        <f t="shared" si="16"/>
      </c>
      <c r="Q38" s="560">
        <f t="shared" si="3"/>
      </c>
      <c r="R38" s="24">
        <f t="shared" si="4"/>
      </c>
      <c r="S38" s="299">
        <f t="shared" si="5"/>
        <v>3</v>
      </c>
      <c r="T38" s="303" t="str">
        <f t="shared" si="6"/>
        <v>--</v>
      </c>
      <c r="U38" s="309" t="str">
        <f t="shared" si="7"/>
        <v>--</v>
      </c>
      <c r="V38" s="318" t="str">
        <f t="shared" si="8"/>
        <v>--</v>
      </c>
      <c r="W38" s="319" t="str">
        <f t="shared" si="9"/>
        <v>--</v>
      </c>
      <c r="X38" s="327" t="str">
        <f t="shared" si="10"/>
        <v>--</v>
      </c>
      <c r="Y38" s="328" t="str">
        <f t="shared" si="11"/>
        <v>--</v>
      </c>
      <c r="Z38" s="333" t="str">
        <f t="shared" si="12"/>
        <v>--</v>
      </c>
      <c r="AA38" s="339" t="str">
        <f t="shared" si="13"/>
        <v>--</v>
      </c>
      <c r="AB38" s="24">
        <f t="shared" si="14"/>
      </c>
      <c r="AC38" s="62">
        <f t="shared" si="15"/>
      </c>
      <c r="AD38" s="37"/>
    </row>
    <row r="39" spans="1:30" s="10" customFormat="1" ht="16.5" customHeight="1">
      <c r="A39" s="152"/>
      <c r="B39" s="158"/>
      <c r="C39" s="511"/>
      <c r="D39" s="511"/>
      <c r="E39" s="511"/>
      <c r="F39" s="377"/>
      <c r="G39" s="376"/>
      <c r="H39" s="512"/>
      <c r="I39" s="513"/>
      <c r="J39" s="248">
        <f t="shared" si="0"/>
        <v>0</v>
      </c>
      <c r="K39" s="515"/>
      <c r="L39" s="515"/>
      <c r="M39" s="25">
        <f t="shared" si="1"/>
      </c>
      <c r="N39" s="26">
        <f t="shared" si="2"/>
      </c>
      <c r="O39" s="516"/>
      <c r="P39" s="24">
        <f t="shared" si="16"/>
      </c>
      <c r="Q39" s="560">
        <f t="shared" si="3"/>
      </c>
      <c r="R39" s="24">
        <f t="shared" si="4"/>
      </c>
      <c r="S39" s="299">
        <f t="shared" si="5"/>
        <v>3</v>
      </c>
      <c r="T39" s="303" t="str">
        <f t="shared" si="6"/>
        <v>--</v>
      </c>
      <c r="U39" s="309" t="str">
        <f t="shared" si="7"/>
        <v>--</v>
      </c>
      <c r="V39" s="318" t="str">
        <f t="shared" si="8"/>
        <v>--</v>
      </c>
      <c r="W39" s="319" t="str">
        <f t="shared" si="9"/>
        <v>--</v>
      </c>
      <c r="X39" s="327" t="str">
        <f t="shared" si="10"/>
        <v>--</v>
      </c>
      <c r="Y39" s="328" t="str">
        <f t="shared" si="11"/>
        <v>--</v>
      </c>
      <c r="Z39" s="333" t="str">
        <f t="shared" si="12"/>
        <v>--</v>
      </c>
      <c r="AA39" s="339" t="str">
        <f t="shared" si="13"/>
        <v>--</v>
      </c>
      <c r="AB39" s="24">
        <f t="shared" si="14"/>
      </c>
      <c r="AC39" s="62">
        <f t="shared" si="15"/>
      </c>
      <c r="AD39" s="37"/>
    </row>
    <row r="40" spans="1:30" s="10" customFormat="1" ht="16.5" customHeight="1">
      <c r="A40" s="152"/>
      <c r="B40" s="158"/>
      <c r="C40" s="511"/>
      <c r="D40" s="511"/>
      <c r="E40" s="511"/>
      <c r="F40" s="377"/>
      <c r="G40" s="376"/>
      <c r="H40" s="512"/>
      <c r="I40" s="513"/>
      <c r="J40" s="248">
        <f t="shared" si="0"/>
        <v>0</v>
      </c>
      <c r="K40" s="515"/>
      <c r="L40" s="515"/>
      <c r="M40" s="25">
        <f t="shared" si="1"/>
      </c>
      <c r="N40" s="26">
        <f t="shared" si="2"/>
      </c>
      <c r="O40" s="516"/>
      <c r="P40" s="24">
        <f t="shared" si="16"/>
      </c>
      <c r="Q40" s="560">
        <f t="shared" si="3"/>
      </c>
      <c r="R40" s="24">
        <f t="shared" si="4"/>
      </c>
      <c r="S40" s="299">
        <f t="shared" si="5"/>
        <v>3</v>
      </c>
      <c r="T40" s="303" t="str">
        <f t="shared" si="6"/>
        <v>--</v>
      </c>
      <c r="U40" s="309" t="str">
        <f t="shared" si="7"/>
        <v>--</v>
      </c>
      <c r="V40" s="318" t="str">
        <f t="shared" si="8"/>
        <v>--</v>
      </c>
      <c r="W40" s="319" t="str">
        <f t="shared" si="9"/>
        <v>--</v>
      </c>
      <c r="X40" s="327" t="str">
        <f t="shared" si="10"/>
        <v>--</v>
      </c>
      <c r="Y40" s="328" t="str">
        <f t="shared" si="11"/>
        <v>--</v>
      </c>
      <c r="Z40" s="333" t="str">
        <f t="shared" si="12"/>
        <v>--</v>
      </c>
      <c r="AA40" s="339" t="str">
        <f t="shared" si="13"/>
        <v>--</v>
      </c>
      <c r="AB40" s="24">
        <f t="shared" si="14"/>
      </c>
      <c r="AC40" s="62">
        <f t="shared" si="15"/>
      </c>
      <c r="AD40" s="37"/>
    </row>
    <row r="41" spans="1:30" s="10" customFormat="1" ht="16.5" customHeight="1">
      <c r="A41" s="152"/>
      <c r="B41" s="158"/>
      <c r="C41" s="511"/>
      <c r="D41" s="511"/>
      <c r="E41" s="511"/>
      <c r="F41" s="377"/>
      <c r="G41" s="376"/>
      <c r="H41" s="512"/>
      <c r="I41" s="513"/>
      <c r="J41" s="248">
        <f t="shared" si="0"/>
        <v>0</v>
      </c>
      <c r="K41" s="515"/>
      <c r="L41" s="515"/>
      <c r="M41" s="25">
        <f t="shared" si="1"/>
      </c>
      <c r="N41" s="26">
        <f t="shared" si="2"/>
      </c>
      <c r="O41" s="516"/>
      <c r="P41" s="24">
        <f t="shared" si="16"/>
      </c>
      <c r="Q41" s="560">
        <f t="shared" si="3"/>
      </c>
      <c r="R41" s="24">
        <f t="shared" si="4"/>
      </c>
      <c r="S41" s="299">
        <f t="shared" si="5"/>
        <v>3</v>
      </c>
      <c r="T41" s="303" t="str">
        <f t="shared" si="6"/>
        <v>--</v>
      </c>
      <c r="U41" s="309" t="str">
        <f t="shared" si="7"/>
        <v>--</v>
      </c>
      <c r="V41" s="318" t="str">
        <f t="shared" si="8"/>
        <v>--</v>
      </c>
      <c r="W41" s="319" t="str">
        <f t="shared" si="9"/>
        <v>--</v>
      </c>
      <c r="X41" s="327" t="str">
        <f t="shared" si="10"/>
        <v>--</v>
      </c>
      <c r="Y41" s="328" t="str">
        <f t="shared" si="11"/>
        <v>--</v>
      </c>
      <c r="Z41" s="333" t="str">
        <f t="shared" si="12"/>
        <v>--</v>
      </c>
      <c r="AA41" s="339" t="str">
        <f t="shared" si="13"/>
        <v>--</v>
      </c>
      <c r="AB41" s="24">
        <f t="shared" si="14"/>
      </c>
      <c r="AC41" s="62">
        <f t="shared" si="15"/>
      </c>
      <c r="AD41" s="37"/>
    </row>
    <row r="42" spans="1:30" s="10" customFormat="1" ht="16.5" customHeight="1">
      <c r="A42" s="152"/>
      <c r="B42" s="158"/>
      <c r="C42" s="511"/>
      <c r="D42" s="511"/>
      <c r="E42" s="511"/>
      <c r="F42" s="377"/>
      <c r="G42" s="376"/>
      <c r="H42" s="512"/>
      <c r="I42" s="513"/>
      <c r="J42" s="248">
        <f t="shared" si="0"/>
        <v>0</v>
      </c>
      <c r="K42" s="515"/>
      <c r="L42" s="515"/>
      <c r="M42" s="25">
        <f t="shared" si="1"/>
      </c>
      <c r="N42" s="26">
        <f t="shared" si="2"/>
      </c>
      <c r="O42" s="516"/>
      <c r="P42" s="24">
        <f t="shared" si="16"/>
      </c>
      <c r="Q42" s="560">
        <f t="shared" si="3"/>
      </c>
      <c r="R42" s="24">
        <f t="shared" si="4"/>
      </c>
      <c r="S42" s="299">
        <f t="shared" si="5"/>
        <v>3</v>
      </c>
      <c r="T42" s="303" t="str">
        <f t="shared" si="6"/>
        <v>--</v>
      </c>
      <c r="U42" s="309" t="str">
        <f t="shared" si="7"/>
        <v>--</v>
      </c>
      <c r="V42" s="318" t="str">
        <f t="shared" si="8"/>
        <v>--</v>
      </c>
      <c r="W42" s="319" t="str">
        <f t="shared" si="9"/>
        <v>--</v>
      </c>
      <c r="X42" s="327" t="str">
        <f t="shared" si="10"/>
        <v>--</v>
      </c>
      <c r="Y42" s="328" t="str">
        <f t="shared" si="11"/>
        <v>--</v>
      </c>
      <c r="Z42" s="333" t="str">
        <f t="shared" si="12"/>
        <v>--</v>
      </c>
      <c r="AA42" s="339" t="str">
        <f t="shared" si="13"/>
        <v>--</v>
      </c>
      <c r="AB42" s="24">
        <f t="shared" si="14"/>
      </c>
      <c r="AC42" s="62">
        <f t="shared" si="15"/>
      </c>
      <c r="AD42" s="37"/>
    </row>
    <row r="43" spans="1:30" s="10" customFormat="1" ht="16.5" customHeight="1">
      <c r="A43" s="152"/>
      <c r="B43" s="158"/>
      <c r="C43" s="511"/>
      <c r="D43" s="511"/>
      <c r="E43" s="511"/>
      <c r="F43" s="377"/>
      <c r="G43" s="376"/>
      <c r="H43" s="512"/>
      <c r="I43" s="513"/>
      <c r="J43" s="248">
        <f t="shared" si="0"/>
        <v>0</v>
      </c>
      <c r="K43" s="515"/>
      <c r="L43" s="515"/>
      <c r="M43" s="25">
        <f t="shared" si="1"/>
      </c>
      <c r="N43" s="26">
        <f t="shared" si="2"/>
      </c>
      <c r="O43" s="516"/>
      <c r="P43" s="24">
        <f t="shared" si="16"/>
      </c>
      <c r="Q43" s="560">
        <f t="shared" si="3"/>
      </c>
      <c r="R43" s="24">
        <f t="shared" si="4"/>
      </c>
      <c r="S43" s="299">
        <f t="shared" si="5"/>
        <v>3</v>
      </c>
      <c r="T43" s="303" t="str">
        <f t="shared" si="6"/>
        <v>--</v>
      </c>
      <c r="U43" s="309" t="str">
        <f t="shared" si="7"/>
        <v>--</v>
      </c>
      <c r="V43" s="318" t="str">
        <f t="shared" si="8"/>
        <v>--</v>
      </c>
      <c r="W43" s="319" t="str">
        <f t="shared" si="9"/>
        <v>--</v>
      </c>
      <c r="X43" s="327" t="str">
        <f t="shared" si="10"/>
        <v>--</v>
      </c>
      <c r="Y43" s="328" t="str">
        <f t="shared" si="11"/>
        <v>--</v>
      </c>
      <c r="Z43" s="333" t="str">
        <f t="shared" si="12"/>
        <v>--</v>
      </c>
      <c r="AA43" s="339" t="str">
        <f t="shared" si="13"/>
        <v>--</v>
      </c>
      <c r="AB43" s="24">
        <f t="shared" si="14"/>
      </c>
      <c r="AC43" s="62">
        <f t="shared" si="15"/>
      </c>
      <c r="AD43" s="37"/>
    </row>
    <row r="44" spans="1:30" s="10" customFormat="1" ht="16.5" customHeight="1" thickBot="1">
      <c r="A44" s="152"/>
      <c r="B44" s="158"/>
      <c r="C44" s="514"/>
      <c r="D44" s="514"/>
      <c r="E44" s="514"/>
      <c r="F44" s="514"/>
      <c r="G44" s="514"/>
      <c r="H44" s="514"/>
      <c r="I44" s="514"/>
      <c r="J44" s="252"/>
      <c r="K44" s="514"/>
      <c r="L44" s="514"/>
      <c r="M44" s="28"/>
      <c r="N44" s="28"/>
      <c r="O44" s="514"/>
      <c r="P44" s="514"/>
      <c r="Q44" s="514"/>
      <c r="R44" s="514"/>
      <c r="S44" s="300"/>
      <c r="T44" s="304"/>
      <c r="U44" s="310"/>
      <c r="V44" s="342"/>
      <c r="W44" s="343"/>
      <c r="X44" s="344"/>
      <c r="Y44" s="345"/>
      <c r="Z44" s="334"/>
      <c r="AA44" s="340"/>
      <c r="AB44" s="28"/>
      <c r="AC44" s="199"/>
      <c r="AD44" s="37"/>
    </row>
    <row r="45" spans="1:30" s="10" customFormat="1" ht="16.5" customHeight="1" thickBot="1" thickTop="1">
      <c r="A45" s="152"/>
      <c r="B45" s="158"/>
      <c r="C45" s="220" t="s">
        <v>62</v>
      </c>
      <c r="D45" s="580" t="s">
        <v>159</v>
      </c>
      <c r="E45" s="543"/>
      <c r="F45" s="22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5">
        <f aca="true" t="shared" si="17" ref="T45:AA45">SUM(T22:T44)</f>
        <v>12.008088</v>
      </c>
      <c r="U45" s="311">
        <f t="shared" si="17"/>
        <v>0</v>
      </c>
      <c r="V45" s="320">
        <f t="shared" si="17"/>
        <v>109.35</v>
      </c>
      <c r="W45" s="320">
        <f t="shared" si="17"/>
        <v>7.6545000000000005</v>
      </c>
      <c r="X45" s="329">
        <f t="shared" si="17"/>
        <v>0</v>
      </c>
      <c r="Y45" s="329">
        <f t="shared" si="17"/>
        <v>0</v>
      </c>
      <c r="Z45" s="335">
        <f t="shared" si="17"/>
        <v>0</v>
      </c>
      <c r="AA45" s="341">
        <f t="shared" si="17"/>
        <v>0</v>
      </c>
      <c r="AB45" s="30"/>
      <c r="AC45" s="236">
        <f>ROUND(SUM(AC22:AC44),2)</f>
        <v>129.01</v>
      </c>
      <c r="AD45" s="37"/>
    </row>
    <row r="46" spans="1:30" s="238" customFormat="1" ht="9.75" thickTop="1">
      <c r="A46" s="239"/>
      <c r="B46" s="240"/>
      <c r="C46" s="222"/>
      <c r="D46" s="222"/>
      <c r="E46" s="222"/>
      <c r="F46" s="223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2"/>
      <c r="U46" s="242"/>
      <c r="V46" s="242"/>
      <c r="W46" s="242"/>
      <c r="X46" s="242"/>
      <c r="Y46" s="242"/>
      <c r="Z46" s="242"/>
      <c r="AA46" s="242"/>
      <c r="AB46" s="241"/>
      <c r="AC46" s="243"/>
      <c r="AD46" s="244"/>
    </row>
    <row r="47" spans="1:30" s="10" customFormat="1" ht="16.5" customHeight="1" thickBot="1">
      <c r="A47" s="152"/>
      <c r="B47" s="164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6"/>
    </row>
    <row r="48" spans="2:30" ht="16.5" customHeight="1" thickTop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W49"/>
  <sheetViews>
    <sheetView zoomScale="85" zoomScaleNormal="85" zoomScalePageLayoutView="0" workbookViewId="0" topLeftCell="E1">
      <selection activeCell="G18" sqref="G18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92" customFormat="1" ht="26.25">
      <c r="W1" s="370"/>
    </row>
    <row r="2" spans="2:23" s="92" customFormat="1" ht="26.25">
      <c r="B2" s="93" t="str">
        <f>+'TOT-1215'!B2</f>
        <v>ANEXO VI al Memorándum  D.T.E.E.  N°  379 / 2016              .-</v>
      </c>
      <c r="C2" s="94"/>
      <c r="D2" s="94"/>
      <c r="E2" s="94"/>
      <c r="F2" s="94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="10" customFormat="1" ht="12.75"/>
    <row r="4" spans="1:4" s="95" customFormat="1" ht="11.25">
      <c r="A4" s="546" t="s">
        <v>17</v>
      </c>
      <c r="C4" s="545"/>
      <c r="D4" s="545"/>
    </row>
    <row r="5" spans="1:4" s="95" customFormat="1" ht="11.25">
      <c r="A5" s="546" t="s">
        <v>136</v>
      </c>
      <c r="C5" s="545"/>
      <c r="D5" s="545"/>
    </row>
    <row r="6" s="10" customFormat="1" ht="13.5" thickBot="1"/>
    <row r="7" spans="2:23" s="10" customFormat="1" ht="13.5" thickTop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</row>
    <row r="8" spans="2:23" s="97" customFormat="1" ht="20.25">
      <c r="B8" s="96"/>
      <c r="C8" s="44"/>
      <c r="D8" s="44"/>
      <c r="E8" s="44"/>
      <c r="F8" s="21" t="s">
        <v>38</v>
      </c>
      <c r="P8" s="44"/>
      <c r="Q8" s="44"/>
      <c r="R8" s="44"/>
      <c r="S8" s="44"/>
      <c r="T8" s="44"/>
      <c r="U8" s="44"/>
      <c r="V8" s="44"/>
      <c r="W8" s="98"/>
    </row>
    <row r="9" spans="2:23" s="10" customFormat="1" ht="12.75">
      <c r="B9" s="43"/>
      <c r="C9" s="8"/>
      <c r="D9" s="8"/>
      <c r="E9" s="8"/>
      <c r="F9" s="8"/>
      <c r="G9" s="8"/>
      <c r="H9" s="8"/>
      <c r="I9" s="106"/>
      <c r="J9" s="106"/>
      <c r="K9" s="106"/>
      <c r="L9" s="106"/>
      <c r="M9" s="106"/>
      <c r="P9" s="8"/>
      <c r="Q9" s="8"/>
      <c r="R9" s="8"/>
      <c r="S9" s="8"/>
      <c r="T9" s="8"/>
      <c r="U9" s="8"/>
      <c r="V9" s="8"/>
      <c r="W9" s="11"/>
    </row>
    <row r="10" spans="2:23" s="97" customFormat="1" ht="20.25">
      <c r="B10" s="96"/>
      <c r="C10" s="44"/>
      <c r="D10" s="44"/>
      <c r="E10" s="44"/>
      <c r="F10" s="21" t="s">
        <v>131</v>
      </c>
      <c r="G10" s="21"/>
      <c r="H10" s="44"/>
      <c r="I10" s="21"/>
      <c r="J10" s="21"/>
      <c r="K10" s="21"/>
      <c r="L10" s="21"/>
      <c r="M10" s="21"/>
      <c r="P10" s="44"/>
      <c r="Q10" s="44"/>
      <c r="R10" s="44"/>
      <c r="S10" s="44"/>
      <c r="T10" s="44"/>
      <c r="U10" s="44"/>
      <c r="V10" s="44"/>
      <c r="W10" s="98"/>
    </row>
    <row r="11" spans="2:23" s="10" customFormat="1" ht="12.75">
      <c r="B11" s="43"/>
      <c r="C11" s="8"/>
      <c r="D11" s="8"/>
      <c r="E11" s="8"/>
      <c r="F11" s="108"/>
      <c r="G11" s="106"/>
      <c r="H11" s="8"/>
      <c r="I11" s="106"/>
      <c r="J11" s="106"/>
      <c r="K11" s="106"/>
      <c r="L11" s="106"/>
      <c r="M11" s="106"/>
      <c r="P11" s="8"/>
      <c r="Q11" s="8"/>
      <c r="R11" s="8"/>
      <c r="S11" s="8"/>
      <c r="T11" s="8"/>
      <c r="U11" s="8"/>
      <c r="V11" s="8"/>
      <c r="W11" s="11"/>
    </row>
    <row r="12" spans="2:23" s="104" customFormat="1" ht="19.5">
      <c r="B12" s="70" t="str">
        <f>+'TOT-1215'!B14</f>
        <v>Desde el 01 al 31 de diciembre de 2015</v>
      </c>
      <c r="C12" s="100"/>
      <c r="D12" s="100"/>
      <c r="E12" s="100"/>
      <c r="F12" s="100"/>
      <c r="G12" s="100"/>
      <c r="H12" s="69"/>
      <c r="I12" s="100"/>
      <c r="J12" s="101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3"/>
    </row>
    <row r="13" spans="2:23" s="104" customFormat="1" ht="7.5" customHeight="1">
      <c r="B13" s="70"/>
      <c r="C13" s="100"/>
      <c r="D13" s="100"/>
      <c r="E13" s="100"/>
      <c r="F13" s="100"/>
      <c r="G13" s="100"/>
      <c r="H13" s="69"/>
      <c r="I13" s="100"/>
      <c r="J13" s="101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3"/>
    </row>
    <row r="14" spans="2:23" s="10" customFormat="1" ht="7.5" customHeight="1" thickBot="1">
      <c r="B14" s="43"/>
      <c r="C14" s="8"/>
      <c r="D14" s="8"/>
      <c r="E14" s="8"/>
      <c r="I14" s="105"/>
      <c r="K14" s="8"/>
      <c r="L14" s="8"/>
      <c r="M14" s="8"/>
      <c r="N14" s="105"/>
      <c r="O14" s="105"/>
      <c r="P14" s="105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43"/>
      <c r="C15" s="8"/>
      <c r="D15" s="8"/>
      <c r="E15" s="8"/>
      <c r="F15" s="204" t="s">
        <v>80</v>
      </c>
      <c r="G15" s="583" t="s">
        <v>165</v>
      </c>
      <c r="H15" s="76">
        <f>60*'TOT-1215'!B13</f>
        <v>60</v>
      </c>
      <c r="I15" s="105"/>
      <c r="J15" s="215" t="str">
        <f>IF(H15=60," ",IF(H15=120,"Coeficiente duplicado por tasa de falla &gt;4 Sal. x año/100 km.","REVISAR COEFICIENTE"))</f>
        <v> </v>
      </c>
      <c r="K15" s="8"/>
      <c r="L15" s="8"/>
      <c r="M15" s="8"/>
      <c r="N15" s="105"/>
      <c r="O15" s="105"/>
      <c r="P15" s="105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43"/>
      <c r="C16" s="8"/>
      <c r="D16" s="8"/>
      <c r="E16" s="8"/>
      <c r="F16" s="204" t="s">
        <v>81</v>
      </c>
      <c r="G16" s="583">
        <v>3.243</v>
      </c>
      <c r="H16" s="76">
        <f>50*'TOT-1215'!B13</f>
        <v>50</v>
      </c>
      <c r="J16" s="215" t="str">
        <f>IF(H16=50," ",IF(H16=100,"Coeficiente duplicado por tasa de falla &gt;4 Sal. x año/100 km.","REVISAR COEFICIENTE"))</f>
        <v> </v>
      </c>
      <c r="Q16" s="254"/>
      <c r="S16" s="8"/>
      <c r="T16" s="8"/>
      <c r="U16" s="8"/>
      <c r="V16" s="201"/>
      <c r="W16" s="11"/>
    </row>
    <row r="17" spans="2:23" s="10" customFormat="1" ht="16.5" customHeight="1" thickBot="1" thickTop="1">
      <c r="B17" s="43"/>
      <c r="C17" s="8"/>
      <c r="D17" s="8"/>
      <c r="E17" s="8"/>
      <c r="F17" s="205" t="s">
        <v>82</v>
      </c>
      <c r="G17" s="206">
        <v>2.433</v>
      </c>
      <c r="H17" s="207">
        <f>25*'TOT-1215'!B13</f>
        <v>25</v>
      </c>
      <c r="J17" s="215" t="str">
        <f>IF(H17=25," ",IF(H17=50,"Coeficiente duplicado por tasa de falla &gt;4 Sal. x año/100 km.","REVISAR COEFICIENTE"))</f>
        <v> </v>
      </c>
      <c r="K17" s="150"/>
      <c r="L17" s="150"/>
      <c r="M17" s="8"/>
      <c r="P17" s="202"/>
      <c r="Q17" s="203"/>
      <c r="R17" s="35"/>
      <c r="S17" s="8"/>
      <c r="T17" s="8"/>
      <c r="U17" s="8"/>
      <c r="V17" s="201"/>
      <c r="W17" s="11"/>
    </row>
    <row r="18" spans="2:23" s="10" customFormat="1" ht="16.5" customHeight="1" thickBot="1" thickTop="1">
      <c r="B18" s="43"/>
      <c r="C18" s="8"/>
      <c r="D18" s="8"/>
      <c r="E18" s="8"/>
      <c r="F18" s="208" t="s">
        <v>83</v>
      </c>
      <c r="G18" s="206">
        <v>2.433</v>
      </c>
      <c r="H18" s="209">
        <f>20*'TOT-1215'!B13</f>
        <v>20</v>
      </c>
      <c r="J18" s="215" t="str">
        <f>IF(H18=20," ",IF(H18=40,"Coeficiente duplicado por tasa de falla &gt;4 Sal. x año/100 km.","REVISAR COEFICIENTE"))</f>
        <v> </v>
      </c>
      <c r="K18" s="150"/>
      <c r="L18" s="150"/>
      <c r="M18" s="8"/>
      <c r="P18" s="202"/>
      <c r="Q18" s="203"/>
      <c r="R18" s="35"/>
      <c r="S18" s="8"/>
      <c r="T18" s="8"/>
      <c r="U18" s="8"/>
      <c r="V18" s="201"/>
      <c r="W18" s="11"/>
    </row>
    <row r="19" spans="2:23" s="10" customFormat="1" ht="7.5" customHeight="1" thickTop="1">
      <c r="B19" s="43"/>
      <c r="C19" s="8"/>
      <c r="D19" s="8"/>
      <c r="E19" s="8"/>
      <c r="F19" s="81"/>
      <c r="G19" s="539"/>
      <c r="H19" s="540"/>
      <c r="J19" s="215"/>
      <c r="K19" s="150"/>
      <c r="L19" s="150"/>
      <c r="M19" s="8"/>
      <c r="P19" s="202"/>
      <c r="Q19" s="203"/>
      <c r="R19" s="35"/>
      <c r="S19" s="8"/>
      <c r="T19" s="8"/>
      <c r="U19" s="8"/>
      <c r="V19" s="201"/>
      <c r="W19" s="11"/>
    </row>
    <row r="20" spans="2:23" s="569" customFormat="1" ht="15" customHeight="1" thickBot="1">
      <c r="B20" s="566"/>
      <c r="C20" s="565">
        <v>3</v>
      </c>
      <c r="D20" s="565">
        <v>4</v>
      </c>
      <c r="E20" s="565">
        <v>5</v>
      </c>
      <c r="F20" s="565">
        <v>6</v>
      </c>
      <c r="G20" s="565">
        <v>7</v>
      </c>
      <c r="H20" s="565">
        <v>8</v>
      </c>
      <c r="I20" s="565">
        <v>9</v>
      </c>
      <c r="J20" s="565">
        <v>10</v>
      </c>
      <c r="K20" s="565">
        <v>11</v>
      </c>
      <c r="L20" s="565">
        <v>12</v>
      </c>
      <c r="M20" s="565">
        <v>13</v>
      </c>
      <c r="N20" s="565">
        <v>14</v>
      </c>
      <c r="O20" s="565">
        <v>15</v>
      </c>
      <c r="P20" s="565">
        <v>16</v>
      </c>
      <c r="Q20" s="565">
        <v>17</v>
      </c>
      <c r="R20" s="565">
        <v>18</v>
      </c>
      <c r="S20" s="565">
        <v>19</v>
      </c>
      <c r="T20" s="565">
        <v>20</v>
      </c>
      <c r="U20" s="565">
        <v>21</v>
      </c>
      <c r="V20" s="565">
        <v>22</v>
      </c>
      <c r="W20" s="568"/>
    </row>
    <row r="21" spans="2:23" s="10" customFormat="1" ht="33.75" customHeight="1" thickBot="1" thickTop="1">
      <c r="B21" s="43"/>
      <c r="C21" s="197" t="s">
        <v>44</v>
      </c>
      <c r="D21" s="84" t="s">
        <v>135</v>
      </c>
      <c r="E21" s="84" t="s">
        <v>134</v>
      </c>
      <c r="F21" s="195" t="s">
        <v>68</v>
      </c>
      <c r="G21" s="210" t="s">
        <v>15</v>
      </c>
      <c r="H21" s="213" t="s">
        <v>45</v>
      </c>
      <c r="I21" s="245" t="s">
        <v>47</v>
      </c>
      <c r="J21" s="191" t="s">
        <v>48</v>
      </c>
      <c r="K21" s="210" t="s">
        <v>49</v>
      </c>
      <c r="L21" s="212" t="s">
        <v>72</v>
      </c>
      <c r="M21" s="212" t="s">
        <v>73</v>
      </c>
      <c r="N21" s="88" t="s">
        <v>52</v>
      </c>
      <c r="O21" s="196" t="s">
        <v>74</v>
      </c>
      <c r="P21" s="347" t="s">
        <v>84</v>
      </c>
      <c r="Q21" s="281" t="s">
        <v>54</v>
      </c>
      <c r="R21" s="321" t="s">
        <v>78</v>
      </c>
      <c r="S21" s="322"/>
      <c r="T21" s="357" t="s">
        <v>58</v>
      </c>
      <c r="U21" s="193" t="s">
        <v>60</v>
      </c>
      <c r="V21" s="193" t="s">
        <v>61</v>
      </c>
      <c r="W21" s="37"/>
    </row>
    <row r="22" spans="2:23" s="10" customFormat="1" ht="16.5" customHeight="1" thickTop="1">
      <c r="B22" s="43"/>
      <c r="C22" s="20"/>
      <c r="D22" s="18"/>
      <c r="E22" s="18"/>
      <c r="F22" s="31"/>
      <c r="G22" s="31"/>
      <c r="H22" s="12"/>
      <c r="I22" s="253"/>
      <c r="J22" s="32"/>
      <c r="K22" s="33"/>
      <c r="L22" s="34"/>
      <c r="M22" s="63"/>
      <c r="N22" s="349"/>
      <c r="O22" s="349"/>
      <c r="P22" s="350"/>
      <c r="Q22" s="352"/>
      <c r="R22" s="354"/>
      <c r="S22" s="355"/>
      <c r="T22" s="358"/>
      <c r="U22" s="356"/>
      <c r="V22" s="351"/>
      <c r="W22" s="37"/>
    </row>
    <row r="23" spans="2:23" s="10" customFormat="1" ht="16.5" customHeight="1">
      <c r="B23" s="43"/>
      <c r="C23" s="20"/>
      <c r="D23" s="18"/>
      <c r="E23" s="18"/>
      <c r="F23" s="31"/>
      <c r="G23" s="31"/>
      <c r="H23" s="12"/>
      <c r="I23" s="253"/>
      <c r="J23" s="32"/>
      <c r="K23" s="33"/>
      <c r="L23" s="34"/>
      <c r="M23" s="63"/>
      <c r="N23" s="27"/>
      <c r="O23" s="27"/>
      <c r="P23" s="348"/>
      <c r="Q23" s="353"/>
      <c r="R23" s="327"/>
      <c r="S23" s="328"/>
      <c r="T23" s="359"/>
      <c r="U23" s="24"/>
      <c r="V23" s="211"/>
      <c r="W23" s="37"/>
    </row>
    <row r="24" spans="2:23" s="10" customFormat="1" ht="16.5" customHeight="1">
      <c r="B24" s="43"/>
      <c r="C24" s="526">
        <v>26</v>
      </c>
      <c r="D24" s="511">
        <v>295570</v>
      </c>
      <c r="E24" s="511">
        <v>1761</v>
      </c>
      <c r="F24" s="527" t="s">
        <v>156</v>
      </c>
      <c r="G24" s="527" t="s">
        <v>157</v>
      </c>
      <c r="H24" s="533">
        <v>13.2</v>
      </c>
      <c r="I24" s="253">
        <f aca="true" t="shared" si="0" ref="I24:I43">IF(H24=330,$G$15,IF(AND(H24&lt;=132,H24&gt;=66),$G$16,IF(AND(H24&lt;66,H24&gt;=33),$G$17,$G$18)))</f>
        <v>2.433</v>
      </c>
      <c r="J24" s="528">
        <v>42339.427083333336</v>
      </c>
      <c r="K24" s="529">
        <v>42339.53194444445</v>
      </c>
      <c r="L24" s="34">
        <f aca="true" t="shared" si="1" ref="L24:L43">IF(F24="","",(K24-J24)*24)</f>
        <v>2.516666666662786</v>
      </c>
      <c r="M24" s="63">
        <f aca="true" t="shared" si="2" ref="M24:M43">IF(F24="","",ROUND((K24-J24)*24*60,0))</f>
        <v>151</v>
      </c>
      <c r="N24" s="530" t="s">
        <v>139</v>
      </c>
      <c r="O24" s="27" t="str">
        <f aca="true" t="shared" si="3" ref="O24:O43">IF(F24="","",IF(N24="P","--","NO"))</f>
        <v>--</v>
      </c>
      <c r="P24" s="348">
        <f aca="true" t="shared" si="4" ref="P24:P43">IF(H24=330,$H$15,IF(AND(H24&lt;=132,H24&gt;=66),$H$16,IF(AND(H24&lt;66,H24&gt;13.2),$H$17,$H$18)))</f>
        <v>20</v>
      </c>
      <c r="Q24" s="563">
        <f aca="true" t="shared" si="5" ref="Q24:Q43">IF(N24="P",I24*P24*ROUND(M24/60,2)*0.1,"--")</f>
        <v>12.26232</v>
      </c>
      <c r="R24" s="327" t="str">
        <f aca="true" t="shared" si="6" ref="R24:R43">IF(AND(N24="F",O24="NO"),I24*P24,"--")</f>
        <v>--</v>
      </c>
      <c r="S24" s="328" t="str">
        <f aca="true" t="shared" si="7" ref="S24:S43">IF(N24="F",I24*P24*ROUND(M24/60,2),"--")</f>
        <v>--</v>
      </c>
      <c r="T24" s="359" t="str">
        <f>IF(N24="RF",I24*P24*ROUND(M24/60,2),"--")</f>
        <v>--</v>
      </c>
      <c r="U24" s="24" t="str">
        <f aca="true" t="shared" si="8" ref="U24:U43">IF(F24="","","SI")</f>
        <v>SI</v>
      </c>
      <c r="V24" s="64">
        <f aca="true" t="shared" si="9" ref="V24:V43">IF(F24="","",SUM(Q24:T24)*IF(U24="SI",1,2)*IF(H24="500/220",0,1))</f>
        <v>12.26232</v>
      </c>
      <c r="W24" s="37"/>
    </row>
    <row r="25" spans="2:23" s="10" customFormat="1" ht="16.5" customHeight="1">
      <c r="B25" s="43"/>
      <c r="C25" s="526"/>
      <c r="D25" s="511"/>
      <c r="E25" s="511"/>
      <c r="F25" s="527"/>
      <c r="G25" s="527"/>
      <c r="H25" s="533"/>
      <c r="I25" s="253">
        <f t="shared" si="0"/>
        <v>2.433</v>
      </c>
      <c r="J25" s="528"/>
      <c r="K25" s="529"/>
      <c r="L25" s="34">
        <f t="shared" si="1"/>
      </c>
      <c r="M25" s="63">
        <f t="shared" si="2"/>
      </c>
      <c r="N25" s="530"/>
      <c r="O25" s="27">
        <f t="shared" si="3"/>
      </c>
      <c r="P25" s="348">
        <f t="shared" si="4"/>
        <v>20</v>
      </c>
      <c r="Q25" s="563" t="str">
        <f t="shared" si="5"/>
        <v>--</v>
      </c>
      <c r="R25" s="327" t="str">
        <f t="shared" si="6"/>
        <v>--</v>
      </c>
      <c r="S25" s="328" t="str">
        <f t="shared" si="7"/>
        <v>--</v>
      </c>
      <c r="T25" s="359" t="str">
        <f aca="true" t="shared" si="10" ref="T25:T40">IF(N25="RF",I25*P25*ROUND(M25/60,2),"--")</f>
        <v>--</v>
      </c>
      <c r="U25" s="24">
        <f t="shared" si="8"/>
      </c>
      <c r="V25" s="64">
        <f t="shared" si="9"/>
      </c>
      <c r="W25" s="37"/>
    </row>
    <row r="26" spans="2:23" s="10" customFormat="1" ht="16.5" customHeight="1">
      <c r="B26" s="43"/>
      <c r="C26" s="526"/>
      <c r="D26" s="511"/>
      <c r="E26" s="511"/>
      <c r="F26" s="527"/>
      <c r="G26" s="527"/>
      <c r="H26" s="533"/>
      <c r="I26" s="253">
        <f t="shared" si="0"/>
        <v>2.433</v>
      </c>
      <c r="J26" s="528"/>
      <c r="K26" s="529"/>
      <c r="L26" s="34">
        <f t="shared" si="1"/>
      </c>
      <c r="M26" s="63">
        <f t="shared" si="2"/>
      </c>
      <c r="N26" s="530"/>
      <c r="O26" s="27">
        <f t="shared" si="3"/>
      </c>
      <c r="P26" s="348">
        <f t="shared" si="4"/>
        <v>20</v>
      </c>
      <c r="Q26" s="563" t="str">
        <f t="shared" si="5"/>
        <v>--</v>
      </c>
      <c r="R26" s="327" t="str">
        <f t="shared" si="6"/>
        <v>--</v>
      </c>
      <c r="S26" s="328" t="str">
        <f t="shared" si="7"/>
        <v>--</v>
      </c>
      <c r="T26" s="359" t="str">
        <f t="shared" si="10"/>
        <v>--</v>
      </c>
      <c r="U26" s="24">
        <f t="shared" si="8"/>
      </c>
      <c r="V26" s="64">
        <f t="shared" si="9"/>
      </c>
      <c r="W26" s="37"/>
    </row>
    <row r="27" spans="2:23" s="10" customFormat="1" ht="16.5" customHeight="1">
      <c r="B27" s="43"/>
      <c r="C27" s="526"/>
      <c r="D27" s="511"/>
      <c r="E27" s="511"/>
      <c r="F27" s="527"/>
      <c r="G27" s="527"/>
      <c r="H27" s="533"/>
      <c r="I27" s="253">
        <f t="shared" si="0"/>
        <v>2.433</v>
      </c>
      <c r="J27" s="528"/>
      <c r="K27" s="529"/>
      <c r="L27" s="34">
        <f t="shared" si="1"/>
      </c>
      <c r="M27" s="63">
        <f t="shared" si="2"/>
      </c>
      <c r="N27" s="530"/>
      <c r="O27" s="27">
        <f t="shared" si="3"/>
      </c>
      <c r="P27" s="348">
        <f t="shared" si="4"/>
        <v>20</v>
      </c>
      <c r="Q27" s="563" t="str">
        <f t="shared" si="5"/>
        <v>--</v>
      </c>
      <c r="R27" s="327" t="str">
        <f t="shared" si="6"/>
        <v>--</v>
      </c>
      <c r="S27" s="328" t="str">
        <f t="shared" si="7"/>
        <v>--</v>
      </c>
      <c r="T27" s="359" t="str">
        <f t="shared" si="10"/>
        <v>--</v>
      </c>
      <c r="U27" s="24">
        <f t="shared" si="8"/>
      </c>
      <c r="V27" s="64">
        <f t="shared" si="9"/>
      </c>
      <c r="W27" s="37"/>
    </row>
    <row r="28" spans="2:23" s="10" customFormat="1" ht="16.5" customHeight="1">
      <c r="B28" s="43"/>
      <c r="C28" s="526"/>
      <c r="D28" s="511"/>
      <c r="E28" s="511"/>
      <c r="F28" s="527"/>
      <c r="G28" s="527"/>
      <c r="H28" s="533"/>
      <c r="I28" s="253">
        <f t="shared" si="0"/>
        <v>2.433</v>
      </c>
      <c r="J28" s="528"/>
      <c r="K28" s="529"/>
      <c r="L28" s="34">
        <f t="shared" si="1"/>
      </c>
      <c r="M28" s="63">
        <f t="shared" si="2"/>
      </c>
      <c r="N28" s="530"/>
      <c r="O28" s="27">
        <f t="shared" si="3"/>
      </c>
      <c r="P28" s="348">
        <f t="shared" si="4"/>
        <v>20</v>
      </c>
      <c r="Q28" s="563" t="str">
        <f t="shared" si="5"/>
        <v>--</v>
      </c>
      <c r="R28" s="327" t="str">
        <f t="shared" si="6"/>
        <v>--</v>
      </c>
      <c r="S28" s="328" t="str">
        <f t="shared" si="7"/>
        <v>--</v>
      </c>
      <c r="T28" s="359" t="str">
        <f t="shared" si="10"/>
        <v>--</v>
      </c>
      <c r="U28" s="24">
        <f t="shared" si="8"/>
      </c>
      <c r="V28" s="64">
        <f t="shared" si="9"/>
      </c>
      <c r="W28" s="37"/>
    </row>
    <row r="29" spans="2:23" s="10" customFormat="1" ht="16.5" customHeight="1">
      <c r="B29" s="43"/>
      <c r="C29" s="526"/>
      <c r="D29" s="511"/>
      <c r="E29" s="511"/>
      <c r="F29" s="527"/>
      <c r="G29" s="527"/>
      <c r="H29" s="533"/>
      <c r="I29" s="253">
        <f t="shared" si="0"/>
        <v>2.433</v>
      </c>
      <c r="J29" s="528"/>
      <c r="K29" s="529"/>
      <c r="L29" s="34">
        <f t="shared" si="1"/>
      </c>
      <c r="M29" s="63">
        <f t="shared" si="2"/>
      </c>
      <c r="N29" s="530"/>
      <c r="O29" s="27">
        <f t="shared" si="3"/>
      </c>
      <c r="P29" s="348">
        <f t="shared" si="4"/>
        <v>20</v>
      </c>
      <c r="Q29" s="563" t="str">
        <f t="shared" si="5"/>
        <v>--</v>
      </c>
      <c r="R29" s="327" t="str">
        <f t="shared" si="6"/>
        <v>--</v>
      </c>
      <c r="S29" s="328" t="str">
        <f t="shared" si="7"/>
        <v>--</v>
      </c>
      <c r="T29" s="359" t="str">
        <f t="shared" si="10"/>
        <v>--</v>
      </c>
      <c r="U29" s="24">
        <f t="shared" si="8"/>
      </c>
      <c r="V29" s="64">
        <f t="shared" si="9"/>
      </c>
      <c r="W29" s="37"/>
    </row>
    <row r="30" spans="2:23" s="10" customFormat="1" ht="16.5" customHeight="1">
      <c r="B30" s="43"/>
      <c r="C30" s="526"/>
      <c r="D30" s="511"/>
      <c r="E30" s="511"/>
      <c r="F30" s="527"/>
      <c r="G30" s="527"/>
      <c r="H30" s="533"/>
      <c r="I30" s="253">
        <f t="shared" si="0"/>
        <v>2.433</v>
      </c>
      <c r="J30" s="528"/>
      <c r="K30" s="529"/>
      <c r="L30" s="34">
        <f t="shared" si="1"/>
      </c>
      <c r="M30" s="63">
        <f t="shared" si="2"/>
      </c>
      <c r="N30" s="530"/>
      <c r="O30" s="27">
        <f t="shared" si="3"/>
      </c>
      <c r="P30" s="348">
        <f t="shared" si="4"/>
        <v>20</v>
      </c>
      <c r="Q30" s="563" t="str">
        <f t="shared" si="5"/>
        <v>--</v>
      </c>
      <c r="R30" s="327" t="str">
        <f t="shared" si="6"/>
        <v>--</v>
      </c>
      <c r="S30" s="328" t="str">
        <f t="shared" si="7"/>
        <v>--</v>
      </c>
      <c r="T30" s="359" t="str">
        <f t="shared" si="10"/>
        <v>--</v>
      </c>
      <c r="U30" s="24">
        <f t="shared" si="8"/>
      </c>
      <c r="V30" s="64">
        <f t="shared" si="9"/>
      </c>
      <c r="W30" s="37"/>
    </row>
    <row r="31" spans="2:23" s="10" customFormat="1" ht="16.5" customHeight="1">
      <c r="B31" s="43"/>
      <c r="C31" s="526"/>
      <c r="D31" s="511"/>
      <c r="E31" s="511"/>
      <c r="F31" s="527"/>
      <c r="G31" s="527"/>
      <c r="H31" s="533"/>
      <c r="I31" s="253">
        <f t="shared" si="0"/>
        <v>2.433</v>
      </c>
      <c r="J31" s="528"/>
      <c r="K31" s="529"/>
      <c r="L31" s="34">
        <f t="shared" si="1"/>
      </c>
      <c r="M31" s="63">
        <f t="shared" si="2"/>
      </c>
      <c r="N31" s="530"/>
      <c r="O31" s="27">
        <f t="shared" si="3"/>
      </c>
      <c r="P31" s="348">
        <f t="shared" si="4"/>
        <v>20</v>
      </c>
      <c r="Q31" s="563" t="str">
        <f t="shared" si="5"/>
        <v>--</v>
      </c>
      <c r="R31" s="327" t="str">
        <f t="shared" si="6"/>
        <v>--</v>
      </c>
      <c r="S31" s="328" t="str">
        <f t="shared" si="7"/>
        <v>--</v>
      </c>
      <c r="T31" s="359" t="str">
        <f t="shared" si="10"/>
        <v>--</v>
      </c>
      <c r="U31" s="24">
        <f t="shared" si="8"/>
      </c>
      <c r="V31" s="64">
        <f t="shared" si="9"/>
      </c>
      <c r="W31" s="37"/>
    </row>
    <row r="32" spans="2:23" s="10" customFormat="1" ht="16.5" customHeight="1">
      <c r="B32" s="43"/>
      <c r="C32" s="526"/>
      <c r="D32" s="511"/>
      <c r="E32" s="511"/>
      <c r="F32" s="527"/>
      <c r="G32" s="527"/>
      <c r="H32" s="533"/>
      <c r="I32" s="253">
        <f t="shared" si="0"/>
        <v>2.433</v>
      </c>
      <c r="J32" s="528"/>
      <c r="K32" s="529"/>
      <c r="L32" s="34">
        <f t="shared" si="1"/>
      </c>
      <c r="M32" s="63">
        <f t="shared" si="2"/>
      </c>
      <c r="N32" s="530"/>
      <c r="O32" s="27">
        <f t="shared" si="3"/>
      </c>
      <c r="P32" s="348">
        <f t="shared" si="4"/>
        <v>20</v>
      </c>
      <c r="Q32" s="563" t="str">
        <f t="shared" si="5"/>
        <v>--</v>
      </c>
      <c r="R32" s="327" t="str">
        <f t="shared" si="6"/>
        <v>--</v>
      </c>
      <c r="S32" s="328" t="str">
        <f t="shared" si="7"/>
        <v>--</v>
      </c>
      <c r="T32" s="359" t="str">
        <f t="shared" si="10"/>
        <v>--</v>
      </c>
      <c r="U32" s="24">
        <f t="shared" si="8"/>
      </c>
      <c r="V32" s="64">
        <f t="shared" si="9"/>
      </c>
      <c r="W32" s="37"/>
    </row>
    <row r="33" spans="2:23" s="10" customFormat="1" ht="16.5" customHeight="1">
      <c r="B33" s="43"/>
      <c r="C33" s="526"/>
      <c r="D33" s="511"/>
      <c r="E33" s="511"/>
      <c r="F33" s="527"/>
      <c r="G33" s="527"/>
      <c r="H33" s="533"/>
      <c r="I33" s="253">
        <f t="shared" si="0"/>
        <v>2.433</v>
      </c>
      <c r="J33" s="528"/>
      <c r="K33" s="529"/>
      <c r="L33" s="34">
        <f t="shared" si="1"/>
      </c>
      <c r="M33" s="63">
        <f t="shared" si="2"/>
      </c>
      <c r="N33" s="530"/>
      <c r="O33" s="27">
        <f t="shared" si="3"/>
      </c>
      <c r="P33" s="348">
        <f t="shared" si="4"/>
        <v>20</v>
      </c>
      <c r="Q33" s="563" t="str">
        <f t="shared" si="5"/>
        <v>--</v>
      </c>
      <c r="R33" s="327" t="str">
        <f t="shared" si="6"/>
        <v>--</v>
      </c>
      <c r="S33" s="328" t="str">
        <f t="shared" si="7"/>
        <v>--</v>
      </c>
      <c r="T33" s="359" t="str">
        <f t="shared" si="10"/>
        <v>--</v>
      </c>
      <c r="U33" s="24">
        <f t="shared" si="8"/>
      </c>
      <c r="V33" s="64">
        <f t="shared" si="9"/>
      </c>
      <c r="W33" s="37"/>
    </row>
    <row r="34" spans="2:23" s="10" customFormat="1" ht="16.5" customHeight="1">
      <c r="B34" s="43"/>
      <c r="C34" s="526"/>
      <c r="D34" s="511"/>
      <c r="E34" s="511"/>
      <c r="F34" s="527"/>
      <c r="G34" s="527"/>
      <c r="H34" s="533"/>
      <c r="I34" s="253">
        <f t="shared" si="0"/>
        <v>2.433</v>
      </c>
      <c r="J34" s="528"/>
      <c r="K34" s="529"/>
      <c r="L34" s="34">
        <f t="shared" si="1"/>
      </c>
      <c r="M34" s="63">
        <f t="shared" si="2"/>
      </c>
      <c r="N34" s="530"/>
      <c r="O34" s="27">
        <f t="shared" si="3"/>
      </c>
      <c r="P34" s="348">
        <f t="shared" si="4"/>
        <v>20</v>
      </c>
      <c r="Q34" s="563" t="str">
        <f t="shared" si="5"/>
        <v>--</v>
      </c>
      <c r="R34" s="327" t="str">
        <f t="shared" si="6"/>
        <v>--</v>
      </c>
      <c r="S34" s="328" t="str">
        <f t="shared" si="7"/>
        <v>--</v>
      </c>
      <c r="T34" s="359" t="str">
        <f t="shared" si="10"/>
        <v>--</v>
      </c>
      <c r="U34" s="24">
        <f t="shared" si="8"/>
      </c>
      <c r="V34" s="64">
        <f t="shared" si="9"/>
      </c>
      <c r="W34" s="37"/>
    </row>
    <row r="35" spans="2:23" s="10" customFormat="1" ht="16.5" customHeight="1">
      <c r="B35" s="43"/>
      <c r="C35" s="526"/>
      <c r="D35" s="511"/>
      <c r="E35" s="511"/>
      <c r="F35" s="527"/>
      <c r="G35" s="527"/>
      <c r="H35" s="533"/>
      <c r="I35" s="253">
        <f t="shared" si="0"/>
        <v>2.433</v>
      </c>
      <c r="J35" s="528"/>
      <c r="K35" s="529"/>
      <c r="L35" s="34">
        <f t="shared" si="1"/>
      </c>
      <c r="M35" s="63">
        <f t="shared" si="2"/>
      </c>
      <c r="N35" s="530"/>
      <c r="O35" s="27">
        <f t="shared" si="3"/>
      </c>
      <c r="P35" s="348">
        <f t="shared" si="4"/>
        <v>20</v>
      </c>
      <c r="Q35" s="563" t="str">
        <f t="shared" si="5"/>
        <v>--</v>
      </c>
      <c r="R35" s="327" t="str">
        <f t="shared" si="6"/>
        <v>--</v>
      </c>
      <c r="S35" s="328" t="str">
        <f t="shared" si="7"/>
        <v>--</v>
      </c>
      <c r="T35" s="359" t="str">
        <f t="shared" si="10"/>
        <v>--</v>
      </c>
      <c r="U35" s="24">
        <f t="shared" si="8"/>
      </c>
      <c r="V35" s="64">
        <f t="shared" si="9"/>
      </c>
      <c r="W35" s="37"/>
    </row>
    <row r="36" spans="2:23" s="10" customFormat="1" ht="16.5" customHeight="1">
      <c r="B36" s="43"/>
      <c r="C36" s="526"/>
      <c r="D36" s="511"/>
      <c r="E36" s="511"/>
      <c r="F36" s="527"/>
      <c r="G36" s="527"/>
      <c r="H36" s="533"/>
      <c r="I36" s="253">
        <f t="shared" si="0"/>
        <v>2.433</v>
      </c>
      <c r="J36" s="528"/>
      <c r="K36" s="529"/>
      <c r="L36" s="34">
        <f t="shared" si="1"/>
      </c>
      <c r="M36" s="63">
        <f t="shared" si="2"/>
      </c>
      <c r="N36" s="530"/>
      <c r="O36" s="27">
        <f t="shared" si="3"/>
      </c>
      <c r="P36" s="348">
        <f t="shared" si="4"/>
        <v>20</v>
      </c>
      <c r="Q36" s="563" t="str">
        <f t="shared" si="5"/>
        <v>--</v>
      </c>
      <c r="R36" s="327" t="str">
        <f t="shared" si="6"/>
        <v>--</v>
      </c>
      <c r="S36" s="328" t="str">
        <f t="shared" si="7"/>
        <v>--</v>
      </c>
      <c r="T36" s="359" t="str">
        <f t="shared" si="10"/>
        <v>--</v>
      </c>
      <c r="U36" s="24">
        <f t="shared" si="8"/>
      </c>
      <c r="V36" s="64">
        <f t="shared" si="9"/>
      </c>
      <c r="W36" s="37"/>
    </row>
    <row r="37" spans="2:23" s="10" customFormat="1" ht="16.5" customHeight="1">
      <c r="B37" s="43"/>
      <c r="C37" s="526"/>
      <c r="D37" s="511"/>
      <c r="E37" s="511"/>
      <c r="F37" s="527"/>
      <c r="G37" s="527"/>
      <c r="H37" s="533"/>
      <c r="I37" s="253">
        <f t="shared" si="0"/>
        <v>2.433</v>
      </c>
      <c r="J37" s="528"/>
      <c r="K37" s="529"/>
      <c r="L37" s="34">
        <f t="shared" si="1"/>
      </c>
      <c r="M37" s="63">
        <f t="shared" si="2"/>
      </c>
      <c r="N37" s="530"/>
      <c r="O37" s="27">
        <f t="shared" si="3"/>
      </c>
      <c r="P37" s="348">
        <f t="shared" si="4"/>
        <v>20</v>
      </c>
      <c r="Q37" s="563" t="str">
        <f t="shared" si="5"/>
        <v>--</v>
      </c>
      <c r="R37" s="327" t="str">
        <f t="shared" si="6"/>
        <v>--</v>
      </c>
      <c r="S37" s="328" t="str">
        <f t="shared" si="7"/>
        <v>--</v>
      </c>
      <c r="T37" s="359" t="str">
        <f t="shared" si="10"/>
        <v>--</v>
      </c>
      <c r="U37" s="24">
        <f t="shared" si="8"/>
      </c>
      <c r="V37" s="64">
        <f t="shared" si="9"/>
      </c>
      <c r="W37" s="37"/>
    </row>
    <row r="38" spans="2:23" s="10" customFormat="1" ht="16.5" customHeight="1">
      <c r="B38" s="43"/>
      <c r="C38" s="526"/>
      <c r="D38" s="511"/>
      <c r="E38" s="511"/>
      <c r="F38" s="527"/>
      <c r="G38" s="527"/>
      <c r="H38" s="533"/>
      <c r="I38" s="253">
        <f t="shared" si="0"/>
        <v>2.433</v>
      </c>
      <c r="J38" s="528"/>
      <c r="K38" s="529"/>
      <c r="L38" s="34">
        <f t="shared" si="1"/>
      </c>
      <c r="M38" s="63">
        <f t="shared" si="2"/>
      </c>
      <c r="N38" s="530"/>
      <c r="O38" s="27">
        <f t="shared" si="3"/>
      </c>
      <c r="P38" s="348">
        <f t="shared" si="4"/>
        <v>20</v>
      </c>
      <c r="Q38" s="563" t="str">
        <f t="shared" si="5"/>
        <v>--</v>
      </c>
      <c r="R38" s="327" t="str">
        <f t="shared" si="6"/>
        <v>--</v>
      </c>
      <c r="S38" s="328" t="str">
        <f t="shared" si="7"/>
        <v>--</v>
      </c>
      <c r="T38" s="359" t="str">
        <f t="shared" si="10"/>
        <v>--</v>
      </c>
      <c r="U38" s="24">
        <f t="shared" si="8"/>
      </c>
      <c r="V38" s="64">
        <f t="shared" si="9"/>
      </c>
      <c r="W38" s="37"/>
    </row>
    <row r="39" spans="2:23" s="10" customFormat="1" ht="16.5" customHeight="1">
      <c r="B39" s="43"/>
      <c r="C39" s="526"/>
      <c r="D39" s="511"/>
      <c r="E39" s="511"/>
      <c r="F39" s="527"/>
      <c r="G39" s="527"/>
      <c r="H39" s="533"/>
      <c r="I39" s="253">
        <f t="shared" si="0"/>
        <v>2.433</v>
      </c>
      <c r="J39" s="528"/>
      <c r="K39" s="529"/>
      <c r="L39" s="34">
        <f t="shared" si="1"/>
      </c>
      <c r="M39" s="63">
        <f t="shared" si="2"/>
      </c>
      <c r="N39" s="530"/>
      <c r="O39" s="27">
        <f t="shared" si="3"/>
      </c>
      <c r="P39" s="348">
        <f t="shared" si="4"/>
        <v>20</v>
      </c>
      <c r="Q39" s="563" t="str">
        <f t="shared" si="5"/>
        <v>--</v>
      </c>
      <c r="R39" s="327" t="str">
        <f t="shared" si="6"/>
        <v>--</v>
      </c>
      <c r="S39" s="328" t="str">
        <f t="shared" si="7"/>
        <v>--</v>
      </c>
      <c r="T39" s="359" t="str">
        <f t="shared" si="10"/>
        <v>--</v>
      </c>
      <c r="U39" s="24">
        <f t="shared" si="8"/>
      </c>
      <c r="V39" s="64">
        <f t="shared" si="9"/>
      </c>
      <c r="W39" s="37"/>
    </row>
    <row r="40" spans="2:23" s="10" customFormat="1" ht="16.5" customHeight="1">
      <c r="B40" s="43"/>
      <c r="C40" s="526"/>
      <c r="D40" s="511"/>
      <c r="E40" s="511"/>
      <c r="F40" s="527"/>
      <c r="G40" s="527"/>
      <c r="H40" s="533"/>
      <c r="I40" s="253">
        <f t="shared" si="0"/>
        <v>2.433</v>
      </c>
      <c r="J40" s="528"/>
      <c r="K40" s="529"/>
      <c r="L40" s="34">
        <f t="shared" si="1"/>
      </c>
      <c r="M40" s="63">
        <f t="shared" si="2"/>
      </c>
      <c r="N40" s="530"/>
      <c r="O40" s="27">
        <f t="shared" si="3"/>
      </c>
      <c r="P40" s="348">
        <f t="shared" si="4"/>
        <v>20</v>
      </c>
      <c r="Q40" s="563" t="str">
        <f t="shared" si="5"/>
        <v>--</v>
      </c>
      <c r="R40" s="327" t="str">
        <f t="shared" si="6"/>
        <v>--</v>
      </c>
      <c r="S40" s="328" t="str">
        <f t="shared" si="7"/>
        <v>--</v>
      </c>
      <c r="T40" s="359" t="str">
        <f t="shared" si="10"/>
        <v>--</v>
      </c>
      <c r="U40" s="24">
        <f t="shared" si="8"/>
      </c>
      <c r="V40" s="64">
        <f t="shared" si="9"/>
      </c>
      <c r="W40" s="37"/>
    </row>
    <row r="41" spans="2:23" s="10" customFormat="1" ht="16.5" customHeight="1">
      <c r="B41" s="43"/>
      <c r="C41" s="526"/>
      <c r="D41" s="511"/>
      <c r="E41" s="511"/>
      <c r="F41" s="527"/>
      <c r="G41" s="527"/>
      <c r="H41" s="533"/>
      <c r="I41" s="253">
        <f t="shared" si="0"/>
        <v>2.433</v>
      </c>
      <c r="J41" s="528"/>
      <c r="K41" s="529"/>
      <c r="L41" s="34">
        <f t="shared" si="1"/>
      </c>
      <c r="M41" s="63">
        <f t="shared" si="2"/>
      </c>
      <c r="N41" s="530"/>
      <c r="O41" s="27">
        <f t="shared" si="3"/>
      </c>
      <c r="P41" s="348">
        <f t="shared" si="4"/>
        <v>20</v>
      </c>
      <c r="Q41" s="563" t="str">
        <f t="shared" si="5"/>
        <v>--</v>
      </c>
      <c r="R41" s="327" t="str">
        <f t="shared" si="6"/>
        <v>--</v>
      </c>
      <c r="S41" s="328" t="str">
        <f t="shared" si="7"/>
        <v>--</v>
      </c>
      <c r="T41" s="359" t="str">
        <f>IF(N41="RF",I41*P41*ROUND(M41/60,2),"--")</f>
        <v>--</v>
      </c>
      <c r="U41" s="24">
        <f t="shared" si="8"/>
      </c>
      <c r="V41" s="64">
        <f t="shared" si="9"/>
      </c>
      <c r="W41" s="37"/>
    </row>
    <row r="42" spans="2:23" s="10" customFormat="1" ht="16.5" customHeight="1">
      <c r="B42" s="43"/>
      <c r="C42" s="526"/>
      <c r="D42" s="511"/>
      <c r="E42" s="511"/>
      <c r="F42" s="527"/>
      <c r="G42" s="527"/>
      <c r="H42" s="533"/>
      <c r="I42" s="253">
        <f t="shared" si="0"/>
        <v>2.433</v>
      </c>
      <c r="J42" s="528"/>
      <c r="K42" s="529"/>
      <c r="L42" s="34">
        <f t="shared" si="1"/>
      </c>
      <c r="M42" s="63">
        <f t="shared" si="2"/>
      </c>
      <c r="N42" s="530"/>
      <c r="O42" s="27">
        <f t="shared" si="3"/>
      </c>
      <c r="P42" s="348">
        <f t="shared" si="4"/>
        <v>20</v>
      </c>
      <c r="Q42" s="563" t="str">
        <f t="shared" si="5"/>
        <v>--</v>
      </c>
      <c r="R42" s="327" t="str">
        <f t="shared" si="6"/>
        <v>--</v>
      </c>
      <c r="S42" s="328" t="str">
        <f t="shared" si="7"/>
        <v>--</v>
      </c>
      <c r="T42" s="359" t="str">
        <f>IF(N42="RF",I42*P42*ROUND(M42/60,2),"--")</f>
        <v>--</v>
      </c>
      <c r="U42" s="24">
        <f t="shared" si="8"/>
      </c>
      <c r="V42" s="64">
        <f t="shared" si="9"/>
      </c>
      <c r="W42" s="37"/>
    </row>
    <row r="43" spans="2:23" s="10" customFormat="1" ht="16.5" customHeight="1">
      <c r="B43" s="43"/>
      <c r="C43" s="526"/>
      <c r="D43" s="511"/>
      <c r="E43" s="511"/>
      <c r="F43" s="527"/>
      <c r="G43" s="527"/>
      <c r="H43" s="533"/>
      <c r="I43" s="253">
        <f t="shared" si="0"/>
        <v>2.433</v>
      </c>
      <c r="J43" s="528"/>
      <c r="K43" s="529"/>
      <c r="L43" s="34">
        <f t="shared" si="1"/>
      </c>
      <c r="M43" s="63">
        <f t="shared" si="2"/>
      </c>
      <c r="N43" s="530"/>
      <c r="O43" s="27">
        <f t="shared" si="3"/>
      </c>
      <c r="P43" s="348">
        <f t="shared" si="4"/>
        <v>20</v>
      </c>
      <c r="Q43" s="563" t="str">
        <f t="shared" si="5"/>
        <v>--</v>
      </c>
      <c r="R43" s="327" t="str">
        <f t="shared" si="6"/>
        <v>--</v>
      </c>
      <c r="S43" s="328" t="str">
        <f t="shared" si="7"/>
        <v>--</v>
      </c>
      <c r="T43" s="359" t="str">
        <f>IF(N43="RF",I43*P43*ROUND(M43/60,2),"--")</f>
        <v>--</v>
      </c>
      <c r="U43" s="24">
        <f t="shared" si="8"/>
      </c>
      <c r="V43" s="64">
        <f t="shared" si="9"/>
      </c>
      <c r="W43" s="37"/>
    </row>
    <row r="44" spans="2:23" s="10" customFormat="1" ht="16.5" customHeight="1" thickBot="1">
      <c r="B44" s="43"/>
      <c r="C44" s="514"/>
      <c r="D44" s="514"/>
      <c r="E44" s="514"/>
      <c r="F44" s="514"/>
      <c r="G44" s="514"/>
      <c r="H44" s="514"/>
      <c r="I44" s="252"/>
      <c r="J44" s="514"/>
      <c r="K44" s="514"/>
      <c r="L44" s="28"/>
      <c r="M44" s="28"/>
      <c r="N44" s="514"/>
      <c r="O44" s="514"/>
      <c r="P44" s="531"/>
      <c r="Q44" s="532"/>
      <c r="R44" s="522"/>
      <c r="S44" s="523"/>
      <c r="T44" s="517"/>
      <c r="U44" s="514"/>
      <c r="V44" s="199"/>
      <c r="W44" s="37"/>
    </row>
    <row r="45" spans="2:23" s="10" customFormat="1" ht="16.5" customHeight="1" thickBot="1" thickTop="1">
      <c r="B45" s="43"/>
      <c r="C45" s="220" t="s">
        <v>62</v>
      </c>
      <c r="D45" s="580" t="s">
        <v>158</v>
      </c>
      <c r="E45" s="543"/>
      <c r="F45" s="22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60">
        <f>ROUND(SUM(Q22:Q44),2)</f>
        <v>12.26</v>
      </c>
      <c r="R45" s="288">
        <f>SUM(R22:R44)</f>
        <v>0</v>
      </c>
      <c r="S45" s="288">
        <f>SUM(S22:S44)</f>
        <v>0</v>
      </c>
      <c r="T45" s="361">
        <f>SUM(T22:T44)</f>
        <v>0</v>
      </c>
      <c r="U45" s="65"/>
      <c r="V45" s="236">
        <f>SUM(V22:V44)</f>
        <v>12.26232</v>
      </c>
      <c r="W45" s="37"/>
    </row>
    <row r="46" spans="2:23" s="238" customFormat="1" ht="9.75" thickTop="1">
      <c r="B46" s="237"/>
      <c r="C46" s="222"/>
      <c r="D46" s="222"/>
      <c r="E46" s="222"/>
      <c r="F46" s="223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2"/>
      <c r="V46" s="243"/>
      <c r="W46" s="244"/>
    </row>
    <row r="47" spans="1:23" s="10" customFormat="1" ht="16.5" customHeight="1" thickBot="1">
      <c r="A47" s="11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6"/>
    </row>
    <row r="48" spans="1:23" ht="13.5" thickTop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3:6" ht="12.75">
      <c r="C49" s="6"/>
      <c r="D49" s="6"/>
      <c r="E49" s="6"/>
      <c r="F49" s="6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S110"/>
  <sheetViews>
    <sheetView zoomScalePageLayoutView="0" workbookViewId="0" topLeftCell="E1">
      <selection activeCell="I22" sqref="I22"/>
    </sheetView>
  </sheetViews>
  <sheetFormatPr defaultColWidth="13.421875" defaultRowHeight="12.75"/>
  <cols>
    <col min="1" max="2" width="13.8515625" style="607" customWidth="1"/>
    <col min="3" max="3" width="4.7109375" style="607" customWidth="1"/>
    <col min="4" max="4" width="41.7109375" style="607" customWidth="1"/>
    <col min="5" max="5" width="13.57421875" style="607" customWidth="1"/>
    <col min="6" max="6" width="11.8515625" style="607" customWidth="1"/>
    <col min="7" max="7" width="6.7109375" style="607" customWidth="1"/>
    <col min="8" max="8" width="24.8515625" style="607" bestFit="1" customWidth="1"/>
    <col min="9" max="9" width="19.140625" style="607" customWidth="1"/>
    <col min="10" max="10" width="13.8515625" style="607" customWidth="1"/>
    <col min="11" max="11" width="17.7109375" style="607" customWidth="1"/>
    <col min="12" max="12" width="33.28125" style="607" customWidth="1"/>
    <col min="13" max="13" width="8.421875" style="607" customWidth="1"/>
    <col min="14" max="14" width="9.28125" style="607" customWidth="1"/>
    <col min="15" max="15" width="9.8515625" style="607" customWidth="1"/>
    <col min="16" max="16" width="13.8515625" style="607" customWidth="1"/>
    <col min="17" max="16384" width="13.421875" style="607" customWidth="1"/>
  </cols>
  <sheetData>
    <row r="1" s="584" customFormat="1" ht="39.75" customHeight="1">
      <c r="P1" s="585"/>
    </row>
    <row r="2" spans="1:16" s="584" customFormat="1" ht="30" customHeight="1">
      <c r="A2" s="586"/>
      <c r="B2" s="587" t="str">
        <f>'TOT-1215'!B2</f>
        <v>ANEXO VI al Memorándum  D.T.E.E.  N°  379 / 2016              .-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</row>
    <row r="3" spans="1:4" s="590" customFormat="1" ht="12.75">
      <c r="A3" s="588" t="s">
        <v>137</v>
      </c>
      <c r="B3" s="589"/>
      <c r="C3" s="589"/>
      <c r="D3" s="589"/>
    </row>
    <row r="4" spans="1:4" s="590" customFormat="1" ht="11.25">
      <c r="A4" s="588" t="s">
        <v>166</v>
      </c>
      <c r="B4" s="591"/>
      <c r="C4" s="591"/>
      <c r="D4" s="591"/>
    </row>
    <row r="5" spans="1:4" s="589" customFormat="1" ht="13.5" thickBot="1">
      <c r="A5" s="588"/>
      <c r="B5" s="591"/>
      <c r="C5" s="591"/>
      <c r="D5" s="591"/>
    </row>
    <row r="6" spans="1:16" s="589" customFormat="1" ht="13.5" thickTop="1">
      <c r="A6" s="592"/>
      <c r="B6" s="593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5"/>
    </row>
    <row r="7" spans="1:16" s="599" customFormat="1" ht="20.25">
      <c r="A7" s="596"/>
      <c r="B7" s="597"/>
      <c r="C7" s="596"/>
      <c r="D7" s="598" t="s">
        <v>38</v>
      </c>
      <c r="G7" s="596"/>
      <c r="H7" s="596"/>
      <c r="I7" s="596"/>
      <c r="J7" s="596"/>
      <c r="K7" s="596"/>
      <c r="L7" s="596"/>
      <c r="M7" s="596"/>
      <c r="N7" s="596"/>
      <c r="O7" s="596"/>
      <c r="P7" s="600"/>
    </row>
    <row r="8" spans="1:16" ht="15">
      <c r="A8" s="601"/>
      <c r="B8" s="602"/>
      <c r="C8" s="603"/>
      <c r="D8" s="604"/>
      <c r="E8" s="603"/>
      <c r="F8" s="605"/>
      <c r="G8" s="603"/>
      <c r="H8" s="603"/>
      <c r="I8" s="603"/>
      <c r="J8" s="603"/>
      <c r="K8" s="603"/>
      <c r="L8" s="603"/>
      <c r="M8" s="603"/>
      <c r="N8" s="603"/>
      <c r="O8" s="603"/>
      <c r="P8" s="606"/>
    </row>
    <row r="9" spans="1:19" s="599" customFormat="1" ht="20.25">
      <c r="A9" s="596"/>
      <c r="B9" s="608"/>
      <c r="C9" s="607"/>
      <c r="D9" s="609" t="s">
        <v>162</v>
      </c>
      <c r="E9" s="610"/>
      <c r="F9" s="610"/>
      <c r="G9" s="610"/>
      <c r="H9" s="611"/>
      <c r="I9" s="610"/>
      <c r="J9" s="610"/>
      <c r="K9" s="610"/>
      <c r="L9" s="610"/>
      <c r="M9" s="610"/>
      <c r="N9" s="610"/>
      <c r="O9" s="610"/>
      <c r="P9" s="612"/>
      <c r="Q9" s="613"/>
      <c r="R9" s="614"/>
      <c r="S9" s="614"/>
    </row>
    <row r="10" spans="1:19" s="589" customFormat="1" ht="12.75">
      <c r="A10" s="592"/>
      <c r="B10" s="615"/>
      <c r="C10" s="592"/>
      <c r="D10" s="616"/>
      <c r="E10" s="617"/>
      <c r="F10" s="617"/>
      <c r="G10" s="617"/>
      <c r="H10" s="618"/>
      <c r="I10" s="617"/>
      <c r="J10" s="617"/>
      <c r="K10" s="617"/>
      <c r="L10" s="617"/>
      <c r="M10" s="617"/>
      <c r="N10" s="617"/>
      <c r="O10" s="617"/>
      <c r="P10" s="619"/>
      <c r="Q10" s="617"/>
      <c r="R10" s="617"/>
      <c r="S10" s="620"/>
    </row>
    <row r="11" spans="1:19" s="627" customFormat="1" ht="19.5">
      <c r="A11" s="621"/>
      <c r="B11" s="622" t="str">
        <f>'TOT-1215'!B14</f>
        <v>Desde el 01 al 31 de diciembre de 2015</v>
      </c>
      <c r="C11" s="623"/>
      <c r="D11" s="624"/>
      <c r="E11" s="624"/>
      <c r="F11" s="624"/>
      <c r="G11" s="624"/>
      <c r="H11" s="624"/>
      <c r="I11" s="623"/>
      <c r="J11" s="624"/>
      <c r="K11" s="624"/>
      <c r="L11" s="624"/>
      <c r="M11" s="624"/>
      <c r="N11" s="624"/>
      <c r="O11" s="624"/>
      <c r="P11" s="625"/>
      <c r="Q11" s="626"/>
      <c r="R11" s="626"/>
      <c r="S11" s="626"/>
    </row>
    <row r="12" spans="1:19" ht="15">
      <c r="A12" s="601"/>
      <c r="B12" s="602"/>
      <c r="C12" s="603"/>
      <c r="D12" s="628"/>
      <c r="E12" s="628"/>
      <c r="F12" s="628"/>
      <c r="G12" s="628"/>
      <c r="H12" s="629"/>
      <c r="I12" s="603"/>
      <c r="J12" s="628"/>
      <c r="K12" s="628"/>
      <c r="L12" s="628"/>
      <c r="M12" s="628"/>
      <c r="N12" s="628"/>
      <c r="O12" s="628"/>
      <c r="P12" s="630"/>
      <c r="Q12" s="631"/>
      <c r="R12" s="631"/>
      <c r="S12" s="632"/>
    </row>
    <row r="13" spans="1:19" ht="18" customHeight="1">
      <c r="A13" s="601"/>
      <c r="B13" s="602"/>
      <c r="C13" s="603"/>
      <c r="D13" s="628"/>
      <c r="E13" s="628"/>
      <c r="F13" s="628"/>
      <c r="G13" s="628"/>
      <c r="H13" s="633"/>
      <c r="I13" s="633"/>
      <c r="J13" s="628"/>
      <c r="K13" s="628"/>
      <c r="P13" s="630"/>
      <c r="Q13" s="631"/>
      <c r="R13" s="631"/>
      <c r="S13" s="632"/>
    </row>
    <row r="14" spans="1:19" ht="18" customHeight="1">
      <c r="A14" s="601"/>
      <c r="B14" s="602"/>
      <c r="C14" s="603"/>
      <c r="D14" s="634"/>
      <c r="E14" s="635"/>
      <c r="F14" s="628"/>
      <c r="G14" s="628"/>
      <c r="H14" s="633"/>
      <c r="I14" s="633"/>
      <c r="J14" s="628"/>
      <c r="K14" s="628"/>
      <c r="P14" s="630"/>
      <c r="Q14" s="631"/>
      <c r="R14" s="631"/>
      <c r="S14" s="632"/>
    </row>
    <row r="15" spans="1:16" ht="16.5" thickBot="1">
      <c r="A15" s="601"/>
      <c r="B15" s="602"/>
      <c r="C15" s="636" t="s">
        <v>85</v>
      </c>
      <c r="D15" s="605"/>
      <c r="E15" s="637"/>
      <c r="F15" s="638"/>
      <c r="G15" s="603"/>
      <c r="H15" s="603"/>
      <c r="I15" s="603"/>
      <c r="J15" s="639"/>
      <c r="K15" s="639"/>
      <c r="L15" s="640"/>
      <c r="M15" s="603"/>
      <c r="N15" s="603"/>
      <c r="O15" s="603"/>
      <c r="P15" s="606"/>
    </row>
    <row r="16" spans="1:16" ht="16.5" thickBot="1">
      <c r="A16" s="601"/>
      <c r="B16" s="602"/>
      <c r="C16" s="641"/>
      <c r="D16" s="605"/>
      <c r="E16" s="637"/>
      <c r="F16" s="638"/>
      <c r="G16" s="603"/>
      <c r="H16" s="603"/>
      <c r="L16" s="642" t="s">
        <v>167</v>
      </c>
      <c r="M16" s="643">
        <v>12.14</v>
      </c>
      <c r="N16" s="644"/>
      <c r="O16" s="603"/>
      <c r="P16" s="606"/>
    </row>
    <row r="17" spans="1:16" ht="15.75">
      <c r="A17" s="601"/>
      <c r="B17" s="602"/>
      <c r="C17" s="641"/>
      <c r="D17" s="639" t="s">
        <v>86</v>
      </c>
      <c r="E17" s="645">
        <f>MID(B11,16,2)*24</f>
        <v>744</v>
      </c>
      <c r="F17" s="603" t="s">
        <v>87</v>
      </c>
      <c r="G17" s="628"/>
      <c r="H17" s="646"/>
      <c r="I17" s="647" t="s">
        <v>88</v>
      </c>
      <c r="J17" s="648">
        <v>261.099</v>
      </c>
      <c r="K17" s="649"/>
      <c r="L17" s="650" t="s">
        <v>82</v>
      </c>
      <c r="M17" s="651">
        <v>9.111</v>
      </c>
      <c r="N17" s="652"/>
      <c r="O17" s="603"/>
      <c r="P17" s="606"/>
    </row>
    <row r="18" spans="1:16" ht="16.5" thickBot="1">
      <c r="A18" s="601"/>
      <c r="B18" s="602"/>
      <c r="C18" s="641"/>
      <c r="D18" s="639" t="s">
        <v>89</v>
      </c>
      <c r="E18" s="653">
        <v>0.025</v>
      </c>
      <c r="F18" s="628"/>
      <c r="G18" s="628"/>
      <c r="H18" s="654"/>
      <c r="I18" s="655" t="s">
        <v>90</v>
      </c>
      <c r="J18" s="656">
        <v>0.909</v>
      </c>
      <c r="K18" s="657"/>
      <c r="L18" s="658" t="s">
        <v>83</v>
      </c>
      <c r="M18" s="659">
        <v>9.111</v>
      </c>
      <c r="N18" s="660"/>
      <c r="O18" s="603"/>
      <c r="P18" s="606"/>
    </row>
    <row r="19" spans="1:16" ht="15.75">
      <c r="A19" s="601"/>
      <c r="B19" s="602"/>
      <c r="C19" s="641"/>
      <c r="D19" s="639"/>
      <c r="E19" s="653"/>
      <c r="F19" s="628"/>
      <c r="G19" s="628"/>
      <c r="H19" s="628"/>
      <c r="I19" s="628"/>
      <c r="L19" s="640"/>
      <c r="M19" s="603"/>
      <c r="N19" s="603"/>
      <c r="O19" s="603"/>
      <c r="P19" s="606"/>
    </row>
    <row r="20" spans="1:16" ht="15">
      <c r="A20" s="601"/>
      <c r="B20" s="602"/>
      <c r="C20" s="634" t="s">
        <v>91</v>
      </c>
      <c r="D20" s="661"/>
      <c r="E20" s="637"/>
      <c r="F20" s="638"/>
      <c r="G20" s="603"/>
      <c r="H20" s="603"/>
      <c r="I20" s="603"/>
      <c r="J20" s="639"/>
      <c r="K20" s="639"/>
      <c r="L20" s="640"/>
      <c r="M20" s="603"/>
      <c r="N20" s="603"/>
      <c r="O20" s="603"/>
      <c r="P20" s="606"/>
    </row>
    <row r="21" spans="1:16" ht="15">
      <c r="A21" s="601"/>
      <c r="B21" s="602"/>
      <c r="C21" s="603"/>
      <c r="D21" s="603"/>
      <c r="E21" s="603"/>
      <c r="F21" s="603"/>
      <c r="G21" s="603"/>
      <c r="H21" s="662"/>
      <c r="I21" s="603"/>
      <c r="J21" s="603"/>
      <c r="K21" s="603"/>
      <c r="L21" s="603"/>
      <c r="M21" s="603"/>
      <c r="N21" s="603"/>
      <c r="O21" s="603"/>
      <c r="P21" s="606"/>
    </row>
    <row r="22" spans="1:16" ht="15">
      <c r="A22" s="601"/>
      <c r="B22" s="602"/>
      <c r="C22" s="603"/>
      <c r="D22" s="639" t="s">
        <v>92</v>
      </c>
      <c r="E22" s="603"/>
      <c r="F22" s="662" t="s">
        <v>20</v>
      </c>
      <c r="G22" s="603"/>
      <c r="H22" s="605"/>
      <c r="I22" s="663">
        <v>191343.22</v>
      </c>
      <c r="J22" s="603"/>
      <c r="K22" s="603"/>
      <c r="L22" s="664"/>
      <c r="M22" s="603"/>
      <c r="N22" s="603"/>
      <c r="O22" s="603"/>
      <c r="P22" s="606"/>
    </row>
    <row r="23" spans="1:16" ht="15">
      <c r="A23" s="601"/>
      <c r="B23" s="602"/>
      <c r="C23" s="603"/>
      <c r="D23" s="603"/>
      <c r="E23" s="603"/>
      <c r="F23" s="662" t="s">
        <v>93</v>
      </c>
      <c r="G23" s="603"/>
      <c r="H23" s="605"/>
      <c r="I23" s="663">
        <v>482.6</v>
      </c>
      <c r="J23" s="603"/>
      <c r="K23" s="603"/>
      <c r="L23" s="664"/>
      <c r="M23" s="603"/>
      <c r="N23" s="603"/>
      <c r="O23" s="603"/>
      <c r="P23" s="606"/>
    </row>
    <row r="24" spans="1:16" ht="15">
      <c r="A24" s="601"/>
      <c r="B24" s="602"/>
      <c r="C24" s="603"/>
      <c r="D24" s="603"/>
      <c r="E24" s="603"/>
      <c r="F24" s="662" t="s">
        <v>3</v>
      </c>
      <c r="G24" s="603"/>
      <c r="H24" s="605"/>
      <c r="I24" s="665">
        <v>45.92</v>
      </c>
      <c r="J24" s="603"/>
      <c r="K24" s="603"/>
      <c r="L24" s="664"/>
      <c r="M24" s="603"/>
      <c r="N24" s="603"/>
      <c r="O24" s="603"/>
      <c r="P24" s="606"/>
    </row>
    <row r="25" spans="1:16" ht="15.75" thickBot="1">
      <c r="A25" s="601"/>
      <c r="B25" s="602"/>
      <c r="C25" s="603"/>
      <c r="D25" s="603"/>
      <c r="E25" s="603"/>
      <c r="F25" s="603"/>
      <c r="G25" s="603"/>
      <c r="H25" s="662"/>
      <c r="I25" s="603"/>
      <c r="J25" s="603"/>
      <c r="K25" s="603"/>
      <c r="L25" s="603"/>
      <c r="M25" s="603"/>
      <c r="N25" s="603"/>
      <c r="O25" s="603"/>
      <c r="P25" s="606"/>
    </row>
    <row r="26" spans="2:16" ht="20.25" thickBot="1" thickTop="1">
      <c r="B26" s="602"/>
      <c r="C26" s="666"/>
      <c r="H26" s="667" t="s">
        <v>94</v>
      </c>
      <c r="I26" s="668">
        <f>SUM(I22:I25)</f>
        <v>191871.74000000002</v>
      </c>
      <c r="L26" s="669"/>
      <c r="M26" s="669"/>
      <c r="N26" s="670"/>
      <c r="O26" s="671"/>
      <c r="P26" s="672"/>
    </row>
    <row r="27" spans="2:16" ht="15.75" thickTop="1">
      <c r="B27" s="602"/>
      <c r="C27" s="666"/>
      <c r="D27" s="661"/>
      <c r="E27" s="661"/>
      <c r="F27" s="673"/>
      <c r="G27" s="669"/>
      <c r="H27" s="669"/>
      <c r="I27" s="669"/>
      <c r="J27" s="669"/>
      <c r="K27" s="669"/>
      <c r="L27" s="669"/>
      <c r="M27" s="669"/>
      <c r="N27" s="670"/>
      <c r="O27" s="671"/>
      <c r="P27" s="672"/>
    </row>
    <row r="28" spans="2:16" ht="15">
      <c r="B28" s="602"/>
      <c r="C28" s="634" t="s">
        <v>95</v>
      </c>
      <c r="D28" s="661"/>
      <c r="E28" s="661"/>
      <c r="F28" s="673"/>
      <c r="G28" s="669"/>
      <c r="H28" s="669"/>
      <c r="I28" s="669"/>
      <c r="J28" s="669"/>
      <c r="K28" s="669"/>
      <c r="L28" s="669"/>
      <c r="M28" s="669"/>
      <c r="N28" s="670"/>
      <c r="O28" s="671"/>
      <c r="P28" s="672"/>
    </row>
    <row r="29" spans="2:16" ht="15">
      <c r="B29" s="602"/>
      <c r="C29" s="666"/>
      <c r="D29" s="661"/>
      <c r="E29" s="661"/>
      <c r="F29" s="673"/>
      <c r="G29" s="669"/>
      <c r="H29" s="669"/>
      <c r="I29" s="669"/>
      <c r="J29" s="669"/>
      <c r="K29" s="669"/>
      <c r="L29" s="669"/>
      <c r="M29" s="669"/>
      <c r="N29" s="670"/>
      <c r="O29" s="671"/>
      <c r="P29" s="672"/>
    </row>
    <row r="30" spans="2:16" ht="15.75">
      <c r="B30" s="602"/>
      <c r="C30" s="666"/>
      <c r="D30" s="674" t="s">
        <v>96</v>
      </c>
      <c r="E30" s="675" t="s">
        <v>16</v>
      </c>
      <c r="F30" s="676" t="s">
        <v>97</v>
      </c>
      <c r="G30" s="677"/>
      <c r="H30" s="678" t="s">
        <v>128</v>
      </c>
      <c r="I30" s="679" t="s">
        <v>127</v>
      </c>
      <c r="J30" s="680"/>
      <c r="K30" s="681"/>
      <c r="L30" s="682" t="s">
        <v>2</v>
      </c>
      <c r="N30" s="670"/>
      <c r="O30" s="671"/>
      <c r="P30" s="672"/>
    </row>
    <row r="31" spans="2:16" ht="15.75">
      <c r="B31" s="602"/>
      <c r="C31" s="666"/>
      <c r="D31" s="683" t="s">
        <v>4</v>
      </c>
      <c r="E31" s="684">
        <v>132</v>
      </c>
      <c r="F31" s="685">
        <v>31</v>
      </c>
      <c r="G31" s="686"/>
      <c r="H31" s="687">
        <f>F31*$J$17*$E$17/100</f>
        <v>60219.87335999999</v>
      </c>
      <c r="I31" s="688">
        <v>0</v>
      </c>
      <c r="J31" s="689" t="s">
        <v>170</v>
      </c>
      <c r="K31" s="690"/>
      <c r="L31" s="691">
        <f>SUM(H31:K31)</f>
        <v>60219.87335999999</v>
      </c>
      <c r="M31" s="669"/>
      <c r="N31" s="670"/>
      <c r="O31" s="671"/>
      <c r="P31" s="672"/>
    </row>
    <row r="32" spans="2:16" ht="15.75">
      <c r="B32" s="602"/>
      <c r="C32" s="666"/>
      <c r="D32" s="692" t="s">
        <v>5</v>
      </c>
      <c r="E32" s="661">
        <v>132</v>
      </c>
      <c r="F32" s="673">
        <v>110.3</v>
      </c>
      <c r="G32" s="669"/>
      <c r="H32" s="693">
        <f>F32*$J$17*$E$17/100</f>
        <v>214266.19456799998</v>
      </c>
      <c r="I32" s="694">
        <v>12870</v>
      </c>
      <c r="J32" s="695" t="s">
        <v>170</v>
      </c>
      <c r="K32" s="696"/>
      <c r="L32" s="697">
        <f>SUM(H32:K32)</f>
        <v>227136.19456799998</v>
      </c>
      <c r="M32" s="669"/>
      <c r="N32" s="670"/>
      <c r="O32" s="671"/>
      <c r="P32" s="672"/>
    </row>
    <row r="33" spans="2:16" ht="15.75">
      <c r="B33" s="602"/>
      <c r="C33" s="666"/>
      <c r="D33" s="692" t="s">
        <v>6</v>
      </c>
      <c r="E33" s="661">
        <v>132</v>
      </c>
      <c r="F33" s="673">
        <v>185.6</v>
      </c>
      <c r="G33" s="669"/>
      <c r="H33" s="693">
        <f>F33*$J$17*$E$17/100</f>
        <v>360542.209536</v>
      </c>
      <c r="I33" s="694">
        <v>10763</v>
      </c>
      <c r="J33" s="695" t="s">
        <v>170</v>
      </c>
      <c r="K33" s="696"/>
      <c r="L33" s="697">
        <f>SUM(H33:K33)</f>
        <v>371305.209536</v>
      </c>
      <c r="M33" s="669"/>
      <c r="N33" s="670"/>
      <c r="O33" s="671"/>
      <c r="P33" s="672"/>
    </row>
    <row r="34" spans="2:16" ht="15.75">
      <c r="B34" s="602"/>
      <c r="C34" s="666"/>
      <c r="D34" s="698" t="s">
        <v>7</v>
      </c>
      <c r="E34" s="699">
        <v>132</v>
      </c>
      <c r="F34" s="700">
        <v>7</v>
      </c>
      <c r="G34" s="701"/>
      <c r="H34" s="702">
        <f>F34*$J$17*$E$17/100</f>
        <v>13598.03592</v>
      </c>
      <c r="I34" s="703">
        <v>1</v>
      </c>
      <c r="J34" s="704" t="s">
        <v>170</v>
      </c>
      <c r="K34" s="705"/>
      <c r="L34" s="706">
        <f>SUM(H34:K34)</f>
        <v>13599.03592</v>
      </c>
      <c r="M34" s="669"/>
      <c r="N34" s="670"/>
      <c r="O34" s="671"/>
      <c r="P34" s="672"/>
    </row>
    <row r="35" spans="2:16" ht="15">
      <c r="B35" s="602"/>
      <c r="C35" s="666"/>
      <c r="D35" s="661"/>
      <c r="E35" s="661"/>
      <c r="F35" s="707"/>
      <c r="G35" s="669"/>
      <c r="I35" s="708"/>
      <c r="J35" s="696"/>
      <c r="K35" s="696"/>
      <c r="L35" s="709">
        <f>SUM(L31:L34)</f>
        <v>672260.313384</v>
      </c>
      <c r="M35" s="669"/>
      <c r="N35" s="670"/>
      <c r="O35" s="671"/>
      <c r="P35" s="672"/>
    </row>
    <row r="36" spans="2:16" ht="15">
      <c r="B36" s="602"/>
      <c r="C36" s="666"/>
      <c r="D36" s="661"/>
      <c r="E36" s="661"/>
      <c r="F36" s="707"/>
      <c r="G36" s="669"/>
      <c r="I36" s="708"/>
      <c r="J36" s="696"/>
      <c r="K36" s="696"/>
      <c r="L36" s="710"/>
      <c r="M36" s="669"/>
      <c r="N36" s="670"/>
      <c r="O36" s="671"/>
      <c r="P36" s="672"/>
    </row>
    <row r="37" spans="2:16" ht="15.75">
      <c r="B37" s="602"/>
      <c r="C37" s="666"/>
      <c r="D37" s="674" t="s">
        <v>98</v>
      </c>
      <c r="E37" s="675" t="s">
        <v>99</v>
      </c>
      <c r="F37" s="711" t="s">
        <v>109</v>
      </c>
      <c r="G37" s="712"/>
      <c r="H37" s="713" t="s">
        <v>129</v>
      </c>
      <c r="J37" s="714" t="s">
        <v>100</v>
      </c>
      <c r="K37" s="715"/>
      <c r="L37" s="681" t="s">
        <v>48</v>
      </c>
      <c r="M37" s="675" t="s">
        <v>16</v>
      </c>
      <c r="N37" s="716" t="s">
        <v>101</v>
      </c>
      <c r="O37" s="717"/>
      <c r="P37" s="672"/>
    </row>
    <row r="38" spans="2:16" ht="15">
      <c r="B38" s="602"/>
      <c r="C38" s="666"/>
      <c r="D38" s="683" t="s">
        <v>10</v>
      </c>
      <c r="E38" s="684" t="s">
        <v>110</v>
      </c>
      <c r="F38" s="718">
        <v>30</v>
      </c>
      <c r="G38" s="719"/>
      <c r="H38" s="691">
        <f>+F38*$J$18*$E$17</f>
        <v>20288.88</v>
      </c>
      <c r="J38" s="720" t="s">
        <v>111</v>
      </c>
      <c r="K38" s="721"/>
      <c r="L38" s="686" t="s">
        <v>112</v>
      </c>
      <c r="M38" s="722">
        <v>132</v>
      </c>
      <c r="N38" s="723">
        <f>M16*E17</f>
        <v>9032.16</v>
      </c>
      <c r="O38" s="724"/>
      <c r="P38" s="672"/>
    </row>
    <row r="39" spans="2:16" ht="15">
      <c r="B39" s="602"/>
      <c r="C39" s="666"/>
      <c r="D39" s="692" t="s">
        <v>13</v>
      </c>
      <c r="E39" s="661" t="s">
        <v>113</v>
      </c>
      <c r="F39" s="725">
        <v>88</v>
      </c>
      <c r="G39" s="726"/>
      <c r="H39" s="697">
        <f>+F39*$J$18*$E$17</f>
        <v>59514.048</v>
      </c>
      <c r="J39" s="727" t="s">
        <v>11</v>
      </c>
      <c r="K39" s="728"/>
      <c r="L39" s="669" t="s">
        <v>114</v>
      </c>
      <c r="M39" s="670">
        <v>33</v>
      </c>
      <c r="N39" s="729">
        <f>+M17*E17*2</f>
        <v>13557.168000000001</v>
      </c>
      <c r="O39" s="730"/>
      <c r="P39" s="672"/>
    </row>
    <row r="40" spans="2:16" ht="15">
      <c r="B40" s="602"/>
      <c r="C40" s="666"/>
      <c r="D40" s="692" t="s">
        <v>11</v>
      </c>
      <c r="E40" s="661" t="s">
        <v>9</v>
      </c>
      <c r="F40" s="725">
        <v>7.5</v>
      </c>
      <c r="G40" s="726"/>
      <c r="H40" s="697">
        <f>+F40*$J$18*$E$17</f>
        <v>5072.22</v>
      </c>
      <c r="J40" s="727" t="s">
        <v>12</v>
      </c>
      <c r="K40" s="728"/>
      <c r="L40" s="669" t="s">
        <v>115</v>
      </c>
      <c r="M40" s="670">
        <v>33</v>
      </c>
      <c r="N40" s="729">
        <f>3*M17*E17</f>
        <v>20335.752</v>
      </c>
      <c r="O40" s="730"/>
      <c r="P40" s="672"/>
    </row>
    <row r="41" spans="2:16" ht="15">
      <c r="B41" s="602"/>
      <c r="C41" s="666"/>
      <c r="D41" s="692" t="s">
        <v>12</v>
      </c>
      <c r="E41" s="661" t="s">
        <v>9</v>
      </c>
      <c r="F41" s="725">
        <v>15</v>
      </c>
      <c r="G41" s="726"/>
      <c r="H41" s="697">
        <f>+F41*$J$18*$E$17</f>
        <v>10144.44</v>
      </c>
      <c r="J41" s="727" t="s">
        <v>14</v>
      </c>
      <c r="K41" s="728"/>
      <c r="L41" s="669" t="s">
        <v>116</v>
      </c>
      <c r="M41" s="670">
        <v>13.2</v>
      </c>
      <c r="N41" s="729">
        <f>+M18*E17*6</f>
        <v>40671.504</v>
      </c>
      <c r="O41" s="730"/>
      <c r="P41" s="672"/>
    </row>
    <row r="42" spans="2:16" ht="15">
      <c r="B42" s="602"/>
      <c r="C42" s="666"/>
      <c r="D42" s="698" t="s">
        <v>14</v>
      </c>
      <c r="E42" s="699" t="s">
        <v>117</v>
      </c>
      <c r="F42" s="731">
        <v>30</v>
      </c>
      <c r="G42" s="732"/>
      <c r="H42" s="697">
        <f>+F42*$J$18*$E$17</f>
        <v>20288.88</v>
      </c>
      <c r="J42" s="727" t="s">
        <v>10</v>
      </c>
      <c r="K42" s="728"/>
      <c r="L42" s="669" t="s">
        <v>118</v>
      </c>
      <c r="M42" s="670"/>
      <c r="N42" s="729">
        <f>+M17*E17+M18*E17*2</f>
        <v>20335.752</v>
      </c>
      <c r="O42" s="730"/>
      <c r="P42" s="672"/>
    </row>
    <row r="43" spans="2:16" ht="15">
      <c r="B43" s="602"/>
      <c r="C43" s="666"/>
      <c r="D43" s="661"/>
      <c r="E43" s="661"/>
      <c r="F43" s="707"/>
      <c r="G43" s="669"/>
      <c r="H43" s="709">
        <f>SUM(H38:H42)</f>
        <v>115308.46800000001</v>
      </c>
      <c r="J43" s="733" t="s">
        <v>13</v>
      </c>
      <c r="K43" s="734"/>
      <c r="L43" s="701" t="s">
        <v>119</v>
      </c>
      <c r="M43" s="735"/>
      <c r="N43" s="736">
        <f>(M16+M17+M18*5)*E17</f>
        <v>49703.66400000001</v>
      </c>
      <c r="O43" s="737"/>
      <c r="P43" s="672"/>
    </row>
    <row r="44" spans="2:16" ht="15">
      <c r="B44" s="602"/>
      <c r="C44" s="666"/>
      <c r="D44" s="661"/>
      <c r="E44" s="661"/>
      <c r="F44" s="707"/>
      <c r="G44" s="669"/>
      <c r="I44" s="708"/>
      <c r="J44" s="696"/>
      <c r="K44" s="696"/>
      <c r="L44" s="710"/>
      <c r="M44" s="669"/>
      <c r="N44" s="738">
        <f>SUM(N38:N43)</f>
        <v>153636.00000000003</v>
      </c>
      <c r="O44" s="717"/>
      <c r="P44" s="672"/>
    </row>
    <row r="45" spans="2:16" ht="12.75" customHeight="1" thickBot="1">
      <c r="B45" s="602"/>
      <c r="C45" s="666"/>
      <c r="D45" s="661"/>
      <c r="E45" s="661"/>
      <c r="F45" s="673"/>
      <c r="G45" s="669"/>
      <c r="H45" s="708"/>
      <c r="I45" s="661"/>
      <c r="J45" s="661"/>
      <c r="K45" s="661"/>
      <c r="L45" s="669"/>
      <c r="M45" s="669"/>
      <c r="N45" s="670"/>
      <c r="O45" s="671"/>
      <c r="P45" s="672"/>
    </row>
    <row r="46" spans="2:16" ht="20.25" thickBot="1" thickTop="1">
      <c r="B46" s="602"/>
      <c r="C46" s="666"/>
      <c r="D46" s="661"/>
      <c r="E46" s="661"/>
      <c r="F46" s="673"/>
      <c r="G46" s="669"/>
      <c r="H46" s="739" t="s">
        <v>102</v>
      </c>
      <c r="I46" s="740">
        <f>+H43+N44+L35</f>
        <v>941204.7813840001</v>
      </c>
      <c r="J46" s="661"/>
      <c r="K46" s="739" t="s">
        <v>168</v>
      </c>
      <c r="L46" s="740">
        <v>268692.167952</v>
      </c>
      <c r="M46" s="669"/>
      <c r="N46" s="670"/>
      <c r="O46" s="671"/>
      <c r="P46" s="672"/>
    </row>
    <row r="47" spans="2:16" ht="15.75" thickTop="1">
      <c r="B47" s="602"/>
      <c r="C47" s="666"/>
      <c r="D47" s="661"/>
      <c r="E47" s="661"/>
      <c r="F47" s="673"/>
      <c r="G47" s="669"/>
      <c r="H47" s="708"/>
      <c r="I47" s="661"/>
      <c r="J47" s="661"/>
      <c r="K47" s="661"/>
      <c r="L47" s="669"/>
      <c r="M47" s="669"/>
      <c r="N47" s="670"/>
      <c r="O47" s="671"/>
      <c r="P47" s="672"/>
    </row>
    <row r="48" spans="2:16" ht="15.75">
      <c r="B48" s="602"/>
      <c r="C48" s="741" t="s">
        <v>103</v>
      </c>
      <c r="D48" s="661"/>
      <c r="E48" s="661"/>
      <c r="F48" s="673"/>
      <c r="G48" s="669"/>
      <c r="H48" s="708"/>
      <c r="I48" s="661"/>
      <c r="J48" s="661"/>
      <c r="K48" s="661"/>
      <c r="L48" s="669"/>
      <c r="M48" s="669"/>
      <c r="N48" s="670"/>
      <c r="O48" s="671"/>
      <c r="P48" s="672"/>
    </row>
    <row r="49" spans="2:16" ht="15.75" thickBot="1">
      <c r="B49" s="602"/>
      <c r="C49" s="666"/>
      <c r="D49" s="661"/>
      <c r="E49" s="661"/>
      <c r="F49" s="673"/>
      <c r="G49" s="669"/>
      <c r="H49" s="708"/>
      <c r="I49" s="661"/>
      <c r="J49" s="661"/>
      <c r="K49" s="661"/>
      <c r="L49" s="669"/>
      <c r="M49" s="669"/>
      <c r="N49" s="670"/>
      <c r="O49" s="671"/>
      <c r="P49" s="672"/>
    </row>
    <row r="50" spans="2:16" ht="20.25" thickBot="1" thickTop="1">
      <c r="B50" s="602"/>
      <c r="C50" s="666"/>
      <c r="D50" s="742" t="s">
        <v>104</v>
      </c>
      <c r="F50" s="743"/>
      <c r="G50" s="603"/>
      <c r="H50" s="744" t="s">
        <v>105</v>
      </c>
      <c r="I50" s="745">
        <f>E18*L46</f>
        <v>6717.3041988</v>
      </c>
      <c r="J50" s="628"/>
      <c r="K50" s="628" t="s">
        <v>169</v>
      </c>
      <c r="O50" s="628"/>
      <c r="P50" s="672"/>
    </row>
    <row r="51" spans="2:16" ht="21.75" thickTop="1">
      <c r="B51" s="602"/>
      <c r="C51" s="666"/>
      <c r="F51" s="746"/>
      <c r="G51" s="596"/>
      <c r="I51" s="628"/>
      <c r="J51" s="628"/>
      <c r="O51" s="628"/>
      <c r="P51" s="672"/>
    </row>
    <row r="52" spans="2:16" ht="15">
      <c r="B52" s="602"/>
      <c r="C52" s="634" t="s">
        <v>106</v>
      </c>
      <c r="E52" s="628"/>
      <c r="F52" s="628"/>
      <c r="G52" s="628"/>
      <c r="H52" s="628"/>
      <c r="I52" s="669"/>
      <c r="J52" s="669"/>
      <c r="K52" s="669"/>
      <c r="L52" s="669"/>
      <c r="M52" s="669"/>
      <c r="N52" s="670"/>
      <c r="O52" s="671"/>
      <c r="P52" s="672"/>
    </row>
    <row r="53" spans="2:16" ht="15">
      <c r="B53" s="602"/>
      <c r="C53" s="666"/>
      <c r="D53" s="747" t="s">
        <v>107</v>
      </c>
      <c r="E53" s="693">
        <f>10*I26*I50/I46</f>
        <v>13693.734564733608</v>
      </c>
      <c r="F53" s="748"/>
      <c r="H53" s="628"/>
      <c r="I53" s="669"/>
      <c r="J53" s="669"/>
      <c r="K53" s="669"/>
      <c r="L53" s="669"/>
      <c r="M53" s="669"/>
      <c r="N53" s="670"/>
      <c r="O53" s="671"/>
      <c r="P53" s="672"/>
    </row>
    <row r="54" spans="2:16" ht="15">
      <c r="B54" s="602"/>
      <c r="C54" s="666"/>
      <c r="D54" s="628"/>
      <c r="E54" s="628"/>
      <c r="J54" s="669"/>
      <c r="K54" s="669"/>
      <c r="L54" s="669"/>
      <c r="M54" s="669"/>
      <c r="N54" s="670"/>
      <c r="O54" s="671"/>
      <c r="P54" s="672"/>
    </row>
    <row r="55" spans="2:16" ht="15">
      <c r="B55" s="602"/>
      <c r="C55" s="666"/>
      <c r="D55" s="628" t="s">
        <v>120</v>
      </c>
      <c r="E55" s="628"/>
      <c r="F55" s="628"/>
      <c r="G55" s="628"/>
      <c r="H55" s="628"/>
      <c r="M55" s="669"/>
      <c r="N55" s="670"/>
      <c r="O55" s="671"/>
      <c r="P55" s="672"/>
    </row>
    <row r="56" spans="2:16" ht="15.75" thickBot="1">
      <c r="B56" s="602"/>
      <c r="C56" s="666"/>
      <c r="D56" s="628"/>
      <c r="E56" s="628"/>
      <c r="F56" s="628"/>
      <c r="G56" s="628"/>
      <c r="H56" s="628"/>
      <c r="M56" s="669"/>
      <c r="N56" s="670"/>
      <c r="O56" s="671"/>
      <c r="P56" s="672"/>
    </row>
    <row r="57" spans="2:16" ht="20.25" thickBot="1" thickTop="1">
      <c r="B57" s="602"/>
      <c r="C57" s="666"/>
      <c r="D57" s="661"/>
      <c r="E57" s="661"/>
      <c r="F57" s="673"/>
      <c r="G57" s="669"/>
      <c r="H57" s="749" t="s">
        <v>108</v>
      </c>
      <c r="I57" s="750">
        <f>IF($E$53&gt;3*I50,3*I50,$E$53)</f>
        <v>13693.734564733608</v>
      </c>
      <c r="J57" s="669"/>
      <c r="K57" s="669"/>
      <c r="L57" s="669"/>
      <c r="M57" s="669"/>
      <c r="N57" s="670"/>
      <c r="O57" s="671"/>
      <c r="P57" s="672"/>
    </row>
    <row r="58" spans="2:16" ht="16.5" thickBot="1" thickTop="1">
      <c r="B58" s="751"/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3"/>
    </row>
    <row r="59" spans="2:16" ht="13.5" thickTop="1">
      <c r="B59" s="601"/>
      <c r="P59" s="601"/>
    </row>
    <row r="61" ht="12.75">
      <c r="A61" s="601"/>
    </row>
    <row r="62" ht="12.75">
      <c r="A62" s="601"/>
    </row>
    <row r="63" ht="12.75">
      <c r="A63" s="601"/>
    </row>
    <row r="64" ht="12.75">
      <c r="A64" s="601"/>
    </row>
    <row r="65" ht="12.75">
      <c r="A65" s="601"/>
    </row>
    <row r="68" ht="12" customHeight="1"/>
    <row r="104" ht="12.75">
      <c r="B104" s="601"/>
    </row>
    <row r="110" ht="12.75">
      <c r="A110" s="601"/>
    </row>
  </sheetData>
  <sheetProtection/>
  <printOptions horizontalCentered="1"/>
  <pageMargins left="0.28" right="0.1968503937007874" top="0.5118110236220472" bottom="0.39" header="0.35433070866141736" footer="0.19"/>
  <pageSetup fitToHeight="1" fitToWidth="1" horizontalDpi="600" verticalDpi="600" orientation="landscape" paperSize="9" scale="56" r:id="rId4"/>
  <headerFooter alignWithMargins="0">
    <oddFooter>&amp;L&amp;"Times New Roman,Normal"&amp;8&amp;Z&amp;F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S108"/>
  <sheetViews>
    <sheetView zoomScale="75" zoomScaleNormal="75" zoomScalePageLayoutView="0" workbookViewId="0" topLeftCell="A1">
      <selection activeCell="N46" sqref="N46"/>
    </sheetView>
  </sheetViews>
  <sheetFormatPr defaultColWidth="13.421875" defaultRowHeight="12.75"/>
  <cols>
    <col min="1" max="2" width="13.8515625" style="607" customWidth="1"/>
    <col min="3" max="3" width="4.7109375" style="607" customWidth="1"/>
    <col min="4" max="4" width="41.7109375" style="607" customWidth="1"/>
    <col min="5" max="5" width="13.57421875" style="607" customWidth="1"/>
    <col min="6" max="6" width="11.8515625" style="607" customWidth="1"/>
    <col min="7" max="7" width="6.7109375" style="607" customWidth="1"/>
    <col min="8" max="8" width="24.8515625" style="607" bestFit="1" customWidth="1"/>
    <col min="9" max="9" width="19.140625" style="607" customWidth="1"/>
    <col min="10" max="10" width="13.8515625" style="607" customWidth="1"/>
    <col min="11" max="11" width="14.57421875" style="607" customWidth="1"/>
    <col min="12" max="12" width="26.421875" style="607" customWidth="1"/>
    <col min="13" max="13" width="8.421875" style="607" customWidth="1"/>
    <col min="14" max="14" width="9.28125" style="607" customWidth="1"/>
    <col min="15" max="15" width="9.8515625" style="607" customWidth="1"/>
    <col min="16" max="16" width="13.8515625" style="607" customWidth="1"/>
    <col min="17" max="16384" width="13.421875" style="607" customWidth="1"/>
  </cols>
  <sheetData>
    <row r="1" s="584" customFormat="1" ht="39.75" customHeight="1">
      <c r="P1" s="585"/>
    </row>
    <row r="2" spans="1:16" s="584" customFormat="1" ht="26.25">
      <c r="A2" s="586"/>
      <c r="B2" s="587" t="str">
        <f>'TOT-1215'!B2</f>
        <v>ANEXO VI al Memorándum  D.T.E.E.  N°  379 / 2016              .-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</row>
    <row r="3" spans="1:3" s="590" customFormat="1" ht="12.75">
      <c r="A3" s="588" t="s">
        <v>137</v>
      </c>
      <c r="B3" s="589"/>
      <c r="C3" s="589"/>
    </row>
    <row r="4" spans="1:3" s="590" customFormat="1" ht="11.25">
      <c r="A4" s="588" t="s">
        <v>166</v>
      </c>
      <c r="B4" s="591"/>
      <c r="C4" s="591"/>
    </row>
    <row r="5" s="589" customFormat="1" ht="13.5" thickBot="1"/>
    <row r="6" spans="1:16" s="589" customFormat="1" ht="13.5" thickTop="1">
      <c r="A6" s="592"/>
      <c r="B6" s="593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5"/>
    </row>
    <row r="7" spans="1:16" s="599" customFormat="1" ht="20.25">
      <c r="A7" s="596"/>
      <c r="B7" s="597"/>
      <c r="C7" s="596"/>
      <c r="D7" s="598" t="s">
        <v>38</v>
      </c>
      <c r="G7" s="596"/>
      <c r="H7" s="596"/>
      <c r="I7" s="596"/>
      <c r="J7" s="596"/>
      <c r="K7" s="596"/>
      <c r="L7" s="596"/>
      <c r="M7" s="596"/>
      <c r="N7" s="596"/>
      <c r="O7" s="596"/>
      <c r="P7" s="600"/>
    </row>
    <row r="8" spans="1:16" ht="15">
      <c r="A8" s="601"/>
      <c r="B8" s="602"/>
      <c r="C8" s="603"/>
      <c r="D8" s="604"/>
      <c r="E8" s="603"/>
      <c r="F8" s="605"/>
      <c r="G8" s="603"/>
      <c r="H8" s="603"/>
      <c r="I8" s="603"/>
      <c r="J8" s="603"/>
      <c r="K8" s="603"/>
      <c r="L8" s="603"/>
      <c r="M8" s="603"/>
      <c r="N8" s="603"/>
      <c r="O8" s="603"/>
      <c r="P8" s="606"/>
    </row>
    <row r="9" spans="1:19" s="599" customFormat="1" ht="20.25">
      <c r="A9" s="596"/>
      <c r="B9" s="608"/>
      <c r="C9" s="607"/>
      <c r="D9" s="609" t="s">
        <v>180</v>
      </c>
      <c r="E9" s="610"/>
      <c r="F9" s="610"/>
      <c r="G9" s="610"/>
      <c r="H9" s="611"/>
      <c r="I9" s="610"/>
      <c r="J9" s="610"/>
      <c r="K9" s="610"/>
      <c r="L9" s="610"/>
      <c r="M9" s="610"/>
      <c r="N9" s="610"/>
      <c r="O9" s="610"/>
      <c r="P9" s="612"/>
      <c r="Q9" s="613"/>
      <c r="R9" s="614"/>
      <c r="S9" s="614"/>
    </row>
    <row r="10" spans="1:19" s="589" customFormat="1" ht="12.75">
      <c r="A10" s="592"/>
      <c r="B10" s="615"/>
      <c r="C10" s="592"/>
      <c r="D10" s="616"/>
      <c r="E10" s="617"/>
      <c r="F10" s="617"/>
      <c r="G10" s="617"/>
      <c r="H10" s="618"/>
      <c r="I10" s="617"/>
      <c r="J10" s="617"/>
      <c r="K10" s="617"/>
      <c r="L10" s="617"/>
      <c r="M10" s="617"/>
      <c r="N10" s="617"/>
      <c r="O10" s="617"/>
      <c r="P10" s="619"/>
      <c r="Q10" s="617"/>
      <c r="R10" s="617"/>
      <c r="S10" s="620"/>
    </row>
    <row r="11" spans="1:19" s="627" customFormat="1" ht="19.5">
      <c r="A11" s="621"/>
      <c r="B11" s="622" t="str">
        <f>'TOT-1215'!B14</f>
        <v>Desde el 01 al 31 de diciembre de 2015</v>
      </c>
      <c r="C11" s="623"/>
      <c r="D11" s="624"/>
      <c r="E11" s="624"/>
      <c r="F11" s="624"/>
      <c r="G11" s="624"/>
      <c r="H11" s="624"/>
      <c r="I11" s="623"/>
      <c r="J11" s="624"/>
      <c r="K11" s="624"/>
      <c r="L11" s="624"/>
      <c r="M11" s="624"/>
      <c r="N11" s="624"/>
      <c r="O11" s="624"/>
      <c r="P11" s="625"/>
      <c r="Q11" s="626"/>
      <c r="R11" s="626"/>
      <c r="S11" s="626"/>
    </row>
    <row r="12" spans="1:19" ht="15">
      <c r="A12" s="601"/>
      <c r="B12" s="602"/>
      <c r="C12" s="603"/>
      <c r="D12" s="628"/>
      <c r="E12" s="628"/>
      <c r="F12" s="628"/>
      <c r="G12" s="628"/>
      <c r="H12" s="629"/>
      <c r="I12" s="603"/>
      <c r="J12" s="628"/>
      <c r="K12" s="628"/>
      <c r="L12" s="628"/>
      <c r="M12" s="628"/>
      <c r="N12" s="628"/>
      <c r="O12" s="628"/>
      <c r="P12" s="630"/>
      <c r="Q12" s="631"/>
      <c r="R12" s="631"/>
      <c r="S12" s="632"/>
    </row>
    <row r="13" spans="1:19" ht="18" customHeight="1">
      <c r="A13" s="601"/>
      <c r="B13" s="602"/>
      <c r="C13" s="603"/>
      <c r="D13" s="628"/>
      <c r="E13" s="628"/>
      <c r="F13" s="628"/>
      <c r="G13" s="628"/>
      <c r="H13" s="633"/>
      <c r="I13" s="633"/>
      <c r="J13" s="628"/>
      <c r="K13" s="628"/>
      <c r="P13" s="630"/>
      <c r="Q13" s="631"/>
      <c r="R13" s="631"/>
      <c r="S13" s="632"/>
    </row>
    <row r="14" spans="1:19" ht="18" customHeight="1">
      <c r="A14" s="601"/>
      <c r="B14" s="602"/>
      <c r="C14" s="603"/>
      <c r="D14" s="634"/>
      <c r="E14" s="635"/>
      <c r="F14" s="628"/>
      <c r="G14" s="628"/>
      <c r="H14" s="633"/>
      <c r="I14" s="633"/>
      <c r="J14" s="628"/>
      <c r="K14" s="628"/>
      <c r="P14" s="630"/>
      <c r="Q14" s="631"/>
      <c r="R14" s="631"/>
      <c r="S14" s="632"/>
    </row>
    <row r="15" spans="1:16" ht="16.5" thickBot="1">
      <c r="A15" s="601"/>
      <c r="B15" s="602"/>
      <c r="C15" s="636" t="s">
        <v>85</v>
      </c>
      <c r="D15" s="605"/>
      <c r="E15" s="637"/>
      <c r="F15" s="638"/>
      <c r="G15" s="603"/>
      <c r="H15" s="603"/>
      <c r="I15" s="603"/>
      <c r="J15" s="639"/>
      <c r="K15" s="639"/>
      <c r="L15" s="640"/>
      <c r="M15" s="603"/>
      <c r="N15" s="603"/>
      <c r="O15" s="603"/>
      <c r="P15" s="606"/>
    </row>
    <row r="16" spans="1:16" ht="16.5" thickBot="1">
      <c r="A16" s="601"/>
      <c r="B16" s="602"/>
      <c r="C16" s="641"/>
      <c r="D16" s="605"/>
      <c r="E16" s="637"/>
      <c r="F16" s="638"/>
      <c r="G16" s="603"/>
      <c r="H16" s="603"/>
      <c r="L16" s="642" t="s">
        <v>171</v>
      </c>
      <c r="M16" s="643">
        <v>12.14</v>
      </c>
      <c r="N16" s="644"/>
      <c r="O16" s="603"/>
      <c r="P16" s="606"/>
    </row>
    <row r="17" spans="1:16" ht="15.75">
      <c r="A17" s="601"/>
      <c r="B17" s="602"/>
      <c r="C17" s="641"/>
      <c r="D17" s="639" t="s">
        <v>86</v>
      </c>
      <c r="E17" s="645">
        <f>MID(B11,16,2)*24</f>
        <v>744</v>
      </c>
      <c r="F17" s="603" t="s">
        <v>87</v>
      </c>
      <c r="G17" s="628"/>
      <c r="H17" s="646"/>
      <c r="I17" s="647" t="s">
        <v>88</v>
      </c>
      <c r="J17" s="648">
        <v>261.099</v>
      </c>
      <c r="K17" s="649"/>
      <c r="L17" s="650" t="s">
        <v>82</v>
      </c>
      <c r="M17" s="651">
        <v>9.111</v>
      </c>
      <c r="N17" s="652"/>
      <c r="O17" s="603"/>
      <c r="P17" s="606"/>
    </row>
    <row r="18" spans="1:16" ht="16.5" thickBot="1">
      <c r="A18" s="601"/>
      <c r="B18" s="602"/>
      <c r="C18" s="641"/>
      <c r="D18" s="639" t="s">
        <v>89</v>
      </c>
      <c r="E18" s="653">
        <v>0.025</v>
      </c>
      <c r="F18" s="628"/>
      <c r="G18" s="628"/>
      <c r="H18" s="654"/>
      <c r="I18" s="655" t="s">
        <v>90</v>
      </c>
      <c r="J18" s="656">
        <v>0.909</v>
      </c>
      <c r="K18" s="657"/>
      <c r="L18" s="658" t="s">
        <v>83</v>
      </c>
      <c r="M18" s="659">
        <v>9.111</v>
      </c>
      <c r="N18" s="660"/>
      <c r="O18" s="603"/>
      <c r="P18" s="606"/>
    </row>
    <row r="19" spans="1:16" ht="15.75">
      <c r="A19" s="601"/>
      <c r="B19" s="602"/>
      <c r="C19" s="641"/>
      <c r="D19" s="639"/>
      <c r="E19" s="653"/>
      <c r="F19" s="628"/>
      <c r="G19" s="628"/>
      <c r="H19" s="628"/>
      <c r="I19" s="628"/>
      <c r="L19" s="640"/>
      <c r="M19" s="603"/>
      <c r="N19" s="603"/>
      <c r="O19" s="603"/>
      <c r="P19" s="606"/>
    </row>
    <row r="20" spans="1:16" ht="15">
      <c r="A20" s="601"/>
      <c r="B20" s="602"/>
      <c r="C20" s="634" t="s">
        <v>91</v>
      </c>
      <c r="D20" s="661"/>
      <c r="E20" s="637"/>
      <c r="F20" s="638"/>
      <c r="G20" s="603"/>
      <c r="H20" s="603"/>
      <c r="I20" s="603"/>
      <c r="J20" s="639"/>
      <c r="K20" s="639"/>
      <c r="L20" s="640"/>
      <c r="M20" s="603"/>
      <c r="N20" s="603"/>
      <c r="O20" s="603"/>
      <c r="P20" s="606"/>
    </row>
    <row r="21" spans="1:16" ht="15">
      <c r="A21" s="601"/>
      <c r="B21" s="602"/>
      <c r="C21" s="603"/>
      <c r="D21" s="603"/>
      <c r="E21" s="603"/>
      <c r="F21" s="603"/>
      <c r="G21" s="603"/>
      <c r="H21" s="662"/>
      <c r="I21" s="603"/>
      <c r="J21" s="603"/>
      <c r="K21" s="603"/>
      <c r="L21" s="603"/>
      <c r="M21" s="603"/>
      <c r="N21" s="603"/>
      <c r="O21" s="603"/>
      <c r="P21" s="606"/>
    </row>
    <row r="22" spans="1:16" ht="15">
      <c r="A22" s="601"/>
      <c r="B22" s="602"/>
      <c r="C22" s="603"/>
      <c r="D22" s="639" t="s">
        <v>92</v>
      </c>
      <c r="E22" s="603"/>
      <c r="F22" s="662" t="s">
        <v>20</v>
      </c>
      <c r="G22" s="603"/>
      <c r="H22" s="605"/>
      <c r="I22" s="663">
        <v>62658.06</v>
      </c>
      <c r="J22" s="603"/>
      <c r="K22" s="603"/>
      <c r="L22" s="664"/>
      <c r="M22" s="603"/>
      <c r="N22" s="603"/>
      <c r="O22" s="603"/>
      <c r="P22" s="606"/>
    </row>
    <row r="23" spans="1:16" ht="15">
      <c r="A23" s="601"/>
      <c r="B23" s="602"/>
      <c r="C23" s="603"/>
      <c r="D23" s="603"/>
      <c r="E23" s="603"/>
      <c r="F23" s="662" t="s">
        <v>93</v>
      </c>
      <c r="G23" s="603"/>
      <c r="H23" s="605"/>
      <c r="I23" s="663">
        <v>0</v>
      </c>
      <c r="J23" s="603"/>
      <c r="K23" s="603"/>
      <c r="L23" s="664"/>
      <c r="M23" s="603"/>
      <c r="N23" s="603"/>
      <c r="O23" s="603"/>
      <c r="P23" s="606"/>
    </row>
    <row r="24" spans="1:16" ht="15">
      <c r="A24" s="601"/>
      <c r="B24" s="602"/>
      <c r="C24" s="603"/>
      <c r="D24" s="603"/>
      <c r="E24" s="603"/>
      <c r="F24" s="662" t="s">
        <v>3</v>
      </c>
      <c r="G24" s="603"/>
      <c r="H24" s="605"/>
      <c r="I24" s="665">
        <v>0</v>
      </c>
      <c r="J24" s="603"/>
      <c r="K24" s="603"/>
      <c r="L24" s="664"/>
      <c r="M24" s="603"/>
      <c r="N24" s="603"/>
      <c r="O24" s="603"/>
      <c r="P24" s="606"/>
    </row>
    <row r="25" spans="1:16" ht="15.75" thickBot="1">
      <c r="A25" s="601"/>
      <c r="B25" s="602"/>
      <c r="C25" s="603"/>
      <c r="D25" s="603"/>
      <c r="E25" s="603"/>
      <c r="F25" s="603"/>
      <c r="G25" s="603"/>
      <c r="H25" s="662"/>
      <c r="I25" s="603"/>
      <c r="J25" s="603"/>
      <c r="K25" s="603"/>
      <c r="L25" s="603"/>
      <c r="M25" s="603"/>
      <c r="N25" s="603"/>
      <c r="O25" s="603"/>
      <c r="P25" s="606"/>
    </row>
    <row r="26" spans="2:16" ht="20.25" thickBot="1" thickTop="1">
      <c r="B26" s="602"/>
      <c r="C26" s="666"/>
      <c r="H26" s="667" t="s">
        <v>94</v>
      </c>
      <c r="I26" s="668">
        <f>SUM(I22:I25)</f>
        <v>62658.06</v>
      </c>
      <c r="L26" s="669"/>
      <c r="M26" s="669"/>
      <c r="N26" s="670"/>
      <c r="O26" s="671"/>
      <c r="P26" s="672"/>
    </row>
    <row r="27" spans="2:16" ht="15.75" thickTop="1">
      <c r="B27" s="602"/>
      <c r="C27" s="666"/>
      <c r="D27" s="661"/>
      <c r="E27" s="661"/>
      <c r="F27" s="673"/>
      <c r="G27" s="669"/>
      <c r="H27" s="669"/>
      <c r="I27" s="669"/>
      <c r="J27" s="669"/>
      <c r="K27" s="669"/>
      <c r="L27" s="669"/>
      <c r="M27" s="669"/>
      <c r="N27" s="670"/>
      <c r="O27" s="671"/>
      <c r="P27" s="672"/>
    </row>
    <row r="28" spans="2:16" ht="15">
      <c r="B28" s="602"/>
      <c r="C28" s="634" t="s">
        <v>95</v>
      </c>
      <c r="D28" s="661"/>
      <c r="E28" s="661"/>
      <c r="F28" s="673"/>
      <c r="G28" s="669"/>
      <c r="H28" s="669"/>
      <c r="I28" s="669"/>
      <c r="J28" s="669"/>
      <c r="K28" s="669"/>
      <c r="L28" s="669"/>
      <c r="M28" s="669"/>
      <c r="N28" s="670"/>
      <c r="O28" s="671"/>
      <c r="P28" s="672"/>
    </row>
    <row r="29" spans="2:16" ht="15">
      <c r="B29" s="602"/>
      <c r="C29" s="666"/>
      <c r="D29" s="661"/>
      <c r="E29" s="661"/>
      <c r="F29" s="673"/>
      <c r="G29" s="669"/>
      <c r="H29" s="669"/>
      <c r="I29" s="669"/>
      <c r="J29" s="669"/>
      <c r="K29" s="669"/>
      <c r="L29" s="669"/>
      <c r="M29" s="669"/>
      <c r="N29" s="670"/>
      <c r="O29" s="671"/>
      <c r="P29" s="672"/>
    </row>
    <row r="30" spans="2:16" ht="15.75">
      <c r="B30" s="602"/>
      <c r="C30" s="666"/>
      <c r="D30" s="674" t="s">
        <v>96</v>
      </c>
      <c r="E30" s="675" t="s">
        <v>16</v>
      </c>
      <c r="F30" s="676" t="s">
        <v>97</v>
      </c>
      <c r="G30" s="677"/>
      <c r="H30" s="678" t="s">
        <v>128</v>
      </c>
      <c r="I30" s="679" t="s">
        <v>127</v>
      </c>
      <c r="J30" s="680"/>
      <c r="K30" s="681"/>
      <c r="L30" s="682" t="s">
        <v>2</v>
      </c>
      <c r="N30" s="670"/>
      <c r="O30" s="671"/>
      <c r="P30" s="672"/>
    </row>
    <row r="31" spans="2:16" ht="15.75">
      <c r="B31" s="602"/>
      <c r="C31" s="666"/>
      <c r="D31" s="683" t="s">
        <v>121</v>
      </c>
      <c r="E31" s="684">
        <v>132</v>
      </c>
      <c r="F31" s="685">
        <v>42.6</v>
      </c>
      <c r="G31" s="686"/>
      <c r="H31" s="687">
        <f>F31*$J$17*$E$17/100</f>
        <v>82753.76145600001</v>
      </c>
      <c r="I31" s="688">
        <v>44812</v>
      </c>
      <c r="J31" s="689" t="s">
        <v>170</v>
      </c>
      <c r="K31" s="690"/>
      <c r="L31" s="691">
        <f>SUM(H31:K31)</f>
        <v>127565.76145600001</v>
      </c>
      <c r="M31" s="669"/>
      <c r="N31" s="670"/>
      <c r="O31" s="671"/>
      <c r="P31" s="672"/>
    </row>
    <row r="32" spans="2:16" ht="15.75">
      <c r="B32" s="602"/>
      <c r="C32" s="666"/>
      <c r="D32" s="692" t="s">
        <v>122</v>
      </c>
      <c r="E32" s="661">
        <v>132</v>
      </c>
      <c r="F32" s="673">
        <v>33.6</v>
      </c>
      <c r="G32" s="669"/>
      <c r="H32" s="693">
        <f>F32*$J$17*$E$17/100</f>
        <v>65270.572416</v>
      </c>
      <c r="I32" s="694">
        <v>12078</v>
      </c>
      <c r="J32" s="695" t="s">
        <v>170</v>
      </c>
      <c r="K32" s="696"/>
      <c r="L32" s="697">
        <f>SUM(H32:K32)</f>
        <v>77348.57241600001</v>
      </c>
      <c r="M32" s="669"/>
      <c r="N32" s="670"/>
      <c r="O32" s="671"/>
      <c r="P32" s="672"/>
    </row>
    <row r="33" spans="2:16" ht="15.75">
      <c r="B33" s="602"/>
      <c r="C33" s="666"/>
      <c r="D33" s="692" t="s">
        <v>123</v>
      </c>
      <c r="E33" s="661">
        <v>132</v>
      </c>
      <c r="F33" s="673">
        <v>41</v>
      </c>
      <c r="G33" s="669"/>
      <c r="H33" s="693">
        <f>F33*$J$17*$E$17/100</f>
        <v>79645.63896</v>
      </c>
      <c r="I33" s="694">
        <v>1264</v>
      </c>
      <c r="J33" s="695" t="s">
        <v>170</v>
      </c>
      <c r="K33" s="696"/>
      <c r="L33" s="697">
        <f>SUM(H33:K33)</f>
        <v>80909.63896</v>
      </c>
      <c r="M33" s="669"/>
      <c r="N33" s="670"/>
      <c r="O33" s="671"/>
      <c r="P33" s="672"/>
    </row>
    <row r="34" spans="2:16" ht="15.75">
      <c r="B34" s="602"/>
      <c r="C34" s="666"/>
      <c r="D34" s="698" t="s">
        <v>163</v>
      </c>
      <c r="E34" s="699">
        <v>132</v>
      </c>
      <c r="F34" s="700">
        <v>127.98</v>
      </c>
      <c r="G34" s="701"/>
      <c r="H34" s="702">
        <f>F34*$J$17*$E$17/100</f>
        <v>248610.94814879997</v>
      </c>
      <c r="I34" s="703">
        <v>4837</v>
      </c>
      <c r="J34" s="704" t="s">
        <v>170</v>
      </c>
      <c r="K34" s="705"/>
      <c r="L34" s="697">
        <f>SUM(H34:K34)</f>
        <v>253447.94814879997</v>
      </c>
      <c r="M34" s="669"/>
      <c r="N34" s="670"/>
      <c r="O34" s="671"/>
      <c r="P34" s="672"/>
    </row>
    <row r="35" spans="2:16" ht="15">
      <c r="B35" s="602"/>
      <c r="C35" s="666"/>
      <c r="D35" s="661"/>
      <c r="E35" s="661"/>
      <c r="F35" s="707"/>
      <c r="G35" s="669"/>
      <c r="I35" s="708"/>
      <c r="J35" s="696"/>
      <c r="K35" s="696"/>
      <c r="L35" s="709">
        <f>SUM(L31:L34)</f>
        <v>539271.9209808</v>
      </c>
      <c r="M35" s="669"/>
      <c r="N35" s="670"/>
      <c r="O35" s="671"/>
      <c r="P35" s="672"/>
    </row>
    <row r="36" spans="2:16" ht="15">
      <c r="B36" s="602"/>
      <c r="C36" s="666"/>
      <c r="D36" s="661"/>
      <c r="E36" s="661"/>
      <c r="F36" s="707"/>
      <c r="G36" s="669"/>
      <c r="I36" s="708"/>
      <c r="J36" s="696"/>
      <c r="K36" s="696"/>
      <c r="L36" s="710"/>
      <c r="M36" s="669"/>
      <c r="N36" s="670"/>
      <c r="O36" s="671"/>
      <c r="P36" s="672"/>
    </row>
    <row r="37" spans="2:16" ht="15.75">
      <c r="B37" s="602"/>
      <c r="C37" s="666"/>
      <c r="D37" s="674" t="s">
        <v>98</v>
      </c>
      <c r="E37" s="675" t="s">
        <v>99</v>
      </c>
      <c r="F37" s="711" t="s">
        <v>109</v>
      </c>
      <c r="G37" s="712"/>
      <c r="H37" s="713" t="s">
        <v>129</v>
      </c>
      <c r="J37" s="714" t="s">
        <v>100</v>
      </c>
      <c r="K37" s="715"/>
      <c r="L37" s="681" t="s">
        <v>48</v>
      </c>
      <c r="M37" s="675" t="s">
        <v>16</v>
      </c>
      <c r="N37" s="716" t="s">
        <v>101</v>
      </c>
      <c r="O37" s="717"/>
      <c r="P37" s="672"/>
    </row>
    <row r="38" spans="2:16" ht="15">
      <c r="B38" s="602"/>
      <c r="C38" s="666"/>
      <c r="D38" s="683"/>
      <c r="E38" s="684"/>
      <c r="F38" s="718"/>
      <c r="G38" s="719"/>
      <c r="H38" s="691">
        <f>+F38*$J$18*$E$17</f>
        <v>0</v>
      </c>
      <c r="J38" s="754" t="s">
        <v>124</v>
      </c>
      <c r="K38" s="755"/>
      <c r="L38" s="756" t="s">
        <v>172</v>
      </c>
      <c r="M38" s="722">
        <v>132</v>
      </c>
      <c r="N38" s="723">
        <f>$M$16*$E$17*4</f>
        <v>36128.64</v>
      </c>
      <c r="O38" s="724"/>
      <c r="P38" s="672"/>
    </row>
    <row r="39" spans="2:16" ht="15">
      <c r="B39" s="602"/>
      <c r="C39" s="666"/>
      <c r="D39" s="692"/>
      <c r="E39" s="661"/>
      <c r="F39" s="725"/>
      <c r="G39" s="726"/>
      <c r="H39" s="697">
        <f>+F39*$J$18*$E$17</f>
        <v>0</v>
      </c>
      <c r="J39" s="757" t="s">
        <v>125</v>
      </c>
      <c r="K39" s="758"/>
      <c r="L39" s="759" t="s">
        <v>173</v>
      </c>
      <c r="M39" s="670">
        <v>132</v>
      </c>
      <c r="N39" s="729">
        <f>$M$16*$E$17</f>
        <v>9032.16</v>
      </c>
      <c r="O39" s="730"/>
      <c r="P39" s="672"/>
    </row>
    <row r="40" spans="2:16" ht="15">
      <c r="B40" s="602"/>
      <c r="C40" s="666"/>
      <c r="D40" s="698"/>
      <c r="E40" s="699"/>
      <c r="F40" s="731"/>
      <c r="G40" s="732"/>
      <c r="H40" s="697">
        <f>+F40*$J$18*$E$17</f>
        <v>0</v>
      </c>
      <c r="J40" s="757" t="s">
        <v>126</v>
      </c>
      <c r="K40" s="758"/>
      <c r="L40" s="759" t="s">
        <v>174</v>
      </c>
      <c r="M40" s="670">
        <v>132</v>
      </c>
      <c r="N40" s="729">
        <f>$M$16*$E$17*2</f>
        <v>18064.32</v>
      </c>
      <c r="O40" s="730"/>
      <c r="P40" s="672"/>
    </row>
    <row r="41" spans="2:16" ht="15">
      <c r="B41" s="602"/>
      <c r="C41" s="666"/>
      <c r="D41" s="661"/>
      <c r="E41" s="661"/>
      <c r="F41" s="707"/>
      <c r="G41" s="669"/>
      <c r="H41" s="709">
        <f>SUM(H38:H40)</f>
        <v>0</v>
      </c>
      <c r="J41" s="760" t="s">
        <v>175</v>
      </c>
      <c r="K41" s="761"/>
      <c r="L41" s="762" t="s">
        <v>176</v>
      </c>
      <c r="M41" s="735">
        <v>33</v>
      </c>
      <c r="N41" s="736">
        <f>$M$17*$E$17*3</f>
        <v>20335.752</v>
      </c>
      <c r="O41" s="737"/>
      <c r="P41" s="672"/>
    </row>
    <row r="42" spans="2:16" ht="15">
      <c r="B42" s="602"/>
      <c r="C42" s="666"/>
      <c r="D42" s="661"/>
      <c r="E42" s="661"/>
      <c r="F42" s="707"/>
      <c r="G42" s="669"/>
      <c r="I42" s="708"/>
      <c r="J42" s="696"/>
      <c r="K42" s="696"/>
      <c r="L42" s="710"/>
      <c r="M42" s="669"/>
      <c r="N42" s="738">
        <f>SUM(N38:N41)</f>
        <v>83560.872</v>
      </c>
      <c r="O42" s="717"/>
      <c r="P42" s="672"/>
    </row>
    <row r="43" spans="2:16" ht="12.75" customHeight="1" thickBot="1">
      <c r="B43" s="602"/>
      <c r="C43" s="666"/>
      <c r="D43" s="661"/>
      <c r="E43" s="661"/>
      <c r="F43" s="673"/>
      <c r="G43" s="669"/>
      <c r="H43" s="708"/>
      <c r="I43" s="661"/>
      <c r="J43" s="661"/>
      <c r="K43" s="661"/>
      <c r="L43" s="669"/>
      <c r="M43" s="669"/>
      <c r="N43" s="670"/>
      <c r="O43" s="671"/>
      <c r="P43" s="672"/>
    </row>
    <row r="44" spans="2:16" ht="20.25" thickBot="1" thickTop="1">
      <c r="B44" s="602"/>
      <c r="C44" s="666"/>
      <c r="D44" s="661"/>
      <c r="E44" s="661"/>
      <c r="F44" s="673"/>
      <c r="G44" s="669"/>
      <c r="H44" s="739" t="s">
        <v>102</v>
      </c>
      <c r="I44" s="740">
        <f>+H41+N42+L35</f>
        <v>622832.7929807999</v>
      </c>
      <c r="J44" s="661"/>
      <c r="K44" s="739" t="s">
        <v>177</v>
      </c>
      <c r="L44" s="740">
        <v>212493.6333024</v>
      </c>
      <c r="M44" s="669"/>
      <c r="N44" s="670"/>
      <c r="O44" s="671"/>
      <c r="P44" s="672"/>
    </row>
    <row r="45" spans="2:16" ht="15.75" thickTop="1">
      <c r="B45" s="602"/>
      <c r="C45" s="666"/>
      <c r="D45" s="661"/>
      <c r="E45" s="661"/>
      <c r="F45" s="673"/>
      <c r="G45" s="669"/>
      <c r="H45" s="708"/>
      <c r="I45" s="661"/>
      <c r="J45" s="661"/>
      <c r="K45" s="661"/>
      <c r="L45" s="669"/>
      <c r="M45" s="669"/>
      <c r="N45" s="670"/>
      <c r="O45" s="671"/>
      <c r="P45" s="672"/>
    </row>
    <row r="46" spans="2:16" ht="15.75">
      <c r="B46" s="602"/>
      <c r="C46" s="741" t="s">
        <v>103</v>
      </c>
      <c r="D46" s="661"/>
      <c r="E46" s="661"/>
      <c r="F46" s="673"/>
      <c r="G46" s="669"/>
      <c r="H46" s="708"/>
      <c r="I46" s="661"/>
      <c r="J46" s="661"/>
      <c r="K46" s="661"/>
      <c r="L46" s="669"/>
      <c r="M46" s="669"/>
      <c r="N46" s="670"/>
      <c r="O46" s="671"/>
      <c r="P46" s="672"/>
    </row>
    <row r="47" spans="2:16" ht="15.75" thickBot="1">
      <c r="B47" s="602"/>
      <c r="C47" s="666"/>
      <c r="D47" s="661"/>
      <c r="E47" s="661"/>
      <c r="F47" s="673"/>
      <c r="G47" s="669"/>
      <c r="H47" s="708"/>
      <c r="I47" s="661"/>
      <c r="J47" s="661"/>
      <c r="K47" s="661"/>
      <c r="L47" s="669"/>
      <c r="M47" s="669"/>
      <c r="N47" s="670"/>
      <c r="O47" s="671"/>
      <c r="P47" s="672"/>
    </row>
    <row r="48" spans="2:16" ht="20.25" thickBot="1" thickTop="1">
      <c r="B48" s="602"/>
      <c r="C48" s="666"/>
      <c r="D48" s="742" t="s">
        <v>104</v>
      </c>
      <c r="F48" s="743"/>
      <c r="G48" s="603"/>
      <c r="H48" s="744" t="s">
        <v>105</v>
      </c>
      <c r="I48" s="745">
        <f>E18*L44</f>
        <v>5312.34083256</v>
      </c>
      <c r="J48" s="628"/>
      <c r="K48" s="628" t="s">
        <v>169</v>
      </c>
      <c r="O48" s="628"/>
      <c r="P48" s="672"/>
    </row>
    <row r="49" spans="2:16" ht="21.75" thickTop="1">
      <c r="B49" s="602"/>
      <c r="C49" s="666"/>
      <c r="F49" s="746"/>
      <c r="G49" s="596"/>
      <c r="I49" s="628"/>
      <c r="J49" s="628"/>
      <c r="K49" s="628"/>
      <c r="O49" s="628"/>
      <c r="P49" s="672"/>
    </row>
    <row r="50" spans="2:16" ht="15">
      <c r="B50" s="602"/>
      <c r="C50" s="634" t="s">
        <v>106</v>
      </c>
      <c r="E50" s="628"/>
      <c r="F50" s="628"/>
      <c r="G50" s="628"/>
      <c r="H50" s="628"/>
      <c r="I50" s="669"/>
      <c r="J50" s="669"/>
      <c r="K50" s="669"/>
      <c r="L50" s="669"/>
      <c r="M50" s="669"/>
      <c r="N50" s="670"/>
      <c r="O50" s="671"/>
      <c r="P50" s="672"/>
    </row>
    <row r="51" spans="2:16" ht="15">
      <c r="B51" s="602"/>
      <c r="C51" s="666"/>
      <c r="D51" s="747" t="s">
        <v>107</v>
      </c>
      <c r="E51" s="693">
        <f>10*I26*I48/I44</f>
        <v>5344.307081744419</v>
      </c>
      <c r="F51" s="748"/>
      <c r="H51" s="628"/>
      <c r="I51" s="669"/>
      <c r="J51" s="669"/>
      <c r="K51" s="669"/>
      <c r="L51" s="669"/>
      <c r="M51" s="669"/>
      <c r="N51" s="670"/>
      <c r="O51" s="671"/>
      <c r="P51" s="672"/>
    </row>
    <row r="52" spans="2:16" ht="15">
      <c r="B52" s="602"/>
      <c r="C52" s="666"/>
      <c r="D52" s="628"/>
      <c r="E52" s="628"/>
      <c r="J52" s="669"/>
      <c r="K52" s="669"/>
      <c r="L52" s="669"/>
      <c r="M52" s="669"/>
      <c r="N52" s="670"/>
      <c r="O52" s="671"/>
      <c r="P52" s="672"/>
    </row>
    <row r="53" spans="2:16" ht="15">
      <c r="B53" s="602"/>
      <c r="C53" s="666"/>
      <c r="D53" s="628" t="s">
        <v>120</v>
      </c>
      <c r="E53" s="628"/>
      <c r="F53" s="628"/>
      <c r="G53" s="628"/>
      <c r="H53" s="628"/>
      <c r="M53" s="669"/>
      <c r="N53" s="670"/>
      <c r="O53" s="671"/>
      <c r="P53" s="672"/>
    </row>
    <row r="54" spans="2:16" ht="15.75" thickBot="1">
      <c r="B54" s="602"/>
      <c r="C54" s="666"/>
      <c r="D54" s="628"/>
      <c r="E54" s="628"/>
      <c r="F54" s="628"/>
      <c r="G54" s="628"/>
      <c r="H54" s="628"/>
      <c r="M54" s="669"/>
      <c r="N54" s="670"/>
      <c r="O54" s="671"/>
      <c r="P54" s="672"/>
    </row>
    <row r="55" spans="2:16" ht="20.25" thickBot="1" thickTop="1">
      <c r="B55" s="602"/>
      <c r="C55" s="666"/>
      <c r="D55" s="661"/>
      <c r="E55" s="661"/>
      <c r="F55" s="673"/>
      <c r="G55" s="669"/>
      <c r="H55" s="749" t="s">
        <v>108</v>
      </c>
      <c r="I55" s="750">
        <f>IF($E$51&gt;3*I48,3*I48,$E$51)</f>
        <v>5344.307081744419</v>
      </c>
      <c r="J55" s="669"/>
      <c r="K55" s="669"/>
      <c r="L55" s="669"/>
      <c r="M55" s="669"/>
      <c r="N55" s="670"/>
      <c r="O55" s="671"/>
      <c r="P55" s="672"/>
    </row>
    <row r="56" spans="2:16" ht="16.5" thickBot="1" thickTop="1">
      <c r="B56" s="751"/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3"/>
    </row>
    <row r="57" spans="2:16" ht="13.5" thickTop="1">
      <c r="B57" s="601"/>
      <c r="P57" s="601"/>
    </row>
    <row r="59" ht="12.75">
      <c r="A59" s="601"/>
    </row>
    <row r="60" ht="12.75">
      <c r="A60" s="601"/>
    </row>
    <row r="61" ht="12.75">
      <c r="A61" s="601"/>
    </row>
    <row r="62" ht="12.75">
      <c r="A62" s="601"/>
    </row>
    <row r="63" ht="12.75">
      <c r="A63" s="601"/>
    </row>
    <row r="66" ht="12" customHeight="1"/>
    <row r="102" ht="12.75">
      <c r="B102" s="601"/>
    </row>
    <row r="108" ht="12.75">
      <c r="A108" s="601"/>
    </row>
  </sheetData>
  <sheetProtection/>
  <printOptions horizontalCentered="1"/>
  <pageMargins left="0.27" right="0.1968503937007874" top="0.72" bottom="0.43" header="0.5118110236220472" footer="0.26"/>
  <pageSetup fitToHeight="1" fitToWidth="1" orientation="landscape" paperSize="9" scale="59" r:id="rId4"/>
  <headerFooter alignWithMargins="0">
    <oddFooter>&amp;L&amp;"Times New Roman,Normal"&amp;8&amp;Z&amp;F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2016-07-14T14:23:25Z</cp:lastPrinted>
  <dcterms:created xsi:type="dcterms:W3CDTF">2000-10-04T20:14:32Z</dcterms:created>
  <dcterms:modified xsi:type="dcterms:W3CDTF">2016-09-20T18:55:19Z</dcterms:modified>
  <cp:category/>
  <cp:version/>
  <cp:contentType/>
  <cp:contentStatus/>
</cp:coreProperties>
</file>