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1115" sheetId="1" r:id="rId1"/>
    <sheet name="LI-11 (1)" sheetId="2" r:id="rId2"/>
    <sheet name="LI-SPSE-11 (1)" sheetId="3" r:id="rId3"/>
    <sheet name="LI-TRANSACUE-11 (1)" sheetId="4" r:id="rId4"/>
    <sheet name="TR-11 (1)" sheetId="5" r:id="rId5"/>
    <sheet name="TR-EDERSA-11 (1)" sheetId="6" r:id="rId6"/>
    <sheet name="TR-TRANSPORTEL PATG.-11 (1)" sheetId="7" r:id="rId7"/>
    <sheet name="SA-EDERSA-11 (1)" sheetId="8" r:id="rId8"/>
    <sheet name="SUP-EDERSA " sheetId="9" r:id="rId9"/>
    <sheet name="SUP-SPSE" sheetId="10" r:id="rId10"/>
    <sheet name="SUP-TRANSACUE" sheetId="11" r:id="rId11"/>
  </sheets>
  <externalReferences>
    <externalReference r:id="rId14"/>
  </externalReferences>
  <definedNames>
    <definedName name="DD" localSheetId="8">'SUP-EDERSA '!DD</definedName>
    <definedName name="DD" localSheetId="9">'SUP-SPSE'!DD</definedName>
    <definedName name="DD" localSheetId="10">'SUP-TRANSACUE'!DD</definedName>
    <definedName name="DD" localSheetId="6">'TR-TRANSPORTEL PATG.-11 (1)'!DD</definedName>
    <definedName name="DD">[0]!DD</definedName>
    <definedName name="DDD" localSheetId="8">'SUP-EDERSA '!DDD</definedName>
    <definedName name="DDD" localSheetId="9">'SUP-SPSE'!DDD</definedName>
    <definedName name="DDD" localSheetId="10">'SUP-TRANSACUE'!DDD</definedName>
    <definedName name="DDD" localSheetId="6">'TR-TRANSPORTEL PATG.-11 (1)'!DDD</definedName>
    <definedName name="DDD">[0]!DDD</definedName>
    <definedName name="DISTROCUYO" localSheetId="8">'SUP-EDERSA '!DISTROCUYO</definedName>
    <definedName name="DISTROCUYO" localSheetId="9">'SUP-SPSE'!DISTROCUYO</definedName>
    <definedName name="DISTROCUYO" localSheetId="10">'SUP-TRANSACUE'!DISTROCUYO</definedName>
    <definedName name="DISTROCUYO" localSheetId="6">'TR-TRANSPORTEL PATG.-11 (1)'!DISTROCUYO</definedName>
    <definedName name="DISTROCUYO">[0]!DISTROCUYO</definedName>
    <definedName name="FER" localSheetId="8">'SUP-EDERSA '!FER</definedName>
    <definedName name="FER" localSheetId="9">'SUP-SPSE'!FER</definedName>
    <definedName name="FER" localSheetId="10">'SUP-TRANSACUE'!FER</definedName>
    <definedName name="FER" localSheetId="6">'TR-TRANSPORTEL PATG.-11 (1)'!FER</definedName>
    <definedName name="FER">[0]!FER</definedName>
    <definedName name="INICIO" localSheetId="8">'SUP-EDERSA '!INICIO</definedName>
    <definedName name="INICIO" localSheetId="9">'SUP-SPSE'!INICIO</definedName>
    <definedName name="INICIO" localSheetId="10">'SUP-TRANSACUE'!INICIO</definedName>
    <definedName name="INICIO" localSheetId="6">'TR-TRANSPORTEL PATG.-11 (1)'!INICIO</definedName>
    <definedName name="INICIO">[0]!INICIO</definedName>
    <definedName name="INICIOTI" localSheetId="8">'SUP-EDERSA '!INICIOTI</definedName>
    <definedName name="INICIOTI" localSheetId="9">'SUP-SPSE'!INICIOTI</definedName>
    <definedName name="INICIOTI" localSheetId="10">'SUP-TRANSACUE'!INICIOTI</definedName>
    <definedName name="INICIOTI" localSheetId="6">'TR-TRANSPORTEL PATG.-11 (1)'!INICIOTI</definedName>
    <definedName name="INICIOTI">[0]!INICIOTI</definedName>
    <definedName name="LINEAS" localSheetId="8">'SUP-EDERSA '!LINEAS</definedName>
    <definedName name="LINEAS" localSheetId="9">'SUP-SPSE'!LINEAS</definedName>
    <definedName name="LINEAS" localSheetId="10">'SUP-TRANSACUE'!LINEAS</definedName>
    <definedName name="LINEAS" localSheetId="6">'TR-TRANSPORTEL PATG.-11 (1)'!LINEAS</definedName>
    <definedName name="LINEAS">[0]!LINEAS</definedName>
    <definedName name="LINEASTI" localSheetId="8">'SUP-EDERSA '!LINEASTI</definedName>
    <definedName name="LINEASTI" localSheetId="9">'SUP-SPSE'!LINEASTI</definedName>
    <definedName name="LINEASTI" localSheetId="10">'SUP-TRANSACUE'!LINEASTI</definedName>
    <definedName name="LINEASTI" localSheetId="6">'TR-TRANSPORTEL PATG.-11 (1)'!LINEASTI</definedName>
    <definedName name="LINEASTI">[0]!LINEASTI</definedName>
    <definedName name="NAME_L" localSheetId="8">'SUP-EDERSA '!NAME_L</definedName>
    <definedName name="NAME_L" localSheetId="9">'SUP-SPSE'!NAME_L</definedName>
    <definedName name="NAME_L" localSheetId="10">'SUP-TRANSACUE'!NAME_L</definedName>
    <definedName name="NAME_L" localSheetId="6">'TR-TRANSPORTEL PATG.-11 (1)'!NAME_L</definedName>
    <definedName name="NAME_L">[0]!NAME_L</definedName>
    <definedName name="NAME_L_TI" localSheetId="8">'SUP-EDERSA '!NAME_L_TI</definedName>
    <definedName name="NAME_L_TI" localSheetId="9">'SUP-SPSE'!NAME_L_TI</definedName>
    <definedName name="NAME_L_TI" localSheetId="10">'SUP-TRANSACUE'!NAME_L_TI</definedName>
    <definedName name="NAME_L_TI" localSheetId="6">'TR-TRANSPORTEL PATG.-11 (1)'!NAME_L_TI</definedName>
    <definedName name="NAME_L_TI">[0]!NAME_L_TI</definedName>
    <definedName name="TRAN" localSheetId="8">'SUP-EDERSA '!TRAN</definedName>
    <definedName name="TRAN" localSheetId="9">'SUP-SPSE'!TRAN</definedName>
    <definedName name="TRAN" localSheetId="10">'SUP-TRANSACUE'!TRAN</definedName>
    <definedName name="TRAN" localSheetId="6">'TR-TRANSPORTEL PATG.-11 (1)'!TRAN</definedName>
    <definedName name="TRAN">[0]!TRAN</definedName>
    <definedName name="TRANSNOA" localSheetId="8">'SUP-EDERSA '!TRANSNOA</definedName>
    <definedName name="TRANSNOA" localSheetId="9">'SUP-SPSE'!TRANSNOA</definedName>
    <definedName name="TRANSNOA" localSheetId="10">'SUP-TRANSACUE'!TRANSNOA</definedName>
    <definedName name="TRANSNOA" localSheetId="6">'TR-TRANSPORTEL PATG.-11 (1)'!TRANSNOA</definedName>
    <definedName name="TRANSNOA">[0]!TRANSNOA</definedName>
    <definedName name="TRANSPA" localSheetId="8">'SUP-EDERSA '!TRANSPA</definedName>
    <definedName name="TRANSPA" localSheetId="9">'SUP-SPSE'!TRANSPA</definedName>
    <definedName name="TRANSPA" localSheetId="10">'SUP-TRANSACUE'!TRANSPA</definedName>
    <definedName name="TRANSPA" localSheetId="6">'TR-TRANSPORTEL PATG.-11 (1)'!TRANSPA</definedName>
    <definedName name="TRANSPA">[0]!TRANSPA</definedName>
    <definedName name="x" localSheetId="8">'SUP-EDERSA '!x</definedName>
    <definedName name="x" localSheetId="9">'SUP-SPSE'!x</definedName>
    <definedName name="x" localSheetId="10">'SUP-TRANSACUE'!x</definedName>
    <definedName name="x" localSheetId="6">'TR-TRANSPORTEL PATG.-11 (1)'!x</definedName>
    <definedName name="x">[0]!x</definedName>
    <definedName name="XX" localSheetId="8">'SUP-EDERSA '!XX</definedName>
    <definedName name="XX" localSheetId="9">'SUP-SPSE'!XX</definedName>
    <definedName name="XX" localSheetId="10">'SUP-TRANSACUE'!XX</definedName>
    <definedName name="XX" localSheetId="6">'TR-TRANSPORTEL PATG.-11 (1)'!XX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<sst xmlns="http://schemas.openxmlformats.org/spreadsheetml/2006/main" count="518" uniqueCount="208">
  <si>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</si>
  <si>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</si>
  <si>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</si>
  <si>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</si>
  <si>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</si>
  <si>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</si>
  <si>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</si>
  <si>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</si>
  <si>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</si>
  <si>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</si>
  <si>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</si>
  <si>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</si>
  <si>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</si>
  <si>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</si>
  <si>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</si>
  <si>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</si>
  <si>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</si>
  <si>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</si>
  <si>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</si>
  <si>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</si>
  <si>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</si>
  <si>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</si>
  <si>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</si>
  <si>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</si>
  <si>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</si>
  <si>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</si>
  <si>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</si>
  <si>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</si>
  <si>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</si>
  <si>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</si>
  <si>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</si>
  <si>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</si>
  <si>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</si>
  <si>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</si>
  <si>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</si>
  <si>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</si>
  <si>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</si>
  <si>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2.1.3.-</t>
  </si>
  <si>
    <t>2.2.-</t>
  </si>
  <si>
    <t>Salidas</t>
  </si>
  <si>
    <t>2.2.1.-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</si>
  <si>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</si>
  <si>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</si>
  <si>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</si>
  <si>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</si>
  <si>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</si>
  <si>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</si>
  <si>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</si>
  <si>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</si>
  <si>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</si>
  <si>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</si>
  <si>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</si>
  <si>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</si>
  <si>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</si>
  <si>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</si>
  <si>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</si>
  <si>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</si>
  <si>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</si>
  <si>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</si>
  <si>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</si>
  <si>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</si>
  <si>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</si>
  <si>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</si>
  <si>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</si>
  <si>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</si>
  <si>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</si>
  <si>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</si>
  <si>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</si>
  <si>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</si>
  <si>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</si>
  <si>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</si>
  <si>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</si>
  <si>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</si>
  <si>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</si>
  <si>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</si>
  <si>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</si>
  <si>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</si>
  <si>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</si>
  <si>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</si>
  <si>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</si>
  <si>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</si>
  <si>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</si>
  <si>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</si>
  <si>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</si>
  <si>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</si>
  <si>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</si>
  <si>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</si>
  <si>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</si>
  <si>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</si>
  <si>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</si>
  <si>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</si>
  <si>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Por Transformador por cada MVA    $ =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</si>
  <si>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</si>
  <si>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</si>
  <si>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</si>
  <si>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</si>
  <si>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</si>
  <si>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</si>
  <si>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</si>
  <si>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</si>
  <si>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</si>
  <si>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</si>
  <si>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</si>
  <si>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</si>
  <si>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</si>
  <si>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</si>
  <si>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</si>
  <si>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</si>
  <si>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</si>
  <si>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</si>
  <si>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</si>
  <si>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</si>
  <si>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</si>
  <si>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</si>
  <si>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</si>
  <si>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</si>
  <si>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</si>
  <si>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</si>
  <si>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</si>
  <si>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</si>
  <si>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</si>
  <si>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</si>
  <si>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</si>
  <si>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</si>
  <si>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</si>
  <si>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</si>
  <si>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</si>
  <si>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</si>
  <si>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</si>
  <si>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</si>
  <si>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</si>
  <si>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</si>
  <si>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</si>
  <si>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</si>
  <si>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</si>
  <si>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PAMPA DEL CASTILLO</t>
  </si>
  <si>
    <t>Rest.
%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</si>
  <si>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</si>
  <si>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</si>
  <si>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</si>
  <si>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</si>
  <si>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ID EQUIPO</t>
  </si>
  <si>
    <t>INDISP</t>
  </si>
  <si>
    <t xml:space="preserve">        DE LA ELECTRICIDAD</t>
  </si>
  <si>
    <t xml:space="preserve">           ENTE NACIONAL REGULADOR </t>
  </si>
  <si>
    <t>Desde el 01 al 30 de noviembre de 2015</t>
  </si>
  <si>
    <t>FUTALEUFU - ESQUEL</t>
  </si>
  <si>
    <t>P</t>
  </si>
  <si>
    <t>SI</t>
  </si>
  <si>
    <t>0,000</t>
  </si>
  <si>
    <t>FLORENTINO AMEGHINO - ESTACION PATAGONIA</t>
  </si>
  <si>
    <t>F</t>
  </si>
  <si>
    <t>132/33/13,2</t>
  </si>
  <si>
    <t>TRAFO 3</t>
  </si>
  <si>
    <t>TRELEW</t>
  </si>
  <si>
    <t>TRAFO 4</t>
  </si>
  <si>
    <t>ENTE NACIONAL REGULADOR</t>
  </si>
  <si>
    <t>SISTEMA DE TRANSPORTE DE ENERGÍA ELÉCTRICA EN ALTA TENSIÓN - TRANSENER S.A.</t>
  </si>
  <si>
    <t>2.1.- TRANSFORMACIÓN</t>
  </si>
  <si>
    <t>Hs
Indisp.</t>
  </si>
  <si>
    <t>K</t>
  </si>
  <si>
    <t>PENALIZAC. FORZADA
Por Salida         hs. Restantes</t>
  </si>
  <si>
    <t>REDUCC. FORZADA
Por Salida         hs. Restantes</t>
  </si>
  <si>
    <t>REDUCCIÓN
RESTANTE</t>
  </si>
  <si>
    <t>Informó
enTérm.</t>
  </si>
  <si>
    <t>RIO GALLEGOS</t>
  </si>
  <si>
    <t>220/33/13,2</t>
  </si>
  <si>
    <t>NO</t>
  </si>
  <si>
    <t>P - PROGRAMADA</t>
  </si>
  <si>
    <t xml:space="preserve"> - </t>
  </si>
  <si>
    <t>RM* =</t>
  </si>
  <si>
    <r>
      <rPr>
        <b/>
        <sz val="11"/>
        <rFont val="Times New Roman"/>
        <family val="1"/>
      </rPr>
      <t>RM*</t>
    </r>
    <r>
      <rPr>
        <sz val="11"/>
        <rFont val="Times New Roman"/>
        <family val="1"/>
      </rPr>
      <t xml:space="preserve"> = VALOR EMPLEADO PARA CALCULAR </t>
    </r>
    <r>
      <rPr>
        <b/>
        <sz val="11"/>
        <rFont val="Times New Roman"/>
        <family val="1"/>
      </rPr>
      <t>CS</t>
    </r>
  </si>
  <si>
    <t>(DTE 1115)</t>
  </si>
  <si>
    <t xml:space="preserve">                   DE LA ELECTRICIDAD</t>
  </si>
  <si>
    <t xml:space="preserve">Salida en 132 kV = </t>
  </si>
  <si>
    <t>RM * =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</si>
  <si>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"</t>
    </r>
    <r>
      <rPr>
        <b/>
        <sz val="11"/>
        <rFont val="Times New Roman"/>
        <family val="1"/>
      </rPr>
      <t>CS</t>
    </r>
    <r>
      <rPr>
        <sz val="11"/>
        <rFont val="Times New Roman"/>
        <family val="1"/>
      </rPr>
      <t>"</t>
    </r>
  </si>
  <si>
    <t xml:space="preserve">                DE LA ELECTRICIDAD</t>
  </si>
  <si>
    <t>PICO TRUNCADO I - PTQ. C. RIVADAVIA</t>
  </si>
  <si>
    <t>ESQUEL - EL COIHUE</t>
  </si>
  <si>
    <t>RM*  =</t>
  </si>
  <si>
    <t>Transp. Indep. TRANSPORTEL PATAG. S.A.</t>
  </si>
  <si>
    <t>3.1.-</t>
  </si>
  <si>
    <t>3.2.-</t>
  </si>
  <si>
    <t>3.3.-</t>
  </si>
  <si>
    <t>PTQ. C. RIVADAVIA - P. DESEADO</t>
  </si>
  <si>
    <t>TRAFO 5</t>
  </si>
  <si>
    <t>S. ANTONIO ESTE</t>
  </si>
  <si>
    <t>S. ANTONIO OESTE</t>
  </si>
  <si>
    <t>S.ANTONIO OESTE</t>
  </si>
  <si>
    <t>SALIDA ALIM. S.ANTONIO OESTE</t>
  </si>
  <si>
    <t>P - PROGRAMADA  ; F - FORZADA</t>
  </si>
  <si>
    <t>1.2.- Transportista Independiente S.P.S.E.</t>
  </si>
  <si>
    <t>1.3.- Transportista Independiente TRANSACUE S.A.</t>
  </si>
  <si>
    <t>2.1.3.- Transp. Indep. TRANSPORTEL PATAG. S.A.</t>
  </si>
  <si>
    <t>2.2.1.- Transportista Independiente E.D.E.R.S.A.</t>
  </si>
  <si>
    <t>3.1.- SUPERVISIÓN - Transportista Independiente E.D.E.R.S.A.</t>
  </si>
  <si>
    <t>3.2.- SUPERVISIÓN - Transportista Independiente S.P.S.E.</t>
  </si>
  <si>
    <t>3.3.- SUPERVISIÓN - Transportista Independiente TRANSACUE S.A.</t>
  </si>
  <si>
    <t>F - FORZADA</t>
  </si>
  <si>
    <t>EL COIHUE</t>
  </si>
  <si>
    <t xml:space="preserve">4 SALIDAS  </t>
  </si>
  <si>
    <t>1 SALIDA</t>
  </si>
  <si>
    <t>2 SALIDAS</t>
  </si>
  <si>
    <t>3 SALIDAS</t>
  </si>
  <si>
    <t>Valores remuneratorios  de acuerdo al Acuerdo Instrumental del Acta Acuerdo -  Nota ENRE Nº 113898</t>
  </si>
  <si>
    <t>TOTAL DE PENALIZACIONES A APLICAR</t>
  </si>
  <si>
    <t>ANEXO V al Memorándum  D.T.E.E.  N°  379 / 2016             .-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</si>
</sst>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&quot;$&quot;\ #,##0.000;&quot;$&quot;\ \-#,##0.000"/>
    <numFmt numFmtId="180" formatCode="#,##0.0"/>
    <numFmt numFmtId="181" formatCode="0.000"/>
    <numFmt numFmtId="182" formatCode="0.0\ \k\V"/>
    <numFmt numFmtId="183" formatCode="0.00\ &quot;km&quot;"/>
    <numFmt numFmtId="184" formatCode="0.00\ &quot;MVA&quot;"/>
    <numFmt numFmtId="185" formatCode="0.000_)"/>
    <numFmt numFmtId="186" formatCode="&quot;$&quot;#,##0.00;&quot;$&quot;\-#,##0.00"/>
    <numFmt numFmtId="187" formatCode="&quot;$&quot;#,##0.00"/>
    <numFmt numFmtId="188" formatCode="#&quot;.&quot;#&quot;.-&quot;"/>
    <numFmt numFmtId="189" formatCode="#&quot;.&quot;#&quot;.&quot;#&quot;.-&quot;"/>
    <numFmt numFmtId="190" formatCode="#,##0;[Red]#,##0"/>
    <numFmt numFmtId="191" formatCode="#,##0.000000"/>
    <numFmt numFmtId="192" formatCode="#,##0.00;[Red]#,##0.00"/>
    <numFmt numFmtId="193" formatCode="dd/mm/yy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-yyyy"/>
    <numFmt numFmtId="204" formatCode="&quot;$&quot;\ #,##0.0;&quot;$&quot;\ \-#,##0.0"/>
    <numFmt numFmtId="205" formatCode="&quot;$&quot;\ #,##0.0000;&quot;$&quot;\ \-#,##0.0000"/>
    <numFmt numFmtId="206" formatCode="&quot;$&quot;\ #,##0.00000;&quot;$&quot;\ \-#,##0.00000"/>
    <numFmt numFmtId="207" formatCode="&quot;$&quot;\ #,##0.000000;&quot;$&quot;\ \-#,##0.000000"/>
    <numFmt numFmtId="208" formatCode="&quot;$&quot;#,##0.0;&quot;$&quot;\-#,##0.0"/>
    <numFmt numFmtId="209" formatCode="&quot;$&quot;#,##0;&quot;$&quot;\-#,##0"/>
    <numFmt numFmtId="210" formatCode="&quot;$&quot;\ #,##0.0000000;&quot;$&quot;\ \-#,##0.00000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d\-m"/>
    <numFmt numFmtId="215" formatCode="dd/mm/\a\a\a\a\ hh:\n\n"/>
    <numFmt numFmtId="216" formatCode="d\-m\-yy\ h:mm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2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MS Sans Serif"/>
      <family val="2"/>
    </font>
    <font>
      <b/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2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58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21" borderId="1" applyNumberFormat="0" applyAlignment="0" applyProtection="0"/>
    <xf numFmtId="0" fontId="108" fillId="22" borderId="2" applyNumberFormat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6" borderId="0" applyNumberFormat="0" applyBorder="0" applyAlignment="0" applyProtection="0"/>
    <xf numFmtId="0" fontId="105" fillId="27" borderId="0" applyNumberFormat="0" applyBorder="0" applyAlignment="0" applyProtection="0"/>
    <xf numFmtId="0" fontId="105" fillId="28" borderId="0" applyNumberFormat="0" applyBorder="0" applyAlignment="0" applyProtection="0"/>
    <xf numFmtId="0" fontId="112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5" fillId="21" borderId="6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7" applyNumberFormat="0" applyFill="0" applyAlignment="0" applyProtection="0"/>
    <xf numFmtId="0" fontId="111" fillId="0" borderId="8" applyNumberFormat="0" applyFill="0" applyAlignment="0" applyProtection="0"/>
    <xf numFmtId="0" fontId="120" fillId="0" borderId="9" applyNumberFormat="0" applyFill="0" applyAlignment="0" applyProtection="0"/>
  </cellStyleXfs>
  <cellXfs count="9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80" fontId="9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76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76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22" fontId="7" fillId="0" borderId="18" xfId="0" applyNumberFormat="1" applyFont="1" applyFill="1" applyBorder="1" applyAlignment="1">
      <alignment horizontal="center"/>
    </xf>
    <xf numFmtId="22" fontId="7" fillId="0" borderId="19" xfId="0" applyNumberFormat="1" applyFont="1" applyFill="1" applyBorder="1" applyAlignment="1" applyProtection="1">
      <alignment horizontal="center"/>
      <protection/>
    </xf>
    <xf numFmtId="2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7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76" fontId="10" fillId="0" borderId="16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 applyProtection="1" quotePrefix="1">
      <alignment horizontal="center"/>
      <protection/>
    </xf>
    <xf numFmtId="176" fontId="10" fillId="0" borderId="12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7" fontId="8" fillId="0" borderId="31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72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72" fontId="0" fillId="0" borderId="28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0" xfId="0" applyFont="1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 quotePrefix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 quotePrefix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179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179" fontId="25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>
      <alignment horizontal="center"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1" xfId="0" applyFont="1" applyBorder="1" applyAlignment="1" applyProtection="1">
      <alignment horizontal="centerContinuous"/>
      <protection/>
    </xf>
    <xf numFmtId="175" fontId="0" fillId="0" borderId="31" xfId="0" applyNumberFormat="1" applyFont="1" applyBorder="1" applyAlignment="1">
      <alignment horizontal="centerContinuous"/>
    </xf>
    <xf numFmtId="0" fontId="39" fillId="0" borderId="32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76" fontId="39" fillId="0" borderId="0" xfId="0" applyNumberFormat="1" applyFont="1" applyBorder="1" applyAlignment="1" applyProtection="1">
      <alignment horizontal="center"/>
      <protection/>
    </xf>
    <xf numFmtId="176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76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28" xfId="0" applyNumberFormat="1" applyFont="1" applyFill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46" fillId="33" borderId="28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176" fontId="48" fillId="33" borderId="12" xfId="0" applyNumberFormat="1" applyFont="1" applyFill="1" applyBorder="1" applyAlignment="1" applyProtection="1">
      <alignment horizontal="center"/>
      <protection/>
    </xf>
    <xf numFmtId="176" fontId="48" fillId="33" borderId="13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179" fontId="48" fillId="33" borderId="12" xfId="0" applyNumberFormat="1" applyFont="1" applyFill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53" fillId="34" borderId="28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3" fillId="35" borderId="28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27" fillId="36" borderId="28" xfId="0" applyFont="1" applyFill="1" applyBorder="1" applyAlignment="1" applyProtection="1">
      <alignment horizontal="centerContinuous" vertical="center" wrapText="1"/>
      <protection/>
    </xf>
    <xf numFmtId="0" fontId="25" fillId="36" borderId="29" xfId="0" applyFont="1" applyFill="1" applyBorder="1" applyAlignment="1">
      <alignment horizontal="centerContinuous"/>
    </xf>
    <xf numFmtId="0" fontId="27" fillId="36" borderId="31" xfId="0" applyFont="1" applyFill="1" applyBorder="1" applyAlignment="1">
      <alignment horizontal="centerContinuous" vertical="center"/>
    </xf>
    <xf numFmtId="0" fontId="56" fillId="36" borderId="34" xfId="0" applyFont="1" applyFill="1" applyBorder="1" applyAlignment="1">
      <alignment horizontal="center"/>
    </xf>
    <xf numFmtId="0" fontId="56" fillId="36" borderId="35" xfId="0" applyFont="1" applyFill="1" applyBorder="1" applyAlignment="1">
      <alignment/>
    </xf>
    <xf numFmtId="0" fontId="56" fillId="36" borderId="36" xfId="0" applyFont="1" applyFill="1" applyBorder="1" applyAlignment="1">
      <alignment/>
    </xf>
    <xf numFmtId="0" fontId="56" fillId="36" borderId="37" xfId="0" applyFont="1" applyFill="1" applyBorder="1" applyAlignment="1">
      <alignment horizontal="center"/>
    </xf>
    <xf numFmtId="0" fontId="56" fillId="36" borderId="38" xfId="0" applyFont="1" applyFill="1" applyBorder="1" applyAlignment="1">
      <alignment/>
    </xf>
    <xf numFmtId="0" fontId="56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28" xfId="0" applyFont="1" applyFill="1" applyBorder="1" applyAlignment="1" applyProtection="1">
      <alignment horizontal="centerContinuous" vertical="center" wrapText="1"/>
      <protection/>
    </xf>
    <xf numFmtId="0" fontId="25" fillId="37" borderId="29" xfId="0" applyFont="1" applyFill="1" applyBorder="1" applyAlignment="1">
      <alignment horizontal="centerContinuous"/>
    </xf>
    <xf numFmtId="0" fontId="27" fillId="37" borderId="31" xfId="0" applyFont="1" applyFill="1" applyBorder="1" applyAlignment="1">
      <alignment horizontal="centerContinuous" vertical="center"/>
    </xf>
    <xf numFmtId="0" fontId="56" fillId="37" borderId="34" xfId="0" applyFont="1" applyFill="1" applyBorder="1" applyAlignment="1">
      <alignment horizontal="center"/>
    </xf>
    <xf numFmtId="0" fontId="56" fillId="37" borderId="35" xfId="0" applyFont="1" applyFill="1" applyBorder="1" applyAlignment="1">
      <alignment/>
    </xf>
    <xf numFmtId="0" fontId="56" fillId="37" borderId="36" xfId="0" applyFont="1" applyFill="1" applyBorder="1" applyAlignment="1">
      <alignment/>
    </xf>
    <xf numFmtId="0" fontId="56" fillId="37" borderId="37" xfId="0" applyFont="1" applyFill="1" applyBorder="1" applyAlignment="1">
      <alignment horizontal="center"/>
    </xf>
    <xf numFmtId="0" fontId="56" fillId="37" borderId="38" xfId="0" applyFont="1" applyFill="1" applyBorder="1" applyAlignment="1">
      <alignment/>
    </xf>
    <xf numFmtId="0" fontId="56" fillId="37" borderId="16" xfId="0" applyFont="1" applyFill="1" applyBorder="1" applyAlignment="1">
      <alignment/>
    </xf>
    <xf numFmtId="0" fontId="27" fillId="36" borderId="28" xfId="0" applyFont="1" applyFill="1" applyBorder="1" applyAlignment="1">
      <alignment horizontal="center" vertical="center" wrapText="1"/>
    </xf>
    <xf numFmtId="0" fontId="27" fillId="38" borderId="28" xfId="0" applyFont="1" applyFill="1" applyBorder="1" applyAlignment="1">
      <alignment horizontal="center" vertical="center" wrapText="1"/>
    </xf>
    <xf numFmtId="0" fontId="56" fillId="38" borderId="15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0" fontId="53" fillId="39" borderId="28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/>
    </xf>
    <xf numFmtId="0" fontId="54" fillId="39" borderId="12" xfId="0" applyFont="1" applyFill="1" applyBorder="1" applyAlignment="1">
      <alignment/>
    </xf>
    <xf numFmtId="2" fontId="52" fillId="34" borderId="28" xfId="0" applyNumberFormat="1" applyFont="1" applyFill="1" applyBorder="1" applyAlignment="1">
      <alignment horizontal="center"/>
    </xf>
    <xf numFmtId="2" fontId="52" fillId="35" borderId="28" xfId="0" applyNumberFormat="1" applyFont="1" applyFill="1" applyBorder="1" applyAlignment="1">
      <alignment horizontal="center"/>
    </xf>
    <xf numFmtId="176" fontId="57" fillId="36" borderId="28" xfId="0" applyNumberFormat="1" applyFont="1" applyFill="1" applyBorder="1" applyAlignment="1" applyProtection="1" quotePrefix="1">
      <alignment horizontal="center"/>
      <protection/>
    </xf>
    <xf numFmtId="4" fontId="57" fillId="36" borderId="28" xfId="0" applyNumberFormat="1" applyFont="1" applyFill="1" applyBorder="1" applyAlignment="1">
      <alignment horizontal="center"/>
    </xf>
    <xf numFmtId="176" fontId="57" fillId="37" borderId="28" xfId="0" applyNumberFormat="1" applyFont="1" applyFill="1" applyBorder="1" applyAlignment="1" applyProtection="1" quotePrefix="1">
      <alignment horizontal="center"/>
      <protection/>
    </xf>
    <xf numFmtId="4" fontId="57" fillId="37" borderId="28" xfId="0" applyNumberFormat="1" applyFont="1" applyFill="1" applyBorder="1" applyAlignment="1">
      <alignment horizontal="center"/>
    </xf>
    <xf numFmtId="176" fontId="57" fillId="38" borderId="28" xfId="0" applyNumberFormat="1" applyFont="1" applyFill="1" applyBorder="1" applyAlignment="1" applyProtection="1" quotePrefix="1">
      <alignment horizontal="center"/>
      <protection/>
    </xf>
    <xf numFmtId="4" fontId="52" fillId="39" borderId="28" xfId="0" applyNumberFormat="1" applyFont="1" applyFill="1" applyBorder="1" applyAlignment="1">
      <alignment horizontal="center"/>
    </xf>
    <xf numFmtId="0" fontId="53" fillId="39" borderId="28" xfId="0" applyFont="1" applyFill="1" applyBorder="1" applyAlignment="1" applyProtection="1">
      <alignment horizontal="center" vertical="center"/>
      <protection/>
    </xf>
    <xf numFmtId="0" fontId="52" fillId="39" borderId="15" xfId="0" applyFont="1" applyFill="1" applyBorder="1" applyAlignment="1">
      <alignment/>
    </xf>
    <xf numFmtId="0" fontId="52" fillId="39" borderId="12" xfId="0" applyFont="1" applyFill="1" applyBorder="1" applyAlignment="1">
      <alignment/>
    </xf>
    <xf numFmtId="4" fontId="52" fillId="39" borderId="12" xfId="0" applyNumberFormat="1" applyFont="1" applyFill="1" applyBorder="1" applyAlignment="1" applyProtection="1">
      <alignment horizontal="center"/>
      <protection/>
    </xf>
    <xf numFmtId="0" fontId="52" fillId="39" borderId="13" xfId="0" applyFont="1" applyFill="1" applyBorder="1" applyAlignment="1">
      <alignment/>
    </xf>
    <xf numFmtId="0" fontId="57" fillId="38" borderId="15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2" fontId="57" fillId="38" borderId="12" xfId="0" applyNumberFormat="1" applyFont="1" applyFill="1" applyBorder="1" applyAlignment="1">
      <alignment horizontal="center"/>
    </xf>
    <xf numFmtId="0" fontId="57" fillId="38" borderId="13" xfId="0" applyFont="1" applyFill="1" applyBorder="1" applyAlignment="1">
      <alignment/>
    </xf>
    <xf numFmtId="7" fontId="57" fillId="38" borderId="28" xfId="0" applyNumberFormat="1" applyFont="1" applyFill="1" applyBorder="1" applyAlignment="1">
      <alignment horizontal="center"/>
    </xf>
    <xf numFmtId="0" fontId="27" fillId="40" borderId="28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/>
    </xf>
    <xf numFmtId="0" fontId="57" fillId="40" borderId="12" xfId="0" applyFont="1" applyFill="1" applyBorder="1" applyAlignment="1">
      <alignment/>
    </xf>
    <xf numFmtId="2" fontId="57" fillId="40" borderId="12" xfId="0" applyNumberFormat="1" applyFont="1" applyFill="1" applyBorder="1" applyAlignment="1">
      <alignment horizontal="center"/>
    </xf>
    <xf numFmtId="0" fontId="57" fillId="40" borderId="13" xfId="0" applyFont="1" applyFill="1" applyBorder="1" applyAlignment="1">
      <alignment/>
    </xf>
    <xf numFmtId="7" fontId="57" fillId="40" borderId="28" xfId="0" applyNumberFormat="1" applyFont="1" applyFill="1" applyBorder="1" applyAlignment="1">
      <alignment horizontal="center"/>
    </xf>
    <xf numFmtId="0" fontId="53" fillId="41" borderId="30" xfId="0" applyFont="1" applyFill="1" applyBorder="1" applyAlignment="1" applyProtection="1">
      <alignment horizontal="centerContinuous" vertical="center" wrapText="1"/>
      <protection/>
    </xf>
    <xf numFmtId="0" fontId="53" fillId="41" borderId="31" xfId="0" applyFont="1" applyFill="1" applyBorder="1" applyAlignment="1">
      <alignment horizontal="centerContinuous" vertical="center"/>
    </xf>
    <xf numFmtId="0" fontId="52" fillId="41" borderId="34" xfId="0" applyFont="1" applyFill="1" applyBorder="1" applyAlignment="1">
      <alignment horizontal="center"/>
    </xf>
    <xf numFmtId="0" fontId="52" fillId="41" borderId="36" xfId="0" applyFont="1" applyFill="1" applyBorder="1" applyAlignment="1">
      <alignment/>
    </xf>
    <xf numFmtId="0" fontId="52" fillId="41" borderId="37" xfId="0" applyFont="1" applyFill="1" applyBorder="1" applyAlignment="1">
      <alignment horizontal="center"/>
    </xf>
    <xf numFmtId="0" fontId="52" fillId="41" borderId="16" xfId="0" applyFont="1" applyFill="1" applyBorder="1" applyAlignment="1">
      <alignment/>
    </xf>
    <xf numFmtId="176" fontId="52" fillId="41" borderId="37" xfId="0" applyNumberFormat="1" applyFont="1" applyFill="1" applyBorder="1" applyAlignment="1" applyProtection="1" quotePrefix="1">
      <alignment horizontal="center"/>
      <protection/>
    </xf>
    <xf numFmtId="176" fontId="52" fillId="41" borderId="19" xfId="0" applyNumberFormat="1" applyFont="1" applyFill="1" applyBorder="1" applyAlignment="1" applyProtection="1" quotePrefix="1">
      <alignment horizontal="center"/>
      <protection/>
    </xf>
    <xf numFmtId="7" fontId="52" fillId="41" borderId="28" xfId="0" applyNumberFormat="1" applyFont="1" applyFill="1" applyBorder="1" applyAlignment="1">
      <alignment horizontal="center"/>
    </xf>
    <xf numFmtId="0" fontId="53" fillId="34" borderId="30" xfId="0" applyFont="1" applyFill="1" applyBorder="1" applyAlignment="1" applyProtection="1">
      <alignment horizontal="centerContinuous" vertical="center" wrapText="1"/>
      <protection/>
    </xf>
    <xf numFmtId="0" fontId="53" fillId="34" borderId="31" xfId="0" applyFont="1" applyFill="1" applyBorder="1" applyAlignment="1">
      <alignment horizontal="centerContinuous" vertical="center"/>
    </xf>
    <xf numFmtId="0" fontId="52" fillId="34" borderId="34" xfId="0" applyFont="1" applyFill="1" applyBorder="1" applyAlignment="1">
      <alignment horizontal="center"/>
    </xf>
    <xf numFmtId="0" fontId="52" fillId="34" borderId="36" xfId="0" applyFont="1" applyFill="1" applyBorder="1" applyAlignment="1">
      <alignment/>
    </xf>
    <xf numFmtId="0" fontId="52" fillId="34" borderId="37" xfId="0" applyFont="1" applyFill="1" applyBorder="1" applyAlignment="1">
      <alignment horizontal="center"/>
    </xf>
    <xf numFmtId="0" fontId="52" fillId="34" borderId="16" xfId="0" applyFont="1" applyFill="1" applyBorder="1" applyAlignment="1">
      <alignment/>
    </xf>
    <xf numFmtId="176" fontId="52" fillId="34" borderId="37" xfId="0" applyNumberFormat="1" applyFont="1" applyFill="1" applyBorder="1" applyAlignment="1" applyProtection="1" quotePrefix="1">
      <alignment horizontal="center"/>
      <protection/>
    </xf>
    <xf numFmtId="176" fontId="52" fillId="34" borderId="19" xfId="0" applyNumberFormat="1" applyFont="1" applyFill="1" applyBorder="1" applyAlignment="1" applyProtection="1" quotePrefix="1">
      <alignment horizontal="center"/>
      <protection/>
    </xf>
    <xf numFmtId="7" fontId="52" fillId="34" borderId="28" xfId="0" applyNumberFormat="1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/>
    </xf>
    <xf numFmtId="0" fontId="50" fillId="36" borderId="12" xfId="0" applyFont="1" applyFill="1" applyBorder="1" applyAlignment="1">
      <alignment/>
    </xf>
    <xf numFmtId="176" fontId="50" fillId="36" borderId="12" xfId="0" applyNumberFormat="1" applyFont="1" applyFill="1" applyBorder="1" applyAlignment="1" applyProtection="1" quotePrefix="1">
      <alignment horizontal="center"/>
      <protection/>
    </xf>
    <xf numFmtId="0" fontId="50" fillId="36" borderId="13" xfId="0" applyFont="1" applyFill="1" applyBorder="1" applyAlignment="1">
      <alignment/>
    </xf>
    <xf numFmtId="7" fontId="50" fillId="36" borderId="28" xfId="0" applyNumberFormat="1" applyFont="1" applyFill="1" applyBorder="1" applyAlignment="1">
      <alignment horizontal="center"/>
    </xf>
    <xf numFmtId="0" fontId="27" fillId="37" borderId="28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/>
    </xf>
    <xf numFmtId="0" fontId="57" fillId="37" borderId="12" xfId="0" applyFont="1" applyFill="1" applyBorder="1" applyAlignment="1">
      <alignment/>
    </xf>
    <xf numFmtId="176" fontId="57" fillId="37" borderId="12" xfId="0" applyNumberFormat="1" applyFont="1" applyFill="1" applyBorder="1" applyAlignment="1" applyProtection="1" quotePrefix="1">
      <alignment horizontal="center"/>
      <protection/>
    </xf>
    <xf numFmtId="0" fontId="57" fillId="37" borderId="13" xfId="0" applyFont="1" applyFill="1" applyBorder="1" applyAlignment="1">
      <alignment/>
    </xf>
    <xf numFmtId="7" fontId="57" fillId="37" borderId="28" xfId="0" applyNumberFormat="1" applyFont="1" applyFill="1" applyBorder="1" applyAlignment="1">
      <alignment horizontal="center"/>
    </xf>
    <xf numFmtId="0" fontId="52" fillId="41" borderId="39" xfId="0" applyFont="1" applyFill="1" applyBorder="1" applyAlignment="1">
      <alignment/>
    </xf>
    <xf numFmtId="0" fontId="52" fillId="41" borderId="40" xfId="0" applyFont="1" applyFill="1" applyBorder="1" applyAlignment="1">
      <alignment/>
    </xf>
    <xf numFmtId="0" fontId="52" fillId="34" borderId="39" xfId="0" applyFont="1" applyFill="1" applyBorder="1" applyAlignment="1">
      <alignment/>
    </xf>
    <xf numFmtId="0" fontId="52" fillId="34" borderId="40" xfId="0" applyFont="1" applyFill="1" applyBorder="1" applyAlignment="1">
      <alignment/>
    </xf>
    <xf numFmtId="0" fontId="58" fillId="0" borderId="20" xfId="0" applyFont="1" applyBorder="1" applyAlignment="1">
      <alignment/>
    </xf>
    <xf numFmtId="0" fontId="53" fillId="37" borderId="28" xfId="0" applyFont="1" applyFill="1" applyBorder="1" applyAlignment="1" applyProtection="1">
      <alignment horizontal="center" vertical="center"/>
      <protection/>
    </xf>
    <xf numFmtId="172" fontId="52" fillId="37" borderId="12" xfId="0" applyNumberFormat="1" applyFont="1" applyFill="1" applyBorder="1" applyAlignment="1" applyProtection="1">
      <alignment horizontal="center"/>
      <protection/>
    </xf>
    <xf numFmtId="176" fontId="7" fillId="0" borderId="36" xfId="0" applyNumberFormat="1" applyFont="1" applyFill="1" applyBorder="1" applyAlignment="1" applyProtection="1">
      <alignment horizontal="center"/>
      <protection/>
    </xf>
    <xf numFmtId="172" fontId="52" fillId="37" borderId="15" xfId="0" applyNumberFormat="1" applyFont="1" applyFill="1" applyBorder="1" applyAlignment="1" applyProtection="1">
      <alignment horizontal="center"/>
      <protection/>
    </xf>
    <xf numFmtId="176" fontId="10" fillId="0" borderId="15" xfId="0" applyNumberFormat="1" applyFont="1" applyFill="1" applyBorder="1" applyAlignment="1">
      <alignment horizontal="center"/>
    </xf>
    <xf numFmtId="2" fontId="57" fillId="36" borderId="15" xfId="0" applyNumberFormat="1" applyFont="1" applyFill="1" applyBorder="1" applyAlignment="1">
      <alignment horizontal="center"/>
    </xf>
    <xf numFmtId="2" fontId="57" fillId="36" borderId="12" xfId="0" applyNumberFormat="1" applyFont="1" applyFill="1" applyBorder="1" applyAlignment="1">
      <alignment horizontal="center"/>
    </xf>
    <xf numFmtId="176" fontId="52" fillId="34" borderId="34" xfId="0" applyNumberFormat="1" applyFont="1" applyFill="1" applyBorder="1" applyAlignment="1" applyProtection="1" quotePrefix="1">
      <alignment horizontal="center"/>
      <protection/>
    </xf>
    <xf numFmtId="176" fontId="52" fillId="34" borderId="41" xfId="0" applyNumberFormat="1" applyFont="1" applyFill="1" applyBorder="1" applyAlignment="1" applyProtection="1" quotePrefix="1">
      <alignment horizontal="center"/>
      <protection/>
    </xf>
    <xf numFmtId="176" fontId="7" fillId="0" borderId="15" xfId="0" applyNumberFormat="1" applyFont="1" applyFill="1" applyBorder="1" applyAlignment="1" applyProtection="1">
      <alignment horizontal="center"/>
      <protection/>
    </xf>
    <xf numFmtId="0" fontId="53" fillId="39" borderId="28" xfId="0" applyFont="1" applyFill="1" applyBorder="1" applyAlignment="1" applyProtection="1">
      <alignment horizontal="centerContinuous" vertical="center" wrapText="1"/>
      <protection/>
    </xf>
    <xf numFmtId="176" fontId="52" fillId="39" borderId="15" xfId="0" applyNumberFormat="1" applyFont="1" applyFill="1" applyBorder="1" applyAlignment="1" applyProtection="1" quotePrefix="1">
      <alignment horizontal="center"/>
      <protection/>
    </xf>
    <xf numFmtId="176" fontId="52" fillId="39" borderId="12" xfId="0" applyNumberFormat="1" applyFont="1" applyFill="1" applyBorder="1" applyAlignment="1" applyProtection="1" quotePrefix="1">
      <alignment horizontal="center"/>
      <protection/>
    </xf>
    <xf numFmtId="2" fontId="57" fillId="36" borderId="28" xfId="0" applyNumberFormat="1" applyFont="1" applyFill="1" applyBorder="1" applyAlignment="1">
      <alignment horizontal="center"/>
    </xf>
    <xf numFmtId="2" fontId="52" fillId="39" borderId="28" xfId="0" applyNumberFormat="1" applyFont="1" applyFill="1" applyBorder="1" applyAlignment="1">
      <alignment horizontal="center"/>
    </xf>
    <xf numFmtId="0" fontId="59" fillId="33" borderId="15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176" fontId="60" fillId="33" borderId="12" xfId="0" applyNumberFormat="1" applyFont="1" applyFill="1" applyBorder="1" applyAlignment="1" applyProtection="1">
      <alignment horizontal="center"/>
      <protection/>
    </xf>
    <xf numFmtId="176" fontId="60" fillId="33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0" fontId="58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61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81" fontId="0" fillId="0" borderId="30" xfId="0" applyNumberFormat="1" applyFont="1" applyBorder="1" applyAlignment="1">
      <alignment horizontal="centerContinuous" vertical="center"/>
    </xf>
    <xf numFmtId="0" fontId="1" fillId="0" borderId="31" xfId="0" applyFont="1" applyBorder="1" applyAlignment="1" applyProtection="1">
      <alignment horizontal="centerContinuous" vertical="center"/>
      <protection/>
    </xf>
    <xf numFmtId="175" fontId="0" fillId="0" borderId="31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2" fontId="7" fillId="0" borderId="43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/>
      <protection locked="0"/>
    </xf>
    <xf numFmtId="0" fontId="7" fillId="0" borderId="45" xfId="0" applyFont="1" applyBorder="1" applyAlignment="1" applyProtection="1">
      <alignment horizont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176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76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76" fontId="52" fillId="34" borderId="13" xfId="0" applyNumberFormat="1" applyFont="1" applyFill="1" applyBorder="1" applyAlignment="1" applyProtection="1" quotePrefix="1">
      <alignment horizontal="center"/>
      <protection locked="0"/>
    </xf>
    <xf numFmtId="176" fontId="52" fillId="35" borderId="13" xfId="0" applyNumberFormat="1" applyFont="1" applyFill="1" applyBorder="1" applyAlignment="1" applyProtection="1" quotePrefix="1">
      <alignment horizontal="center"/>
      <protection locked="0"/>
    </xf>
    <xf numFmtId="176" fontId="57" fillId="36" borderId="39" xfId="0" applyNumberFormat="1" applyFont="1" applyFill="1" applyBorder="1" applyAlignment="1" applyProtection="1" quotePrefix="1">
      <alignment horizontal="center"/>
      <protection locked="0"/>
    </xf>
    <xf numFmtId="4" fontId="57" fillId="36" borderId="46" xfId="0" applyNumberFormat="1" applyFont="1" applyFill="1" applyBorder="1" applyAlignment="1" applyProtection="1">
      <alignment horizontal="center"/>
      <protection locked="0"/>
    </xf>
    <xf numFmtId="4" fontId="57" fillId="36" borderId="47" xfId="0" applyNumberFormat="1" applyFont="1" applyFill="1" applyBorder="1" applyAlignment="1" applyProtection="1">
      <alignment horizontal="center"/>
      <protection locked="0"/>
    </xf>
    <xf numFmtId="176" fontId="57" fillId="37" borderId="39" xfId="0" applyNumberFormat="1" applyFont="1" applyFill="1" applyBorder="1" applyAlignment="1" applyProtection="1" quotePrefix="1">
      <alignment horizontal="center"/>
      <protection locked="0"/>
    </xf>
    <xf numFmtId="4" fontId="57" fillId="37" borderId="46" xfId="0" applyNumberFormat="1" applyFont="1" applyFill="1" applyBorder="1" applyAlignment="1" applyProtection="1">
      <alignment horizontal="center"/>
      <protection locked="0"/>
    </xf>
    <xf numFmtId="4" fontId="57" fillId="37" borderId="47" xfId="0" applyNumberFormat="1" applyFont="1" applyFill="1" applyBorder="1" applyAlignment="1" applyProtection="1">
      <alignment horizontal="center"/>
      <protection locked="0"/>
    </xf>
    <xf numFmtId="4" fontId="57" fillId="38" borderId="13" xfId="0" applyNumberFormat="1" applyFont="1" applyFill="1" applyBorder="1" applyAlignment="1" applyProtection="1">
      <alignment horizontal="center"/>
      <protection locked="0"/>
    </xf>
    <xf numFmtId="4" fontId="52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4" fillId="34" borderId="12" xfId="0" applyFont="1" applyFill="1" applyBorder="1" applyAlignment="1" applyProtection="1">
      <alignment/>
      <protection locked="0"/>
    </xf>
    <xf numFmtId="0" fontId="54" fillId="35" borderId="12" xfId="0" applyFont="1" applyFill="1" applyBorder="1" applyAlignment="1" applyProtection="1">
      <alignment/>
      <protection locked="0"/>
    </xf>
    <xf numFmtId="0" fontId="56" fillId="36" borderId="37" xfId="0" applyFont="1" applyFill="1" applyBorder="1" applyAlignment="1" applyProtection="1">
      <alignment horizontal="center"/>
      <protection locked="0"/>
    </xf>
    <xf numFmtId="0" fontId="56" fillId="36" borderId="38" xfId="0" applyFont="1" applyFill="1" applyBorder="1" applyAlignment="1" applyProtection="1">
      <alignment/>
      <protection locked="0"/>
    </xf>
    <xf numFmtId="0" fontId="56" fillId="36" borderId="16" xfId="0" applyFont="1" applyFill="1" applyBorder="1" applyAlignment="1" applyProtection="1">
      <alignment/>
      <protection locked="0"/>
    </xf>
    <xf numFmtId="0" fontId="56" fillId="37" borderId="37" xfId="0" applyFont="1" applyFill="1" applyBorder="1" applyAlignment="1" applyProtection="1">
      <alignment horizontal="center"/>
      <protection locked="0"/>
    </xf>
    <xf numFmtId="0" fontId="56" fillId="37" borderId="38" xfId="0" applyFont="1" applyFill="1" applyBorder="1" applyAlignment="1" applyProtection="1">
      <alignment/>
      <protection locked="0"/>
    </xf>
    <xf numFmtId="0" fontId="56" fillId="37" borderId="16" xfId="0" applyFont="1" applyFill="1" applyBorder="1" applyAlignment="1" applyProtection="1">
      <alignment/>
      <protection locked="0"/>
    </xf>
    <xf numFmtId="0" fontId="56" fillId="38" borderId="12" xfId="0" applyFont="1" applyFill="1" applyBorder="1" applyAlignment="1" applyProtection="1">
      <alignment/>
      <protection locked="0"/>
    </xf>
    <xf numFmtId="0" fontId="54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38" borderId="28" xfId="0" applyFont="1" applyFill="1" applyBorder="1" applyAlignment="1" applyProtection="1">
      <alignment horizontal="center" vertical="center" wrapText="1"/>
      <protection/>
    </xf>
    <xf numFmtId="0" fontId="27" fillId="40" borderId="28" xfId="0" applyFont="1" applyFill="1" applyBorder="1" applyAlignment="1" applyProtection="1">
      <alignment horizontal="center" vertical="center" wrapText="1"/>
      <protection/>
    </xf>
    <xf numFmtId="0" fontId="53" fillId="41" borderId="31" xfId="0" applyFont="1" applyFill="1" applyBorder="1" applyAlignment="1" applyProtection="1">
      <alignment horizontal="centerContinuous" vertical="center"/>
      <protection/>
    </xf>
    <xf numFmtId="0" fontId="53" fillId="34" borderId="31" xfId="0" applyFont="1" applyFill="1" applyBorder="1" applyAlignment="1" applyProtection="1">
      <alignment horizontal="centerContinuous" vertical="center"/>
      <protection/>
    </xf>
    <xf numFmtId="0" fontId="49" fillId="36" borderId="28" xfId="0" applyFont="1" applyFill="1" applyBorder="1" applyAlignment="1" applyProtection="1">
      <alignment horizontal="center" vertical="center" wrapText="1"/>
      <protection/>
    </xf>
    <xf numFmtId="0" fontId="27" fillId="37" borderId="28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52" fillId="39" borderId="15" xfId="0" applyFont="1" applyFill="1" applyBorder="1" applyAlignment="1" applyProtection="1">
      <alignment/>
      <protection/>
    </xf>
    <xf numFmtId="0" fontId="57" fillId="38" borderId="15" xfId="0" applyFont="1" applyFill="1" applyBorder="1" applyAlignment="1" applyProtection="1">
      <alignment/>
      <protection/>
    </xf>
    <xf numFmtId="0" fontId="57" fillId="40" borderId="15" xfId="0" applyFont="1" applyFill="1" applyBorder="1" applyAlignment="1" applyProtection="1">
      <alignment/>
      <protection/>
    </xf>
    <xf numFmtId="0" fontId="52" fillId="41" borderId="34" xfId="0" applyFont="1" applyFill="1" applyBorder="1" applyAlignment="1" applyProtection="1">
      <alignment horizontal="center"/>
      <protection/>
    </xf>
    <xf numFmtId="0" fontId="52" fillId="41" borderId="36" xfId="0" applyFont="1" applyFill="1" applyBorder="1" applyAlignment="1" applyProtection="1">
      <alignment/>
      <protection/>
    </xf>
    <xf numFmtId="0" fontId="52" fillId="34" borderId="34" xfId="0" applyFont="1" applyFill="1" applyBorder="1" applyAlignment="1" applyProtection="1">
      <alignment horizontal="center"/>
      <protection/>
    </xf>
    <xf numFmtId="0" fontId="52" fillId="34" borderId="36" xfId="0" applyFont="1" applyFill="1" applyBorder="1" applyAlignment="1" applyProtection="1">
      <alignment/>
      <protection/>
    </xf>
    <xf numFmtId="0" fontId="50" fillId="36" borderId="15" xfId="0" applyFont="1" applyFill="1" applyBorder="1" applyAlignment="1" applyProtection="1">
      <alignment/>
      <protection/>
    </xf>
    <xf numFmtId="0" fontId="57" fillId="37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2" fillId="39" borderId="12" xfId="0" applyFont="1" applyFill="1" applyBorder="1" applyAlignment="1" applyProtection="1">
      <alignment/>
      <protection/>
    </xf>
    <xf numFmtId="0" fontId="57" fillId="38" borderId="12" xfId="0" applyFont="1" applyFill="1" applyBorder="1" applyAlignment="1" applyProtection="1">
      <alignment/>
      <protection/>
    </xf>
    <xf numFmtId="0" fontId="57" fillId="40" borderId="12" xfId="0" applyFont="1" applyFill="1" applyBorder="1" applyAlignment="1" applyProtection="1">
      <alignment/>
      <protection/>
    </xf>
    <xf numFmtId="0" fontId="52" fillId="41" borderId="37" xfId="0" applyFont="1" applyFill="1" applyBorder="1" applyAlignment="1" applyProtection="1">
      <alignment horizontal="center"/>
      <protection/>
    </xf>
    <xf numFmtId="0" fontId="52" fillId="41" borderId="16" xfId="0" applyFont="1" applyFill="1" applyBorder="1" applyAlignment="1" applyProtection="1">
      <alignment/>
      <protection/>
    </xf>
    <xf numFmtId="0" fontId="52" fillId="34" borderId="37" xfId="0" applyFont="1" applyFill="1" applyBorder="1" applyAlignment="1" applyProtection="1">
      <alignment horizontal="center"/>
      <protection/>
    </xf>
    <xf numFmtId="0" fontId="52" fillId="34" borderId="16" xfId="0" applyFont="1" applyFill="1" applyBorder="1" applyAlignment="1" applyProtection="1">
      <alignment/>
      <protection/>
    </xf>
    <xf numFmtId="0" fontId="50" fillId="36" borderId="12" xfId="0" applyFont="1" applyFill="1" applyBorder="1" applyAlignment="1" applyProtection="1">
      <alignment/>
      <protection/>
    </xf>
    <xf numFmtId="0" fontId="57" fillId="37" borderId="12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39" fillId="0" borderId="32" xfId="0" applyFont="1" applyBorder="1" applyAlignment="1" applyProtection="1">
      <alignment horizontal="center"/>
      <protection/>
    </xf>
    <xf numFmtId="7" fontId="57" fillId="38" borderId="28" xfId="0" applyNumberFormat="1" applyFont="1" applyFill="1" applyBorder="1" applyAlignment="1" applyProtection="1">
      <alignment horizontal="center"/>
      <protection/>
    </xf>
    <xf numFmtId="7" fontId="57" fillId="40" borderId="28" xfId="0" applyNumberFormat="1" applyFont="1" applyFill="1" applyBorder="1" applyAlignment="1" applyProtection="1">
      <alignment horizontal="center"/>
      <protection/>
    </xf>
    <xf numFmtId="7" fontId="52" fillId="41" borderId="28" xfId="0" applyNumberFormat="1" applyFont="1" applyFill="1" applyBorder="1" applyAlignment="1" applyProtection="1">
      <alignment horizontal="center"/>
      <protection/>
    </xf>
    <xf numFmtId="7" fontId="52" fillId="34" borderId="28" xfId="0" applyNumberFormat="1" applyFont="1" applyFill="1" applyBorder="1" applyAlignment="1" applyProtection="1">
      <alignment horizontal="center"/>
      <protection/>
    </xf>
    <xf numFmtId="7" fontId="50" fillId="36" borderId="28" xfId="0" applyNumberFormat="1" applyFont="1" applyFill="1" applyBorder="1" applyAlignment="1" applyProtection="1">
      <alignment horizontal="center"/>
      <protection/>
    </xf>
    <xf numFmtId="7" fontId="57" fillId="37" borderId="28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/>
    </xf>
    <xf numFmtId="7" fontId="11" fillId="0" borderId="28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73" fontId="7" fillId="0" borderId="18" xfId="0" applyNumberFormat="1" applyFont="1" applyBorder="1" applyAlignment="1" applyProtection="1" quotePrefix="1">
      <alignment horizontal="center"/>
      <protection locked="0"/>
    </xf>
    <xf numFmtId="2" fontId="7" fillId="0" borderId="18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76" fontId="7" fillId="0" borderId="12" xfId="0" applyNumberFormat="1" applyFont="1" applyFill="1" applyBorder="1" applyAlignment="1" applyProtection="1">
      <alignment horizontal="center"/>
      <protection locked="0"/>
    </xf>
    <xf numFmtId="0" fontId="52" fillId="39" borderId="13" xfId="0" applyFont="1" applyFill="1" applyBorder="1" applyAlignment="1" applyProtection="1">
      <alignment/>
      <protection locked="0"/>
    </xf>
    <xf numFmtId="0" fontId="57" fillId="38" borderId="13" xfId="0" applyFont="1" applyFill="1" applyBorder="1" applyAlignment="1" applyProtection="1">
      <alignment/>
      <protection locked="0"/>
    </xf>
    <xf numFmtId="0" fontId="57" fillId="40" borderId="13" xfId="0" applyFont="1" applyFill="1" applyBorder="1" applyAlignment="1" applyProtection="1">
      <alignment/>
      <protection locked="0"/>
    </xf>
    <xf numFmtId="0" fontId="52" fillId="41" borderId="39" xfId="0" applyFont="1" applyFill="1" applyBorder="1" applyAlignment="1" applyProtection="1">
      <alignment/>
      <protection locked="0"/>
    </xf>
    <xf numFmtId="0" fontId="52" fillId="41" borderId="40" xfId="0" applyFont="1" applyFill="1" applyBorder="1" applyAlignment="1" applyProtection="1">
      <alignment/>
      <protection locked="0"/>
    </xf>
    <xf numFmtId="0" fontId="52" fillId="34" borderId="39" xfId="0" applyFont="1" applyFill="1" applyBorder="1" applyAlignment="1" applyProtection="1">
      <alignment/>
      <protection locked="0"/>
    </xf>
    <xf numFmtId="0" fontId="52" fillId="34" borderId="40" xfId="0" applyFont="1" applyFill="1" applyBorder="1" applyAlignment="1" applyProtection="1">
      <alignment/>
      <protection locked="0"/>
    </xf>
    <xf numFmtId="0" fontId="50" fillId="36" borderId="13" xfId="0" applyFont="1" applyFill="1" applyBorder="1" applyAlignment="1" applyProtection="1">
      <alignment/>
      <protection locked="0"/>
    </xf>
    <xf numFmtId="0" fontId="57" fillId="37" borderId="13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22" fontId="7" fillId="0" borderId="18" xfId="0" applyNumberFormat="1" applyFont="1" applyFill="1" applyBorder="1" applyAlignment="1" applyProtection="1">
      <alignment horizontal="center"/>
      <protection locked="0"/>
    </xf>
    <xf numFmtId="22" fontId="7" fillId="0" borderId="19" xfId="0" applyNumberFormat="1" applyFont="1" applyFill="1" applyBorder="1" applyAlignment="1" applyProtection="1">
      <alignment horizontal="center"/>
      <protection locked="0"/>
    </xf>
    <xf numFmtId="176" fontId="7" fillId="0" borderId="16" xfId="0" applyNumberFormat="1" applyFont="1" applyFill="1" applyBorder="1" applyAlignment="1" applyProtection="1">
      <alignment horizontal="center"/>
      <protection locked="0"/>
    </xf>
    <xf numFmtId="0" fontId="52" fillId="37" borderId="13" xfId="0" applyFont="1" applyFill="1" applyBorder="1" applyAlignment="1" applyProtection="1">
      <alignment/>
      <protection locked="0"/>
    </xf>
    <xf numFmtId="0" fontId="57" fillId="36" borderId="13" xfId="0" applyFont="1" applyFill="1" applyBorder="1" applyAlignment="1" applyProtection="1">
      <alignment/>
      <protection locked="0"/>
    </xf>
    <xf numFmtId="180" fontId="9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>
      <alignment horizontal="centerContinuous" vertical="center"/>
    </xf>
    <xf numFmtId="175" fontId="0" fillId="0" borderId="0" xfId="0" applyNumberFormat="1" applyFont="1" applyBorder="1" applyAlignment="1">
      <alignment horizontal="centerContinuous"/>
    </xf>
    <xf numFmtId="179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8" xfId="51" applyNumberFormat="1" applyFont="1" applyBorder="1" applyAlignment="1">
      <alignment horizontal="right"/>
    </xf>
    <xf numFmtId="176" fontId="7" fillId="0" borderId="12" xfId="0" applyNumberFormat="1" applyFont="1" applyBorder="1" applyAlignment="1" applyProtection="1" quotePrefix="1">
      <alignment horizontal="center"/>
      <protection/>
    </xf>
    <xf numFmtId="2" fontId="52" fillId="34" borderId="12" xfId="0" applyNumberFormat="1" applyFont="1" applyFill="1" applyBorder="1" applyAlignment="1" applyProtection="1">
      <alignment horizontal="center"/>
      <protection/>
    </xf>
    <xf numFmtId="2" fontId="52" fillId="35" borderId="12" xfId="0" applyNumberFormat="1" applyFont="1" applyFill="1" applyBorder="1" applyAlignment="1" applyProtection="1">
      <alignment horizontal="center"/>
      <protection/>
    </xf>
    <xf numFmtId="176" fontId="57" fillId="36" borderId="37" xfId="0" applyNumberFormat="1" applyFont="1" applyFill="1" applyBorder="1" applyAlignment="1" applyProtection="1" quotePrefix="1">
      <alignment horizontal="center"/>
      <protection/>
    </xf>
    <xf numFmtId="176" fontId="57" fillId="36" borderId="38" xfId="0" applyNumberFormat="1" applyFont="1" applyFill="1" applyBorder="1" applyAlignment="1" applyProtection="1" quotePrefix="1">
      <alignment horizontal="center"/>
      <protection/>
    </xf>
    <xf numFmtId="4" fontId="57" fillId="36" borderId="16" xfId="0" applyNumberFormat="1" applyFont="1" applyFill="1" applyBorder="1" applyAlignment="1" applyProtection="1">
      <alignment horizontal="center"/>
      <protection/>
    </xf>
    <xf numFmtId="176" fontId="57" fillId="37" borderId="37" xfId="0" applyNumberFormat="1" applyFont="1" applyFill="1" applyBorder="1" applyAlignment="1" applyProtection="1" quotePrefix="1">
      <alignment horizontal="center"/>
      <protection/>
    </xf>
    <xf numFmtId="176" fontId="57" fillId="37" borderId="38" xfId="0" applyNumberFormat="1" applyFont="1" applyFill="1" applyBorder="1" applyAlignment="1" applyProtection="1" quotePrefix="1">
      <alignment horizontal="center"/>
      <protection/>
    </xf>
    <xf numFmtId="4" fontId="57" fillId="37" borderId="16" xfId="0" applyNumberFormat="1" applyFont="1" applyFill="1" applyBorder="1" applyAlignment="1" applyProtection="1">
      <alignment horizontal="center"/>
      <protection/>
    </xf>
    <xf numFmtId="4" fontId="57" fillId="38" borderId="12" xfId="0" applyNumberFormat="1" applyFont="1" applyFill="1" applyBorder="1" applyAlignment="1" applyProtection="1">
      <alignment horizontal="center"/>
      <protection/>
    </xf>
    <xf numFmtId="4" fontId="52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76" fontId="7" fillId="0" borderId="12" xfId="0" applyNumberFormat="1" applyFont="1" applyFill="1" applyBorder="1" applyAlignment="1" applyProtection="1" quotePrefix="1">
      <alignment horizontal="center"/>
      <protection/>
    </xf>
    <xf numFmtId="2" fontId="57" fillId="38" borderId="12" xfId="0" applyNumberFormat="1" applyFont="1" applyFill="1" applyBorder="1" applyAlignment="1" applyProtection="1">
      <alignment horizontal="center"/>
      <protection/>
    </xf>
    <xf numFmtId="2" fontId="57" fillId="40" borderId="12" xfId="0" applyNumberFormat="1" applyFont="1" applyFill="1" applyBorder="1" applyAlignment="1" applyProtection="1">
      <alignment horizontal="center"/>
      <protection/>
    </xf>
    <xf numFmtId="2" fontId="57" fillId="36" borderId="12" xfId="0" applyNumberFormat="1" applyFont="1" applyFill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48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48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48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28" fillId="0" borderId="0" xfId="56" applyFont="1">
      <alignment/>
      <protection/>
    </xf>
    <xf numFmtId="0" fontId="28" fillId="0" borderId="0" xfId="56" applyFont="1" applyFill="1">
      <alignment/>
      <protection/>
    </xf>
    <xf numFmtId="0" fontId="61" fillId="0" borderId="0" xfId="56" applyFont="1" applyFill="1" applyAlignment="1">
      <alignment horizontal="right" vertical="top"/>
      <protection/>
    </xf>
    <xf numFmtId="0" fontId="23" fillId="0" borderId="0" xfId="56" applyFont="1" applyFill="1" applyAlignment="1">
      <alignment horizontal="centerContinuous"/>
      <protection/>
    </xf>
    <xf numFmtId="0" fontId="23" fillId="0" borderId="0" xfId="56" applyFont="1" applyAlignment="1">
      <alignment horizontal="centerContinuous"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29" fillId="0" borderId="0" xfId="56" applyFont="1" applyFill="1" applyAlignment="1">
      <alignment horizontal="centerContinuous"/>
      <protection/>
    </xf>
    <xf numFmtId="0" fontId="30" fillId="0" borderId="0" xfId="56" applyFont="1" applyFill="1" applyAlignment="1">
      <alignment horizontal="centerContinuous"/>
      <protection/>
    </xf>
    <xf numFmtId="0" fontId="30" fillId="0" borderId="0" xfId="56" applyFont="1" applyFill="1">
      <alignment/>
      <protection/>
    </xf>
    <xf numFmtId="0" fontId="30" fillId="0" borderId="0" xfId="56" applyFont="1">
      <alignment/>
      <protection/>
    </xf>
    <xf numFmtId="0" fontId="7" fillId="0" borderId="20" xfId="56" applyFont="1" applyFill="1" applyBorder="1">
      <alignment/>
      <protection/>
    </xf>
    <xf numFmtId="0" fontId="7" fillId="0" borderId="21" xfId="56" applyFont="1" applyFill="1" applyBorder="1">
      <alignment/>
      <protection/>
    </xf>
    <xf numFmtId="0" fontId="7" fillId="0" borderId="22" xfId="56" applyFont="1" applyFill="1" applyBorder="1">
      <alignment/>
      <protection/>
    </xf>
    <xf numFmtId="0" fontId="16" fillId="0" borderId="0" xfId="56" applyFont="1" applyFill="1">
      <alignment/>
      <protection/>
    </xf>
    <xf numFmtId="0" fontId="16" fillId="0" borderId="10" xfId="56" applyFont="1" applyFill="1" applyBorder="1">
      <alignment/>
      <protection/>
    </xf>
    <xf numFmtId="0" fontId="16" fillId="0" borderId="0" xfId="56" applyFont="1" applyFill="1" applyBorder="1">
      <alignment/>
      <protection/>
    </xf>
    <xf numFmtId="0" fontId="12" fillId="0" borderId="0" xfId="56" applyFont="1" applyFill="1" applyBorder="1" applyAlignment="1">
      <alignment horizontal="left"/>
      <protection/>
    </xf>
    <xf numFmtId="0" fontId="16" fillId="0" borderId="0" xfId="56" applyFont="1" applyFill="1" applyBorder="1" applyAlignment="1" applyProtection="1">
      <alignment horizontal="left"/>
      <protection/>
    </xf>
    <xf numFmtId="0" fontId="16" fillId="0" borderId="11" xfId="56" applyFont="1" applyFill="1" applyBorder="1">
      <alignment/>
      <protection/>
    </xf>
    <xf numFmtId="0" fontId="16" fillId="0" borderId="0" xfId="56" applyFont="1">
      <alignment/>
      <protection/>
    </xf>
    <xf numFmtId="0" fontId="7" fillId="0" borderId="1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7" fillId="0" borderId="11" xfId="56" applyFont="1" applyFill="1" applyBorder="1">
      <alignment/>
      <protection/>
    </xf>
    <xf numFmtId="0" fontId="16" fillId="0" borderId="0" xfId="56" applyFont="1" applyFill="1" applyAlignment="1">
      <alignment vertical="center"/>
      <protection/>
    </xf>
    <xf numFmtId="0" fontId="16" fillId="0" borderId="10" xfId="56" applyFont="1" applyFill="1" applyBorder="1" applyAlignment="1">
      <alignment vertical="center"/>
      <protection/>
    </xf>
    <xf numFmtId="0" fontId="16" fillId="0" borderId="0" xfId="56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0" xfId="56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vertical="center"/>
      <protection/>
    </xf>
    <xf numFmtId="0" fontId="16" fillId="0" borderId="0" xfId="56" applyFont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7" fillId="0" borderId="1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11" xfId="56" applyFont="1" applyFill="1" applyBorder="1" applyAlignment="1">
      <alignment vertical="center"/>
      <protection/>
    </xf>
    <xf numFmtId="0" fontId="12" fillId="0" borderId="0" xfId="56" applyFont="1" applyFill="1" applyAlignment="1">
      <alignment vertical="center"/>
      <protection/>
    </xf>
    <xf numFmtId="0" fontId="35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center"/>
      <protection/>
    </xf>
    <xf numFmtId="0" fontId="17" fillId="0" borderId="0" xfId="56" applyFont="1" applyFill="1">
      <alignment/>
      <protection/>
    </xf>
    <xf numFmtId="0" fontId="15" fillId="0" borderId="10" xfId="56" applyFont="1" applyBorder="1" applyAlignment="1">
      <alignment horizontal="centerContinuous"/>
      <protection/>
    </xf>
    <xf numFmtId="0" fontId="15" fillId="0" borderId="0" xfId="56" applyFont="1" applyBorder="1" applyAlignment="1">
      <alignment horizontal="centerContinuous"/>
      <protection/>
    </xf>
    <xf numFmtId="0" fontId="15" fillId="0" borderId="0" xfId="56" applyFont="1" applyFill="1" applyAlignment="1">
      <alignment horizontal="centerContinuous"/>
      <protection/>
    </xf>
    <xf numFmtId="0" fontId="15" fillId="0" borderId="0" xfId="56" applyFont="1" applyFill="1" applyBorder="1" applyAlignment="1">
      <alignment horizontal="centerContinuous"/>
      <protection/>
    </xf>
    <xf numFmtId="0" fontId="74" fillId="0" borderId="11" xfId="56" applyFont="1" applyFill="1" applyBorder="1" applyAlignment="1">
      <alignment horizontal="centerContinuous"/>
      <protection/>
    </xf>
    <xf numFmtId="0" fontId="17" fillId="0" borderId="0" xfId="56" applyFont="1">
      <alignment/>
      <protection/>
    </xf>
    <xf numFmtId="0" fontId="7" fillId="0" borderId="30" xfId="56" applyFont="1" applyFill="1" applyBorder="1" applyAlignment="1" applyProtection="1">
      <alignment horizontal="left"/>
      <protection/>
    </xf>
    <xf numFmtId="0" fontId="7" fillId="0" borderId="32" xfId="56" applyFont="1" applyFill="1" applyBorder="1" applyAlignment="1" applyProtection="1">
      <alignment horizontal="center"/>
      <protection/>
    </xf>
    <xf numFmtId="0" fontId="7" fillId="0" borderId="28" xfId="56" applyFont="1" applyFill="1" applyBorder="1" applyAlignment="1">
      <alignment horizontal="center"/>
      <protection/>
    </xf>
    <xf numFmtId="0" fontId="0" fillId="0" borderId="30" xfId="56" applyFont="1" applyFill="1" applyBorder="1" applyAlignment="1" applyProtection="1" quotePrefix="1">
      <alignment horizontal="left"/>
      <protection/>
    </xf>
    <xf numFmtId="0" fontId="0" fillId="0" borderId="29" xfId="56" applyFont="1" applyFill="1" applyBorder="1" applyAlignment="1" applyProtection="1">
      <alignment horizontal="center"/>
      <protection/>
    </xf>
    <xf numFmtId="172" fontId="0" fillId="0" borderId="28" xfId="56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0" fillId="0" borderId="0" xfId="56" applyFont="1" applyBorder="1" applyAlignment="1" applyProtection="1">
      <alignment horizontal="center"/>
      <protection/>
    </xf>
    <xf numFmtId="181" fontId="0" fillId="0" borderId="0" xfId="56" applyNumberFormat="1" applyFont="1" applyBorder="1" applyAlignment="1">
      <alignment horizontal="centerContinuous"/>
      <protection/>
    </xf>
    <xf numFmtId="0" fontId="7" fillId="0" borderId="0" xfId="56" applyFont="1" applyBorder="1">
      <alignment/>
      <protection/>
    </xf>
    <xf numFmtId="22" fontId="7" fillId="0" borderId="0" xfId="56" applyNumberFormat="1" applyFont="1" applyFill="1" applyBorder="1">
      <alignment/>
      <protection/>
    </xf>
    <xf numFmtId="0" fontId="55" fillId="0" borderId="0" xfId="56" applyFont="1" applyFill="1" applyBorder="1">
      <alignment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6" fillId="0" borderId="28" xfId="56" applyFont="1" applyBorder="1" applyAlignment="1">
      <alignment horizontal="center" vertical="center"/>
      <protection/>
    </xf>
    <xf numFmtId="0" fontId="26" fillId="0" borderId="28" xfId="56" applyFont="1" applyFill="1" applyBorder="1" applyAlignment="1" applyProtection="1">
      <alignment horizontal="center" vertical="center" wrapText="1"/>
      <protection/>
    </xf>
    <xf numFmtId="0" fontId="26" fillId="0" borderId="28" xfId="56" applyFont="1" applyFill="1" applyBorder="1" applyAlignment="1" applyProtection="1">
      <alignment horizontal="center" vertical="center"/>
      <protection/>
    </xf>
    <xf numFmtId="0" fontId="26" fillId="0" borderId="28" xfId="56" applyFont="1" applyFill="1" applyBorder="1" applyAlignment="1" applyProtection="1" quotePrefix="1">
      <alignment horizontal="center" vertical="center" wrapText="1"/>
      <protection/>
    </xf>
    <xf numFmtId="0" fontId="26" fillId="0" borderId="28" xfId="56" applyFont="1" applyFill="1" applyBorder="1" applyAlignment="1">
      <alignment horizontal="center" vertical="center" wrapText="1"/>
      <protection/>
    </xf>
    <xf numFmtId="0" fontId="46" fillId="33" borderId="28" xfId="56" applyFont="1" applyFill="1" applyBorder="1" applyAlignment="1" applyProtection="1">
      <alignment horizontal="center" vertical="center"/>
      <protection/>
    </xf>
    <xf numFmtId="0" fontId="26" fillId="0" borderId="30" xfId="56" applyFont="1" applyBorder="1" applyAlignment="1" applyProtection="1">
      <alignment horizontal="center" vertical="center" wrapText="1"/>
      <protection/>
    </xf>
    <xf numFmtId="0" fontId="26" fillId="0" borderId="30" xfId="56" applyFont="1" applyFill="1" applyBorder="1" applyAlignment="1" applyProtection="1">
      <alignment horizontal="center" vertical="center"/>
      <protection/>
    </xf>
    <xf numFmtId="0" fontId="53" fillId="42" borderId="28" xfId="56" applyFont="1" applyFill="1" applyBorder="1" applyAlignment="1" applyProtection="1">
      <alignment horizontal="center" vertical="center"/>
      <protection/>
    </xf>
    <xf numFmtId="0" fontId="75" fillId="37" borderId="28" xfId="56" applyFont="1" applyFill="1" applyBorder="1" applyAlignment="1">
      <alignment horizontal="center" vertical="center" wrapText="1"/>
      <protection/>
    </xf>
    <xf numFmtId="0" fontId="76" fillId="40" borderId="28" xfId="56" applyFont="1" applyFill="1" applyBorder="1" applyAlignment="1">
      <alignment horizontal="center" vertical="center" wrapText="1"/>
      <protection/>
    </xf>
    <xf numFmtId="0" fontId="69" fillId="33" borderId="30" xfId="56" applyFont="1" applyFill="1" applyBorder="1" applyAlignment="1" applyProtection="1">
      <alignment horizontal="centerContinuous" vertical="center" wrapText="1"/>
      <protection/>
    </xf>
    <xf numFmtId="0" fontId="69" fillId="33" borderId="31" xfId="56" applyFont="1" applyFill="1" applyBorder="1" applyAlignment="1">
      <alignment horizontal="centerContinuous" vertical="center"/>
      <protection/>
    </xf>
    <xf numFmtId="0" fontId="77" fillId="36" borderId="30" xfId="56" applyFont="1" applyFill="1" applyBorder="1" applyAlignment="1" applyProtection="1">
      <alignment horizontal="centerContinuous" vertical="center" wrapText="1"/>
      <protection/>
    </xf>
    <xf numFmtId="0" fontId="77" fillId="36" borderId="31" xfId="56" applyFont="1" applyFill="1" applyBorder="1" applyAlignment="1">
      <alignment horizontal="centerContinuous" vertical="center"/>
      <protection/>
    </xf>
    <xf numFmtId="0" fontId="78" fillId="43" borderId="28" xfId="56" applyFont="1" applyFill="1" applyBorder="1" applyAlignment="1">
      <alignment horizontal="center" vertical="center" wrapText="1"/>
      <protection/>
    </xf>
    <xf numFmtId="0" fontId="79" fillId="37" borderId="28" xfId="56" applyFont="1" applyFill="1" applyBorder="1" applyAlignment="1">
      <alignment horizontal="center" vertical="center" wrapText="1"/>
      <protection/>
    </xf>
    <xf numFmtId="0" fontId="26" fillId="0" borderId="28" xfId="56" applyFont="1" applyBorder="1" applyAlignment="1">
      <alignment horizontal="center" vertical="center" wrapText="1"/>
      <protection/>
    </xf>
    <xf numFmtId="0" fontId="7" fillId="0" borderId="49" xfId="56" applyFont="1" applyFill="1" applyBorder="1" applyAlignment="1">
      <alignment horizontal="center"/>
      <protection/>
    </xf>
    <xf numFmtId="172" fontId="7" fillId="0" borderId="49" xfId="56" applyNumberFormat="1" applyFont="1" applyFill="1" applyBorder="1" applyAlignment="1" applyProtection="1">
      <alignment horizontal="center"/>
      <protection/>
    </xf>
    <xf numFmtId="0" fontId="48" fillId="33" borderId="49" xfId="56" applyFont="1" applyFill="1" applyBorder="1" applyAlignment="1">
      <alignment horizontal="center"/>
      <protection/>
    </xf>
    <xf numFmtId="0" fontId="7" fillId="0" borderId="15" xfId="56" applyFont="1" applyBorder="1">
      <alignment/>
      <protection/>
    </xf>
    <xf numFmtId="0" fontId="7" fillId="0" borderId="50" xfId="56" applyFont="1" applyFill="1" applyBorder="1" applyAlignment="1">
      <alignment horizontal="center"/>
      <protection/>
    </xf>
    <xf numFmtId="0" fontId="55" fillId="42" borderId="49" xfId="56" applyFont="1" applyFill="1" applyBorder="1" applyAlignment="1">
      <alignment horizontal="center"/>
      <protection/>
    </xf>
    <xf numFmtId="0" fontId="80" fillId="37" borderId="49" xfId="56" applyFont="1" applyFill="1" applyBorder="1" applyAlignment="1">
      <alignment horizontal="center"/>
      <protection/>
    </xf>
    <xf numFmtId="0" fontId="81" fillId="40" borderId="49" xfId="56" applyFont="1" applyFill="1" applyBorder="1" applyAlignment="1">
      <alignment horizontal="center"/>
      <protection/>
    </xf>
    <xf numFmtId="0" fontId="70" fillId="33" borderId="34" xfId="56" applyFont="1" applyFill="1" applyBorder="1" applyAlignment="1">
      <alignment horizontal="center"/>
      <protection/>
    </xf>
    <xf numFmtId="0" fontId="70" fillId="33" borderId="41" xfId="56" applyFont="1" applyFill="1" applyBorder="1" applyAlignment="1">
      <alignment horizontal="center"/>
      <protection/>
    </xf>
    <xf numFmtId="0" fontId="82" fillId="36" borderId="51" xfId="56" applyFont="1" applyFill="1" applyBorder="1" applyAlignment="1">
      <alignment horizontal="center"/>
      <protection/>
    </xf>
    <xf numFmtId="0" fontId="82" fillId="36" borderId="52" xfId="56" applyFont="1" applyFill="1" applyBorder="1" applyAlignment="1">
      <alignment horizontal="center"/>
      <protection/>
    </xf>
    <xf numFmtId="0" fontId="83" fillId="43" borderId="49" xfId="56" applyFont="1" applyFill="1" applyBorder="1" applyAlignment="1">
      <alignment horizontal="center"/>
      <protection/>
    </xf>
    <xf numFmtId="0" fontId="84" fillId="37" borderId="49" xfId="56" applyFont="1" applyFill="1" applyBorder="1" applyAlignment="1">
      <alignment horizontal="center"/>
      <protection/>
    </xf>
    <xf numFmtId="7" fontId="10" fillId="0" borderId="50" xfId="56" applyNumberFormat="1" applyFont="1" applyFill="1" applyBorder="1" applyAlignment="1">
      <alignment/>
      <protection/>
    </xf>
    <xf numFmtId="0" fontId="7" fillId="0" borderId="18" xfId="56" applyFont="1" applyFill="1" applyBorder="1" applyAlignment="1">
      <alignment horizontal="center"/>
      <protection/>
    </xf>
    <xf numFmtId="172" fontId="7" fillId="0" borderId="18" xfId="56" applyNumberFormat="1" applyFont="1" applyFill="1" applyBorder="1" applyAlignment="1" applyProtection="1">
      <alignment horizontal="center"/>
      <protection/>
    </xf>
    <xf numFmtId="0" fontId="48" fillId="33" borderId="18" xfId="56" applyFont="1" applyFill="1" applyBorder="1" applyAlignment="1">
      <alignment horizontal="center"/>
      <protection/>
    </xf>
    <xf numFmtId="0" fontId="7" fillId="0" borderId="16" xfId="56" applyFont="1" applyBorder="1">
      <alignment/>
      <protection/>
    </xf>
    <xf numFmtId="0" fontId="7" fillId="0" borderId="42" xfId="56" applyFont="1" applyFill="1" applyBorder="1" applyAlignment="1">
      <alignment horizontal="center"/>
      <protection/>
    </xf>
    <xf numFmtId="0" fontId="55" fillId="42" borderId="18" xfId="56" applyFont="1" applyFill="1" applyBorder="1" applyAlignment="1">
      <alignment horizontal="center"/>
      <protection/>
    </xf>
    <xf numFmtId="0" fontId="80" fillId="37" borderId="18" xfId="56" applyFont="1" applyFill="1" applyBorder="1" applyAlignment="1">
      <alignment horizontal="center"/>
      <protection/>
    </xf>
    <xf numFmtId="0" fontId="81" fillId="40" borderId="18" xfId="56" applyFont="1" applyFill="1" applyBorder="1" applyAlignment="1">
      <alignment horizontal="center"/>
      <protection/>
    </xf>
    <xf numFmtId="0" fontId="70" fillId="33" borderId="53" xfId="56" applyFont="1" applyFill="1" applyBorder="1" applyAlignment="1">
      <alignment horizontal="center"/>
      <protection/>
    </xf>
    <xf numFmtId="0" fontId="70" fillId="33" borderId="43" xfId="56" applyFont="1" applyFill="1" applyBorder="1" applyAlignment="1">
      <alignment horizontal="center"/>
      <protection/>
    </xf>
    <xf numFmtId="0" fontId="82" fillId="36" borderId="53" xfId="56" applyFont="1" applyFill="1" applyBorder="1" applyAlignment="1">
      <alignment horizontal="center"/>
      <protection/>
    </xf>
    <xf numFmtId="0" fontId="82" fillId="36" borderId="43" xfId="56" applyFont="1" applyFill="1" applyBorder="1" applyAlignment="1">
      <alignment horizontal="center"/>
      <protection/>
    </xf>
    <xf numFmtId="0" fontId="83" fillId="43" borderId="18" xfId="56" applyFont="1" applyFill="1" applyBorder="1" applyAlignment="1">
      <alignment horizontal="center"/>
      <protection/>
    </xf>
    <xf numFmtId="0" fontId="84" fillId="37" borderId="18" xfId="56" applyFont="1" applyFill="1" applyBorder="1" applyAlignment="1">
      <alignment horizontal="center"/>
      <protection/>
    </xf>
    <xf numFmtId="0" fontId="10" fillId="0" borderId="42" xfId="56" applyFont="1" applyFill="1" applyBorder="1" applyAlignment="1">
      <alignment horizontal="center"/>
      <protection/>
    </xf>
    <xf numFmtId="0" fontId="7" fillId="0" borderId="18" xfId="56" applyFont="1" applyBorder="1" applyAlignment="1" applyProtection="1">
      <alignment horizontal="center"/>
      <protection locked="0"/>
    </xf>
    <xf numFmtId="0" fontId="7" fillId="0" borderId="54" xfId="56" applyFont="1" applyBorder="1" applyAlignment="1" applyProtection="1">
      <alignment horizontal="center"/>
      <protection locked="0"/>
    </xf>
    <xf numFmtId="172" fontId="7" fillId="0" borderId="18" xfId="56" applyNumberFormat="1" applyFont="1" applyBorder="1" applyAlignment="1" applyProtection="1">
      <alignment horizontal="center"/>
      <protection locked="0"/>
    </xf>
    <xf numFmtId="1" fontId="7" fillId="0" borderId="43" xfId="56" applyNumberFormat="1" applyFont="1" applyBorder="1" applyAlignment="1" applyProtection="1">
      <alignment horizontal="center"/>
      <protection locked="0"/>
    </xf>
    <xf numFmtId="181" fontId="48" fillId="33" borderId="12" xfId="56" applyNumberFormat="1" applyFont="1" applyFill="1" applyBorder="1" applyAlignment="1" applyProtection="1">
      <alignment horizontal="center"/>
      <protection/>
    </xf>
    <xf numFmtId="22" fontId="7" fillId="0" borderId="12" xfId="56" applyNumberFormat="1" applyFont="1" applyFill="1" applyBorder="1" applyAlignment="1" applyProtection="1">
      <alignment horizontal="center"/>
      <protection locked="0"/>
    </xf>
    <xf numFmtId="4" fontId="7" fillId="0" borderId="12" xfId="56" applyNumberFormat="1" applyFont="1" applyFill="1" applyBorder="1" applyAlignment="1" applyProtection="1">
      <alignment horizontal="center"/>
      <protection/>
    </xf>
    <xf numFmtId="3" fontId="7" fillId="0" borderId="12" xfId="56" applyNumberFormat="1" applyFont="1" applyFill="1" applyBorder="1" applyAlignment="1" applyProtection="1">
      <alignment horizontal="center"/>
      <protection/>
    </xf>
    <xf numFmtId="176" fontId="7" fillId="0" borderId="12" xfId="56" applyNumberFormat="1" applyFont="1" applyFill="1" applyBorder="1" applyAlignment="1" applyProtection="1">
      <alignment horizontal="center"/>
      <protection locked="0"/>
    </xf>
    <xf numFmtId="185" fontId="7" fillId="0" borderId="16" xfId="56" applyNumberFormat="1" applyFont="1" applyBorder="1" applyAlignment="1" applyProtection="1" quotePrefix="1">
      <alignment horizontal="center"/>
      <protection/>
    </xf>
    <xf numFmtId="176" fontId="7" fillId="0" borderId="12" xfId="56" applyNumberFormat="1" applyFont="1" applyBorder="1" applyAlignment="1" applyProtection="1" quotePrefix="1">
      <alignment horizontal="center"/>
      <protection/>
    </xf>
    <xf numFmtId="176" fontId="7" fillId="0" borderId="12" xfId="56" applyNumberFormat="1" applyFont="1" applyBorder="1" applyAlignment="1" applyProtection="1">
      <alignment horizontal="center"/>
      <protection/>
    </xf>
    <xf numFmtId="4" fontId="55" fillId="42" borderId="12" xfId="56" applyNumberFormat="1" applyFont="1" applyFill="1" applyBorder="1" applyAlignment="1" applyProtection="1">
      <alignment horizontal="center"/>
      <protection/>
    </xf>
    <xf numFmtId="2" fontId="80" fillId="37" borderId="12" xfId="56" applyNumberFormat="1" applyFont="1" applyFill="1" applyBorder="1" applyAlignment="1">
      <alignment horizontal="center"/>
      <protection/>
    </xf>
    <xf numFmtId="2" fontId="81" fillId="40" borderId="12" xfId="56" applyNumberFormat="1" applyFont="1" applyFill="1" applyBorder="1" applyAlignment="1">
      <alignment horizontal="center"/>
      <protection/>
    </xf>
    <xf numFmtId="176" fontId="70" fillId="33" borderId="53" xfId="56" applyNumberFormat="1" applyFont="1" applyFill="1" applyBorder="1" applyAlignment="1" applyProtection="1" quotePrefix="1">
      <alignment horizontal="center"/>
      <protection/>
    </xf>
    <xf numFmtId="176" fontId="70" fillId="33" borderId="43" xfId="56" applyNumberFormat="1" applyFont="1" applyFill="1" applyBorder="1" applyAlignment="1" applyProtection="1" quotePrefix="1">
      <alignment horizontal="center"/>
      <protection/>
    </xf>
    <xf numFmtId="176" fontId="82" fillId="36" borderId="53" xfId="56" applyNumberFormat="1" applyFont="1" applyFill="1" applyBorder="1" applyAlignment="1" applyProtection="1" quotePrefix="1">
      <alignment horizontal="center"/>
      <protection/>
    </xf>
    <xf numFmtId="176" fontId="82" fillId="36" borderId="43" xfId="56" applyNumberFormat="1" applyFont="1" applyFill="1" applyBorder="1" applyAlignment="1" applyProtection="1" quotePrefix="1">
      <alignment horizontal="center"/>
      <protection/>
    </xf>
    <xf numFmtId="176" fontId="83" fillId="43" borderId="12" xfId="56" applyNumberFormat="1" applyFont="1" applyFill="1" applyBorder="1" applyAlignment="1" applyProtection="1" quotePrefix="1">
      <alignment horizontal="center"/>
      <protection/>
    </xf>
    <xf numFmtId="176" fontId="84" fillId="37" borderId="18" xfId="56" applyNumberFormat="1" applyFont="1" applyFill="1" applyBorder="1" applyAlignment="1" applyProtection="1" quotePrefix="1">
      <alignment horizontal="center"/>
      <protection/>
    </xf>
    <xf numFmtId="176" fontId="7" fillId="0" borderId="16" xfId="56" applyNumberFormat="1" applyFont="1" applyFill="1" applyBorder="1" applyAlignment="1">
      <alignment horizontal="center"/>
      <protection/>
    </xf>
    <xf numFmtId="4" fontId="10" fillId="0" borderId="16" xfId="56" applyNumberFormat="1" applyFont="1" applyFill="1" applyBorder="1" applyAlignment="1">
      <alignment horizontal="right"/>
      <protection/>
    </xf>
    <xf numFmtId="0" fontId="7" fillId="0" borderId="12" xfId="56" applyFont="1" applyFill="1" applyBorder="1" applyAlignment="1" applyProtection="1">
      <alignment horizontal="center"/>
      <protection locked="0"/>
    </xf>
    <xf numFmtId="1" fontId="7" fillId="0" borderId="43" xfId="56" applyNumberFormat="1" applyFont="1" applyBorder="1" applyAlignment="1" applyProtection="1" quotePrefix="1">
      <alignment horizontal="center"/>
      <protection locked="0"/>
    </xf>
    <xf numFmtId="0" fontId="7" fillId="0" borderId="12" xfId="56" applyFont="1" applyFill="1" applyBorder="1" applyAlignment="1">
      <alignment horizontal="center"/>
      <protection/>
    </xf>
    <xf numFmtId="0" fontId="7" fillId="0" borderId="42" xfId="56" applyFont="1" applyBorder="1" applyAlignment="1" applyProtection="1">
      <alignment horizontal="center"/>
      <protection locked="0"/>
    </xf>
    <xf numFmtId="0" fontId="7" fillId="0" borderId="45" xfId="56" applyFont="1" applyFill="1" applyBorder="1" applyAlignment="1" applyProtection="1">
      <alignment horizontal="center"/>
      <protection locked="0"/>
    </xf>
    <xf numFmtId="0" fontId="13" fillId="0" borderId="13" xfId="56" applyFont="1" applyFill="1" applyBorder="1" applyAlignment="1" applyProtection="1">
      <alignment horizontal="center"/>
      <protection locked="0"/>
    </xf>
    <xf numFmtId="0" fontId="13" fillId="0" borderId="13" xfId="56" applyFont="1" applyFill="1" applyBorder="1" applyAlignment="1" applyProtection="1" quotePrefix="1">
      <alignment horizontal="center"/>
      <protection locked="0"/>
    </xf>
    <xf numFmtId="172" fontId="9" fillId="0" borderId="45" xfId="56" applyNumberFormat="1" applyFont="1" applyFill="1" applyBorder="1" applyAlignment="1" applyProtection="1">
      <alignment horizontal="center"/>
      <protection locked="0"/>
    </xf>
    <xf numFmtId="176" fontId="48" fillId="33" borderId="13" xfId="56" applyNumberFormat="1" applyFont="1" applyFill="1" applyBorder="1" applyAlignment="1" applyProtection="1">
      <alignment horizontal="center"/>
      <protection/>
    </xf>
    <xf numFmtId="0" fontId="7" fillId="0" borderId="13" xfId="56" applyFont="1" applyFill="1" applyBorder="1" applyAlignment="1" applyProtection="1">
      <alignment horizontal="center"/>
      <protection locked="0"/>
    </xf>
    <xf numFmtId="38" fontId="7" fillId="0" borderId="13" xfId="56" applyNumberFormat="1" applyFont="1" applyFill="1" applyBorder="1" applyAlignment="1" applyProtection="1">
      <alignment horizontal="center"/>
      <protection locked="0"/>
    </xf>
    <xf numFmtId="38" fontId="7" fillId="0" borderId="13" xfId="56" applyNumberFormat="1" applyFont="1" applyFill="1" applyBorder="1" applyAlignment="1" applyProtection="1">
      <alignment horizontal="center"/>
      <protection/>
    </xf>
    <xf numFmtId="172" fontId="7" fillId="0" borderId="13" xfId="56" applyNumberFormat="1" applyFont="1" applyFill="1" applyBorder="1" applyAlignment="1" applyProtection="1" quotePrefix="1">
      <alignment horizontal="center"/>
      <protection/>
    </xf>
    <xf numFmtId="176" fontId="7" fillId="0" borderId="13" xfId="56" applyNumberFormat="1" applyFont="1" applyFill="1" applyBorder="1" applyAlignment="1" applyProtection="1">
      <alignment horizontal="center"/>
      <protection locked="0"/>
    </xf>
    <xf numFmtId="185" fontId="7" fillId="0" borderId="13" xfId="56" applyNumberFormat="1" applyFont="1" applyBorder="1" applyAlignment="1" applyProtection="1" quotePrefix="1">
      <alignment horizontal="center"/>
      <protection locked="0"/>
    </xf>
    <xf numFmtId="176" fontId="7" fillId="0" borderId="47" xfId="56" applyNumberFormat="1" applyFont="1" applyFill="1" applyBorder="1" applyAlignment="1" applyProtection="1">
      <alignment horizontal="center"/>
      <protection locked="0"/>
    </xf>
    <xf numFmtId="172" fontId="55" fillId="42" borderId="13" xfId="56" applyNumberFormat="1" applyFont="1" applyFill="1" applyBorder="1" applyAlignment="1" applyProtection="1">
      <alignment horizontal="center"/>
      <protection/>
    </xf>
    <xf numFmtId="2" fontId="80" fillId="37" borderId="13" xfId="56" applyNumberFormat="1" applyFont="1" applyFill="1" applyBorder="1" applyAlignment="1">
      <alignment horizontal="center"/>
      <protection/>
    </xf>
    <xf numFmtId="2" fontId="81" fillId="40" borderId="13" xfId="56" applyNumberFormat="1" applyFont="1" applyFill="1" applyBorder="1" applyAlignment="1">
      <alignment horizontal="center"/>
      <protection/>
    </xf>
    <xf numFmtId="176" fontId="70" fillId="33" borderId="55" xfId="56" applyNumberFormat="1" applyFont="1" applyFill="1" applyBorder="1" applyAlignment="1" applyProtection="1" quotePrefix="1">
      <alignment horizontal="center"/>
      <protection/>
    </xf>
    <xf numFmtId="176" fontId="70" fillId="33" borderId="56" xfId="56" applyNumberFormat="1" applyFont="1" applyFill="1" applyBorder="1" applyAlignment="1" applyProtection="1" quotePrefix="1">
      <alignment horizontal="center"/>
      <protection/>
    </xf>
    <xf numFmtId="176" fontId="82" fillId="36" borderId="39" xfId="56" applyNumberFormat="1" applyFont="1" applyFill="1" applyBorder="1" applyAlignment="1" applyProtection="1" quotePrefix="1">
      <alignment horizontal="center"/>
      <protection/>
    </xf>
    <xf numFmtId="176" fontId="82" fillId="36" borderId="40" xfId="56" applyNumberFormat="1" applyFont="1" applyFill="1" applyBorder="1" applyAlignment="1" applyProtection="1" quotePrefix="1">
      <alignment horizontal="center"/>
      <protection/>
    </xf>
    <xf numFmtId="176" fontId="83" fillId="43" borderId="13" xfId="56" applyNumberFormat="1" applyFont="1" applyFill="1" applyBorder="1" applyAlignment="1" applyProtection="1" quotePrefix="1">
      <alignment horizontal="center"/>
      <protection/>
    </xf>
    <xf numFmtId="176" fontId="84" fillId="37" borderId="13" xfId="56" applyNumberFormat="1" applyFont="1" applyFill="1" applyBorder="1" applyAlignment="1" applyProtection="1" quotePrefix="1">
      <alignment horizontal="center"/>
      <protection/>
    </xf>
    <xf numFmtId="176" fontId="85" fillId="0" borderId="47" xfId="56" applyNumberFormat="1" applyFont="1" applyFill="1" applyBorder="1" applyAlignment="1">
      <alignment horizontal="center"/>
      <protection/>
    </xf>
    <xf numFmtId="176" fontId="86" fillId="0" borderId="57" xfId="56" applyNumberFormat="1" applyFont="1" applyFill="1" applyBorder="1" applyAlignment="1">
      <alignment horizontal="center"/>
      <protection/>
    </xf>
    <xf numFmtId="0" fontId="39" fillId="0" borderId="32" xfId="56" applyFont="1" applyBorder="1" applyAlignment="1">
      <alignment horizontal="center"/>
      <protection/>
    </xf>
    <xf numFmtId="0" fontId="73" fillId="0" borderId="0" xfId="54" applyFont="1" applyBorder="1" applyAlignment="1">
      <alignment horizontal="left"/>
      <protection/>
    </xf>
    <xf numFmtId="0" fontId="41" fillId="0" borderId="0" xfId="56" applyFont="1" applyBorder="1" applyAlignment="1" applyProtection="1">
      <alignment horizontal="left"/>
      <protection/>
    </xf>
    <xf numFmtId="4" fontId="80" fillId="37" borderId="28" xfId="56" applyNumberFormat="1" applyFont="1" applyFill="1" applyBorder="1" applyAlignment="1">
      <alignment horizontal="center"/>
      <protection/>
    </xf>
    <xf numFmtId="4" fontId="81" fillId="40" borderId="28" xfId="56" applyNumberFormat="1" applyFont="1" applyFill="1" applyBorder="1" applyAlignment="1">
      <alignment horizontal="center"/>
      <protection/>
    </xf>
    <xf numFmtId="4" fontId="70" fillId="33" borderId="58" xfId="56" applyNumberFormat="1" applyFont="1" applyFill="1" applyBorder="1" applyAlignment="1">
      <alignment horizontal="center"/>
      <protection/>
    </xf>
    <xf numFmtId="4" fontId="70" fillId="33" borderId="31" xfId="56" applyNumberFormat="1" applyFont="1" applyFill="1" applyBorder="1" applyAlignment="1">
      <alignment horizontal="center"/>
      <protection/>
    </xf>
    <xf numFmtId="4" fontId="82" fillId="36" borderId="58" xfId="56" applyNumberFormat="1" applyFont="1" applyFill="1" applyBorder="1" applyAlignment="1">
      <alignment horizontal="center"/>
      <protection/>
    </xf>
    <xf numFmtId="4" fontId="82" fillId="36" borderId="33" xfId="56" applyNumberFormat="1" applyFont="1" applyFill="1" applyBorder="1" applyAlignment="1">
      <alignment horizontal="center"/>
      <protection/>
    </xf>
    <xf numFmtId="4" fontId="83" fillId="43" borderId="28" xfId="56" applyNumberFormat="1" applyFont="1" applyFill="1" applyBorder="1" applyAlignment="1">
      <alignment horizontal="center"/>
      <protection/>
    </xf>
    <xf numFmtId="4" fontId="84" fillId="37" borderId="28" xfId="56" applyNumberFormat="1" applyFont="1" applyFill="1" applyBorder="1" applyAlignment="1">
      <alignment horizontal="center"/>
      <protection/>
    </xf>
    <xf numFmtId="7" fontId="87" fillId="0" borderId="28" xfId="56" applyNumberFormat="1" applyFont="1" applyFill="1" applyBorder="1" applyAlignment="1">
      <alignment horizontal="right"/>
      <protection/>
    </xf>
    <xf numFmtId="0" fontId="7" fillId="0" borderId="23" xfId="56" applyFont="1" applyFill="1" applyBorder="1">
      <alignment/>
      <protection/>
    </xf>
    <xf numFmtId="0" fontId="7" fillId="0" borderId="24" xfId="56" applyFont="1" applyFill="1" applyBorder="1">
      <alignment/>
      <protection/>
    </xf>
    <xf numFmtId="0" fontId="7" fillId="0" borderId="25" xfId="56" applyFont="1" applyFill="1" applyBorder="1">
      <alignment/>
      <protection/>
    </xf>
    <xf numFmtId="0" fontId="0" fillId="0" borderId="0" xfId="56" applyFill="1">
      <alignment/>
      <protection/>
    </xf>
    <xf numFmtId="0" fontId="4" fillId="0" borderId="0" xfId="56" applyFont="1">
      <alignment/>
      <protection/>
    </xf>
    <xf numFmtId="176" fontId="10" fillId="0" borderId="0" xfId="55" applyNumberFormat="1" applyFont="1" applyBorder="1" applyAlignment="1" applyProtection="1">
      <alignment horizontal="left"/>
      <protection/>
    </xf>
    <xf numFmtId="0" fontId="28" fillId="0" borderId="0" xfId="54" applyFont="1">
      <alignment/>
      <protection/>
    </xf>
    <xf numFmtId="0" fontId="61" fillId="0" borderId="0" xfId="54" applyFont="1" applyAlignment="1">
      <alignment horizontal="right" vertical="top"/>
      <protection/>
    </xf>
    <xf numFmtId="0" fontId="28" fillId="0" borderId="0" xfId="54" applyFont="1" applyFill="1">
      <alignment/>
      <protection/>
    </xf>
    <xf numFmtId="0" fontId="23" fillId="0" borderId="0" xfId="54" applyFont="1" applyAlignment="1">
      <alignment horizontal="centerContinuous"/>
      <protection/>
    </xf>
    <xf numFmtId="0" fontId="29" fillId="0" borderId="0" xfId="54" applyFont="1" applyFill="1" applyBorder="1" applyAlignment="1" applyProtection="1">
      <alignment horizontal="left"/>
      <protection/>
    </xf>
    <xf numFmtId="0" fontId="7" fillId="0" borderId="0" xfId="54" applyFont="1">
      <alignment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Continuous"/>
      <protection/>
    </xf>
    <xf numFmtId="0" fontId="7" fillId="0" borderId="0" xfId="54" applyFont="1" applyBorder="1">
      <alignment/>
      <protection/>
    </xf>
    <xf numFmtId="0" fontId="7" fillId="0" borderId="20" xfId="54" applyFont="1" applyBorder="1">
      <alignment/>
      <protection/>
    </xf>
    <xf numFmtId="0" fontId="7" fillId="0" borderId="21" xfId="54" applyFont="1" applyBorder="1">
      <alignment/>
      <protection/>
    </xf>
    <xf numFmtId="0" fontId="7" fillId="0" borderId="22" xfId="54" applyFont="1" applyBorder="1">
      <alignment/>
      <protection/>
    </xf>
    <xf numFmtId="0" fontId="16" fillId="0" borderId="0" xfId="54" applyFont="1" applyBorder="1">
      <alignment/>
      <protection/>
    </xf>
    <xf numFmtId="0" fontId="16" fillId="0" borderId="10" xfId="54" applyFont="1" applyBorder="1">
      <alignment/>
      <protection/>
    </xf>
    <xf numFmtId="0" fontId="12" fillId="0" borderId="0" xfId="54" applyFont="1" applyBorder="1">
      <alignment/>
      <protection/>
    </xf>
    <xf numFmtId="0" fontId="16" fillId="0" borderId="0" xfId="54" applyFont="1">
      <alignment/>
      <protection/>
    </xf>
    <xf numFmtId="0" fontId="16" fillId="0" borderId="11" xfId="54" applyFont="1" applyBorder="1">
      <alignment/>
      <protection/>
    </xf>
    <xf numFmtId="0" fontId="0" fillId="0" borderId="0" xfId="54" applyBorder="1">
      <alignment/>
      <protection/>
    </xf>
    <xf numFmtId="0" fontId="10" fillId="0" borderId="10" xfId="54" applyFont="1" applyBorder="1">
      <alignment/>
      <protection/>
    </xf>
    <xf numFmtId="0" fontId="10" fillId="0" borderId="0" xfId="54" applyFont="1" applyBorder="1">
      <alignment/>
      <protection/>
    </xf>
    <xf numFmtId="0" fontId="19" fillId="0" borderId="0" xfId="54" applyFont="1" applyBorder="1">
      <alignment/>
      <protection/>
    </xf>
    <xf numFmtId="0" fontId="10" fillId="0" borderId="0" xfId="54" applyFont="1">
      <alignment/>
      <protection/>
    </xf>
    <xf numFmtId="0" fontId="10" fillId="0" borderId="11" xfId="54" applyFont="1" applyBorder="1">
      <alignment/>
      <protection/>
    </xf>
    <xf numFmtId="0" fontId="0" fillId="0" borderId="0" xfId="54">
      <alignment/>
      <protection/>
    </xf>
    <xf numFmtId="0" fontId="16" fillId="0" borderId="10" xfId="54" applyFont="1" applyBorder="1" applyAlignment="1">
      <alignment horizontal="centerContinuous"/>
      <protection/>
    </xf>
    <xf numFmtId="0" fontId="12" fillId="0" borderId="0" xfId="54" applyFont="1" applyFill="1" applyBorder="1">
      <alignment/>
      <protection/>
    </xf>
    <xf numFmtId="0" fontId="37" fillId="0" borderId="0" xfId="54" applyFont="1" applyFill="1" applyBorder="1" applyAlignment="1">
      <alignment horizontal="centerContinuous"/>
      <protection/>
    </xf>
    <xf numFmtId="0" fontId="37" fillId="0" borderId="0" xfId="54" applyFont="1" applyFill="1" applyAlignment="1">
      <alignment horizontal="centerContinuous"/>
      <protection/>
    </xf>
    <xf numFmtId="0" fontId="37" fillId="0" borderId="11" xfId="54" applyFont="1" applyFill="1" applyBorder="1" applyAlignment="1">
      <alignment horizontal="centerContinuous"/>
      <protection/>
    </xf>
    <xf numFmtId="0" fontId="37" fillId="0" borderId="0" xfId="54" applyFont="1" applyFill="1" applyBorder="1">
      <alignment/>
      <protection/>
    </xf>
    <xf numFmtId="0" fontId="16" fillId="0" borderId="0" xfId="54" applyFont="1" applyFill="1" applyBorder="1">
      <alignment/>
      <protection/>
    </xf>
    <xf numFmtId="0" fontId="7" fillId="0" borderId="10" xfId="54" applyFont="1" applyBorder="1">
      <alignment/>
      <protection/>
    </xf>
    <xf numFmtId="0" fontId="5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11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17" fillId="0" borderId="0" xfId="54" applyFont="1" applyBorder="1">
      <alignment/>
      <protection/>
    </xf>
    <xf numFmtId="0" fontId="15" fillId="0" borderId="10" xfId="54" applyFont="1" applyBorder="1" applyAlignment="1">
      <alignment horizontal="centerContinuous"/>
      <protection/>
    </xf>
    <xf numFmtId="0" fontId="15" fillId="0" borderId="0" xfId="54" applyFont="1" applyBorder="1" applyAlignment="1">
      <alignment horizontal="centerContinuous"/>
      <protection/>
    </xf>
    <xf numFmtId="0" fontId="15" fillId="0" borderId="0" xfId="54" applyFont="1" applyFill="1" applyBorder="1" applyAlignment="1">
      <alignment horizontal="centerContinuous"/>
      <protection/>
    </xf>
    <xf numFmtId="0" fontId="15" fillId="0" borderId="11" xfId="54" applyFont="1" applyFill="1" applyBorder="1" applyAlignment="1">
      <alignment horizontal="centerContinuous"/>
      <protection/>
    </xf>
    <xf numFmtId="0" fontId="17" fillId="0" borderId="0" xfId="54" applyFont="1" applyFill="1" applyBorder="1">
      <alignment/>
      <protection/>
    </xf>
    <xf numFmtId="0" fontId="17" fillId="0" borderId="0" xfId="54" applyFont="1">
      <alignment/>
      <protection/>
    </xf>
    <xf numFmtId="0" fontId="10" fillId="0" borderId="0" xfId="54" applyFont="1" applyFill="1" applyBorder="1">
      <alignment/>
      <protection/>
    </xf>
    <xf numFmtId="0" fontId="62" fillId="0" borderId="0" xfId="54" applyFont="1" applyFill="1" applyBorder="1">
      <alignment/>
      <protection/>
    </xf>
    <xf numFmtId="0" fontId="10" fillId="0" borderId="11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63" fillId="0" borderId="0" xfId="54" applyFont="1" applyFill="1" applyBorder="1">
      <alignment/>
      <protection/>
    </xf>
    <xf numFmtId="176" fontId="10" fillId="0" borderId="0" xfId="54" applyNumberFormat="1" applyFont="1" applyBorder="1" applyAlignment="1" applyProtection="1">
      <alignment horizontal="left"/>
      <protection/>
    </xf>
    <xf numFmtId="0" fontId="19" fillId="0" borderId="0" xfId="54" applyFont="1" applyFill="1" applyBorder="1">
      <alignment/>
      <protection/>
    </xf>
    <xf numFmtId="5" fontId="10" fillId="0" borderId="0" xfId="54" applyNumberFormat="1" applyFont="1" applyFill="1" applyBorder="1">
      <alignment/>
      <protection/>
    </xf>
    <xf numFmtId="0" fontId="11" fillId="0" borderId="0" xfId="54" applyFont="1" applyFill="1" applyBorder="1">
      <alignment/>
      <protection/>
    </xf>
    <xf numFmtId="177" fontId="10" fillId="0" borderId="0" xfId="54" applyNumberFormat="1" applyFont="1" applyBorder="1" applyAlignment="1">
      <alignment horizontal="center"/>
      <protection/>
    </xf>
    <xf numFmtId="175" fontId="10" fillId="0" borderId="0" xfId="54" applyNumberFormat="1" applyFont="1" applyBorder="1" applyAlignment="1">
      <alignment horizontal="center"/>
      <protection/>
    </xf>
    <xf numFmtId="0" fontId="10" fillId="0" borderId="0" xfId="54" applyFont="1" applyBorder="1" applyAlignment="1">
      <alignment horizontal="right"/>
      <protection/>
    </xf>
    <xf numFmtId="0" fontId="10" fillId="0" borderId="0" xfId="54" applyFont="1" applyBorder="1" applyAlignment="1">
      <alignment horizontal="left"/>
      <protection/>
    </xf>
    <xf numFmtId="0" fontId="6" fillId="0" borderId="0" xfId="54" applyFont="1" applyFill="1" applyBorder="1">
      <alignment/>
      <protection/>
    </xf>
    <xf numFmtId="0" fontId="10" fillId="0" borderId="59" xfId="54" applyFont="1" applyBorder="1" applyAlignment="1">
      <alignment horizontal="centerContinuous"/>
      <protection/>
    </xf>
    <xf numFmtId="0" fontId="18" fillId="0" borderId="0" xfId="54" applyFont="1" applyFill="1" applyBorder="1">
      <alignment/>
      <protection/>
    </xf>
    <xf numFmtId="0" fontId="10" fillId="0" borderId="60" xfId="54" applyFont="1" applyFill="1" applyBorder="1">
      <alignment/>
      <protection/>
    </xf>
    <xf numFmtId="0" fontId="10" fillId="0" borderId="61" xfId="54" applyFont="1" applyBorder="1" applyAlignment="1" applyProtection="1">
      <alignment horizontal="right"/>
      <protection/>
    </xf>
    <xf numFmtId="181" fontId="10" fillId="0" borderId="62" xfId="54" applyNumberFormat="1" applyFont="1" applyBorder="1" applyAlignment="1">
      <alignment horizontal="center"/>
      <protection/>
    </xf>
    <xf numFmtId="181" fontId="10" fillId="0" borderId="0" xfId="54" applyNumberFormat="1" applyFont="1" applyBorder="1" applyAlignment="1">
      <alignment horizontal="center"/>
      <protection/>
    </xf>
    <xf numFmtId="0" fontId="10" fillId="0" borderId="63" xfId="54" applyFont="1" applyBorder="1" applyAlignment="1">
      <alignment horizontal="centerContinuous"/>
      <protection/>
    </xf>
    <xf numFmtId="10" fontId="18" fillId="0" borderId="0" xfId="54" applyNumberFormat="1" applyFont="1" applyFill="1" applyBorder="1">
      <alignment/>
      <protection/>
    </xf>
    <xf numFmtId="0" fontId="10" fillId="0" borderId="64" xfId="54" applyFont="1" applyFill="1" applyBorder="1">
      <alignment/>
      <protection/>
    </xf>
    <xf numFmtId="176" fontId="10" fillId="0" borderId="65" xfId="54" applyNumberFormat="1" applyFont="1" applyBorder="1" applyAlignment="1" applyProtection="1">
      <alignment horizontal="right"/>
      <protection/>
    </xf>
    <xf numFmtId="179" fontId="10" fillId="0" borderId="66" xfId="54" applyNumberFormat="1" applyFont="1" applyBorder="1" applyAlignment="1">
      <alignment horizontal="center"/>
      <protection/>
    </xf>
    <xf numFmtId="179" fontId="10" fillId="0" borderId="0" xfId="54" applyNumberFormat="1" applyFont="1" applyBorder="1" applyAlignment="1">
      <alignment horizontal="center"/>
      <protection/>
    </xf>
    <xf numFmtId="0" fontId="10" fillId="0" borderId="67" xfId="54" applyFont="1" applyBorder="1" applyAlignment="1">
      <alignment horizontal="centerContinuous"/>
      <protection/>
    </xf>
    <xf numFmtId="0" fontId="10" fillId="0" borderId="0" xfId="54" applyFont="1" applyBorder="1" applyAlignment="1" applyProtection="1">
      <alignment horizontal="center"/>
      <protection/>
    </xf>
    <xf numFmtId="175" fontId="10" fillId="0" borderId="0" xfId="54" applyNumberFormat="1" applyFont="1" applyBorder="1">
      <alignment/>
      <protection/>
    </xf>
    <xf numFmtId="7" fontId="10" fillId="0" borderId="0" xfId="54" applyNumberFormat="1" applyFont="1" applyBorder="1" applyAlignment="1">
      <alignment horizontal="center"/>
      <protection/>
    </xf>
    <xf numFmtId="0" fontId="19" fillId="0" borderId="0" xfId="54" applyFont="1" applyBorder="1" applyAlignment="1" applyProtection="1">
      <alignment horizontal="left"/>
      <protection/>
    </xf>
    <xf numFmtId="7" fontId="10" fillId="0" borderId="68" xfId="54" applyNumberFormat="1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8" fillId="0" borderId="30" xfId="54" applyFont="1" applyBorder="1" applyAlignment="1" applyProtection="1">
      <alignment horizontal="center"/>
      <protection/>
    </xf>
    <xf numFmtId="7" fontId="8" fillId="0" borderId="31" xfId="54" applyNumberFormat="1" applyFont="1" applyBorder="1" applyAlignment="1">
      <alignment horizontal="center"/>
      <protection/>
    </xf>
    <xf numFmtId="176" fontId="10" fillId="0" borderId="0" xfId="54" applyNumberFormat="1" applyFont="1" applyBorder="1" applyAlignment="1" applyProtection="1">
      <alignment horizontal="center"/>
      <protection/>
    </xf>
    <xf numFmtId="176" fontId="10" fillId="0" borderId="0" xfId="54" applyNumberFormat="1" applyFont="1" applyBorder="1" applyAlignment="1" applyProtection="1" quotePrefix="1">
      <alignment horizontal="center"/>
      <protection/>
    </xf>
    <xf numFmtId="2" fontId="22" fillId="0" borderId="0" xfId="54" applyNumberFormat="1" applyFont="1" applyBorder="1" applyAlignment="1">
      <alignment horizontal="center"/>
      <protection/>
    </xf>
    <xf numFmtId="2" fontId="10" fillId="0" borderId="11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 applyProtection="1">
      <alignment horizontal="center"/>
      <protection/>
    </xf>
    <xf numFmtId="0" fontId="10" fillId="0" borderId="69" xfId="54" applyFont="1" applyBorder="1" applyAlignment="1" applyProtection="1">
      <alignment horizontal="center"/>
      <protection/>
    </xf>
    <xf numFmtId="0" fontId="10" fillId="0" borderId="54" xfId="54" applyFont="1" applyBorder="1" applyAlignment="1" applyProtection="1">
      <alignment horizontal="center"/>
      <protection/>
    </xf>
    <xf numFmtId="2" fontId="10" fillId="0" borderId="54" xfId="54" applyNumberFormat="1" applyFont="1" applyBorder="1" applyAlignment="1" applyProtection="1">
      <alignment horizontal="center"/>
      <protection/>
    </xf>
    <xf numFmtId="176" fontId="10" fillId="0" borderId="54" xfId="54" applyNumberFormat="1" applyFont="1" applyBorder="1" applyAlignment="1" applyProtection="1">
      <alignment horizontal="center"/>
      <protection/>
    </xf>
    <xf numFmtId="185" fontId="11" fillId="0" borderId="54" xfId="54" applyNumberFormat="1" applyFont="1" applyBorder="1" applyAlignment="1" applyProtection="1">
      <alignment horizontal="right"/>
      <protection/>
    </xf>
    <xf numFmtId="176" fontId="11" fillId="0" borderId="54" xfId="54" applyNumberFormat="1" applyFont="1" applyBorder="1" applyAlignment="1" applyProtection="1">
      <alignment horizontal="left"/>
      <protection/>
    </xf>
    <xf numFmtId="176" fontId="11" fillId="0" borderId="54" xfId="54" applyNumberFormat="1" applyFont="1" applyBorder="1" applyAlignment="1" applyProtection="1">
      <alignment horizontal="center"/>
      <protection/>
    </xf>
    <xf numFmtId="0" fontId="0" fillId="0" borderId="54" xfId="54" applyBorder="1" applyAlignment="1">
      <alignment horizontal="center"/>
      <protection/>
    </xf>
    <xf numFmtId="7" fontId="19" fillId="0" borderId="70" xfId="54" applyNumberFormat="1" applyFont="1" applyBorder="1" applyAlignment="1">
      <alignment horizontal="center"/>
      <protection/>
    </xf>
    <xf numFmtId="0" fontId="10" fillId="0" borderId="71" xfId="54" applyFont="1" applyBorder="1" applyAlignment="1" applyProtection="1">
      <alignment horizontal="center"/>
      <protection/>
    </xf>
    <xf numFmtId="0" fontId="10" fillId="0" borderId="72" xfId="54" applyFont="1" applyBorder="1" applyAlignment="1" applyProtection="1">
      <alignment horizontal="center"/>
      <protection/>
    </xf>
    <xf numFmtId="2" fontId="10" fillId="0" borderId="72" xfId="54" applyNumberFormat="1" applyFont="1" applyBorder="1" applyAlignment="1" applyProtection="1">
      <alignment horizontal="center"/>
      <protection/>
    </xf>
    <xf numFmtId="176" fontId="10" fillId="0" borderId="72" xfId="54" applyNumberFormat="1" applyFont="1" applyBorder="1" applyAlignment="1" applyProtection="1">
      <alignment horizontal="center"/>
      <protection/>
    </xf>
    <xf numFmtId="7" fontId="10" fillId="0" borderId="72" xfId="54" applyNumberFormat="1" applyFont="1" applyBorder="1" applyAlignment="1" applyProtection="1">
      <alignment horizontal="center"/>
      <protection/>
    </xf>
    <xf numFmtId="7" fontId="10" fillId="0" borderId="72" xfId="54" applyNumberFormat="1" applyFont="1" applyBorder="1" applyAlignment="1" applyProtection="1">
      <alignment horizontal="centerContinuous"/>
      <protection/>
    </xf>
    <xf numFmtId="176" fontId="64" fillId="0" borderId="72" xfId="54" applyNumberFormat="1" applyFont="1" applyBorder="1" applyAlignment="1" applyProtection="1" quotePrefix="1">
      <alignment horizontal="left"/>
      <protection/>
    </xf>
    <xf numFmtId="0" fontId="10" fillId="0" borderId="72" xfId="54" applyFont="1" applyBorder="1" applyAlignment="1" applyProtection="1">
      <alignment horizontal="right"/>
      <protection/>
    </xf>
    <xf numFmtId="7" fontId="10" fillId="0" borderId="73" xfId="54" applyNumberFormat="1" applyFont="1" applyBorder="1" applyAlignment="1" applyProtection="1">
      <alignment horizontal="center"/>
      <protection/>
    </xf>
    <xf numFmtId="0" fontId="10" fillId="0" borderId="74" xfId="54" applyFont="1" applyBorder="1" applyAlignment="1" applyProtection="1">
      <alignment horizontal="center"/>
      <protection/>
    </xf>
    <xf numFmtId="7" fontId="10" fillId="0" borderId="0" xfId="54" applyNumberFormat="1" applyFont="1" applyBorder="1" applyAlignment="1" applyProtection="1">
      <alignment horizontal="center"/>
      <protection/>
    </xf>
    <xf numFmtId="7" fontId="10" fillId="0" borderId="0" xfId="54" applyNumberFormat="1" applyFont="1" applyBorder="1" applyAlignment="1" applyProtection="1">
      <alignment horizontal="centerContinuous"/>
      <protection/>
    </xf>
    <xf numFmtId="176" fontId="64" fillId="0" borderId="0" xfId="54" applyNumberFormat="1" applyFont="1" applyBorder="1" applyAlignment="1" applyProtection="1" quotePrefix="1">
      <alignment horizontal="left"/>
      <protection/>
    </xf>
    <xf numFmtId="0" fontId="10" fillId="0" borderId="0" xfId="54" applyFont="1" applyBorder="1" applyAlignment="1" applyProtection="1">
      <alignment horizontal="right"/>
      <protection/>
    </xf>
    <xf numFmtId="7" fontId="10" fillId="0" borderId="75" xfId="54" applyNumberFormat="1" applyFont="1" applyBorder="1" applyAlignment="1" applyProtection="1">
      <alignment horizontal="center"/>
      <protection/>
    </xf>
    <xf numFmtId="0" fontId="10" fillId="0" borderId="76" xfId="54" applyFont="1" applyBorder="1" applyAlignment="1" applyProtection="1">
      <alignment horizontal="center"/>
      <protection/>
    </xf>
    <xf numFmtId="0" fontId="10" fillId="0" borderId="68" xfId="54" applyFont="1" applyBorder="1" applyAlignment="1" applyProtection="1">
      <alignment horizontal="center"/>
      <protection/>
    </xf>
    <xf numFmtId="2" fontId="10" fillId="0" borderId="68" xfId="54" applyNumberFormat="1" applyFont="1" applyBorder="1" applyAlignment="1" applyProtection="1">
      <alignment horizontal="center"/>
      <protection/>
    </xf>
    <xf numFmtId="176" fontId="10" fillId="0" borderId="68" xfId="54" applyNumberFormat="1" applyFont="1" applyBorder="1" applyAlignment="1" applyProtection="1">
      <alignment horizontal="center"/>
      <protection/>
    </xf>
    <xf numFmtId="7" fontId="10" fillId="0" borderId="68" xfId="54" applyNumberFormat="1" applyFont="1" applyBorder="1" applyAlignment="1" applyProtection="1">
      <alignment horizontal="center"/>
      <protection/>
    </xf>
    <xf numFmtId="7" fontId="10" fillId="0" borderId="68" xfId="54" applyNumberFormat="1" applyFont="1" applyBorder="1" applyAlignment="1" applyProtection="1">
      <alignment horizontal="centerContinuous"/>
      <protection/>
    </xf>
    <xf numFmtId="176" fontId="64" fillId="0" borderId="68" xfId="54" applyNumberFormat="1" applyFont="1" applyBorder="1" applyAlignment="1" applyProtection="1" quotePrefix="1">
      <alignment horizontal="left"/>
      <protection/>
    </xf>
    <xf numFmtId="0" fontId="10" fillId="0" borderId="68" xfId="54" applyFont="1" applyBorder="1" applyAlignment="1" applyProtection="1">
      <alignment horizontal="right"/>
      <protection/>
    </xf>
    <xf numFmtId="7" fontId="10" fillId="0" borderId="77" xfId="54" applyNumberFormat="1" applyFont="1" applyBorder="1" applyAlignment="1" applyProtection="1">
      <alignment horizontal="center"/>
      <protection/>
    </xf>
    <xf numFmtId="2" fontId="10" fillId="0" borderId="0" xfId="54" applyNumberFormat="1" applyFont="1" applyBorder="1" applyAlignment="1" applyProtection="1">
      <alignment horizontal="right"/>
      <protection/>
    </xf>
    <xf numFmtId="5" fontId="10" fillId="0" borderId="0" xfId="54" applyNumberFormat="1" applyFont="1" applyBorder="1" applyAlignment="1" applyProtection="1">
      <alignment horizontal="center"/>
      <protection/>
    </xf>
    <xf numFmtId="7" fontId="10" fillId="0" borderId="70" xfId="54" applyNumberFormat="1" applyFont="1" applyBorder="1" applyAlignment="1" applyProtection="1">
      <alignment horizontal="center"/>
      <protection/>
    </xf>
    <xf numFmtId="7" fontId="10" fillId="0" borderId="0" xfId="54" applyNumberFormat="1" applyFont="1" applyBorder="1" applyAlignment="1">
      <alignment horizontal="right"/>
      <protection/>
    </xf>
    <xf numFmtId="2" fontId="10" fillId="0" borderId="54" xfId="54" applyNumberFormat="1" applyFont="1" applyBorder="1" applyAlignment="1" applyProtection="1">
      <alignment horizontal="centerContinuous"/>
      <protection/>
    </xf>
    <xf numFmtId="2" fontId="10" fillId="0" borderId="78" xfId="54" applyNumberFormat="1" applyFont="1" applyBorder="1" applyAlignment="1" applyProtection="1">
      <alignment horizontal="centerContinuous"/>
      <protection/>
    </xf>
    <xf numFmtId="185" fontId="11" fillId="0" borderId="70" xfId="54" applyNumberFormat="1" applyFont="1" applyBorder="1" applyAlignment="1" applyProtection="1">
      <alignment horizontal="right"/>
      <protection/>
    </xf>
    <xf numFmtId="0" fontId="0" fillId="0" borderId="69" xfId="54" applyBorder="1" applyAlignment="1">
      <alignment horizontal="centerContinuous"/>
      <protection/>
    </xf>
    <xf numFmtId="0" fontId="10" fillId="0" borderId="54" xfId="54" applyFont="1" applyBorder="1" applyAlignment="1" applyProtection="1">
      <alignment horizontal="centerContinuous"/>
      <protection/>
    </xf>
    <xf numFmtId="176" fontId="10" fillId="0" borderId="69" xfId="54" applyNumberFormat="1" applyFont="1" applyBorder="1" applyAlignment="1" applyProtection="1">
      <alignment horizontal="centerContinuous"/>
      <protection/>
    </xf>
    <xf numFmtId="2" fontId="22" fillId="0" borderId="78" xfId="54" applyNumberFormat="1" applyFont="1" applyBorder="1" applyAlignment="1">
      <alignment horizontal="centerContinuous"/>
      <protection/>
    </xf>
    <xf numFmtId="2" fontId="10" fillId="0" borderId="72" xfId="54" applyNumberFormat="1" applyFont="1" applyBorder="1" applyAlignment="1" applyProtection="1">
      <alignment horizontal="centerContinuous"/>
      <protection/>
    </xf>
    <xf numFmtId="2" fontId="10" fillId="0" borderId="79" xfId="54" applyNumberFormat="1" applyFont="1" applyBorder="1" applyAlignment="1" applyProtection="1">
      <alignment horizontal="centerContinuous"/>
      <protection/>
    </xf>
    <xf numFmtId="7" fontId="10" fillId="0" borderId="71" xfId="54" applyNumberFormat="1" applyFont="1" applyBorder="1" applyAlignment="1">
      <alignment horizontal="centerContinuous"/>
      <protection/>
    </xf>
    <xf numFmtId="0" fontId="10" fillId="0" borderId="72" xfId="54" applyFont="1" applyBorder="1" applyAlignment="1" applyProtection="1">
      <alignment horizontal="centerContinuous"/>
      <protection/>
    </xf>
    <xf numFmtId="176" fontId="10" fillId="0" borderId="72" xfId="54" applyNumberFormat="1" applyFont="1" applyBorder="1" applyAlignment="1" applyProtection="1" quotePrefix="1">
      <alignment horizontal="center"/>
      <protection/>
    </xf>
    <xf numFmtId="7" fontId="10" fillId="0" borderId="71" xfId="54" applyNumberFormat="1" applyFont="1" applyBorder="1" applyAlignment="1" applyProtection="1">
      <alignment horizontal="centerContinuous"/>
      <protection/>
    </xf>
    <xf numFmtId="2" fontId="22" fillId="0" borderId="79" xfId="54" applyNumberFormat="1" applyFont="1" applyBorder="1" applyAlignment="1">
      <alignment horizontal="centerContinuous"/>
      <protection/>
    </xf>
    <xf numFmtId="2" fontId="10" fillId="0" borderId="0" xfId="54" applyNumberFormat="1" applyFont="1" applyBorder="1" applyAlignment="1" applyProtection="1">
      <alignment horizontal="centerContinuous"/>
      <protection/>
    </xf>
    <xf numFmtId="2" fontId="10" fillId="0" borderId="80" xfId="54" applyNumberFormat="1" applyFont="1" applyBorder="1" applyAlignment="1" applyProtection="1">
      <alignment horizontal="centerContinuous"/>
      <protection/>
    </xf>
    <xf numFmtId="7" fontId="10" fillId="0" borderId="74" xfId="54" applyNumberFormat="1" applyFont="1" applyBorder="1" applyAlignment="1">
      <alignment horizontal="centerContinuous"/>
      <protection/>
    </xf>
    <xf numFmtId="0" fontId="10" fillId="0" borderId="0" xfId="54" applyFont="1" applyBorder="1" applyAlignment="1" applyProtection="1">
      <alignment horizontal="centerContinuous"/>
      <protection/>
    </xf>
    <xf numFmtId="7" fontId="10" fillId="0" borderId="74" xfId="54" applyNumberFormat="1" applyFont="1" applyBorder="1" applyAlignment="1" applyProtection="1">
      <alignment horizontal="centerContinuous"/>
      <protection/>
    </xf>
    <xf numFmtId="2" fontId="22" fillId="0" borderId="80" xfId="54" applyNumberFormat="1" applyFont="1" applyBorder="1" applyAlignment="1">
      <alignment horizontal="centerContinuous"/>
      <protection/>
    </xf>
    <xf numFmtId="2" fontId="10" fillId="0" borderId="68" xfId="54" applyNumberFormat="1" applyFont="1" applyBorder="1" applyAlignment="1" applyProtection="1">
      <alignment horizontal="centerContinuous"/>
      <protection/>
    </xf>
    <xf numFmtId="2" fontId="10" fillId="0" borderId="38" xfId="54" applyNumberFormat="1" applyFont="1" applyBorder="1" applyAlignment="1" applyProtection="1">
      <alignment horizontal="centerContinuous"/>
      <protection/>
    </xf>
    <xf numFmtId="7" fontId="10" fillId="0" borderId="76" xfId="54" applyNumberFormat="1" applyFont="1" applyBorder="1" applyAlignment="1">
      <alignment horizontal="centerContinuous"/>
      <protection/>
    </xf>
    <xf numFmtId="0" fontId="10" fillId="0" borderId="68" xfId="54" applyFont="1" applyBorder="1" applyAlignment="1" applyProtection="1">
      <alignment horizontal="centerContinuous"/>
      <protection/>
    </xf>
    <xf numFmtId="176" fontId="10" fillId="0" borderId="68" xfId="54" applyNumberFormat="1" applyFont="1" applyBorder="1" applyAlignment="1" applyProtection="1" quotePrefix="1">
      <alignment horizontal="center"/>
      <protection/>
    </xf>
    <xf numFmtId="7" fontId="10" fillId="0" borderId="76" xfId="54" applyNumberFormat="1" applyFont="1" applyBorder="1" applyAlignment="1" applyProtection="1">
      <alignment horizontal="centerContinuous"/>
      <protection/>
    </xf>
    <xf numFmtId="2" fontId="22" fillId="0" borderId="38" xfId="54" applyNumberFormat="1" applyFont="1" applyBorder="1" applyAlignment="1">
      <alignment horizontal="centerContinuous"/>
      <protection/>
    </xf>
    <xf numFmtId="7" fontId="10" fillId="0" borderId="69" xfId="54" applyNumberFormat="1" applyFont="1" applyBorder="1" applyAlignment="1" applyProtection="1">
      <alignment horizontal="centerContinuous"/>
      <protection/>
    </xf>
    <xf numFmtId="5" fontId="8" fillId="0" borderId="30" xfId="54" applyNumberFormat="1" applyFont="1" applyBorder="1" applyAlignment="1" applyProtection="1">
      <alignment horizontal="center"/>
      <protection/>
    </xf>
    <xf numFmtId="7" fontId="8" fillId="0" borderId="31" xfId="54" applyNumberFormat="1" applyFont="1" applyBorder="1" applyAlignment="1" applyProtection="1">
      <alignment horizontal="center"/>
      <protection/>
    </xf>
    <xf numFmtId="0" fontId="11" fillId="0" borderId="0" xfId="54" applyFont="1" applyBorder="1" applyAlignment="1">
      <alignment horizontal="left"/>
      <protection/>
    </xf>
    <xf numFmtId="176" fontId="10" fillId="0" borderId="0" xfId="54" applyNumberFormat="1" applyFont="1" applyBorder="1" applyAlignment="1" applyProtection="1">
      <alignment horizontal="right"/>
      <protection/>
    </xf>
    <xf numFmtId="1" fontId="10" fillId="0" borderId="0" xfId="54" applyNumberFormat="1" applyFont="1" applyBorder="1" applyAlignment="1" applyProtection="1">
      <alignment horizontal="right"/>
      <protection/>
    </xf>
    <xf numFmtId="0" fontId="8" fillId="0" borderId="30" xfId="54" applyFont="1" applyBorder="1" applyAlignment="1">
      <alignment horizontal="center"/>
      <protection/>
    </xf>
    <xf numFmtId="7" fontId="65" fillId="0" borderId="31" xfId="54" applyNumberFormat="1" applyFont="1" applyFill="1" applyBorder="1" applyAlignment="1">
      <alignment horizontal="center"/>
      <protection/>
    </xf>
    <xf numFmtId="0" fontId="34" fillId="0" borderId="0" xfId="54" applyFont="1" applyBorder="1">
      <alignment/>
      <protection/>
    </xf>
    <xf numFmtId="0" fontId="10" fillId="0" borderId="0" xfId="54" applyFont="1" applyFill="1" applyBorder="1" applyAlignment="1">
      <alignment horizontal="center"/>
      <protection/>
    </xf>
    <xf numFmtId="2" fontId="10" fillId="0" borderId="0" xfId="54" applyNumberFormat="1" applyFont="1" applyFill="1" applyBorder="1">
      <alignment/>
      <protection/>
    </xf>
    <xf numFmtId="0" fontId="8" fillId="0" borderId="30" xfId="54" applyFont="1" applyFill="1" applyBorder="1" applyAlignment="1">
      <alignment horizontal="center"/>
      <protection/>
    </xf>
    <xf numFmtId="8" fontId="8" fillId="0" borderId="31" xfId="54" applyNumberFormat="1" applyFont="1" applyBorder="1" applyAlignment="1" applyProtection="1">
      <alignment horizontal="center"/>
      <protection/>
    </xf>
    <xf numFmtId="0" fontId="10" fillId="0" borderId="23" xfId="54" applyFont="1" applyBorder="1">
      <alignment/>
      <protection/>
    </xf>
    <xf numFmtId="0" fontId="10" fillId="0" borderId="24" xfId="54" applyFont="1" applyBorder="1">
      <alignment/>
      <protection/>
    </xf>
    <xf numFmtId="0" fontId="10" fillId="0" borderId="25" xfId="54" applyFont="1" applyBorder="1">
      <alignment/>
      <protection/>
    </xf>
    <xf numFmtId="0" fontId="0" fillId="0" borderId="54" xfId="54" applyBorder="1" applyAlignment="1">
      <alignment horizontal="centerContinuous"/>
      <protection/>
    </xf>
    <xf numFmtId="0" fontId="0" fillId="0" borderId="54" xfId="54" applyBorder="1">
      <alignment/>
      <protection/>
    </xf>
    <xf numFmtId="185" fontId="11" fillId="0" borderId="54" xfId="54" applyNumberFormat="1" applyFont="1" applyBorder="1" applyAlignment="1" applyProtection="1">
      <alignment horizontal="left"/>
      <protection/>
    </xf>
    <xf numFmtId="176" fontId="10" fillId="0" borderId="78" xfId="54" applyNumberFormat="1" applyFont="1" applyBorder="1" applyAlignment="1" applyProtection="1">
      <alignment horizontal="center"/>
      <protection/>
    </xf>
    <xf numFmtId="176" fontId="10" fillId="0" borderId="71" xfId="54" applyNumberFormat="1" applyFont="1" applyBorder="1" applyAlignment="1" applyProtection="1">
      <alignment horizontal="center"/>
      <protection/>
    </xf>
    <xf numFmtId="7" fontId="10" fillId="0" borderId="79" xfId="54" applyNumberFormat="1" applyFont="1" applyBorder="1" applyAlignment="1" applyProtection="1">
      <alignment horizontal="center"/>
      <protection/>
    </xf>
    <xf numFmtId="7" fontId="73" fillId="0" borderId="71" xfId="54" applyNumberFormat="1" applyFont="1" applyBorder="1" applyAlignment="1">
      <alignment horizontal="left"/>
      <protection/>
    </xf>
    <xf numFmtId="0" fontId="73" fillId="0" borderId="72" xfId="54" applyFont="1" applyBorder="1" applyAlignment="1" applyProtection="1">
      <alignment horizontal="centerContinuous"/>
      <protection/>
    </xf>
    <xf numFmtId="176" fontId="73" fillId="0" borderId="72" xfId="54" applyNumberFormat="1" applyFont="1" applyBorder="1" applyAlignment="1" applyProtection="1">
      <alignment horizontal="center"/>
      <protection/>
    </xf>
    <xf numFmtId="176" fontId="10" fillId="0" borderId="76" xfId="54" applyNumberFormat="1" applyFont="1" applyBorder="1" applyAlignment="1" applyProtection="1">
      <alignment horizontal="center"/>
      <protection/>
    </xf>
    <xf numFmtId="7" fontId="10" fillId="0" borderId="80" xfId="54" applyNumberFormat="1" applyFont="1" applyBorder="1" applyAlignment="1" applyProtection="1">
      <alignment horizontal="center"/>
      <protection/>
    </xf>
    <xf numFmtId="7" fontId="73" fillId="0" borderId="74" xfId="54" applyNumberFormat="1" applyFont="1" applyBorder="1" applyAlignment="1">
      <alignment horizontal="left"/>
      <protection/>
    </xf>
    <xf numFmtId="0" fontId="73" fillId="0" borderId="0" xfId="54" applyFont="1" applyBorder="1" applyAlignment="1" applyProtection="1">
      <alignment horizontal="centerContinuous"/>
      <protection/>
    </xf>
    <xf numFmtId="176" fontId="73" fillId="0" borderId="0" xfId="54" applyNumberFormat="1" applyFont="1" applyBorder="1" applyAlignment="1" applyProtection="1">
      <alignment horizontal="center"/>
      <protection/>
    </xf>
    <xf numFmtId="7" fontId="0" fillId="0" borderId="78" xfId="54" applyNumberFormat="1" applyBorder="1" applyAlignment="1">
      <alignment horizontal="center"/>
      <protection/>
    </xf>
    <xf numFmtId="7" fontId="30" fillId="0" borderId="71" xfId="54" applyNumberFormat="1" applyFont="1" applyBorder="1" applyAlignment="1">
      <alignment horizontal="left"/>
      <protection/>
    </xf>
    <xf numFmtId="0" fontId="30" fillId="0" borderId="72" xfId="54" applyFont="1" applyBorder="1" applyAlignment="1" applyProtection="1">
      <alignment horizontal="centerContinuous"/>
      <protection/>
    </xf>
    <xf numFmtId="176" fontId="30" fillId="0" borderId="72" xfId="54" applyNumberFormat="1" applyFont="1" applyBorder="1" applyAlignment="1" applyProtection="1">
      <alignment horizontal="left"/>
      <protection/>
    </xf>
    <xf numFmtId="7" fontId="30" fillId="0" borderId="74" xfId="54" applyNumberFormat="1" applyFont="1" applyBorder="1" applyAlignment="1">
      <alignment horizontal="left"/>
      <protection/>
    </xf>
    <xf numFmtId="0" fontId="30" fillId="0" borderId="0" xfId="54" applyFont="1" applyBorder="1" applyAlignment="1" applyProtection="1">
      <alignment horizontal="centerContinuous"/>
      <protection/>
    </xf>
    <xf numFmtId="176" fontId="30" fillId="0" borderId="0" xfId="54" applyNumberFormat="1" applyFont="1" applyBorder="1" applyAlignment="1" applyProtection="1">
      <alignment horizontal="left"/>
      <protection/>
    </xf>
    <xf numFmtId="7" fontId="30" fillId="0" borderId="76" xfId="54" applyNumberFormat="1" applyFont="1" applyBorder="1" applyAlignment="1">
      <alignment horizontal="left"/>
      <protection/>
    </xf>
    <xf numFmtId="0" fontId="30" fillId="0" borderId="68" xfId="54" applyFont="1" applyBorder="1" applyAlignment="1" applyProtection="1">
      <alignment horizontal="centerContinuous"/>
      <protection/>
    </xf>
    <xf numFmtId="176" fontId="30" fillId="0" borderId="68" xfId="54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>
      <alignment/>
    </xf>
    <xf numFmtId="181" fontId="0" fillId="0" borderId="30" xfId="0" applyNumberFormat="1" applyFont="1" applyBorder="1" applyAlignment="1">
      <alignment horizontal="centerContinuous" vertical="center"/>
    </xf>
    <xf numFmtId="179" fontId="0" fillId="0" borderId="33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 applyProtection="1">
      <alignment horizontal="left"/>
      <protection/>
    </xf>
    <xf numFmtId="0" fontId="7" fillId="0" borderId="81" xfId="54" applyFont="1" applyBorder="1" applyAlignment="1" applyProtection="1">
      <alignment horizontal="left"/>
      <protection/>
    </xf>
    <xf numFmtId="179" fontId="7" fillId="0" borderId="82" xfId="54" applyNumberFormat="1" applyFont="1" applyBorder="1" applyAlignment="1" applyProtection="1">
      <alignment horizontal="centerContinuous"/>
      <protection/>
    </xf>
    <xf numFmtId="0" fontId="7" fillId="0" borderId="83" xfId="54" applyFont="1" applyBorder="1">
      <alignment/>
      <protection/>
    </xf>
    <xf numFmtId="179" fontId="14" fillId="0" borderId="54" xfId="54" applyNumberFormat="1" applyFont="1" applyBorder="1" applyAlignment="1">
      <alignment horizontal="centerContinuous"/>
      <protection/>
    </xf>
    <xf numFmtId="0" fontId="7" fillId="0" borderId="84" xfId="54" applyFont="1" applyBorder="1" applyAlignment="1">
      <alignment horizontal="left"/>
      <protection/>
    </xf>
    <xf numFmtId="179" fontId="14" fillId="0" borderId="65" xfId="54" applyNumberFormat="1" applyFont="1" applyBorder="1" applyAlignment="1">
      <alignment horizontal="centerContinuous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Transener_V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79082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381000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733425</xdr:colOff>
      <xdr:row>0</xdr:row>
      <xdr:rowOff>0</xdr:rowOff>
    </xdr:from>
    <xdr:to>
      <xdr:col>1</xdr:col>
      <xdr:colOff>409575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3845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685800</xdr:colOff>
      <xdr:row>0</xdr:row>
      <xdr:rowOff>0</xdr:rowOff>
    </xdr:from>
    <xdr:to>
      <xdr:col>1</xdr:col>
      <xdr:colOff>361950</xdr:colOff>
      <xdr:row>1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4\F0514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514"/>
      <sheetName val="LI-05 (1)"/>
      <sheetName val="LI-IV-05 (1)"/>
      <sheetName val="LI-YACY-05 (1)"/>
      <sheetName val="TR-05 (1)"/>
      <sheetName val="TR-ESPERANZA (1)"/>
      <sheetName val="TR-LITSA SG-12 (1)"/>
      <sheetName val="SA-05 (1)"/>
      <sheetName val="SA-05 (2)"/>
      <sheetName val="SA-ESPERANZA-05 (1)"/>
      <sheetName val="SA-CTM-05 (1)"/>
      <sheetName val="SA-LIMSA-05 (1)"/>
      <sheetName val="SA-TIBA-05 (1)"/>
      <sheetName val="SA-LARIOJASUR-04 (1)"/>
      <sheetName val="RE-05 (1)"/>
      <sheetName val="RE-INTESAR 3-05 (1)"/>
      <sheetName val="RE-IV-05 (1)"/>
      <sheetName val="VST-05 (1)"/>
      <sheetName val="SUP-YACYLEC"/>
      <sheetName val="SUP-LITSA T. SG"/>
      <sheetName val="SUP-CTM"/>
      <sheetName val="SUP-LIMSA"/>
      <sheetName val="SUP-TIBA"/>
      <sheetName val="DATO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2"/>
  <sheetViews>
    <sheetView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4.8515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92" customFormat="1" ht="26.25">
      <c r="B1" s="93"/>
      <c r="K1" s="371"/>
    </row>
    <row r="2" spans="2:10" s="92" customFormat="1" ht="26.25">
      <c r="B2" s="93" t="s">
        <v>207</v>
      </c>
      <c r="C2" s="110"/>
      <c r="D2" s="94"/>
      <c r="E2" s="94"/>
      <c r="F2" s="94"/>
      <c r="G2" s="94"/>
      <c r="H2" s="94"/>
      <c r="I2" s="94"/>
      <c r="J2" s="94"/>
    </row>
    <row r="3" spans="3:19" ht="12.75">
      <c r="C3"/>
      <c r="D3" s="38"/>
      <c r="E3" s="38"/>
      <c r="F3" s="38"/>
      <c r="G3" s="38"/>
      <c r="H3" s="38"/>
      <c r="I3" s="38"/>
      <c r="J3" s="38"/>
      <c r="P3" s="8"/>
      <c r="Q3" s="8"/>
      <c r="R3" s="8"/>
      <c r="S3" s="8"/>
    </row>
    <row r="4" spans="1:19" s="95" customFormat="1" ht="11.25">
      <c r="A4" s="111" t="s">
        <v>21</v>
      </c>
      <c r="B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95" customFormat="1" ht="11.25">
      <c r="A5" s="111" t="s">
        <v>22</v>
      </c>
      <c r="B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2:19" s="92" customFormat="1" ht="26.25">
      <c r="B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2:19" s="97" customFormat="1" ht="21">
      <c r="B7" s="151" t="s">
        <v>0</v>
      </c>
      <c r="C7" s="116"/>
      <c r="D7" s="117"/>
      <c r="E7" s="117"/>
      <c r="F7" s="118"/>
      <c r="G7" s="118"/>
      <c r="H7" s="118"/>
      <c r="I7" s="118"/>
      <c r="J7" s="118"/>
      <c r="K7" s="44"/>
      <c r="L7" s="44"/>
      <c r="M7" s="44"/>
      <c r="N7" s="44"/>
      <c r="O7" s="44"/>
      <c r="P7" s="44"/>
      <c r="Q7" s="44"/>
      <c r="R7" s="44"/>
      <c r="S7" s="44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97" customFormat="1" ht="21">
      <c r="B9" s="151" t="s">
        <v>1</v>
      </c>
      <c r="C9" s="116"/>
      <c r="D9" s="117"/>
      <c r="E9" s="117"/>
      <c r="F9" s="117"/>
      <c r="G9" s="117"/>
      <c r="H9" s="117"/>
      <c r="I9" s="118"/>
      <c r="J9" s="118"/>
      <c r="K9" s="44"/>
      <c r="L9" s="44"/>
      <c r="M9" s="44"/>
      <c r="N9" s="44"/>
      <c r="O9" s="44"/>
      <c r="P9" s="44"/>
      <c r="Q9" s="44"/>
      <c r="R9" s="44"/>
      <c r="S9" s="44"/>
    </row>
    <row r="10" spans="4:19" ht="12.75">
      <c r="D10" s="119"/>
      <c r="E10" s="1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97" customFormat="1" ht="20.25">
      <c r="B11" s="151" t="s">
        <v>206</v>
      </c>
      <c r="C11" s="68"/>
      <c r="D11" s="39"/>
      <c r="E11" s="39"/>
      <c r="F11" s="117"/>
      <c r="G11" s="117"/>
      <c r="H11" s="117"/>
      <c r="I11" s="118"/>
      <c r="J11" s="118"/>
      <c r="K11" s="44"/>
      <c r="L11" s="44"/>
      <c r="M11" s="44"/>
      <c r="N11" s="44"/>
      <c r="O11" s="44"/>
      <c r="P11" s="44"/>
      <c r="Q11" s="44"/>
      <c r="R11" s="44"/>
      <c r="S11" s="44"/>
    </row>
    <row r="12" spans="4:19" s="120" customFormat="1" ht="16.5" thickBot="1">
      <c r="D12" s="7"/>
      <c r="E12" s="7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2:19" s="120" customFormat="1" ht="16.5" thickTop="1">
      <c r="B13" s="347">
        <v>1</v>
      </c>
      <c r="C13" s="368"/>
      <c r="D13" s="122"/>
      <c r="E13" s="122"/>
      <c r="F13" s="122"/>
      <c r="G13" s="122"/>
      <c r="H13" s="122"/>
      <c r="I13" s="122"/>
      <c r="J13" s="123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2:19" s="104" customFormat="1" ht="19.5">
      <c r="B14" s="215" t="s">
        <v>145</v>
      </c>
      <c r="C14" s="124"/>
      <c r="D14" s="125"/>
      <c r="E14" s="126"/>
      <c r="F14" s="126"/>
      <c r="G14" s="126"/>
      <c r="H14" s="126"/>
      <c r="I14" s="100"/>
      <c r="J14" s="103"/>
      <c r="K14" s="46"/>
      <c r="L14" s="46"/>
      <c r="M14" s="46"/>
      <c r="N14" s="46"/>
      <c r="O14" s="46"/>
      <c r="P14" s="46"/>
      <c r="Q14" s="46"/>
      <c r="R14" s="46"/>
      <c r="S14" s="46"/>
    </row>
    <row r="15" spans="2:19" s="104" customFormat="1" ht="9" customHeight="1">
      <c r="B15" s="127"/>
      <c r="C15" s="128"/>
      <c r="D15" s="128"/>
      <c r="E15" s="46"/>
      <c r="F15" s="129"/>
      <c r="G15" s="129"/>
      <c r="H15" s="129"/>
      <c r="I15" s="46"/>
      <c r="J15" s="130"/>
      <c r="K15" s="46"/>
      <c r="L15" s="46"/>
      <c r="M15" s="46"/>
      <c r="N15" s="46"/>
      <c r="O15" s="46"/>
      <c r="P15" s="46"/>
      <c r="Q15" s="46"/>
      <c r="R15" s="46"/>
      <c r="S15" s="46"/>
    </row>
    <row r="16" spans="2:18" s="104" customFormat="1" ht="9" customHeight="1">
      <c r="B16" s="215">
        <f>IF(B13=2,"Sanciones duplicadas por tasa de falla &gt; 4 Sal. x año/100km.","")</f>
      </c>
      <c r="C16" s="218"/>
      <c r="D16" s="218"/>
      <c r="E16" s="100"/>
      <c r="F16" s="126"/>
      <c r="G16" s="126"/>
      <c r="H16" s="100"/>
      <c r="I16" s="68"/>
      <c r="J16" s="103"/>
      <c r="K16" s="46"/>
      <c r="L16" s="46"/>
      <c r="M16" s="46"/>
      <c r="N16" s="46"/>
      <c r="O16" s="46"/>
      <c r="P16" s="46"/>
      <c r="Q16" s="46"/>
      <c r="R16" s="46"/>
    </row>
    <row r="17" spans="2:18" s="104" customFormat="1" ht="9" customHeight="1">
      <c r="B17" s="127"/>
      <c r="C17" s="128"/>
      <c r="D17" s="128"/>
      <c r="E17" s="46"/>
      <c r="F17" s="129"/>
      <c r="G17" s="129"/>
      <c r="H17" s="46"/>
      <c r="I17"/>
      <c r="J17" s="130"/>
      <c r="K17" s="46"/>
      <c r="L17" s="46"/>
      <c r="M17" s="46"/>
      <c r="N17" s="46"/>
      <c r="O17" s="46"/>
      <c r="P17" s="46"/>
      <c r="Q17" s="46"/>
      <c r="R17" s="46"/>
    </row>
    <row r="18" spans="2:19" s="104" customFormat="1" ht="19.5">
      <c r="B18" s="127"/>
      <c r="C18" s="131" t="s">
        <v>23</v>
      </c>
      <c r="D18" s="132" t="s">
        <v>24</v>
      </c>
      <c r="E18" s="46"/>
      <c r="F18" s="129"/>
      <c r="G18" s="129"/>
      <c r="H18" s="129"/>
      <c r="I18" s="45"/>
      <c r="J18" s="130"/>
      <c r="K18" s="46"/>
      <c r="L18" s="46"/>
      <c r="M18" s="46"/>
      <c r="N18" s="46"/>
      <c r="O18" s="46"/>
      <c r="P18" s="46"/>
      <c r="Q18" s="46"/>
      <c r="R18" s="46"/>
      <c r="S18" s="46"/>
    </row>
    <row r="19" spans="2:19" s="104" customFormat="1" ht="19.5">
      <c r="B19" s="127"/>
      <c r="C19"/>
      <c r="D19" s="131" t="s">
        <v>25</v>
      </c>
      <c r="E19" s="132" t="s">
        <v>26</v>
      </c>
      <c r="F19" s="129"/>
      <c r="G19" s="129"/>
      <c r="H19" s="129"/>
      <c r="I19" s="45">
        <f>'LI-11 (1)'!AA40</f>
        <v>142226.68</v>
      </c>
      <c r="J19" s="130"/>
      <c r="K19" s="46"/>
      <c r="L19" s="46"/>
      <c r="M19" s="46"/>
      <c r="N19" s="46"/>
      <c r="O19" s="46"/>
      <c r="P19" s="46"/>
      <c r="Q19" s="46"/>
      <c r="R19" s="46"/>
      <c r="S19" s="46"/>
    </row>
    <row r="20" spans="2:19" s="104" customFormat="1" ht="19.5">
      <c r="B20" s="127"/>
      <c r="C20" s="131"/>
      <c r="D20" s="128" t="s">
        <v>27</v>
      </c>
      <c r="E20" s="132" t="s">
        <v>30</v>
      </c>
      <c r="F20" s="129"/>
      <c r="G20" s="129"/>
      <c r="H20" s="129"/>
      <c r="I20" s="45">
        <f>'LI-SPSE-11 (1)'!AA43</f>
        <v>9765.44</v>
      </c>
      <c r="J20" s="130"/>
      <c r="K20" s="46"/>
      <c r="L20" s="46"/>
      <c r="M20" s="46"/>
      <c r="N20" s="46"/>
      <c r="O20" s="46"/>
      <c r="P20" s="46"/>
      <c r="Q20" s="46"/>
      <c r="R20" s="46"/>
      <c r="S20" s="46"/>
    </row>
    <row r="21" spans="2:19" s="104" customFormat="1" ht="19.5">
      <c r="B21" s="127"/>
      <c r="C21" s="131"/>
      <c r="D21" s="128" t="s">
        <v>29</v>
      </c>
      <c r="E21" s="132" t="s">
        <v>140</v>
      </c>
      <c r="F21" s="129"/>
      <c r="G21" s="129"/>
      <c r="H21" s="129"/>
      <c r="I21" s="45">
        <f>'LI-TRANSACUE-11 (1)'!AA43</f>
        <v>5434.12</v>
      </c>
      <c r="J21" s="130"/>
      <c r="K21" s="46"/>
      <c r="L21" s="46"/>
      <c r="M21" s="46"/>
      <c r="N21" s="46"/>
      <c r="O21" s="46"/>
      <c r="P21" s="46"/>
      <c r="Q21" s="46"/>
      <c r="R21" s="46"/>
      <c r="S21" s="46"/>
    </row>
    <row r="22" spans="2:19" ht="13.5">
      <c r="B22" s="43"/>
      <c r="C22" s="133"/>
      <c r="D22" s="134"/>
      <c r="E22" s="8"/>
      <c r="F22" s="135"/>
      <c r="G22" s="135"/>
      <c r="H22" s="135"/>
      <c r="I22" s="136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s="104" customFormat="1" ht="19.5">
      <c r="B23" s="127"/>
      <c r="C23" s="131" t="s">
        <v>31</v>
      </c>
      <c r="D23" s="132" t="s">
        <v>32</v>
      </c>
      <c r="E23" s="46"/>
      <c r="F23" s="129"/>
      <c r="G23" s="129"/>
      <c r="H23" s="129"/>
      <c r="I23" s="45"/>
      <c r="J23" s="130"/>
      <c r="K23" s="46"/>
      <c r="L23" s="46"/>
      <c r="M23" s="46"/>
      <c r="N23" s="46"/>
      <c r="O23" s="46"/>
      <c r="P23" s="46"/>
      <c r="Q23" s="46"/>
      <c r="R23" s="46"/>
      <c r="S23" s="46"/>
    </row>
    <row r="24" spans="2:19" ht="8.25" customHeight="1">
      <c r="B24" s="43"/>
      <c r="C24" s="133"/>
      <c r="D24" s="133"/>
      <c r="E24" s="8"/>
      <c r="F24" s="135"/>
      <c r="G24" s="135"/>
      <c r="H24" s="135"/>
      <c r="I24" s="137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s="104" customFormat="1" ht="19.5">
      <c r="B25" s="127"/>
      <c r="C25" s="131"/>
      <c r="D25" s="131" t="s">
        <v>33</v>
      </c>
      <c r="E25" s="9" t="s">
        <v>34</v>
      </c>
      <c r="F25" s="129"/>
      <c r="G25" s="129"/>
      <c r="H25" s="129"/>
      <c r="I25" s="45"/>
      <c r="J25" s="130"/>
      <c r="K25" s="46"/>
      <c r="L25" s="46"/>
      <c r="M25" s="46"/>
      <c r="N25" s="46"/>
      <c r="O25" s="46"/>
      <c r="P25" s="46"/>
      <c r="Q25" s="46"/>
      <c r="R25" s="46"/>
      <c r="S25" s="46"/>
    </row>
    <row r="26" spans="2:19" s="104" customFormat="1" ht="19.5">
      <c r="B26" s="127"/>
      <c r="C26" s="131"/>
      <c r="D26" s="131"/>
      <c r="E26" s="131" t="s">
        <v>35</v>
      </c>
      <c r="F26" s="132" t="s">
        <v>26</v>
      </c>
      <c r="G26" s="129"/>
      <c r="H26" s="129"/>
      <c r="I26" s="45">
        <f>'TR-11 (1)'!AC45</f>
        <v>181.7</v>
      </c>
      <c r="J26" s="130"/>
      <c r="K26" s="46"/>
      <c r="L26" s="46"/>
      <c r="M26" s="46"/>
      <c r="N26" s="46"/>
      <c r="O26" s="46"/>
      <c r="P26" s="46"/>
      <c r="Q26" s="46"/>
      <c r="R26" s="46"/>
      <c r="S26" s="46"/>
    </row>
    <row r="27" spans="2:19" s="104" customFormat="1" ht="19.5">
      <c r="B27" s="127"/>
      <c r="C27" s="131"/>
      <c r="D27" s="131"/>
      <c r="E27" s="131" t="s">
        <v>36</v>
      </c>
      <c r="F27" s="132" t="s">
        <v>28</v>
      </c>
      <c r="G27" s="129"/>
      <c r="H27" s="129"/>
      <c r="I27" s="45">
        <f>'TR-EDERSA-11 (1)'!AC45</f>
        <v>316.82</v>
      </c>
      <c r="J27" s="130"/>
      <c r="K27" s="46"/>
      <c r="L27" s="46"/>
      <c r="M27" s="46"/>
      <c r="N27" s="46"/>
      <c r="O27" s="46"/>
      <c r="P27" s="46"/>
      <c r="Q27" s="46"/>
      <c r="R27" s="46"/>
      <c r="S27" s="46"/>
    </row>
    <row r="28" spans="2:19" s="104" customFormat="1" ht="19.5">
      <c r="B28" s="127"/>
      <c r="C28" s="131"/>
      <c r="D28" s="131"/>
      <c r="E28" s="128" t="s">
        <v>37</v>
      </c>
      <c r="F28" s="945" t="s">
        <v>181</v>
      </c>
      <c r="G28" s="129"/>
      <c r="H28" s="129"/>
      <c r="I28" s="45">
        <f>'TR-TRANSPORTEL PATG.-11 (1)'!AC43</f>
        <v>62464.66</v>
      </c>
      <c r="J28" s="130"/>
      <c r="K28" s="46"/>
      <c r="L28" s="46"/>
      <c r="M28" s="46"/>
      <c r="N28" s="46"/>
      <c r="O28" s="46"/>
      <c r="P28" s="46"/>
      <c r="Q28" s="46"/>
      <c r="R28" s="46"/>
      <c r="S28" s="46"/>
    </row>
    <row r="29" spans="2:19" ht="13.5">
      <c r="B29" s="43"/>
      <c r="C29" s="133"/>
      <c r="D29" s="133"/>
      <c r="E29" s="8"/>
      <c r="F29" s="135"/>
      <c r="G29" s="135"/>
      <c r="H29" s="135"/>
      <c r="I29" s="137"/>
      <c r="J29" s="11"/>
      <c r="K29" s="8"/>
      <c r="L29" s="8"/>
      <c r="M29" s="8"/>
      <c r="N29" s="8"/>
      <c r="O29" s="8"/>
      <c r="P29" s="8"/>
      <c r="Q29" s="8"/>
      <c r="R29" s="8"/>
      <c r="S29" s="8"/>
    </row>
    <row r="30" spans="2:19" s="104" customFormat="1" ht="19.5">
      <c r="B30" s="127"/>
      <c r="C30" s="131"/>
      <c r="D30" s="131" t="s">
        <v>38</v>
      </c>
      <c r="E30" s="9" t="s">
        <v>39</v>
      </c>
      <c r="F30" s="129"/>
      <c r="G30" s="129"/>
      <c r="H30" s="129"/>
      <c r="I30" s="45"/>
      <c r="J30" s="130"/>
      <c r="K30" s="46"/>
      <c r="L30" s="46"/>
      <c r="M30" s="46"/>
      <c r="N30" s="46"/>
      <c r="O30" s="46"/>
      <c r="P30" s="46"/>
      <c r="Q30" s="46"/>
      <c r="R30" s="46"/>
      <c r="S30" s="46"/>
    </row>
    <row r="31" spans="2:19" s="104" customFormat="1" ht="19.5">
      <c r="B31" s="127"/>
      <c r="C31" s="131"/>
      <c r="D31" s="131"/>
      <c r="E31" s="128" t="s">
        <v>40</v>
      </c>
      <c r="F31" s="132" t="s">
        <v>28</v>
      </c>
      <c r="G31" s="129"/>
      <c r="H31" s="129"/>
      <c r="I31" s="45">
        <f>'SA-EDERSA-11 (1)'!V45</f>
        <v>694.0132500000001</v>
      </c>
      <c r="J31" s="130"/>
      <c r="K31" s="46"/>
      <c r="L31" s="46"/>
      <c r="M31" s="46"/>
      <c r="N31" s="46"/>
      <c r="O31" s="46"/>
      <c r="P31" s="46"/>
      <c r="Q31" s="46"/>
      <c r="R31" s="46"/>
      <c r="S31" s="46"/>
    </row>
    <row r="32" spans="2:19" ht="13.5">
      <c r="B32" s="43"/>
      <c r="C32" s="133"/>
      <c r="D32" s="134"/>
      <c r="E32" s="8"/>
      <c r="F32" s="135"/>
      <c r="G32" s="135"/>
      <c r="H32" s="135"/>
      <c r="I32" s="136"/>
      <c r="J32" s="11"/>
      <c r="K32" s="8"/>
      <c r="L32" s="8"/>
      <c r="M32" s="8"/>
      <c r="N32" s="8"/>
      <c r="O32" s="8"/>
      <c r="P32" s="8"/>
      <c r="Q32" s="8"/>
      <c r="R32" s="8"/>
      <c r="S32" s="8"/>
    </row>
    <row r="33" spans="2:19" s="104" customFormat="1" ht="19.5">
      <c r="B33" s="127"/>
      <c r="C33" s="128" t="s">
        <v>41</v>
      </c>
      <c r="D33" s="9" t="s">
        <v>42</v>
      </c>
      <c r="E33" s="129"/>
      <c r="F33"/>
      <c r="G33" s="129"/>
      <c r="H33" s="129"/>
      <c r="I33" s="45"/>
      <c r="J33" s="130"/>
      <c r="K33" s="46"/>
      <c r="L33" s="46"/>
      <c r="M33" s="46"/>
      <c r="N33" s="46"/>
      <c r="O33" s="46"/>
      <c r="P33" s="46"/>
      <c r="Q33" s="46"/>
      <c r="R33" s="46"/>
      <c r="S33" s="46"/>
    </row>
    <row r="34" spans="2:19" s="104" customFormat="1" ht="19.5">
      <c r="B34" s="127"/>
      <c r="C34" s="131"/>
      <c r="D34" s="128" t="s">
        <v>182</v>
      </c>
      <c r="E34" s="132" t="s">
        <v>28</v>
      </c>
      <c r="F34"/>
      <c r="G34" s="129"/>
      <c r="H34" s="129"/>
      <c r="I34" s="45">
        <f>'SUP-EDERSA '!I57</f>
        <v>270.6158869328063</v>
      </c>
      <c r="J34" s="130"/>
      <c r="K34" s="46"/>
      <c r="L34" s="46"/>
      <c r="M34" s="46"/>
      <c r="N34" s="46"/>
      <c r="O34" s="46"/>
      <c r="P34" s="46"/>
      <c r="Q34" s="46"/>
      <c r="R34" s="46"/>
      <c r="S34" s="46"/>
    </row>
    <row r="35" spans="2:19" s="104" customFormat="1" ht="19.5">
      <c r="B35" s="127"/>
      <c r="C35" s="131"/>
      <c r="D35" s="128" t="s">
        <v>183</v>
      </c>
      <c r="E35" s="132" t="s">
        <v>30</v>
      </c>
      <c r="F35"/>
      <c r="G35" s="129"/>
      <c r="H35" s="129"/>
      <c r="I35" s="45">
        <f>'SUP-SPSE'!I52</f>
        <v>2531.1712659340183</v>
      </c>
      <c r="J35" s="130"/>
      <c r="K35" s="46"/>
      <c r="L35" s="46"/>
      <c r="M35" s="46"/>
      <c r="N35" s="46"/>
      <c r="O35" s="46"/>
      <c r="P35" s="46"/>
      <c r="Q35" s="46"/>
      <c r="R35" s="46"/>
      <c r="S35" s="46"/>
    </row>
    <row r="36" spans="2:19" s="104" customFormat="1" ht="19.5">
      <c r="B36" s="127"/>
      <c r="C36" s="131"/>
      <c r="D36" s="128" t="s">
        <v>184</v>
      </c>
      <c r="E36" s="132" t="s">
        <v>140</v>
      </c>
      <c r="F36"/>
      <c r="G36" s="129"/>
      <c r="H36" s="129"/>
      <c r="I36" s="45">
        <f>'SUP-TRANSACUE'!I55</f>
        <v>1793.3704188536835</v>
      </c>
      <c r="J36" s="130"/>
      <c r="K36" s="46"/>
      <c r="L36" s="46"/>
      <c r="M36" s="46"/>
      <c r="N36" s="46"/>
      <c r="O36" s="46"/>
      <c r="P36" s="46"/>
      <c r="Q36" s="46"/>
      <c r="R36" s="46"/>
      <c r="S36" s="46"/>
    </row>
    <row r="37" spans="2:19" s="104" customFormat="1" ht="20.25" thickBot="1">
      <c r="B37" s="127"/>
      <c r="C37" s="128"/>
      <c r="D37" s="128"/>
      <c r="E37" s="46"/>
      <c r="F37" s="129"/>
      <c r="G37" s="129"/>
      <c r="H37" s="129"/>
      <c r="I37" s="46"/>
      <c r="J37" s="130"/>
      <c r="K37" s="46"/>
      <c r="L37" s="46"/>
      <c r="M37" s="46"/>
      <c r="N37" s="46"/>
      <c r="O37" s="46"/>
      <c r="P37" s="46"/>
      <c r="Q37" s="46"/>
      <c r="R37" s="46"/>
      <c r="S37" s="46"/>
    </row>
    <row r="38" spans="2:19" s="104" customFormat="1" ht="20.25" thickBot="1" thickTop="1">
      <c r="B38" s="127"/>
      <c r="C38" s="131"/>
      <c r="D38" s="131"/>
      <c r="F38" s="138" t="s">
        <v>43</v>
      </c>
      <c r="G38" s="139">
        <f>SUM(I19:I36)</f>
        <v>225678.59082172049</v>
      </c>
      <c r="H38" s="217"/>
      <c r="J38" s="130"/>
      <c r="K38" s="46"/>
      <c r="L38" s="46"/>
      <c r="M38" s="46"/>
      <c r="N38" s="46"/>
      <c r="O38" s="46"/>
      <c r="P38" s="46"/>
      <c r="Q38" s="46"/>
      <c r="R38" s="46"/>
      <c r="S38" s="46"/>
    </row>
    <row r="39" spans="2:19" s="104" customFormat="1" ht="8.25" customHeight="1" thickTop="1">
      <c r="B39" s="127"/>
      <c r="C39" s="131"/>
      <c r="D39" s="131"/>
      <c r="F39" s="536"/>
      <c r="G39" s="217"/>
      <c r="H39" s="217"/>
      <c r="J39" s="130"/>
      <c r="K39" s="46"/>
      <c r="L39" s="46"/>
      <c r="M39" s="46"/>
      <c r="N39" s="46"/>
      <c r="O39" s="46"/>
      <c r="P39" s="46"/>
      <c r="Q39" s="46"/>
      <c r="R39" s="46"/>
      <c r="S39" s="46"/>
    </row>
    <row r="40" spans="2:19" s="104" customFormat="1" ht="18.75">
      <c r="B40" s="127"/>
      <c r="C40" s="537" t="s">
        <v>205</v>
      </c>
      <c r="D40" s="131"/>
      <c r="F40" s="536"/>
      <c r="G40" s="217"/>
      <c r="H40" s="217"/>
      <c r="J40" s="130"/>
      <c r="K40" s="46"/>
      <c r="L40" s="46"/>
      <c r="M40" s="46"/>
      <c r="N40" s="46"/>
      <c r="O40" s="46"/>
      <c r="P40" s="46"/>
      <c r="Q40" s="46"/>
      <c r="R40" s="46"/>
      <c r="S40" s="46"/>
    </row>
    <row r="41" spans="2:19" s="120" customFormat="1" ht="6.75" customHeight="1" thickBot="1">
      <c r="B41" s="140"/>
      <c r="C41" s="141"/>
      <c r="D41" s="141"/>
      <c r="E41" s="142"/>
      <c r="F41" s="142"/>
      <c r="G41" s="142"/>
      <c r="H41" s="142"/>
      <c r="I41" s="142"/>
      <c r="J41" s="143"/>
      <c r="K41" s="121"/>
      <c r="L41" s="121"/>
      <c r="M41" s="67"/>
      <c r="N41" s="144"/>
      <c r="O41" s="144"/>
      <c r="P41" s="145"/>
      <c r="Q41" s="146"/>
      <c r="R41" s="121"/>
      <c r="S41" s="121"/>
    </row>
    <row r="42" spans="4:19" ht="13.5" thickTop="1">
      <c r="D42" s="8"/>
      <c r="F42" s="8"/>
      <c r="G42" s="8"/>
      <c r="H42" s="8"/>
      <c r="I42" s="8"/>
      <c r="J42" s="8"/>
      <c r="K42" s="8"/>
      <c r="L42" s="8"/>
      <c r="M42" s="29"/>
      <c r="N42" s="147"/>
      <c r="O42" s="147"/>
      <c r="P42" s="8"/>
      <c r="Q42" s="35"/>
      <c r="R42" s="8"/>
      <c r="S42" s="8"/>
    </row>
    <row r="43" spans="4:19" ht="12.75">
      <c r="D43" s="8"/>
      <c r="F43" s="8"/>
      <c r="G43" s="8"/>
      <c r="H43" s="8"/>
      <c r="I43" s="8"/>
      <c r="J43" s="8"/>
      <c r="K43" s="8"/>
      <c r="L43" s="8"/>
      <c r="M43" s="8"/>
      <c r="N43" s="148"/>
      <c r="O43" s="148"/>
      <c r="P43" s="149"/>
      <c r="Q43" s="35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148"/>
      <c r="O44" s="148"/>
      <c r="P44" s="149"/>
      <c r="Q44" s="35"/>
      <c r="R44" s="8"/>
      <c r="S44" s="8"/>
    </row>
    <row r="45" spans="4:19" ht="12.75">
      <c r="D45" s="8"/>
      <c r="E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4:19" ht="12.75">
      <c r="D49" s="8"/>
      <c r="E49" s="8"/>
      <c r="P49" s="8"/>
      <c r="Q49" s="8"/>
      <c r="R49" s="8"/>
      <c r="S49" s="8"/>
    </row>
    <row r="50" spans="4:19" ht="12.75">
      <c r="D50" s="8"/>
      <c r="E50" s="8"/>
      <c r="P50" s="8"/>
      <c r="Q50" s="8"/>
      <c r="R50" s="8"/>
      <c r="S50" s="8"/>
    </row>
    <row r="51" spans="16:19" ht="12.75">
      <c r="P51" s="8"/>
      <c r="Q51" s="8"/>
      <c r="R51" s="8"/>
      <c r="S51" s="8"/>
    </row>
    <row r="52" spans="16:19" ht="12.75">
      <c r="P52" s="8"/>
      <c r="Q52" s="8"/>
      <c r="R52" s="8"/>
      <c r="S52" s="8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S105"/>
  <sheetViews>
    <sheetView zoomScale="80" zoomScaleNormal="80" zoomScalePageLayoutView="0" workbookViewId="0" topLeftCell="A13">
      <selection activeCell="K24" sqref="K24"/>
    </sheetView>
  </sheetViews>
  <sheetFormatPr defaultColWidth="13.421875" defaultRowHeight="12.75"/>
  <cols>
    <col min="1" max="2" width="13.8515625" style="780" customWidth="1"/>
    <col min="3" max="3" width="4.7109375" style="780" customWidth="1"/>
    <col min="4" max="4" width="41.7109375" style="780" customWidth="1"/>
    <col min="5" max="5" width="11.00390625" style="780" customWidth="1"/>
    <col min="6" max="6" width="13.28125" style="780" customWidth="1"/>
    <col min="7" max="7" width="6.7109375" style="780" customWidth="1"/>
    <col min="8" max="9" width="20.7109375" style="780" customWidth="1"/>
    <col min="10" max="10" width="13.8515625" style="780" customWidth="1"/>
    <col min="11" max="11" width="14.421875" style="780" customWidth="1"/>
    <col min="12" max="12" width="26.421875" style="780" customWidth="1"/>
    <col min="13" max="13" width="9.57421875" style="780" customWidth="1"/>
    <col min="14" max="14" width="9.28125" style="780" customWidth="1"/>
    <col min="15" max="15" width="9.8515625" style="780" customWidth="1"/>
    <col min="16" max="16" width="13.8515625" style="780" customWidth="1"/>
    <col min="17" max="16384" width="13.421875" style="780" customWidth="1"/>
  </cols>
  <sheetData>
    <row r="1" s="757" customFormat="1" ht="39.75" customHeight="1">
      <c r="P1" s="758"/>
    </row>
    <row r="2" spans="1:16" s="757" customFormat="1" ht="26.25">
      <c r="A2" s="759"/>
      <c r="B2" s="760" t="str">
        <f>'TOT-1115'!B2</f>
        <v>ANEXO V al Memorándum  D.T.E.E.  N°  379 / 2016             .-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1:3" s="763" customFormat="1" ht="12.75">
      <c r="A3" s="761" t="s">
        <v>144</v>
      </c>
      <c r="B3" s="762"/>
      <c r="C3" s="762"/>
    </row>
    <row r="4" spans="1:3" s="763" customFormat="1" ht="11.25">
      <c r="A4" s="761" t="s">
        <v>177</v>
      </c>
      <c r="B4" s="764"/>
      <c r="C4" s="764"/>
    </row>
    <row r="5" s="762" customFormat="1" ht="13.5" thickBot="1"/>
    <row r="6" spans="1:16" s="762" customFormat="1" ht="13.5" thickTop="1">
      <c r="A6" s="765"/>
      <c r="B6" s="766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8"/>
    </row>
    <row r="7" spans="1:16" s="772" customFormat="1" ht="20.25">
      <c r="A7" s="769"/>
      <c r="B7" s="770"/>
      <c r="C7" s="769"/>
      <c r="D7" s="771" t="s">
        <v>44</v>
      </c>
      <c r="G7" s="769"/>
      <c r="H7" s="769"/>
      <c r="I7" s="769"/>
      <c r="J7" s="769"/>
      <c r="K7" s="769"/>
      <c r="L7" s="769"/>
      <c r="M7" s="769"/>
      <c r="N7" s="769"/>
      <c r="O7" s="769"/>
      <c r="P7" s="773"/>
    </row>
    <row r="8" spans="1:16" ht="15">
      <c r="A8" s="774"/>
      <c r="B8" s="775"/>
      <c r="C8" s="776"/>
      <c r="D8" s="777"/>
      <c r="E8" s="776"/>
      <c r="F8" s="778"/>
      <c r="G8" s="776"/>
      <c r="H8" s="776"/>
      <c r="I8" s="776"/>
      <c r="J8" s="776"/>
      <c r="K8" s="776"/>
      <c r="L8" s="776"/>
      <c r="M8" s="776"/>
      <c r="N8" s="776"/>
      <c r="O8" s="776"/>
      <c r="P8" s="779"/>
    </row>
    <row r="9" spans="1:19" s="772" customFormat="1" ht="20.25">
      <c r="A9" s="769"/>
      <c r="B9" s="781"/>
      <c r="C9" s="780"/>
      <c r="D9" s="782" t="s">
        <v>197</v>
      </c>
      <c r="E9" s="783"/>
      <c r="F9" s="783"/>
      <c r="G9" s="783"/>
      <c r="H9" s="784"/>
      <c r="I9" s="783"/>
      <c r="J9" s="783"/>
      <c r="K9" s="783"/>
      <c r="L9" s="783"/>
      <c r="M9" s="783"/>
      <c r="N9" s="783"/>
      <c r="O9" s="783"/>
      <c r="P9" s="785"/>
      <c r="Q9" s="786"/>
      <c r="R9" s="787"/>
      <c r="S9" s="787"/>
    </row>
    <row r="10" spans="1:19" s="762" customFormat="1" ht="12.75">
      <c r="A10" s="765"/>
      <c r="B10" s="788"/>
      <c r="C10" s="765"/>
      <c r="D10" s="789"/>
      <c r="E10" s="790"/>
      <c r="F10" s="790"/>
      <c r="G10" s="790"/>
      <c r="H10" s="791"/>
      <c r="I10" s="790"/>
      <c r="J10" s="790"/>
      <c r="K10" s="790"/>
      <c r="L10" s="790"/>
      <c r="M10" s="790"/>
      <c r="N10" s="790"/>
      <c r="O10" s="790"/>
      <c r="P10" s="792"/>
      <c r="Q10" s="790"/>
      <c r="R10" s="790"/>
      <c r="S10" s="793"/>
    </row>
    <row r="11" spans="1:19" s="800" customFormat="1" ht="19.5">
      <c r="A11" s="794"/>
      <c r="B11" s="795" t="str">
        <f>'TOT-1115'!B14</f>
        <v>Desde el 01 al 30 de noviembre de 2015</v>
      </c>
      <c r="C11" s="796"/>
      <c r="D11" s="797"/>
      <c r="E11" s="797"/>
      <c r="F11" s="797"/>
      <c r="G11" s="797"/>
      <c r="H11" s="797"/>
      <c r="I11" s="796"/>
      <c r="J11" s="797"/>
      <c r="K11" s="797"/>
      <c r="L11" s="797"/>
      <c r="M11" s="797"/>
      <c r="N11" s="797"/>
      <c r="O11" s="797"/>
      <c r="P11" s="798"/>
      <c r="Q11" s="799"/>
      <c r="R11" s="799"/>
      <c r="S11" s="799"/>
    </row>
    <row r="12" spans="1:19" ht="15">
      <c r="A12" s="774"/>
      <c r="B12" s="775"/>
      <c r="C12" s="776"/>
      <c r="D12" s="801"/>
      <c r="E12" s="801"/>
      <c r="F12" s="801"/>
      <c r="G12" s="801"/>
      <c r="H12" s="802"/>
      <c r="I12" s="776"/>
      <c r="J12" s="801"/>
      <c r="K12" s="801"/>
      <c r="L12" s="801"/>
      <c r="M12" s="801"/>
      <c r="N12" s="801"/>
      <c r="O12" s="801"/>
      <c r="P12" s="803"/>
      <c r="Q12" s="804"/>
      <c r="R12" s="804"/>
      <c r="S12" s="805"/>
    </row>
    <row r="13" spans="1:19" ht="18" customHeight="1">
      <c r="A13" s="774"/>
      <c r="B13" s="775"/>
      <c r="C13" s="776"/>
      <c r="D13" s="801"/>
      <c r="E13" s="801"/>
      <c r="F13" s="801"/>
      <c r="G13" s="801"/>
      <c r="H13" s="806"/>
      <c r="I13" s="806"/>
      <c r="J13" s="801"/>
      <c r="K13" s="801"/>
      <c r="P13" s="803"/>
      <c r="Q13" s="804"/>
      <c r="R13" s="804"/>
      <c r="S13" s="805"/>
    </row>
    <row r="14" spans="1:19" ht="18" customHeight="1">
      <c r="A14" s="774"/>
      <c r="B14" s="775"/>
      <c r="C14" s="776"/>
      <c r="D14" s="807"/>
      <c r="E14" s="808"/>
      <c r="F14" s="801"/>
      <c r="G14" s="801"/>
      <c r="H14" s="806"/>
      <c r="I14" s="806"/>
      <c r="J14" s="801"/>
      <c r="K14" s="801"/>
      <c r="P14" s="803"/>
      <c r="Q14" s="804"/>
      <c r="R14" s="804"/>
      <c r="S14" s="805"/>
    </row>
    <row r="15" spans="1:16" ht="16.5" thickBot="1">
      <c r="A15" s="774"/>
      <c r="B15" s="775"/>
      <c r="C15" s="809" t="s">
        <v>92</v>
      </c>
      <c r="D15" s="778"/>
      <c r="E15" s="810"/>
      <c r="F15" s="811"/>
      <c r="G15" s="776"/>
      <c r="H15" s="776"/>
      <c r="I15" s="776"/>
      <c r="J15" s="812"/>
      <c r="K15" s="812"/>
      <c r="L15" s="813"/>
      <c r="M15" s="776"/>
      <c r="N15" s="776"/>
      <c r="O15" s="776"/>
      <c r="P15" s="779"/>
    </row>
    <row r="16" spans="1:16" ht="16.5" thickBot="1">
      <c r="A16" s="774"/>
      <c r="B16" s="775"/>
      <c r="C16" s="814"/>
      <c r="D16" s="778"/>
      <c r="E16" s="810"/>
      <c r="F16" s="811"/>
      <c r="G16" s="776"/>
      <c r="H16" s="776"/>
      <c r="L16" s="951" t="s">
        <v>87</v>
      </c>
      <c r="M16" s="952">
        <v>12.14</v>
      </c>
      <c r="N16" s="815"/>
      <c r="O16" s="776"/>
      <c r="P16" s="779"/>
    </row>
    <row r="17" spans="1:16" ht="15.75">
      <c r="A17" s="774"/>
      <c r="B17" s="775"/>
      <c r="C17" s="814"/>
      <c r="D17" s="812" t="s">
        <v>93</v>
      </c>
      <c r="E17" s="816">
        <f>MID(B11,16,2)*24</f>
        <v>720</v>
      </c>
      <c r="F17" s="776" t="s">
        <v>94</v>
      </c>
      <c r="G17" s="801"/>
      <c r="H17" s="817"/>
      <c r="I17" s="818" t="s">
        <v>95</v>
      </c>
      <c r="J17" s="819">
        <v>261.099</v>
      </c>
      <c r="K17" s="820"/>
      <c r="L17" s="953" t="s">
        <v>88</v>
      </c>
      <c r="M17" s="954">
        <v>9.111</v>
      </c>
      <c r="N17" s="821"/>
      <c r="O17" s="776"/>
      <c r="P17" s="779"/>
    </row>
    <row r="18" spans="1:16" ht="16.5" thickBot="1">
      <c r="A18" s="774"/>
      <c r="B18" s="775"/>
      <c r="C18" s="814"/>
      <c r="D18" s="812" t="s">
        <v>96</v>
      </c>
      <c r="E18" s="822">
        <v>0.025</v>
      </c>
      <c r="F18" s="801"/>
      <c r="G18" s="801"/>
      <c r="H18" s="823"/>
      <c r="I18" s="824" t="s">
        <v>97</v>
      </c>
      <c r="J18" s="825">
        <v>0.909</v>
      </c>
      <c r="K18" s="826"/>
      <c r="L18" s="955" t="s">
        <v>89</v>
      </c>
      <c r="M18" s="956">
        <v>9.111</v>
      </c>
      <c r="N18" s="827"/>
      <c r="O18" s="776"/>
      <c r="P18" s="779"/>
    </row>
    <row r="19" spans="1:16" ht="15.75">
      <c r="A19" s="774"/>
      <c r="B19" s="775"/>
      <c r="C19" s="814"/>
      <c r="D19" s="812"/>
      <c r="E19" s="822"/>
      <c r="F19" s="801"/>
      <c r="G19" s="801"/>
      <c r="H19" s="801"/>
      <c r="I19" s="801"/>
      <c r="L19" s="813"/>
      <c r="M19" s="776"/>
      <c r="N19" s="776"/>
      <c r="O19" s="776"/>
      <c r="P19" s="779"/>
    </row>
    <row r="20" spans="1:16" ht="15">
      <c r="A20" s="774"/>
      <c r="B20" s="775"/>
      <c r="C20" s="807" t="s">
        <v>98</v>
      </c>
      <c r="D20" s="828"/>
      <c r="E20" s="810"/>
      <c r="F20" s="811"/>
      <c r="G20" s="776"/>
      <c r="H20" s="776"/>
      <c r="I20" s="776"/>
      <c r="J20" s="812"/>
      <c r="K20" s="812"/>
      <c r="L20" s="813"/>
      <c r="M20" s="776"/>
      <c r="N20" s="776"/>
      <c r="O20" s="776"/>
      <c r="P20" s="779"/>
    </row>
    <row r="21" spans="1:16" ht="15">
      <c r="A21" s="774"/>
      <c r="B21" s="775"/>
      <c r="C21" s="776"/>
      <c r="D21" s="776"/>
      <c r="E21" s="776"/>
      <c r="F21" s="776"/>
      <c r="G21" s="776"/>
      <c r="H21" s="829"/>
      <c r="I21" s="776"/>
      <c r="J21" s="776"/>
      <c r="K21" s="776"/>
      <c r="L21" s="776"/>
      <c r="M21" s="776"/>
      <c r="N21" s="776"/>
      <c r="O21" s="776"/>
      <c r="P21" s="779"/>
    </row>
    <row r="22" spans="1:16" ht="15">
      <c r="A22" s="774"/>
      <c r="B22" s="775"/>
      <c r="C22" s="776"/>
      <c r="D22" s="812" t="s">
        <v>99</v>
      </c>
      <c r="E22" s="776"/>
      <c r="F22" s="829" t="s">
        <v>24</v>
      </c>
      <c r="G22" s="776"/>
      <c r="H22" s="778"/>
      <c r="I22" s="830">
        <v>36570.18</v>
      </c>
      <c r="J22" s="776"/>
      <c r="K22" s="776"/>
      <c r="L22" s="831"/>
      <c r="M22" s="776"/>
      <c r="N22" s="776"/>
      <c r="O22" s="776"/>
      <c r="P22" s="779"/>
    </row>
    <row r="23" spans="1:16" ht="15">
      <c r="A23" s="774"/>
      <c r="B23" s="775"/>
      <c r="C23" s="776"/>
      <c r="D23" s="776"/>
      <c r="E23" s="776"/>
      <c r="F23" s="829" t="s">
        <v>100</v>
      </c>
      <c r="G23" s="776"/>
      <c r="H23" s="778"/>
      <c r="I23" s="830">
        <v>0</v>
      </c>
      <c r="J23" s="776"/>
      <c r="K23" s="776"/>
      <c r="L23" s="831"/>
      <c r="M23" s="776"/>
      <c r="N23" s="776"/>
      <c r="O23" s="776"/>
      <c r="P23" s="779"/>
    </row>
    <row r="24" spans="1:16" ht="15">
      <c r="A24" s="774"/>
      <c r="B24" s="775"/>
      <c r="C24" s="776"/>
      <c r="D24" s="776"/>
      <c r="E24" s="776"/>
      <c r="F24" s="829" t="s">
        <v>3</v>
      </c>
      <c r="G24" s="776"/>
      <c r="H24" s="778"/>
      <c r="I24" s="832">
        <v>0</v>
      </c>
      <c r="J24" s="776"/>
      <c r="K24" s="776"/>
      <c r="L24" s="831"/>
      <c r="M24" s="776"/>
      <c r="N24" s="776"/>
      <c r="O24" s="776"/>
      <c r="P24" s="779"/>
    </row>
    <row r="25" spans="1:16" ht="15.75" thickBot="1">
      <c r="A25" s="774"/>
      <c r="B25" s="775"/>
      <c r="C25" s="776"/>
      <c r="D25" s="776"/>
      <c r="E25" s="776"/>
      <c r="F25" s="776"/>
      <c r="G25" s="776"/>
      <c r="H25" s="829"/>
      <c r="I25" s="776"/>
      <c r="J25" s="776"/>
      <c r="K25" s="776"/>
      <c r="L25" s="776"/>
      <c r="M25" s="776"/>
      <c r="N25" s="776"/>
      <c r="O25" s="776"/>
      <c r="P25" s="779"/>
    </row>
    <row r="26" spans="2:16" ht="20.25" thickBot="1" thickTop="1">
      <c r="B26" s="775"/>
      <c r="C26" s="833"/>
      <c r="H26" s="834" t="s">
        <v>101</v>
      </c>
      <c r="I26" s="835">
        <f>SUM(I22:I25)</f>
        <v>36570.18</v>
      </c>
      <c r="L26" s="836"/>
      <c r="M26" s="836"/>
      <c r="N26" s="837"/>
      <c r="O26" s="838"/>
      <c r="P26" s="839"/>
    </row>
    <row r="27" spans="2:16" ht="15.75" thickTop="1">
      <c r="B27" s="775"/>
      <c r="C27" s="833"/>
      <c r="D27" s="828"/>
      <c r="E27" s="828"/>
      <c r="F27" s="840"/>
      <c r="G27" s="836"/>
      <c r="H27" s="836"/>
      <c r="I27" s="836"/>
      <c r="J27" s="836"/>
      <c r="K27" s="836"/>
      <c r="L27" s="836"/>
      <c r="M27" s="836"/>
      <c r="N27" s="837"/>
      <c r="O27" s="838"/>
      <c r="P27" s="839"/>
    </row>
    <row r="28" spans="2:16" ht="15">
      <c r="B28" s="775"/>
      <c r="C28" s="807" t="s">
        <v>102</v>
      </c>
      <c r="D28" s="828"/>
      <c r="E28" s="828"/>
      <c r="F28" s="840"/>
      <c r="G28" s="836"/>
      <c r="H28" s="836"/>
      <c r="I28" s="836"/>
      <c r="J28" s="836"/>
      <c r="K28" s="836"/>
      <c r="L28" s="836"/>
      <c r="M28" s="836"/>
      <c r="N28" s="837"/>
      <c r="O28" s="838"/>
      <c r="P28" s="839"/>
    </row>
    <row r="29" spans="2:16" ht="15">
      <c r="B29" s="775"/>
      <c r="C29" s="833"/>
      <c r="D29" s="828"/>
      <c r="E29" s="828"/>
      <c r="F29" s="840"/>
      <c r="G29" s="836"/>
      <c r="H29" s="836"/>
      <c r="I29" s="836"/>
      <c r="J29" s="836"/>
      <c r="K29" s="836"/>
      <c r="L29" s="836"/>
      <c r="M29" s="836"/>
      <c r="N29" s="837"/>
      <c r="O29" s="838"/>
      <c r="P29" s="839"/>
    </row>
    <row r="30" spans="2:16" ht="15.75">
      <c r="B30" s="775"/>
      <c r="C30" s="833"/>
      <c r="D30" s="841" t="s">
        <v>103</v>
      </c>
      <c r="E30" s="842" t="s">
        <v>20</v>
      </c>
      <c r="F30" s="843" t="s">
        <v>104</v>
      </c>
      <c r="G30" s="844"/>
      <c r="H30" s="845" t="s">
        <v>138</v>
      </c>
      <c r="I30" s="846" t="s">
        <v>137</v>
      </c>
      <c r="J30" s="921"/>
      <c r="K30" s="922"/>
      <c r="L30" s="849" t="s">
        <v>2</v>
      </c>
      <c r="N30" s="837"/>
      <c r="O30" s="838"/>
      <c r="P30" s="839"/>
    </row>
    <row r="31" spans="2:16" ht="15">
      <c r="B31" s="775"/>
      <c r="C31" s="833"/>
      <c r="D31" s="850" t="s">
        <v>4</v>
      </c>
      <c r="E31" s="851">
        <v>132</v>
      </c>
      <c r="F31" s="852">
        <v>209</v>
      </c>
      <c r="G31" s="853"/>
      <c r="H31" s="854">
        <f>F31*$J$17*$E$17/100</f>
        <v>392901.7752</v>
      </c>
      <c r="I31" s="855">
        <v>5293</v>
      </c>
      <c r="J31" s="888" t="s">
        <v>172</v>
      </c>
      <c r="K31" s="857"/>
      <c r="L31" s="858">
        <f>SUM(H31:K31)</f>
        <v>398194.7752</v>
      </c>
      <c r="M31" s="836"/>
      <c r="N31" s="837"/>
      <c r="O31" s="838"/>
      <c r="P31" s="839"/>
    </row>
    <row r="32" spans="2:16" ht="15">
      <c r="B32" s="775"/>
      <c r="C32" s="833"/>
      <c r="D32" s="865" t="s">
        <v>178</v>
      </c>
      <c r="E32" s="866">
        <v>132</v>
      </c>
      <c r="F32" s="867">
        <v>1.5</v>
      </c>
      <c r="G32" s="868"/>
      <c r="H32" s="869">
        <f>F32*$J$17*$E$17/100</f>
        <v>2819.8691999999996</v>
      </c>
      <c r="I32" s="870">
        <v>347</v>
      </c>
      <c r="J32" s="901" t="s">
        <v>172</v>
      </c>
      <c r="K32" s="872"/>
      <c r="L32" s="873">
        <f>SUM(H32:K32)</f>
        <v>3166.8691999999996</v>
      </c>
      <c r="M32" s="836"/>
      <c r="N32" s="837"/>
      <c r="O32" s="838"/>
      <c r="P32" s="839"/>
    </row>
    <row r="33" spans="2:16" ht="15">
      <c r="B33" s="775"/>
      <c r="C33" s="833"/>
      <c r="D33" s="828"/>
      <c r="E33" s="828"/>
      <c r="F33" s="874"/>
      <c r="G33" s="836"/>
      <c r="I33" s="875"/>
      <c r="J33" s="863"/>
      <c r="K33" s="863"/>
      <c r="L33" s="876">
        <f>SUM(L31:L32)</f>
        <v>401361.6444</v>
      </c>
      <c r="M33" s="836"/>
      <c r="N33" s="837"/>
      <c r="O33" s="838"/>
      <c r="P33" s="839"/>
    </row>
    <row r="34" spans="2:16" ht="15">
      <c r="B34" s="775"/>
      <c r="C34" s="833"/>
      <c r="D34" s="828"/>
      <c r="E34" s="828"/>
      <c r="F34" s="874"/>
      <c r="G34" s="836"/>
      <c r="I34" s="875"/>
      <c r="J34" s="863"/>
      <c r="K34" s="863"/>
      <c r="L34" s="877"/>
      <c r="M34" s="836"/>
      <c r="N34" s="837"/>
      <c r="O34" s="838"/>
      <c r="P34" s="839"/>
    </row>
    <row r="35" spans="2:16" ht="15.75">
      <c r="B35" s="775"/>
      <c r="C35" s="833"/>
      <c r="D35" s="841" t="s">
        <v>105</v>
      </c>
      <c r="E35" s="842" t="s">
        <v>106</v>
      </c>
      <c r="F35" s="843" t="s">
        <v>107</v>
      </c>
      <c r="G35" s="923" t="s">
        <v>138</v>
      </c>
      <c r="H35" s="924"/>
      <c r="J35" s="881" t="s">
        <v>108</v>
      </c>
      <c r="K35" s="882"/>
      <c r="L35" s="848" t="s">
        <v>54</v>
      </c>
      <c r="M35" s="842" t="s">
        <v>20</v>
      </c>
      <c r="N35" s="883" t="s">
        <v>109</v>
      </c>
      <c r="O35" s="884"/>
      <c r="P35" s="839"/>
    </row>
    <row r="36" spans="2:16" ht="15">
      <c r="B36" s="775"/>
      <c r="C36" s="833"/>
      <c r="D36" s="850" t="s">
        <v>11</v>
      </c>
      <c r="E36" s="851" t="s">
        <v>10</v>
      </c>
      <c r="F36" s="852">
        <v>5</v>
      </c>
      <c r="G36" s="925"/>
      <c r="H36" s="926">
        <f>+F36*$J$18*$E$17</f>
        <v>3272.4</v>
      </c>
      <c r="J36" s="927" t="s">
        <v>11</v>
      </c>
      <c r="K36" s="928"/>
      <c r="L36" s="929" t="s">
        <v>17</v>
      </c>
      <c r="M36" s="889">
        <v>13.2</v>
      </c>
      <c r="N36" s="890">
        <f>M18*$E$17</f>
        <v>6559.92</v>
      </c>
      <c r="O36" s="891"/>
      <c r="P36" s="839"/>
    </row>
    <row r="37" spans="2:16" ht="15">
      <c r="B37" s="775"/>
      <c r="C37" s="833"/>
      <c r="D37" s="865" t="s">
        <v>11</v>
      </c>
      <c r="E37" s="866" t="s">
        <v>9</v>
      </c>
      <c r="F37" s="867">
        <v>5</v>
      </c>
      <c r="G37" s="930"/>
      <c r="H37" s="931">
        <f>+F37*$J$18*$E$17</f>
        <v>3272.4</v>
      </c>
      <c r="J37" s="932" t="s">
        <v>11</v>
      </c>
      <c r="K37" s="933"/>
      <c r="L37" s="934" t="s">
        <v>18</v>
      </c>
      <c r="M37" s="837">
        <v>13.2</v>
      </c>
      <c r="N37" s="896">
        <f>M18*$E$17</f>
        <v>6559.92</v>
      </c>
      <c r="O37" s="897"/>
      <c r="P37" s="839"/>
    </row>
    <row r="38" spans="2:16" ht="15">
      <c r="B38" s="775"/>
      <c r="C38" s="833"/>
      <c r="D38" s="828"/>
      <c r="E38" s="828"/>
      <c r="F38" s="874"/>
      <c r="G38" s="930"/>
      <c r="H38" s="935">
        <f>SUM(H36:H37)</f>
        <v>6544.8</v>
      </c>
      <c r="J38" s="900"/>
      <c r="K38" s="901"/>
      <c r="L38" s="868"/>
      <c r="M38" s="902"/>
      <c r="N38" s="903"/>
      <c r="O38" s="904"/>
      <c r="P38" s="839"/>
    </row>
    <row r="39" spans="2:16" ht="15">
      <c r="B39" s="775"/>
      <c r="C39" s="833"/>
      <c r="D39" s="828"/>
      <c r="E39" s="828"/>
      <c r="F39" s="874"/>
      <c r="G39" s="836"/>
      <c r="I39" s="875"/>
      <c r="J39" s="863"/>
      <c r="K39" s="863"/>
      <c r="L39" s="877"/>
      <c r="M39" s="836"/>
      <c r="N39" s="905">
        <f>SUM(N36:N38)</f>
        <v>13119.84</v>
      </c>
      <c r="O39" s="884"/>
      <c r="P39" s="839"/>
    </row>
    <row r="40" spans="2:16" ht="12.75" customHeight="1" thickBot="1">
      <c r="B40" s="775"/>
      <c r="C40" s="833"/>
      <c r="D40" s="828"/>
      <c r="E40" s="828"/>
      <c r="F40" s="840"/>
      <c r="G40" s="836"/>
      <c r="H40" s="875"/>
      <c r="I40" s="828"/>
      <c r="J40" s="828"/>
      <c r="K40" s="828"/>
      <c r="L40" s="836"/>
      <c r="M40" s="836"/>
      <c r="N40" s="837"/>
      <c r="O40" s="838"/>
      <c r="P40" s="839"/>
    </row>
    <row r="41" spans="2:16" ht="20.25" thickBot="1" thickTop="1">
      <c r="B41" s="775"/>
      <c r="C41" s="833"/>
      <c r="D41" s="828"/>
      <c r="E41" s="828"/>
      <c r="F41" s="840"/>
      <c r="G41" s="836"/>
      <c r="H41" s="906" t="s">
        <v>110</v>
      </c>
      <c r="I41" s="907">
        <f>+H38+N39+L33</f>
        <v>421026.2844</v>
      </c>
      <c r="J41" s="828"/>
      <c r="K41" s="906" t="s">
        <v>170</v>
      </c>
      <c r="L41" s="907">
        <v>116563.78319999999</v>
      </c>
      <c r="M41" s="836"/>
      <c r="N41" s="837"/>
      <c r="O41" s="838"/>
      <c r="P41" s="839"/>
    </row>
    <row r="42" spans="2:16" ht="15.75" thickTop="1">
      <c r="B42" s="775"/>
      <c r="C42" s="833"/>
      <c r="D42" s="828"/>
      <c r="E42" s="828"/>
      <c r="F42" s="840"/>
      <c r="G42" s="836"/>
      <c r="H42" s="875"/>
      <c r="I42" s="828"/>
      <c r="J42" s="828"/>
      <c r="K42" s="828"/>
      <c r="L42" s="836"/>
      <c r="M42" s="836"/>
      <c r="N42" s="837"/>
      <c r="O42" s="838"/>
      <c r="P42" s="839"/>
    </row>
    <row r="43" spans="2:16" ht="15.75">
      <c r="B43" s="775"/>
      <c r="C43" s="908" t="s">
        <v>111</v>
      </c>
      <c r="D43" s="828"/>
      <c r="E43" s="828"/>
      <c r="F43" s="840"/>
      <c r="G43" s="836"/>
      <c r="H43" s="875"/>
      <c r="I43" s="828"/>
      <c r="J43" s="828"/>
      <c r="K43" s="828"/>
      <c r="L43" s="836"/>
      <c r="M43" s="836"/>
      <c r="N43" s="837"/>
      <c r="O43" s="838"/>
      <c r="P43" s="839"/>
    </row>
    <row r="44" spans="2:16" ht="15.75" thickBot="1">
      <c r="B44" s="775"/>
      <c r="C44" s="833"/>
      <c r="D44" s="828"/>
      <c r="E44" s="828"/>
      <c r="F44" s="840"/>
      <c r="G44" s="836"/>
      <c r="H44" s="875"/>
      <c r="I44" s="828"/>
      <c r="J44" s="828"/>
      <c r="K44" s="828"/>
      <c r="L44" s="836"/>
      <c r="M44" s="836"/>
      <c r="N44" s="837"/>
      <c r="O44" s="838"/>
      <c r="P44" s="839"/>
    </row>
    <row r="45" spans="2:16" ht="20.25" thickBot="1" thickTop="1">
      <c r="B45" s="775"/>
      <c r="C45" s="833"/>
      <c r="D45" s="909" t="s">
        <v>112</v>
      </c>
      <c r="F45" s="910"/>
      <c r="G45" s="776"/>
      <c r="H45" s="911" t="s">
        <v>113</v>
      </c>
      <c r="I45" s="912">
        <f>E18*L41</f>
        <v>2914.09458</v>
      </c>
      <c r="J45" s="801"/>
      <c r="K45" s="801"/>
      <c r="O45" s="801"/>
      <c r="P45" s="839"/>
    </row>
    <row r="46" spans="2:16" ht="21.75" thickTop="1">
      <c r="B46" s="775"/>
      <c r="C46" s="833"/>
      <c r="F46" s="913"/>
      <c r="G46" s="769"/>
      <c r="I46" s="801"/>
      <c r="J46" s="801"/>
      <c r="K46" s="801"/>
      <c r="O46" s="801"/>
      <c r="P46" s="839"/>
    </row>
    <row r="47" spans="2:16" ht="15">
      <c r="B47" s="775"/>
      <c r="C47" s="807" t="s">
        <v>114</v>
      </c>
      <c r="E47" s="801"/>
      <c r="F47" s="801"/>
      <c r="G47" s="801"/>
      <c r="H47" s="801"/>
      <c r="I47" s="836"/>
      <c r="J47" s="836"/>
      <c r="K47" s="836"/>
      <c r="L47" s="836"/>
      <c r="M47" s="836"/>
      <c r="N47" s="837"/>
      <c r="O47" s="838"/>
      <c r="P47" s="839"/>
    </row>
    <row r="48" spans="2:16" ht="15">
      <c r="B48" s="775"/>
      <c r="C48" s="833"/>
      <c r="D48" s="914" t="s">
        <v>115</v>
      </c>
      <c r="E48" s="860">
        <f>10*I26*I45/I41</f>
        <v>2531.1712659340183</v>
      </c>
      <c r="F48" s="915"/>
      <c r="H48" s="801"/>
      <c r="I48" s="836"/>
      <c r="J48" s="836"/>
      <c r="K48" s="836"/>
      <c r="L48" s="836"/>
      <c r="M48" s="836"/>
      <c r="N48" s="837"/>
      <c r="O48" s="838"/>
      <c r="P48" s="839"/>
    </row>
    <row r="49" spans="2:16" ht="15">
      <c r="B49" s="775"/>
      <c r="C49" s="833"/>
      <c r="D49" s="801"/>
      <c r="E49" s="801"/>
      <c r="J49" s="836"/>
      <c r="K49" s="836"/>
      <c r="L49" s="836"/>
      <c r="M49" s="836"/>
      <c r="N49" s="837"/>
      <c r="O49" s="838"/>
      <c r="P49" s="839"/>
    </row>
    <row r="50" spans="2:16" ht="15">
      <c r="B50" s="775"/>
      <c r="C50" s="833"/>
      <c r="D50" s="801" t="s">
        <v>116</v>
      </c>
      <c r="E50" s="801"/>
      <c r="F50" s="801"/>
      <c r="G50" s="801"/>
      <c r="H50" s="801"/>
      <c r="M50" s="836"/>
      <c r="N50" s="837"/>
      <c r="O50" s="838"/>
      <c r="P50" s="839"/>
    </row>
    <row r="51" spans="2:16" ht="15.75" thickBot="1">
      <c r="B51" s="775"/>
      <c r="C51" s="833"/>
      <c r="D51" s="801"/>
      <c r="E51" s="801"/>
      <c r="F51" s="801"/>
      <c r="G51" s="801"/>
      <c r="H51" s="801"/>
      <c r="M51" s="836"/>
      <c r="N51" s="837"/>
      <c r="O51" s="838"/>
      <c r="P51" s="839"/>
    </row>
    <row r="52" spans="2:16" ht="20.25" thickBot="1" thickTop="1">
      <c r="B52" s="775"/>
      <c r="C52" s="833"/>
      <c r="D52" s="828"/>
      <c r="E52" s="828"/>
      <c r="F52" s="840"/>
      <c r="G52" s="836"/>
      <c r="H52" s="916" t="s">
        <v>117</v>
      </c>
      <c r="I52" s="917">
        <f>IF($E$48&gt;3*I45,3*I45,$E$48)</f>
        <v>2531.1712659340183</v>
      </c>
      <c r="J52" s="836"/>
      <c r="K52" s="756" t="s">
        <v>171</v>
      </c>
      <c r="L52" s="836"/>
      <c r="M52" s="836"/>
      <c r="N52" s="837"/>
      <c r="O52" s="838"/>
      <c r="P52" s="839"/>
    </row>
    <row r="53" spans="2:16" ht="16.5" thickBot="1" thickTop="1">
      <c r="B53" s="918"/>
      <c r="C53" s="919"/>
      <c r="D53" s="919"/>
      <c r="E53" s="919"/>
      <c r="F53" s="919"/>
      <c r="G53" s="919"/>
      <c r="H53" s="919"/>
      <c r="I53" s="919"/>
      <c r="J53" s="919"/>
      <c r="K53" s="919"/>
      <c r="L53" s="919"/>
      <c r="M53" s="919"/>
      <c r="N53" s="919"/>
      <c r="O53" s="919"/>
      <c r="P53" s="920"/>
    </row>
    <row r="54" spans="2:16" ht="13.5" thickTop="1">
      <c r="B54" s="774"/>
      <c r="P54" s="774"/>
    </row>
    <row r="56" ht="12.75">
      <c r="A56" s="774"/>
    </row>
    <row r="57" ht="12.75">
      <c r="A57" s="774"/>
    </row>
    <row r="58" ht="12.75">
      <c r="A58" s="774"/>
    </row>
    <row r="59" ht="12.75">
      <c r="A59" s="774"/>
    </row>
    <row r="60" ht="12.75">
      <c r="A60" s="774"/>
    </row>
    <row r="63" ht="12" customHeight="1"/>
    <row r="99" ht="12.75">
      <c r="B99" s="774"/>
    </row>
    <row r="105" ht="12.75">
      <c r="A105" s="774"/>
    </row>
  </sheetData>
  <sheetProtection/>
  <printOptions horizontalCentered="1"/>
  <pageMargins left="0.26" right="0.1968503937007874" top="0.7874015748031497" bottom="0.49" header="0.5118110236220472" footer="0.26"/>
  <pageSetup fitToHeight="1" fitToWidth="1" orientation="landscape" paperSize="9" scale="60" r:id="rId2"/>
  <headerFooter alignWithMargins="0">
    <oddFooter>&amp;L&amp;"Times New Roman,Normal"&amp;8&amp;Z&amp;F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S108"/>
  <sheetViews>
    <sheetView zoomScale="75" zoomScaleNormal="75" zoomScalePageLayoutView="0" workbookViewId="0" topLeftCell="A12">
      <selection activeCell="L22" sqref="L22"/>
    </sheetView>
  </sheetViews>
  <sheetFormatPr defaultColWidth="13.421875" defaultRowHeight="12.75"/>
  <cols>
    <col min="1" max="2" width="13.8515625" style="780" customWidth="1"/>
    <col min="3" max="3" width="4.7109375" style="780" customWidth="1"/>
    <col min="4" max="4" width="41.7109375" style="780" customWidth="1"/>
    <col min="5" max="5" width="13.57421875" style="780" customWidth="1"/>
    <col min="6" max="6" width="11.8515625" style="780" customWidth="1"/>
    <col min="7" max="7" width="6.7109375" style="780" customWidth="1"/>
    <col min="8" max="8" width="24.8515625" style="780" bestFit="1" customWidth="1"/>
    <col min="9" max="9" width="19.140625" style="780" customWidth="1"/>
    <col min="10" max="10" width="13.8515625" style="780" customWidth="1"/>
    <col min="11" max="11" width="14.57421875" style="780" customWidth="1"/>
    <col min="12" max="12" width="26.421875" style="780" customWidth="1"/>
    <col min="13" max="13" width="8.421875" style="780" customWidth="1"/>
    <col min="14" max="14" width="9.28125" style="780" customWidth="1"/>
    <col min="15" max="15" width="9.8515625" style="780" customWidth="1"/>
    <col min="16" max="16" width="13.8515625" style="780" customWidth="1"/>
    <col min="17" max="16384" width="13.421875" style="780" customWidth="1"/>
  </cols>
  <sheetData>
    <row r="1" s="757" customFormat="1" ht="39.75" customHeight="1">
      <c r="P1" s="758"/>
    </row>
    <row r="2" spans="1:16" s="757" customFormat="1" ht="26.25">
      <c r="A2" s="759"/>
      <c r="B2" s="760" t="str">
        <f>'TOT-1115'!B2</f>
        <v>ANEXO V al Memorándum  D.T.E.E.  N°  379 / 2016             .-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1:3" s="763" customFormat="1" ht="12.75">
      <c r="A3" s="761" t="s">
        <v>144</v>
      </c>
      <c r="B3" s="762"/>
      <c r="C3" s="762"/>
    </row>
    <row r="4" spans="1:3" s="763" customFormat="1" ht="11.25">
      <c r="A4" s="761" t="s">
        <v>173</v>
      </c>
      <c r="B4" s="764"/>
      <c r="C4" s="764"/>
    </row>
    <row r="5" s="762" customFormat="1" ht="13.5" thickBot="1"/>
    <row r="6" spans="1:16" s="762" customFormat="1" ht="13.5" thickTop="1">
      <c r="A6" s="765"/>
      <c r="B6" s="766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8"/>
    </row>
    <row r="7" spans="1:16" s="772" customFormat="1" ht="20.25">
      <c r="A7" s="769"/>
      <c r="B7" s="770"/>
      <c r="C7" s="769"/>
      <c r="D7" s="771" t="s">
        <v>44</v>
      </c>
      <c r="G7" s="769"/>
      <c r="H7" s="769"/>
      <c r="I7" s="769"/>
      <c r="J7" s="769"/>
      <c r="K7" s="769"/>
      <c r="L7" s="769"/>
      <c r="M7" s="769"/>
      <c r="N7" s="769"/>
      <c r="O7" s="769"/>
      <c r="P7" s="773"/>
    </row>
    <row r="8" spans="1:16" ht="15">
      <c r="A8" s="774"/>
      <c r="B8" s="775"/>
      <c r="C8" s="776"/>
      <c r="D8" s="777"/>
      <c r="E8" s="776"/>
      <c r="F8" s="778"/>
      <c r="G8" s="776"/>
      <c r="H8" s="776"/>
      <c r="I8" s="776"/>
      <c r="J8" s="776"/>
      <c r="K8" s="776"/>
      <c r="L8" s="776"/>
      <c r="M8" s="776"/>
      <c r="N8" s="776"/>
      <c r="O8" s="776"/>
      <c r="P8" s="779"/>
    </row>
    <row r="9" spans="1:19" s="772" customFormat="1" ht="20.25">
      <c r="A9" s="769"/>
      <c r="B9" s="781"/>
      <c r="C9" s="780"/>
      <c r="D9" s="782" t="s">
        <v>198</v>
      </c>
      <c r="E9" s="783"/>
      <c r="F9" s="783"/>
      <c r="G9" s="783"/>
      <c r="H9" s="784"/>
      <c r="I9" s="783"/>
      <c r="J9" s="783"/>
      <c r="K9" s="783"/>
      <c r="L9" s="783"/>
      <c r="M9" s="783"/>
      <c r="N9" s="783"/>
      <c r="O9" s="783"/>
      <c r="P9" s="785"/>
      <c r="Q9" s="786"/>
      <c r="R9" s="787"/>
      <c r="S9" s="787"/>
    </row>
    <row r="10" spans="1:19" s="762" customFormat="1" ht="12.75">
      <c r="A10" s="765"/>
      <c r="B10" s="788"/>
      <c r="C10" s="765"/>
      <c r="D10" s="789"/>
      <c r="E10" s="790"/>
      <c r="F10" s="790"/>
      <c r="G10" s="790"/>
      <c r="H10" s="791"/>
      <c r="I10" s="790"/>
      <c r="J10" s="790"/>
      <c r="K10" s="790"/>
      <c r="L10" s="790"/>
      <c r="M10" s="790"/>
      <c r="N10" s="790"/>
      <c r="O10" s="790"/>
      <c r="P10" s="792"/>
      <c r="Q10" s="790"/>
      <c r="R10" s="790"/>
      <c r="S10" s="793"/>
    </row>
    <row r="11" spans="1:19" s="800" customFormat="1" ht="19.5">
      <c r="A11" s="794"/>
      <c r="B11" s="795" t="str">
        <f>'TOT-1115'!B14</f>
        <v>Desde el 01 al 30 de noviembre de 2015</v>
      </c>
      <c r="C11" s="796"/>
      <c r="D11" s="797"/>
      <c r="E11" s="797"/>
      <c r="F11" s="797"/>
      <c r="G11" s="797"/>
      <c r="H11" s="797"/>
      <c r="I11" s="796"/>
      <c r="J11" s="797"/>
      <c r="K11" s="797"/>
      <c r="L11" s="797"/>
      <c r="M11" s="797"/>
      <c r="N11" s="797"/>
      <c r="O11" s="797"/>
      <c r="P11" s="798"/>
      <c r="Q11" s="799"/>
      <c r="R11" s="799"/>
      <c r="S11" s="799"/>
    </row>
    <row r="12" spans="1:19" ht="15">
      <c r="A12" s="774"/>
      <c r="B12" s="775"/>
      <c r="C12" s="776"/>
      <c r="D12" s="801"/>
      <c r="E12" s="801"/>
      <c r="F12" s="801"/>
      <c r="G12" s="801"/>
      <c r="H12" s="802"/>
      <c r="I12" s="776"/>
      <c r="J12" s="801"/>
      <c r="K12" s="801"/>
      <c r="L12" s="801"/>
      <c r="M12" s="801"/>
      <c r="N12" s="801"/>
      <c r="O12" s="801"/>
      <c r="P12" s="803"/>
      <c r="Q12" s="804"/>
      <c r="R12" s="804"/>
      <c r="S12" s="805"/>
    </row>
    <row r="13" spans="1:19" ht="18" customHeight="1">
      <c r="A13" s="774"/>
      <c r="B13" s="775"/>
      <c r="C13" s="776"/>
      <c r="D13" s="801"/>
      <c r="E13" s="801"/>
      <c r="F13" s="801"/>
      <c r="G13" s="801"/>
      <c r="H13" s="806"/>
      <c r="I13" s="806"/>
      <c r="J13" s="801"/>
      <c r="K13" s="801"/>
      <c r="P13" s="803"/>
      <c r="Q13" s="804"/>
      <c r="R13" s="804"/>
      <c r="S13" s="805"/>
    </row>
    <row r="14" spans="1:19" ht="18" customHeight="1">
      <c r="A14" s="774"/>
      <c r="B14" s="775"/>
      <c r="C14" s="776"/>
      <c r="D14" s="807"/>
      <c r="E14" s="808"/>
      <c r="F14" s="801"/>
      <c r="G14" s="801"/>
      <c r="H14" s="806"/>
      <c r="I14" s="806"/>
      <c r="J14" s="801"/>
      <c r="K14" s="801"/>
      <c r="P14" s="803"/>
      <c r="Q14" s="804"/>
      <c r="R14" s="804"/>
      <c r="S14" s="805"/>
    </row>
    <row r="15" spans="1:16" ht="16.5" thickBot="1">
      <c r="A15" s="774"/>
      <c r="B15" s="775"/>
      <c r="C15" s="809" t="s">
        <v>92</v>
      </c>
      <c r="D15" s="778"/>
      <c r="E15" s="810"/>
      <c r="F15" s="811"/>
      <c r="G15" s="776"/>
      <c r="H15" s="776"/>
      <c r="I15" s="776"/>
      <c r="J15" s="812"/>
      <c r="K15" s="812"/>
      <c r="L15" s="813"/>
      <c r="M15" s="776"/>
      <c r="N15" s="776"/>
      <c r="O15" s="776"/>
      <c r="P15" s="779"/>
    </row>
    <row r="16" spans="1:16" ht="16.5" thickBot="1">
      <c r="A16" s="774"/>
      <c r="B16" s="775"/>
      <c r="C16" s="814"/>
      <c r="D16" s="778"/>
      <c r="E16" s="810"/>
      <c r="F16" s="811"/>
      <c r="G16" s="776"/>
      <c r="H16" s="776"/>
      <c r="L16" s="951" t="s">
        <v>87</v>
      </c>
      <c r="M16" s="952">
        <v>12.14</v>
      </c>
      <c r="N16" s="815"/>
      <c r="O16" s="776"/>
      <c r="P16" s="779"/>
    </row>
    <row r="17" spans="1:16" ht="15.75">
      <c r="A17" s="774"/>
      <c r="B17" s="775"/>
      <c r="C17" s="814"/>
      <c r="D17" s="812" t="s">
        <v>93</v>
      </c>
      <c r="E17" s="816">
        <f>MID(B11,16,2)*24</f>
        <v>720</v>
      </c>
      <c r="F17" s="776" t="s">
        <v>94</v>
      </c>
      <c r="G17" s="801"/>
      <c r="H17" s="817"/>
      <c r="I17" s="818" t="s">
        <v>95</v>
      </c>
      <c r="J17" s="819">
        <v>261.099</v>
      </c>
      <c r="K17" s="820"/>
      <c r="L17" s="953" t="s">
        <v>88</v>
      </c>
      <c r="M17" s="954">
        <v>9.111</v>
      </c>
      <c r="N17" s="821"/>
      <c r="O17" s="776"/>
      <c r="P17" s="779"/>
    </row>
    <row r="18" spans="1:16" ht="16.5" thickBot="1">
      <c r="A18" s="774"/>
      <c r="B18" s="775"/>
      <c r="C18" s="814"/>
      <c r="D18" s="812" t="s">
        <v>96</v>
      </c>
      <c r="E18" s="822">
        <v>0.025</v>
      </c>
      <c r="F18" s="801"/>
      <c r="G18" s="801"/>
      <c r="H18" s="823"/>
      <c r="I18" s="824" t="s">
        <v>97</v>
      </c>
      <c r="J18" s="825">
        <v>0.909</v>
      </c>
      <c r="K18" s="826"/>
      <c r="L18" s="955" t="s">
        <v>89</v>
      </c>
      <c r="M18" s="956">
        <v>9.111</v>
      </c>
      <c r="N18" s="827"/>
      <c r="O18" s="776"/>
      <c r="P18" s="779"/>
    </row>
    <row r="19" spans="1:16" ht="15.75">
      <c r="A19" s="774"/>
      <c r="B19" s="775"/>
      <c r="C19" s="814"/>
      <c r="D19" s="812"/>
      <c r="E19" s="822"/>
      <c r="F19" s="801"/>
      <c r="G19" s="801"/>
      <c r="H19" s="801"/>
      <c r="I19" s="801"/>
      <c r="L19" s="813"/>
      <c r="M19" s="776"/>
      <c r="N19" s="776"/>
      <c r="O19" s="776"/>
      <c r="P19" s="779"/>
    </row>
    <row r="20" spans="1:16" ht="15">
      <c r="A20" s="774"/>
      <c r="B20" s="775"/>
      <c r="C20" s="807" t="s">
        <v>98</v>
      </c>
      <c r="D20" s="828"/>
      <c r="E20" s="810"/>
      <c r="F20" s="811"/>
      <c r="G20" s="776"/>
      <c r="H20" s="776"/>
      <c r="I20" s="776"/>
      <c r="J20" s="812"/>
      <c r="K20" s="812"/>
      <c r="L20" s="813"/>
      <c r="M20" s="776"/>
      <c r="N20" s="776"/>
      <c r="O20" s="776"/>
      <c r="P20" s="779"/>
    </row>
    <row r="21" spans="1:16" ht="15">
      <c r="A21" s="774"/>
      <c r="B21" s="775"/>
      <c r="C21" s="776"/>
      <c r="D21" s="776"/>
      <c r="E21" s="776"/>
      <c r="F21" s="776"/>
      <c r="G21" s="776"/>
      <c r="H21" s="829"/>
      <c r="I21" s="776"/>
      <c r="J21" s="776"/>
      <c r="K21" s="776"/>
      <c r="L21" s="776"/>
      <c r="M21" s="776"/>
      <c r="N21" s="776"/>
      <c r="O21" s="776"/>
      <c r="P21" s="779"/>
    </row>
    <row r="22" spans="1:16" ht="15">
      <c r="A22" s="774"/>
      <c r="B22" s="775"/>
      <c r="C22" s="776"/>
      <c r="D22" s="812" t="s">
        <v>99</v>
      </c>
      <c r="E22" s="776"/>
      <c r="F22" s="829" t="s">
        <v>24</v>
      </c>
      <c r="G22" s="776"/>
      <c r="H22" s="778"/>
      <c r="I22" s="830">
        <v>20350.01</v>
      </c>
      <c r="J22" s="776"/>
      <c r="K22" s="776"/>
      <c r="L22" s="831"/>
      <c r="M22" s="776"/>
      <c r="N22" s="776"/>
      <c r="O22" s="776"/>
      <c r="P22" s="779"/>
    </row>
    <row r="23" spans="1:16" ht="15">
      <c r="A23" s="774"/>
      <c r="B23" s="775"/>
      <c r="C23" s="776"/>
      <c r="D23" s="776"/>
      <c r="E23" s="776"/>
      <c r="F23" s="829" t="s">
        <v>100</v>
      </c>
      <c r="G23" s="776"/>
      <c r="H23" s="778"/>
      <c r="I23" s="830">
        <v>0</v>
      </c>
      <c r="J23" s="776"/>
      <c r="K23" s="776"/>
      <c r="L23" s="831"/>
      <c r="M23" s="776"/>
      <c r="N23" s="776"/>
      <c r="O23" s="776"/>
      <c r="P23" s="779"/>
    </row>
    <row r="24" spans="1:16" ht="15">
      <c r="A24" s="774"/>
      <c r="B24" s="775"/>
      <c r="C24" s="776"/>
      <c r="D24" s="776"/>
      <c r="E24" s="776"/>
      <c r="F24" s="829" t="s">
        <v>3</v>
      </c>
      <c r="G24" s="776"/>
      <c r="H24" s="778"/>
      <c r="I24" s="832">
        <v>0</v>
      </c>
      <c r="J24" s="776"/>
      <c r="K24" s="776"/>
      <c r="L24" s="831"/>
      <c r="M24" s="776"/>
      <c r="N24" s="776"/>
      <c r="O24" s="776"/>
      <c r="P24" s="779"/>
    </row>
    <row r="25" spans="1:16" ht="15.75" thickBot="1">
      <c r="A25" s="774"/>
      <c r="B25" s="775"/>
      <c r="C25" s="776"/>
      <c r="D25" s="776"/>
      <c r="E25" s="776"/>
      <c r="F25" s="776"/>
      <c r="G25" s="776"/>
      <c r="H25" s="829"/>
      <c r="I25" s="776"/>
      <c r="J25" s="776"/>
      <c r="K25" s="776"/>
      <c r="L25" s="776"/>
      <c r="M25" s="776"/>
      <c r="N25" s="776"/>
      <c r="O25" s="776"/>
      <c r="P25" s="779"/>
    </row>
    <row r="26" spans="2:16" ht="20.25" thickBot="1" thickTop="1">
      <c r="B26" s="775"/>
      <c r="C26" s="833"/>
      <c r="H26" s="834" t="s">
        <v>101</v>
      </c>
      <c r="I26" s="835">
        <f>SUM(I22:I25)</f>
        <v>20350.01</v>
      </c>
      <c r="L26" s="836"/>
      <c r="M26" s="836"/>
      <c r="N26" s="837"/>
      <c r="O26" s="838"/>
      <c r="P26" s="839"/>
    </row>
    <row r="27" spans="2:16" ht="15.75" thickTop="1">
      <c r="B27" s="775"/>
      <c r="C27" s="833"/>
      <c r="D27" s="828"/>
      <c r="E27" s="828"/>
      <c r="F27" s="840"/>
      <c r="G27" s="836"/>
      <c r="H27" s="836"/>
      <c r="I27" s="836"/>
      <c r="J27" s="836"/>
      <c r="K27" s="836"/>
      <c r="L27" s="836"/>
      <c r="M27" s="836"/>
      <c r="N27" s="837"/>
      <c r="O27" s="838"/>
      <c r="P27" s="839"/>
    </row>
    <row r="28" spans="2:16" ht="15">
      <c r="B28" s="775"/>
      <c r="C28" s="807" t="s">
        <v>102</v>
      </c>
      <c r="D28" s="828"/>
      <c r="E28" s="828"/>
      <c r="F28" s="840"/>
      <c r="G28" s="836"/>
      <c r="H28" s="836"/>
      <c r="I28" s="836"/>
      <c r="J28" s="836"/>
      <c r="K28" s="836"/>
      <c r="L28" s="836"/>
      <c r="M28" s="836"/>
      <c r="N28" s="837"/>
      <c r="O28" s="838"/>
      <c r="P28" s="839"/>
    </row>
    <row r="29" spans="2:16" ht="15">
      <c r="B29" s="775"/>
      <c r="C29" s="833"/>
      <c r="D29" s="828"/>
      <c r="E29" s="828"/>
      <c r="F29" s="840"/>
      <c r="G29" s="836"/>
      <c r="H29" s="836"/>
      <c r="I29" s="836"/>
      <c r="J29" s="836"/>
      <c r="K29" s="836"/>
      <c r="L29" s="836"/>
      <c r="M29" s="836"/>
      <c r="N29" s="837"/>
      <c r="O29" s="838"/>
      <c r="P29" s="839"/>
    </row>
    <row r="30" spans="2:16" ht="15.75">
      <c r="B30" s="775"/>
      <c r="C30" s="833"/>
      <c r="D30" s="841" t="s">
        <v>103</v>
      </c>
      <c r="E30" s="842" t="s">
        <v>20</v>
      </c>
      <c r="F30" s="843" t="s">
        <v>104</v>
      </c>
      <c r="G30" s="844"/>
      <c r="H30" s="845" t="s">
        <v>138</v>
      </c>
      <c r="I30" s="846" t="s">
        <v>137</v>
      </c>
      <c r="J30" s="847"/>
      <c r="K30" s="848"/>
      <c r="L30" s="849" t="s">
        <v>2</v>
      </c>
      <c r="N30" s="837"/>
      <c r="O30" s="838"/>
      <c r="P30" s="839"/>
    </row>
    <row r="31" spans="2:16" ht="15.75">
      <c r="B31" s="775"/>
      <c r="C31" s="833"/>
      <c r="D31" s="850" t="s">
        <v>130</v>
      </c>
      <c r="E31" s="851">
        <v>132</v>
      </c>
      <c r="F31" s="852">
        <v>42.6</v>
      </c>
      <c r="G31" s="853"/>
      <c r="H31" s="854">
        <f>F31*$J$17*$E$17/100</f>
        <v>80084.28528</v>
      </c>
      <c r="I31" s="855">
        <v>55218</v>
      </c>
      <c r="J31" s="856" t="s">
        <v>172</v>
      </c>
      <c r="K31" s="857"/>
      <c r="L31" s="858">
        <f>SUM(H31:K31)</f>
        <v>135302.28528</v>
      </c>
      <c r="M31" s="836"/>
      <c r="N31" s="837"/>
      <c r="O31" s="838"/>
      <c r="P31" s="839"/>
    </row>
    <row r="32" spans="2:16" ht="15.75">
      <c r="B32" s="775"/>
      <c r="C32" s="833"/>
      <c r="D32" s="859" t="s">
        <v>131</v>
      </c>
      <c r="E32" s="828">
        <v>132</v>
      </c>
      <c r="F32" s="840">
        <v>33.6</v>
      </c>
      <c r="G32" s="836"/>
      <c r="H32" s="860">
        <f>F32*$J$17*$E$17/100</f>
        <v>63165.070080000005</v>
      </c>
      <c r="I32" s="861">
        <v>11450</v>
      </c>
      <c r="J32" s="862" t="s">
        <v>172</v>
      </c>
      <c r="K32" s="863"/>
      <c r="L32" s="864">
        <f>SUM(H32:K32)</f>
        <v>74615.07008</v>
      </c>
      <c r="M32" s="836"/>
      <c r="N32" s="837"/>
      <c r="O32" s="838"/>
      <c r="P32" s="839"/>
    </row>
    <row r="33" spans="2:16" ht="15.75">
      <c r="B33" s="775"/>
      <c r="C33" s="833"/>
      <c r="D33" s="859" t="s">
        <v>132</v>
      </c>
      <c r="E33" s="828">
        <v>132</v>
      </c>
      <c r="F33" s="840">
        <v>41</v>
      </c>
      <c r="G33" s="836"/>
      <c r="H33" s="860">
        <f>F33*$J$17*$E$17/100</f>
        <v>77076.4248</v>
      </c>
      <c r="I33" s="861">
        <v>928</v>
      </c>
      <c r="J33" s="862" t="s">
        <v>172</v>
      </c>
      <c r="K33" s="863"/>
      <c r="L33" s="864">
        <f>SUM(H33:K33)</f>
        <v>78004.4248</v>
      </c>
      <c r="M33" s="836"/>
      <c r="N33" s="837"/>
      <c r="O33" s="838"/>
      <c r="P33" s="839"/>
    </row>
    <row r="34" spans="2:16" ht="15.75">
      <c r="B34" s="775"/>
      <c r="C34" s="833"/>
      <c r="D34" s="865" t="s">
        <v>179</v>
      </c>
      <c r="E34" s="866">
        <v>132</v>
      </c>
      <c r="F34" s="867">
        <v>127.98</v>
      </c>
      <c r="G34" s="868"/>
      <c r="H34" s="869">
        <f>F34*$J$17*$E$17/100</f>
        <v>240591.24014399998</v>
      </c>
      <c r="I34" s="870">
        <v>3912</v>
      </c>
      <c r="J34" s="871" t="s">
        <v>172</v>
      </c>
      <c r="K34" s="872"/>
      <c r="L34" s="864">
        <f>SUM(H34:K34)</f>
        <v>244503.24014399998</v>
      </c>
      <c r="M34" s="836"/>
      <c r="N34" s="837"/>
      <c r="O34" s="838"/>
      <c r="P34" s="839"/>
    </row>
    <row r="35" spans="2:16" ht="15">
      <c r="B35" s="775"/>
      <c r="C35" s="833"/>
      <c r="D35" s="828"/>
      <c r="E35" s="828"/>
      <c r="F35" s="874"/>
      <c r="G35" s="836"/>
      <c r="I35" s="875"/>
      <c r="J35" s="863"/>
      <c r="K35" s="863"/>
      <c r="L35" s="876">
        <f>SUM(L31:L34)</f>
        <v>532425.020304</v>
      </c>
      <c r="M35" s="836"/>
      <c r="N35" s="837"/>
      <c r="O35" s="838"/>
      <c r="P35" s="839"/>
    </row>
    <row r="36" spans="2:16" ht="15">
      <c r="B36" s="775"/>
      <c r="C36" s="833"/>
      <c r="D36" s="828"/>
      <c r="E36" s="828"/>
      <c r="F36" s="874"/>
      <c r="G36" s="836"/>
      <c r="I36" s="875"/>
      <c r="J36" s="863"/>
      <c r="K36" s="863"/>
      <c r="L36" s="877"/>
      <c r="M36" s="836"/>
      <c r="N36" s="837"/>
      <c r="O36" s="838"/>
      <c r="P36" s="839"/>
    </row>
    <row r="37" spans="2:16" ht="15.75">
      <c r="B37" s="775"/>
      <c r="C37" s="833"/>
      <c r="D37" s="841" t="s">
        <v>105</v>
      </c>
      <c r="E37" s="842" t="s">
        <v>106</v>
      </c>
      <c r="F37" s="878" t="s">
        <v>118</v>
      </c>
      <c r="G37" s="879"/>
      <c r="H37" s="880" t="s">
        <v>139</v>
      </c>
      <c r="J37" s="881" t="s">
        <v>108</v>
      </c>
      <c r="K37" s="882"/>
      <c r="L37" s="848" t="s">
        <v>54</v>
      </c>
      <c r="M37" s="842" t="s">
        <v>20</v>
      </c>
      <c r="N37" s="883" t="s">
        <v>109</v>
      </c>
      <c r="O37" s="884"/>
      <c r="P37" s="839"/>
    </row>
    <row r="38" spans="2:16" ht="15">
      <c r="B38" s="775"/>
      <c r="C38" s="833"/>
      <c r="D38" s="850"/>
      <c r="E38" s="851"/>
      <c r="F38" s="885"/>
      <c r="G38" s="886"/>
      <c r="H38" s="858">
        <f>+F38*$J$18*$E$17</f>
        <v>0</v>
      </c>
      <c r="J38" s="936" t="s">
        <v>133</v>
      </c>
      <c r="K38" s="937"/>
      <c r="L38" s="938" t="s">
        <v>201</v>
      </c>
      <c r="M38" s="889">
        <v>132</v>
      </c>
      <c r="N38" s="890">
        <f>$M$16*$E$17*4</f>
        <v>34963.200000000004</v>
      </c>
      <c r="O38" s="891"/>
      <c r="P38" s="839"/>
    </row>
    <row r="39" spans="2:16" ht="15">
      <c r="B39" s="775"/>
      <c r="C39" s="833"/>
      <c r="D39" s="859"/>
      <c r="E39" s="828"/>
      <c r="F39" s="892"/>
      <c r="G39" s="893"/>
      <c r="H39" s="864">
        <f>+F39*$J$18*$E$17</f>
        <v>0</v>
      </c>
      <c r="J39" s="939" t="s">
        <v>134</v>
      </c>
      <c r="K39" s="940"/>
      <c r="L39" s="941" t="s">
        <v>202</v>
      </c>
      <c r="M39" s="837">
        <v>132</v>
      </c>
      <c r="N39" s="896">
        <f>$M$16*$E$17</f>
        <v>8740.800000000001</v>
      </c>
      <c r="O39" s="897"/>
      <c r="P39" s="839"/>
    </row>
    <row r="40" spans="2:16" ht="15">
      <c r="B40" s="775"/>
      <c r="C40" s="833"/>
      <c r="D40" s="865"/>
      <c r="E40" s="866"/>
      <c r="F40" s="898"/>
      <c r="G40" s="899"/>
      <c r="H40" s="864">
        <f>+F40*$J$18*$E$17</f>
        <v>0</v>
      </c>
      <c r="J40" s="939" t="s">
        <v>135</v>
      </c>
      <c r="K40" s="940"/>
      <c r="L40" s="941" t="s">
        <v>203</v>
      </c>
      <c r="M40" s="837">
        <v>132</v>
      </c>
      <c r="N40" s="896">
        <f>$M$16*$E$17*2</f>
        <v>17481.600000000002</v>
      </c>
      <c r="O40" s="897"/>
      <c r="P40" s="839"/>
    </row>
    <row r="41" spans="2:16" ht="15">
      <c r="B41" s="775"/>
      <c r="C41" s="833"/>
      <c r="D41" s="828"/>
      <c r="E41" s="828"/>
      <c r="F41" s="874"/>
      <c r="G41" s="836"/>
      <c r="H41" s="876">
        <f>SUM(H38:H40)</f>
        <v>0</v>
      </c>
      <c r="J41" s="942" t="s">
        <v>200</v>
      </c>
      <c r="K41" s="943"/>
      <c r="L41" s="944" t="s">
        <v>204</v>
      </c>
      <c r="M41" s="902">
        <v>33</v>
      </c>
      <c r="N41" s="903">
        <f>$M$17*$E$17*3</f>
        <v>19679.760000000002</v>
      </c>
      <c r="O41" s="904"/>
      <c r="P41" s="839"/>
    </row>
    <row r="42" spans="2:16" ht="15">
      <c r="B42" s="775"/>
      <c r="C42" s="833"/>
      <c r="D42" s="828"/>
      <c r="E42" s="828"/>
      <c r="F42" s="874"/>
      <c r="G42" s="836"/>
      <c r="I42" s="875"/>
      <c r="J42" s="863"/>
      <c r="K42" s="863"/>
      <c r="L42" s="877"/>
      <c r="M42" s="836"/>
      <c r="N42" s="905">
        <f>SUM(N38:N41)</f>
        <v>80865.36000000002</v>
      </c>
      <c r="O42" s="884"/>
      <c r="P42" s="839"/>
    </row>
    <row r="43" spans="2:16" ht="12.75" customHeight="1" thickBot="1">
      <c r="B43" s="775"/>
      <c r="C43" s="833"/>
      <c r="D43" s="828"/>
      <c r="E43" s="828"/>
      <c r="F43" s="840"/>
      <c r="G43" s="836"/>
      <c r="H43" s="875"/>
      <c r="I43" s="828"/>
      <c r="J43" s="828"/>
      <c r="K43" s="828"/>
      <c r="L43" s="836"/>
      <c r="M43" s="836"/>
      <c r="N43" s="837"/>
      <c r="O43" s="838"/>
      <c r="P43" s="839"/>
    </row>
    <row r="44" spans="2:16" ht="20.25" thickBot="1" thickTop="1">
      <c r="B44" s="775"/>
      <c r="C44" s="833"/>
      <c r="D44" s="828"/>
      <c r="E44" s="828"/>
      <c r="F44" s="840"/>
      <c r="G44" s="836"/>
      <c r="H44" s="906" t="s">
        <v>110</v>
      </c>
      <c r="I44" s="907">
        <f>+H41+N42+L35</f>
        <v>613290.380304</v>
      </c>
      <c r="J44" s="828"/>
      <c r="K44" s="906" t="s">
        <v>180</v>
      </c>
      <c r="L44" s="907">
        <v>216187.967712</v>
      </c>
      <c r="M44" s="836"/>
      <c r="N44" s="837"/>
      <c r="O44" s="838"/>
      <c r="P44" s="839"/>
    </row>
    <row r="45" spans="2:16" ht="15.75" thickTop="1">
      <c r="B45" s="775"/>
      <c r="C45" s="833"/>
      <c r="D45" s="828"/>
      <c r="E45" s="828"/>
      <c r="F45" s="840"/>
      <c r="G45" s="836"/>
      <c r="H45" s="875"/>
      <c r="I45" s="828"/>
      <c r="J45" s="828"/>
      <c r="K45" s="828"/>
      <c r="L45" s="836"/>
      <c r="M45" s="836"/>
      <c r="N45" s="837"/>
      <c r="O45" s="838"/>
      <c r="P45" s="839"/>
    </row>
    <row r="46" spans="2:16" ht="15.75">
      <c r="B46" s="775"/>
      <c r="C46" s="908" t="s">
        <v>111</v>
      </c>
      <c r="D46" s="828"/>
      <c r="E46" s="828"/>
      <c r="F46" s="840"/>
      <c r="G46" s="836"/>
      <c r="H46" s="875"/>
      <c r="I46" s="828"/>
      <c r="J46" s="828"/>
      <c r="K46" s="828"/>
      <c r="L46" s="836"/>
      <c r="M46" s="836"/>
      <c r="N46" s="837"/>
      <c r="O46" s="838"/>
      <c r="P46" s="839"/>
    </row>
    <row r="47" spans="2:16" ht="15.75" thickBot="1">
      <c r="B47" s="775"/>
      <c r="C47" s="833"/>
      <c r="D47" s="828"/>
      <c r="E47" s="828"/>
      <c r="F47" s="840"/>
      <c r="G47" s="836"/>
      <c r="H47" s="875"/>
      <c r="I47" s="828"/>
      <c r="J47" s="828"/>
      <c r="K47" s="828"/>
      <c r="L47" s="836"/>
      <c r="M47" s="836"/>
      <c r="N47" s="837"/>
      <c r="O47" s="838"/>
      <c r="P47" s="839"/>
    </row>
    <row r="48" spans="2:16" ht="20.25" thickBot="1" thickTop="1">
      <c r="B48" s="775"/>
      <c r="C48" s="833"/>
      <c r="D48" s="909" t="s">
        <v>112</v>
      </c>
      <c r="F48" s="910"/>
      <c r="G48" s="776"/>
      <c r="H48" s="911" t="s">
        <v>113</v>
      </c>
      <c r="I48" s="912">
        <f>E18*L44</f>
        <v>5404.699192800001</v>
      </c>
      <c r="J48" s="801"/>
      <c r="K48" s="801" t="s">
        <v>176</v>
      </c>
      <c r="O48" s="801"/>
      <c r="P48" s="839"/>
    </row>
    <row r="49" spans="2:16" ht="21.75" thickTop="1">
      <c r="B49" s="775"/>
      <c r="C49" s="833"/>
      <c r="F49" s="913"/>
      <c r="G49" s="769"/>
      <c r="I49" s="801"/>
      <c r="J49" s="801"/>
      <c r="K49" s="801"/>
      <c r="O49" s="801"/>
      <c r="P49" s="839"/>
    </row>
    <row r="50" spans="2:16" ht="15">
      <c r="B50" s="775"/>
      <c r="C50" s="807" t="s">
        <v>114</v>
      </c>
      <c r="E50" s="801"/>
      <c r="F50" s="801"/>
      <c r="G50" s="801"/>
      <c r="H50" s="801"/>
      <c r="I50" s="836"/>
      <c r="J50" s="836"/>
      <c r="K50" s="836"/>
      <c r="L50" s="836"/>
      <c r="M50" s="836"/>
      <c r="N50" s="837"/>
      <c r="O50" s="838"/>
      <c r="P50" s="839"/>
    </row>
    <row r="51" spans="2:16" ht="15">
      <c r="B51" s="775"/>
      <c r="C51" s="833"/>
      <c r="D51" s="914" t="s">
        <v>115</v>
      </c>
      <c r="E51" s="860">
        <f>10*I26*I48/I44</f>
        <v>1793.3704188536835</v>
      </c>
      <c r="F51" s="915"/>
      <c r="H51" s="801"/>
      <c r="I51" s="836"/>
      <c r="J51" s="836"/>
      <c r="K51" s="836"/>
      <c r="L51" s="836"/>
      <c r="M51" s="836"/>
      <c r="N51" s="837"/>
      <c r="O51" s="838"/>
      <c r="P51" s="839"/>
    </row>
    <row r="52" spans="2:16" ht="15">
      <c r="B52" s="775"/>
      <c r="C52" s="833"/>
      <c r="D52" s="801"/>
      <c r="E52" s="801"/>
      <c r="J52" s="836"/>
      <c r="K52" s="836"/>
      <c r="L52" s="836"/>
      <c r="M52" s="836"/>
      <c r="N52" s="837"/>
      <c r="O52" s="838"/>
      <c r="P52" s="839"/>
    </row>
    <row r="53" spans="2:16" ht="15">
      <c r="B53" s="775"/>
      <c r="C53" s="833"/>
      <c r="D53" s="801" t="s">
        <v>129</v>
      </c>
      <c r="E53" s="801"/>
      <c r="F53" s="801"/>
      <c r="G53" s="801"/>
      <c r="H53" s="801"/>
      <c r="M53" s="836"/>
      <c r="N53" s="837"/>
      <c r="O53" s="838"/>
      <c r="P53" s="839"/>
    </row>
    <row r="54" spans="2:16" ht="15.75" thickBot="1">
      <c r="B54" s="775"/>
      <c r="C54" s="833"/>
      <c r="D54" s="801"/>
      <c r="E54" s="801"/>
      <c r="F54" s="801"/>
      <c r="G54" s="801"/>
      <c r="H54" s="801"/>
      <c r="M54" s="836"/>
      <c r="N54" s="837"/>
      <c r="O54" s="838"/>
      <c r="P54" s="839"/>
    </row>
    <row r="55" spans="2:16" ht="20.25" thickBot="1" thickTop="1">
      <c r="B55" s="775"/>
      <c r="C55" s="833"/>
      <c r="D55" s="828"/>
      <c r="E55" s="828"/>
      <c r="F55" s="840"/>
      <c r="G55" s="836"/>
      <c r="H55" s="916" t="s">
        <v>117</v>
      </c>
      <c r="I55" s="917">
        <f>IF($E$51&gt;3*I48,3*I48,$E$51)</f>
        <v>1793.3704188536835</v>
      </c>
      <c r="J55" s="836"/>
      <c r="K55" s="836"/>
      <c r="L55" s="836"/>
      <c r="M55" s="836"/>
      <c r="N55" s="837"/>
      <c r="O55" s="838"/>
      <c r="P55" s="839"/>
    </row>
    <row r="56" spans="2:16" ht="16.5" thickBot="1" thickTop="1">
      <c r="B56" s="918"/>
      <c r="C56" s="919"/>
      <c r="D56" s="919"/>
      <c r="E56" s="919"/>
      <c r="F56" s="919"/>
      <c r="G56" s="919"/>
      <c r="H56" s="919"/>
      <c r="I56" s="919"/>
      <c r="J56" s="919"/>
      <c r="K56" s="919"/>
      <c r="L56" s="919"/>
      <c r="M56" s="919"/>
      <c r="N56" s="919"/>
      <c r="O56" s="919"/>
      <c r="P56" s="920"/>
    </row>
    <row r="57" spans="2:16" ht="13.5" thickTop="1">
      <c r="B57" s="774"/>
      <c r="P57" s="774"/>
    </row>
    <row r="59" ht="12.75">
      <c r="A59" s="774"/>
    </row>
    <row r="60" ht="12.75">
      <c r="A60" s="774"/>
    </row>
    <row r="61" ht="12.75">
      <c r="A61" s="774"/>
    </row>
    <row r="62" ht="12.75">
      <c r="A62" s="774"/>
    </row>
    <row r="63" ht="12.75">
      <c r="A63" s="774"/>
    </row>
    <row r="66" ht="12" customHeight="1"/>
    <row r="102" ht="12.75">
      <c r="B102" s="774"/>
    </row>
    <row r="108" ht="12.75">
      <c r="A108" s="774"/>
    </row>
  </sheetData>
  <sheetProtection/>
  <printOptions horizontalCentered="1"/>
  <pageMargins left="0.27" right="0.1968503937007874" top="0.72" bottom="0.43" header="0.5118110236220472" footer="0.26"/>
  <pageSetup fitToHeight="1" fitToWidth="1" orientation="landscape" paperSize="9" scale="59" r:id="rId4"/>
  <headerFooter alignWithMargins="0">
    <oddFooter>&amp;L&amp;"Times New Roman,Normal"&amp;8&amp;Z&amp;F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88"/>
  <sheetViews>
    <sheetView zoomScale="85" zoomScaleNormal="85" zoomScalePageLayoutView="0" workbookViewId="0" topLeftCell="A1">
      <selection activeCell="G18" sqref="G18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92" customFormat="1" ht="26.25">
      <c r="AB1" s="371"/>
    </row>
    <row r="2" spans="2:28" s="92" customFormat="1" ht="26.25">
      <c r="B2" s="93" t="str">
        <f>+'TOT-1115'!B2</f>
        <v>ANEXO V al Memorándum  D.T.E.E.  N°  379 / 2016             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="10" customFormat="1" ht="12.75"/>
    <row r="4" spans="1:3" s="95" customFormat="1" ht="11.25">
      <c r="A4" s="548" t="s">
        <v>21</v>
      </c>
      <c r="C4" s="547"/>
    </row>
    <row r="5" spans="1:3" s="95" customFormat="1" ht="11.25">
      <c r="A5" s="548" t="s">
        <v>143</v>
      </c>
      <c r="C5" s="547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97" customFormat="1" ht="20.25">
      <c r="A8" s="44"/>
      <c r="B8" s="96"/>
      <c r="C8" s="44"/>
      <c r="D8" s="44"/>
      <c r="E8" s="44"/>
      <c r="F8" s="21" t="s">
        <v>44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10" customFormat="1" ht="12.75">
      <c r="A9" s="8"/>
      <c r="B9" s="43"/>
      <c r="C9" s="8"/>
      <c r="D9" s="8"/>
      <c r="E9" s="8"/>
      <c r="F9" s="109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97" customFormat="1" ht="20.25">
      <c r="A10" s="44"/>
      <c r="B10" s="96"/>
      <c r="C10" s="44"/>
      <c r="D10" s="44"/>
      <c r="E10" s="44"/>
      <c r="F10" s="21" t="s">
        <v>45</v>
      </c>
      <c r="G10" s="21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10" customFormat="1" ht="12.75">
      <c r="A11" s="8"/>
      <c r="B11" s="43"/>
      <c r="C11" s="8"/>
      <c r="D11" s="8"/>
      <c r="E11" s="8"/>
      <c r="F11" s="108"/>
      <c r="G11" s="106"/>
      <c r="H11" s="8"/>
      <c r="I11" s="105"/>
      <c r="J11" s="105"/>
      <c r="K11" s="105"/>
      <c r="L11" s="105"/>
      <c r="M11" s="105"/>
      <c r="N11" s="105"/>
      <c r="O11" s="1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97" customFormat="1" ht="20.25">
      <c r="A12" s="44"/>
      <c r="B12" s="96"/>
      <c r="C12" s="44"/>
      <c r="D12" s="44"/>
      <c r="E12" s="44"/>
      <c r="F12" s="21" t="s">
        <v>46</v>
      </c>
      <c r="G12" s="21"/>
      <c r="H12" s="44"/>
      <c r="I12" s="99"/>
      <c r="J12" s="99"/>
      <c r="K12" s="99"/>
      <c r="L12" s="99"/>
      <c r="M12" s="99"/>
      <c r="N12" s="99"/>
      <c r="O12" s="99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8"/>
    </row>
    <row r="13" spans="1:28" s="10" customFormat="1" ht="12.75">
      <c r="A13" s="8"/>
      <c r="B13" s="43"/>
      <c r="C13" s="8"/>
      <c r="D13" s="8"/>
      <c r="E13" s="8"/>
      <c r="F13" s="108"/>
      <c r="G13" s="106"/>
      <c r="H13" s="8"/>
      <c r="I13" s="105"/>
      <c r="J13" s="105"/>
      <c r="K13" s="105"/>
      <c r="L13" s="105"/>
      <c r="M13" s="105"/>
      <c r="N13" s="105"/>
      <c r="O13" s="10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04" customFormat="1" ht="19.5">
      <c r="A14" s="46"/>
      <c r="B14" s="70" t="str">
        <f>+'TOT-1115'!B14</f>
        <v>Desde el 01 al 30 de noviembre de 2015</v>
      </c>
      <c r="C14" s="100"/>
      <c r="D14" s="100"/>
      <c r="E14" s="100"/>
      <c r="F14" s="100"/>
      <c r="G14" s="101"/>
      <c r="H14" s="101"/>
      <c r="I14" s="102"/>
      <c r="J14" s="102"/>
      <c r="K14" s="102"/>
      <c r="L14" s="102"/>
      <c r="M14" s="102"/>
      <c r="N14" s="102"/>
      <c r="O14" s="102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3"/>
    </row>
    <row r="15" spans="1:28" s="10" customFormat="1" ht="13.5" thickBot="1">
      <c r="A15" s="8"/>
      <c r="B15" s="43"/>
      <c r="C15" s="8"/>
      <c r="D15" s="8"/>
      <c r="E15" s="8"/>
      <c r="F15" s="8"/>
      <c r="G15" s="106"/>
      <c r="H15" s="107"/>
      <c r="I15" s="105"/>
      <c r="J15" s="105"/>
      <c r="K15" s="105"/>
      <c r="L15" s="105"/>
      <c r="M15" s="105"/>
      <c r="N15" s="105"/>
      <c r="O15" s="10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78" customFormat="1" ht="16.5" customHeight="1" thickBot="1" thickTop="1">
      <c r="A16" s="74"/>
      <c r="B16" s="75"/>
      <c r="C16" s="74"/>
      <c r="D16" s="74"/>
      <c r="E16" s="74"/>
      <c r="F16" s="373" t="s">
        <v>47</v>
      </c>
      <c r="G16" s="374">
        <v>273.243</v>
      </c>
      <c r="H16" s="375"/>
      <c r="I16" s="79"/>
      <c r="J16" s="79"/>
      <c r="K16" s="79"/>
      <c r="L16" s="79"/>
      <c r="M16" s="79"/>
      <c r="N16" s="79"/>
      <c r="O16" s="79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7"/>
    </row>
    <row r="17" spans="1:28" s="78" customFormat="1" ht="16.5" customHeight="1" thickBot="1" thickTop="1">
      <c r="A17" s="74"/>
      <c r="B17" s="75"/>
      <c r="C17" s="74"/>
      <c r="D17" s="74"/>
      <c r="E17" s="74"/>
      <c r="F17" s="373" t="s">
        <v>48</v>
      </c>
      <c r="G17" s="374">
        <v>261.099</v>
      </c>
      <c r="H17" s="376"/>
      <c r="I17" s="74"/>
      <c r="K17" s="80" t="s">
        <v>49</v>
      </c>
      <c r="L17" s="81">
        <f>30*'TOT-1115'!B13</f>
        <v>30</v>
      </c>
      <c r="M17" s="216" t="str">
        <f>IF(L17=30," ",IF(L17=60,"Coeficiente duplicado por tasa de falla &gt;4 Sal. x año/100 km.","REVISAR COEFICIENTE"))</f>
        <v> 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7"/>
    </row>
    <row r="18" spans="1:28" s="571" customFormat="1" ht="14.25" thickBot="1" thickTop="1">
      <c r="A18" s="567"/>
      <c r="B18" s="568"/>
      <c r="C18" s="569">
        <v>3</v>
      </c>
      <c r="D18" s="569">
        <v>4</v>
      </c>
      <c r="E18" s="569">
        <v>5</v>
      </c>
      <c r="F18" s="569">
        <v>6</v>
      </c>
      <c r="G18" s="569">
        <v>7</v>
      </c>
      <c r="H18" s="569">
        <v>8</v>
      </c>
      <c r="I18" s="569">
        <v>9</v>
      </c>
      <c r="J18" s="569">
        <v>10</v>
      </c>
      <c r="K18" s="569">
        <v>11</v>
      </c>
      <c r="L18" s="569">
        <v>12</v>
      </c>
      <c r="M18" s="569">
        <v>13</v>
      </c>
      <c r="N18" s="569">
        <v>14</v>
      </c>
      <c r="O18" s="569">
        <v>15</v>
      </c>
      <c r="P18" s="569">
        <v>16</v>
      </c>
      <c r="Q18" s="569">
        <v>17</v>
      </c>
      <c r="R18" s="569">
        <v>18</v>
      </c>
      <c r="S18" s="569">
        <v>19</v>
      </c>
      <c r="T18" s="569">
        <v>20</v>
      </c>
      <c r="U18" s="569">
        <v>21</v>
      </c>
      <c r="V18" s="569">
        <v>22</v>
      </c>
      <c r="W18" s="569">
        <v>23</v>
      </c>
      <c r="X18" s="569">
        <v>24</v>
      </c>
      <c r="Y18" s="569">
        <v>25</v>
      </c>
      <c r="Z18" s="569">
        <v>26</v>
      </c>
      <c r="AA18" s="569">
        <v>27</v>
      </c>
      <c r="AB18" s="570"/>
    </row>
    <row r="19" spans="1:28" s="91" customFormat="1" ht="33.75" customHeight="1" thickBot="1" thickTop="1">
      <c r="A19" s="82"/>
      <c r="B19" s="83"/>
      <c r="C19" s="84" t="s">
        <v>50</v>
      </c>
      <c r="D19" s="84" t="s">
        <v>142</v>
      </c>
      <c r="E19" s="84" t="s">
        <v>141</v>
      </c>
      <c r="F19" s="85" t="s">
        <v>24</v>
      </c>
      <c r="G19" s="86" t="s">
        <v>51</v>
      </c>
      <c r="H19" s="87" t="s">
        <v>52</v>
      </c>
      <c r="I19" s="246" t="s">
        <v>53</v>
      </c>
      <c r="J19" s="85" t="s">
        <v>54</v>
      </c>
      <c r="K19" s="85" t="s">
        <v>55</v>
      </c>
      <c r="L19" s="86" t="s">
        <v>56</v>
      </c>
      <c r="M19" s="86" t="s">
        <v>57</v>
      </c>
      <c r="N19" s="88" t="s">
        <v>58</v>
      </c>
      <c r="O19" s="86" t="s">
        <v>59</v>
      </c>
      <c r="P19" s="256" t="s">
        <v>60</v>
      </c>
      <c r="Q19" s="259" t="s">
        <v>61</v>
      </c>
      <c r="R19" s="262" t="s">
        <v>62</v>
      </c>
      <c r="S19" s="263"/>
      <c r="T19" s="264"/>
      <c r="U19" s="273" t="s">
        <v>63</v>
      </c>
      <c r="V19" s="274"/>
      <c r="W19" s="275"/>
      <c r="X19" s="283" t="s">
        <v>64</v>
      </c>
      <c r="Y19" s="286" t="s">
        <v>65</v>
      </c>
      <c r="Z19" s="89" t="s">
        <v>66</v>
      </c>
      <c r="AA19" s="89" t="s">
        <v>67</v>
      </c>
      <c r="AB19" s="90"/>
    </row>
    <row r="20" spans="1:28" ht="16.5" customHeight="1" thickTop="1">
      <c r="A20" s="1"/>
      <c r="B20" s="2"/>
      <c r="C20" s="50"/>
      <c r="D20" s="546"/>
      <c r="E20" s="546"/>
      <c r="F20" s="369"/>
      <c r="G20" s="52"/>
      <c r="H20" s="52"/>
      <c r="I20" s="363"/>
      <c r="J20" s="52"/>
      <c r="K20" s="53"/>
      <c r="L20" s="53"/>
      <c r="M20" s="53"/>
      <c r="N20" s="51"/>
      <c r="O20" s="52"/>
      <c r="P20" s="257"/>
      <c r="Q20" s="260"/>
      <c r="R20" s="265"/>
      <c r="S20" s="266"/>
      <c r="T20" s="267"/>
      <c r="U20" s="276"/>
      <c r="V20" s="277"/>
      <c r="W20" s="278"/>
      <c r="X20" s="284"/>
      <c r="Y20" s="287"/>
      <c r="Z20" s="271"/>
      <c r="AA20" s="370"/>
      <c r="AB20" s="3"/>
    </row>
    <row r="21" spans="1:28" ht="16.5" customHeight="1">
      <c r="A21" s="1"/>
      <c r="B21" s="2"/>
      <c r="C21" s="399"/>
      <c r="D21" s="544"/>
      <c r="E21" s="544"/>
      <c r="F21" s="399"/>
      <c r="G21" s="400"/>
      <c r="H21" s="400"/>
      <c r="I21" s="364"/>
      <c r="J21" s="399"/>
      <c r="K21" s="401"/>
      <c r="L21" s="73"/>
      <c r="M21" s="73"/>
      <c r="N21" s="402"/>
      <c r="O21" s="399"/>
      <c r="P21" s="403"/>
      <c r="Q21" s="404"/>
      <c r="R21" s="405"/>
      <c r="S21" s="406"/>
      <c r="T21" s="407"/>
      <c r="U21" s="408"/>
      <c r="V21" s="409"/>
      <c r="W21" s="410"/>
      <c r="X21" s="411"/>
      <c r="Y21" s="412"/>
      <c r="Z21" s="413"/>
      <c r="AA21" s="73"/>
      <c r="AB21" s="3"/>
    </row>
    <row r="22" spans="1:28" ht="16.5" customHeight="1">
      <c r="A22" s="1"/>
      <c r="B22" s="2"/>
      <c r="C22" s="377">
        <v>1</v>
      </c>
      <c r="D22" s="377">
        <v>294704</v>
      </c>
      <c r="E22" s="377">
        <v>2034</v>
      </c>
      <c r="F22" s="378" t="s">
        <v>150</v>
      </c>
      <c r="G22" s="379">
        <v>132</v>
      </c>
      <c r="H22" s="380">
        <v>299.6000061035156</v>
      </c>
      <c r="I22" s="365">
        <f aca="true" t="shared" si="0" ref="I22:I35">IF(H22&gt;25,H22,25)*IF(G22=330,$G$16,$G$17)/100</f>
        <v>782.2526199362183</v>
      </c>
      <c r="J22" s="385">
        <v>42317.597916666666</v>
      </c>
      <c r="K22" s="385">
        <v>42317.62708333333</v>
      </c>
      <c r="L22" s="13">
        <f aca="true" t="shared" si="1" ref="L22:L35">IF(F22="","",(K22-J22)*24)</f>
        <v>0.7000000000116415</v>
      </c>
      <c r="M22" s="14">
        <f aca="true" t="shared" si="2" ref="M22:M35">IF(F22="","",ROUND((K22-J22)*24*60,0))</f>
        <v>42</v>
      </c>
      <c r="N22" s="386" t="s">
        <v>151</v>
      </c>
      <c r="O22" s="566" t="s">
        <v>149</v>
      </c>
      <c r="P22" s="551" t="str">
        <f aca="true" t="shared" si="3" ref="P22:P35">IF(N22="P",ROUND(M22/60,2)*I22*$L$17*0.01,"--")</f>
        <v>--</v>
      </c>
      <c r="Q22" s="552" t="str">
        <f aca="true" t="shared" si="4" ref="Q22:Q35">IF(N22="RP",ROUND(M22/60,2)*I22*$L$17*0.01*O22/100,"--")</f>
        <v>--</v>
      </c>
      <c r="R22" s="553">
        <f aca="true" t="shared" si="5" ref="R22:R35">IF(N22="F",I22*$L$17,"--")</f>
        <v>23467.578598086548</v>
      </c>
      <c r="S22" s="554">
        <f aca="true" t="shared" si="6" ref="S22:S35">IF(AND(M22&gt;10,N22="F"),I22*$L$17*IF(M22&gt;180,3,ROUND(M22/60,2)),"--")</f>
        <v>16427.305018660583</v>
      </c>
      <c r="T22" s="555" t="str">
        <f aca="true" t="shared" si="7" ref="T22:T35">IF(AND(M22&gt;180,N22="F"),(ROUND(M22/60,2)-3)*I22*$L$17*0.1,"--")</f>
        <v>--</v>
      </c>
      <c r="U22" s="556" t="str">
        <f aca="true" t="shared" si="8" ref="U22:U35">IF(N22="R",I22*$L$17*O22/100,"--")</f>
        <v>--</v>
      </c>
      <c r="V22" s="557" t="str">
        <f aca="true" t="shared" si="9" ref="V22:V35">IF(AND(M22&gt;10,N22="R"),I22*$L$17*O22/100*IF(M22&gt;180,3,ROUND(M22/60,2)),"--")</f>
        <v>--</v>
      </c>
      <c r="W22" s="558" t="str">
        <f aca="true" t="shared" si="10" ref="W22:W35">IF(AND(M22&gt;180,N22="R"),(ROUND(M22/60,2)-3)*O22/100*I22*$L$17*0.1,"--")</f>
        <v>--</v>
      </c>
      <c r="X22" s="559" t="str">
        <f aca="true" t="shared" si="11" ref="X22:X35">IF(N22="RF",ROUND(M22/60,2)*I22*$L$17*0.1,"--")</f>
        <v>--</v>
      </c>
      <c r="Y22" s="560" t="str">
        <f aca="true" t="shared" si="12" ref="Y22:Y35">IF(N22="RR",ROUND(M22/60,2)*O22/100*I22*$L$17*0.1,"--")</f>
        <v>--</v>
      </c>
      <c r="Z22" s="561" t="s">
        <v>148</v>
      </c>
      <c r="AA22" s="54">
        <f aca="true" t="shared" si="13" ref="AA22:AA35">IF(F22="","",SUM(P22:Y22)*IF(Z22="SI",1,2))</f>
        <v>39894.88361674713</v>
      </c>
      <c r="AB22" s="3"/>
    </row>
    <row r="23" spans="1:28" ht="16.5" customHeight="1">
      <c r="A23" s="1"/>
      <c r="B23" s="2"/>
      <c r="C23" s="377">
        <v>2</v>
      </c>
      <c r="D23" s="377">
        <v>295403</v>
      </c>
      <c r="E23" s="377">
        <v>3516</v>
      </c>
      <c r="F23" s="378" t="s">
        <v>146</v>
      </c>
      <c r="G23" s="379">
        <v>132</v>
      </c>
      <c r="H23" s="380">
        <v>28.40999984741211</v>
      </c>
      <c r="I23" s="365">
        <f t="shared" si="0"/>
        <v>74.17822550159454</v>
      </c>
      <c r="J23" s="385">
        <v>42335.248611111114</v>
      </c>
      <c r="K23" s="385">
        <v>42335.36111111111</v>
      </c>
      <c r="L23" s="13">
        <f t="shared" si="1"/>
        <v>2.699999999895226</v>
      </c>
      <c r="M23" s="14">
        <f t="shared" si="2"/>
        <v>162</v>
      </c>
      <c r="N23" s="386" t="s">
        <v>147</v>
      </c>
      <c r="O23" s="566" t="s">
        <v>149</v>
      </c>
      <c r="P23" s="551">
        <f t="shared" si="3"/>
        <v>60.08436265629159</v>
      </c>
      <c r="Q23" s="552" t="str">
        <f t="shared" si="4"/>
        <v>--</v>
      </c>
      <c r="R23" s="553" t="str">
        <f t="shared" si="5"/>
        <v>--</v>
      </c>
      <c r="S23" s="554" t="str">
        <f t="shared" si="6"/>
        <v>--</v>
      </c>
      <c r="T23" s="555" t="str">
        <f t="shared" si="7"/>
        <v>--</v>
      </c>
      <c r="U23" s="556" t="str">
        <f t="shared" si="8"/>
        <v>--</v>
      </c>
      <c r="V23" s="557" t="str">
        <f t="shared" si="9"/>
        <v>--</v>
      </c>
      <c r="W23" s="558" t="str">
        <f t="shared" si="10"/>
        <v>--</v>
      </c>
      <c r="X23" s="559" t="str">
        <f t="shared" si="11"/>
        <v>--</v>
      </c>
      <c r="Y23" s="560" t="str">
        <f t="shared" si="12"/>
        <v>--</v>
      </c>
      <c r="Z23" s="561" t="s">
        <v>148</v>
      </c>
      <c r="AA23" s="54">
        <f t="shared" si="13"/>
        <v>60.08436265629159</v>
      </c>
      <c r="AB23" s="3"/>
    </row>
    <row r="24" spans="1:28" ht="16.5" customHeight="1">
      <c r="A24" s="1"/>
      <c r="B24" s="2"/>
      <c r="C24" s="377">
        <v>3</v>
      </c>
      <c r="D24" s="377">
        <v>295404</v>
      </c>
      <c r="E24" s="377">
        <v>2034</v>
      </c>
      <c r="F24" s="378" t="s">
        <v>150</v>
      </c>
      <c r="G24" s="379">
        <v>132</v>
      </c>
      <c r="H24" s="380">
        <v>299.6000061035156</v>
      </c>
      <c r="I24" s="365">
        <f t="shared" si="0"/>
        <v>782.2526199362183</v>
      </c>
      <c r="J24" s="385">
        <v>42337.78680555556</v>
      </c>
      <c r="K24" s="385">
        <v>42338.061111111114</v>
      </c>
      <c r="L24" s="13">
        <f t="shared" si="1"/>
        <v>6.583333333313931</v>
      </c>
      <c r="M24" s="14">
        <f t="shared" si="2"/>
        <v>395</v>
      </c>
      <c r="N24" s="386" t="s">
        <v>151</v>
      </c>
      <c r="O24" s="566" t="s">
        <v>149</v>
      </c>
      <c r="P24" s="551" t="str">
        <f t="shared" si="3"/>
        <v>--</v>
      </c>
      <c r="Q24" s="552" t="str">
        <f t="shared" si="4"/>
        <v>--</v>
      </c>
      <c r="R24" s="553">
        <f t="shared" si="5"/>
        <v>23467.578598086548</v>
      </c>
      <c r="S24" s="554">
        <f t="shared" si="6"/>
        <v>70402.73579425964</v>
      </c>
      <c r="T24" s="555">
        <f t="shared" si="7"/>
        <v>8401.393138114985</v>
      </c>
      <c r="U24" s="556" t="str">
        <f t="shared" si="8"/>
        <v>--</v>
      </c>
      <c r="V24" s="557" t="str">
        <f t="shared" si="9"/>
        <v>--</v>
      </c>
      <c r="W24" s="558" t="str">
        <f t="shared" si="10"/>
        <v>--</v>
      </c>
      <c r="X24" s="559" t="str">
        <f t="shared" si="11"/>
        <v>--</v>
      </c>
      <c r="Y24" s="560" t="str">
        <f t="shared" si="12"/>
        <v>--</v>
      </c>
      <c r="Z24" s="561" t="s">
        <v>148</v>
      </c>
      <c r="AA24" s="54">
        <f t="shared" si="13"/>
        <v>102271.70753046118</v>
      </c>
      <c r="AB24" s="3"/>
    </row>
    <row r="25" spans="1:28" ht="16.5" customHeight="1">
      <c r="A25" s="1"/>
      <c r="B25" s="2"/>
      <c r="C25" s="377"/>
      <c r="D25" s="377"/>
      <c r="E25" s="377"/>
      <c r="F25" s="378"/>
      <c r="G25" s="379"/>
      <c r="H25" s="380"/>
      <c r="I25" s="365">
        <f t="shared" si="0"/>
        <v>65.27475</v>
      </c>
      <c r="J25" s="385"/>
      <c r="K25" s="385"/>
      <c r="L25" s="13">
        <f t="shared" si="1"/>
      </c>
      <c r="M25" s="14">
        <f t="shared" si="2"/>
      </c>
      <c r="N25" s="386"/>
      <c r="O25" s="550">
        <f aca="true" t="shared" si="14" ref="O25:O35">IF(F25="","","--")</f>
      </c>
      <c r="P25" s="551" t="str">
        <f t="shared" si="3"/>
        <v>--</v>
      </c>
      <c r="Q25" s="552" t="str">
        <f t="shared" si="4"/>
        <v>--</v>
      </c>
      <c r="R25" s="553" t="str">
        <f t="shared" si="5"/>
        <v>--</v>
      </c>
      <c r="S25" s="554" t="str">
        <f t="shared" si="6"/>
        <v>--</v>
      </c>
      <c r="T25" s="555" t="str">
        <f t="shared" si="7"/>
        <v>--</v>
      </c>
      <c r="U25" s="556" t="str">
        <f t="shared" si="8"/>
        <v>--</v>
      </c>
      <c r="V25" s="557" t="str">
        <f t="shared" si="9"/>
        <v>--</v>
      </c>
      <c r="W25" s="558" t="str">
        <f t="shared" si="10"/>
        <v>--</v>
      </c>
      <c r="X25" s="559" t="str">
        <f t="shared" si="11"/>
        <v>--</v>
      </c>
      <c r="Y25" s="560" t="str">
        <f t="shared" si="12"/>
        <v>--</v>
      </c>
      <c r="Z25" s="561">
        <f aca="true" t="shared" si="15" ref="Z25:Z35">IF(F25="","","SI")</f>
      </c>
      <c r="AA25" s="54">
        <f t="shared" si="13"/>
      </c>
      <c r="AB25" s="3"/>
    </row>
    <row r="26" spans="1:28" ht="16.5" customHeight="1">
      <c r="A26" s="1"/>
      <c r="B26" s="2"/>
      <c r="C26" s="377"/>
      <c r="D26" s="377"/>
      <c r="E26" s="377"/>
      <c r="F26" s="378"/>
      <c r="G26" s="379"/>
      <c r="H26" s="380"/>
      <c r="I26" s="365">
        <f t="shared" si="0"/>
        <v>65.27475</v>
      </c>
      <c r="J26" s="385"/>
      <c r="K26" s="385"/>
      <c r="L26" s="13">
        <f t="shared" si="1"/>
      </c>
      <c r="M26" s="14">
        <f t="shared" si="2"/>
      </c>
      <c r="N26" s="386"/>
      <c r="O26" s="550">
        <f t="shared" si="14"/>
      </c>
      <c r="P26" s="551" t="str">
        <f t="shared" si="3"/>
        <v>--</v>
      </c>
      <c r="Q26" s="552" t="str">
        <f t="shared" si="4"/>
        <v>--</v>
      </c>
      <c r="R26" s="553" t="str">
        <f t="shared" si="5"/>
        <v>--</v>
      </c>
      <c r="S26" s="554" t="str">
        <f t="shared" si="6"/>
        <v>--</v>
      </c>
      <c r="T26" s="555" t="str">
        <f t="shared" si="7"/>
        <v>--</v>
      </c>
      <c r="U26" s="556" t="str">
        <f t="shared" si="8"/>
        <v>--</v>
      </c>
      <c r="V26" s="557" t="str">
        <f t="shared" si="9"/>
        <v>--</v>
      </c>
      <c r="W26" s="558" t="str">
        <f t="shared" si="10"/>
        <v>--</v>
      </c>
      <c r="X26" s="559" t="str">
        <f t="shared" si="11"/>
        <v>--</v>
      </c>
      <c r="Y26" s="560" t="str">
        <f t="shared" si="12"/>
        <v>--</v>
      </c>
      <c r="Z26" s="561">
        <f t="shared" si="15"/>
      </c>
      <c r="AA26" s="54">
        <f t="shared" si="13"/>
      </c>
      <c r="AB26" s="3"/>
    </row>
    <row r="27" spans="1:28" ht="16.5" customHeight="1">
      <c r="A27" s="1"/>
      <c r="B27" s="2"/>
      <c r="C27" s="377"/>
      <c r="D27" s="377"/>
      <c r="E27" s="377"/>
      <c r="F27" s="378"/>
      <c r="G27" s="379"/>
      <c r="H27" s="380"/>
      <c r="I27" s="365">
        <f t="shared" si="0"/>
        <v>65.27475</v>
      </c>
      <c r="J27" s="385"/>
      <c r="K27" s="385"/>
      <c r="L27" s="13">
        <f t="shared" si="1"/>
      </c>
      <c r="M27" s="14">
        <f t="shared" si="2"/>
      </c>
      <c r="N27" s="386"/>
      <c r="O27" s="550">
        <f t="shared" si="14"/>
      </c>
      <c r="P27" s="551" t="str">
        <f t="shared" si="3"/>
        <v>--</v>
      </c>
      <c r="Q27" s="552" t="str">
        <f t="shared" si="4"/>
        <v>--</v>
      </c>
      <c r="R27" s="553" t="str">
        <f t="shared" si="5"/>
        <v>--</v>
      </c>
      <c r="S27" s="554" t="str">
        <f t="shared" si="6"/>
        <v>--</v>
      </c>
      <c r="T27" s="555" t="str">
        <f t="shared" si="7"/>
        <v>--</v>
      </c>
      <c r="U27" s="556" t="str">
        <f t="shared" si="8"/>
        <v>--</v>
      </c>
      <c r="V27" s="557" t="str">
        <f t="shared" si="9"/>
        <v>--</v>
      </c>
      <c r="W27" s="558" t="str">
        <f t="shared" si="10"/>
        <v>--</v>
      </c>
      <c r="X27" s="559" t="str">
        <f t="shared" si="11"/>
        <v>--</v>
      </c>
      <c r="Y27" s="560" t="str">
        <f t="shared" si="12"/>
        <v>--</v>
      </c>
      <c r="Z27" s="561">
        <f t="shared" si="15"/>
      </c>
      <c r="AA27" s="54">
        <f t="shared" si="13"/>
      </c>
      <c r="AB27" s="3"/>
    </row>
    <row r="28" spans="1:28" ht="16.5" customHeight="1">
      <c r="A28" s="1"/>
      <c r="B28" s="2"/>
      <c r="C28" s="377"/>
      <c r="D28" s="377"/>
      <c r="E28" s="377"/>
      <c r="F28" s="378"/>
      <c r="G28" s="379"/>
      <c r="H28" s="380"/>
      <c r="I28" s="365">
        <f t="shared" si="0"/>
        <v>65.27475</v>
      </c>
      <c r="J28" s="385"/>
      <c r="K28" s="385"/>
      <c r="L28" s="13">
        <f t="shared" si="1"/>
      </c>
      <c r="M28" s="14">
        <f t="shared" si="2"/>
      </c>
      <c r="N28" s="386"/>
      <c r="O28" s="550">
        <f t="shared" si="14"/>
      </c>
      <c r="P28" s="551" t="str">
        <f t="shared" si="3"/>
        <v>--</v>
      </c>
      <c r="Q28" s="552" t="str">
        <f t="shared" si="4"/>
        <v>--</v>
      </c>
      <c r="R28" s="553" t="str">
        <f t="shared" si="5"/>
        <v>--</v>
      </c>
      <c r="S28" s="554" t="str">
        <f t="shared" si="6"/>
        <v>--</v>
      </c>
      <c r="T28" s="555" t="str">
        <f t="shared" si="7"/>
        <v>--</v>
      </c>
      <c r="U28" s="556" t="str">
        <f t="shared" si="8"/>
        <v>--</v>
      </c>
      <c r="V28" s="557" t="str">
        <f t="shared" si="9"/>
        <v>--</v>
      </c>
      <c r="W28" s="558" t="str">
        <f t="shared" si="10"/>
        <v>--</v>
      </c>
      <c r="X28" s="559" t="str">
        <f t="shared" si="11"/>
        <v>--</v>
      </c>
      <c r="Y28" s="560" t="str">
        <f t="shared" si="12"/>
        <v>--</v>
      </c>
      <c r="Z28" s="561">
        <f t="shared" si="15"/>
      </c>
      <c r="AA28" s="54">
        <f t="shared" si="13"/>
      </c>
      <c r="AB28" s="3"/>
    </row>
    <row r="29" spans="1:28" ht="16.5" customHeight="1">
      <c r="A29" s="1"/>
      <c r="B29" s="2"/>
      <c r="C29" s="377"/>
      <c r="D29" s="377"/>
      <c r="E29" s="377"/>
      <c r="F29" s="378"/>
      <c r="G29" s="379"/>
      <c r="H29" s="380"/>
      <c r="I29" s="365">
        <f t="shared" si="0"/>
        <v>65.27475</v>
      </c>
      <c r="J29" s="385"/>
      <c r="K29" s="385"/>
      <c r="L29" s="13">
        <f t="shared" si="1"/>
      </c>
      <c r="M29" s="14">
        <f t="shared" si="2"/>
      </c>
      <c r="N29" s="386"/>
      <c r="O29" s="550">
        <f t="shared" si="14"/>
      </c>
      <c r="P29" s="551" t="str">
        <f t="shared" si="3"/>
        <v>--</v>
      </c>
      <c r="Q29" s="552" t="str">
        <f t="shared" si="4"/>
        <v>--</v>
      </c>
      <c r="R29" s="553" t="str">
        <f t="shared" si="5"/>
        <v>--</v>
      </c>
      <c r="S29" s="554" t="str">
        <f t="shared" si="6"/>
        <v>--</v>
      </c>
      <c r="T29" s="555" t="str">
        <f t="shared" si="7"/>
        <v>--</v>
      </c>
      <c r="U29" s="556" t="str">
        <f t="shared" si="8"/>
        <v>--</v>
      </c>
      <c r="V29" s="557" t="str">
        <f t="shared" si="9"/>
        <v>--</v>
      </c>
      <c r="W29" s="558" t="str">
        <f t="shared" si="10"/>
        <v>--</v>
      </c>
      <c r="X29" s="559" t="str">
        <f t="shared" si="11"/>
        <v>--</v>
      </c>
      <c r="Y29" s="560" t="str">
        <f t="shared" si="12"/>
        <v>--</v>
      </c>
      <c r="Z29" s="561">
        <f t="shared" si="15"/>
      </c>
      <c r="AA29" s="54">
        <f t="shared" si="13"/>
      </c>
      <c r="AB29" s="3"/>
    </row>
    <row r="30" spans="1:28" ht="16.5" customHeight="1">
      <c r="A30" s="1"/>
      <c r="B30" s="2"/>
      <c r="C30" s="377"/>
      <c r="D30" s="377"/>
      <c r="E30" s="377"/>
      <c r="F30" s="378"/>
      <c r="G30" s="379"/>
      <c r="H30" s="380"/>
      <c r="I30" s="365">
        <f t="shared" si="0"/>
        <v>65.27475</v>
      </c>
      <c r="J30" s="385"/>
      <c r="K30" s="385"/>
      <c r="L30" s="13">
        <f t="shared" si="1"/>
      </c>
      <c r="M30" s="14">
        <f t="shared" si="2"/>
      </c>
      <c r="N30" s="386"/>
      <c r="O30" s="550">
        <f t="shared" si="14"/>
      </c>
      <c r="P30" s="551" t="str">
        <f t="shared" si="3"/>
        <v>--</v>
      </c>
      <c r="Q30" s="552" t="str">
        <f t="shared" si="4"/>
        <v>--</v>
      </c>
      <c r="R30" s="553" t="str">
        <f t="shared" si="5"/>
        <v>--</v>
      </c>
      <c r="S30" s="554" t="str">
        <f t="shared" si="6"/>
        <v>--</v>
      </c>
      <c r="T30" s="555" t="str">
        <f t="shared" si="7"/>
        <v>--</v>
      </c>
      <c r="U30" s="556" t="str">
        <f t="shared" si="8"/>
        <v>--</v>
      </c>
      <c r="V30" s="557" t="str">
        <f t="shared" si="9"/>
        <v>--</v>
      </c>
      <c r="W30" s="558" t="str">
        <f t="shared" si="10"/>
        <v>--</v>
      </c>
      <c r="X30" s="559" t="str">
        <f t="shared" si="11"/>
        <v>--</v>
      </c>
      <c r="Y30" s="560" t="str">
        <f t="shared" si="12"/>
        <v>--</v>
      </c>
      <c r="Z30" s="561">
        <f t="shared" si="15"/>
      </c>
      <c r="AA30" s="54">
        <f t="shared" si="13"/>
      </c>
      <c r="AB30" s="3"/>
    </row>
    <row r="31" spans="1:28" ht="16.5" customHeight="1">
      <c r="A31" s="1"/>
      <c r="B31" s="2"/>
      <c r="C31" s="377"/>
      <c r="D31" s="377"/>
      <c r="E31" s="377"/>
      <c r="F31" s="378"/>
      <c r="G31" s="379"/>
      <c r="H31" s="380"/>
      <c r="I31" s="365">
        <f t="shared" si="0"/>
        <v>65.27475</v>
      </c>
      <c r="J31" s="385"/>
      <c r="K31" s="385"/>
      <c r="L31" s="13">
        <f t="shared" si="1"/>
      </c>
      <c r="M31" s="14">
        <f t="shared" si="2"/>
      </c>
      <c r="N31" s="386"/>
      <c r="O31" s="550">
        <f t="shared" si="14"/>
      </c>
      <c r="P31" s="551" t="str">
        <f t="shared" si="3"/>
        <v>--</v>
      </c>
      <c r="Q31" s="552" t="str">
        <f t="shared" si="4"/>
        <v>--</v>
      </c>
      <c r="R31" s="553" t="str">
        <f t="shared" si="5"/>
        <v>--</v>
      </c>
      <c r="S31" s="554" t="str">
        <f t="shared" si="6"/>
        <v>--</v>
      </c>
      <c r="T31" s="555" t="str">
        <f t="shared" si="7"/>
        <v>--</v>
      </c>
      <c r="U31" s="556" t="str">
        <f t="shared" si="8"/>
        <v>--</v>
      </c>
      <c r="V31" s="557" t="str">
        <f t="shared" si="9"/>
        <v>--</v>
      </c>
      <c r="W31" s="558" t="str">
        <f t="shared" si="10"/>
        <v>--</v>
      </c>
      <c r="X31" s="559" t="str">
        <f t="shared" si="11"/>
        <v>--</v>
      </c>
      <c r="Y31" s="560" t="str">
        <f t="shared" si="12"/>
        <v>--</v>
      </c>
      <c r="Z31" s="561">
        <f t="shared" si="15"/>
      </c>
      <c r="AA31" s="54">
        <f t="shared" si="13"/>
      </c>
      <c r="AB31" s="3"/>
    </row>
    <row r="32" spans="1:28" ht="16.5" customHeight="1">
      <c r="A32" s="1"/>
      <c r="B32" s="2"/>
      <c r="C32" s="377"/>
      <c r="D32" s="377"/>
      <c r="E32" s="377"/>
      <c r="F32" s="378"/>
      <c r="G32" s="379"/>
      <c r="H32" s="380"/>
      <c r="I32" s="365">
        <f t="shared" si="0"/>
        <v>65.27475</v>
      </c>
      <c r="J32" s="385"/>
      <c r="K32" s="385"/>
      <c r="L32" s="13">
        <f t="shared" si="1"/>
      </c>
      <c r="M32" s="14">
        <f t="shared" si="2"/>
      </c>
      <c r="N32" s="386"/>
      <c r="O32" s="550">
        <f t="shared" si="14"/>
      </c>
      <c r="P32" s="551" t="str">
        <f t="shared" si="3"/>
        <v>--</v>
      </c>
      <c r="Q32" s="552" t="str">
        <f t="shared" si="4"/>
        <v>--</v>
      </c>
      <c r="R32" s="553" t="str">
        <f t="shared" si="5"/>
        <v>--</v>
      </c>
      <c r="S32" s="554" t="str">
        <f t="shared" si="6"/>
        <v>--</v>
      </c>
      <c r="T32" s="555" t="str">
        <f t="shared" si="7"/>
        <v>--</v>
      </c>
      <c r="U32" s="556" t="str">
        <f t="shared" si="8"/>
        <v>--</v>
      </c>
      <c r="V32" s="557" t="str">
        <f t="shared" si="9"/>
        <v>--</v>
      </c>
      <c r="W32" s="558" t="str">
        <f t="shared" si="10"/>
        <v>--</v>
      </c>
      <c r="X32" s="559" t="str">
        <f t="shared" si="11"/>
        <v>--</v>
      </c>
      <c r="Y32" s="560" t="str">
        <f t="shared" si="12"/>
        <v>--</v>
      </c>
      <c r="Z32" s="561">
        <f t="shared" si="15"/>
      </c>
      <c r="AA32" s="54">
        <f t="shared" si="13"/>
      </c>
      <c r="AB32" s="3"/>
    </row>
    <row r="33" spans="1:28" ht="16.5" customHeight="1">
      <c r="A33" s="1"/>
      <c r="B33" s="2"/>
      <c r="C33" s="377"/>
      <c r="D33" s="377"/>
      <c r="E33" s="377"/>
      <c r="F33" s="378"/>
      <c r="G33" s="379"/>
      <c r="H33" s="380"/>
      <c r="I33" s="365">
        <f t="shared" si="0"/>
        <v>65.27475</v>
      </c>
      <c r="J33" s="385"/>
      <c r="K33" s="385"/>
      <c r="L33" s="13">
        <f t="shared" si="1"/>
      </c>
      <c r="M33" s="14">
        <f t="shared" si="2"/>
      </c>
      <c r="N33" s="386"/>
      <c r="O33" s="550">
        <f t="shared" si="14"/>
      </c>
      <c r="P33" s="551" t="str">
        <f t="shared" si="3"/>
        <v>--</v>
      </c>
      <c r="Q33" s="552" t="str">
        <f t="shared" si="4"/>
        <v>--</v>
      </c>
      <c r="R33" s="553" t="str">
        <f t="shared" si="5"/>
        <v>--</v>
      </c>
      <c r="S33" s="554" t="str">
        <f t="shared" si="6"/>
        <v>--</v>
      </c>
      <c r="T33" s="555" t="str">
        <f t="shared" si="7"/>
        <v>--</v>
      </c>
      <c r="U33" s="556" t="str">
        <f t="shared" si="8"/>
        <v>--</v>
      </c>
      <c r="V33" s="557" t="str">
        <f t="shared" si="9"/>
        <v>--</v>
      </c>
      <c r="W33" s="558" t="str">
        <f t="shared" si="10"/>
        <v>--</v>
      </c>
      <c r="X33" s="559" t="str">
        <f t="shared" si="11"/>
        <v>--</v>
      </c>
      <c r="Y33" s="560" t="str">
        <f t="shared" si="12"/>
        <v>--</v>
      </c>
      <c r="Z33" s="561">
        <f t="shared" si="15"/>
      </c>
      <c r="AA33" s="54">
        <f t="shared" si="13"/>
      </c>
      <c r="AB33" s="3"/>
    </row>
    <row r="34" spans="1:28" ht="16.5" customHeight="1">
      <c r="A34" s="1"/>
      <c r="B34" s="2"/>
      <c r="C34" s="377"/>
      <c r="D34" s="377"/>
      <c r="E34" s="377"/>
      <c r="F34" s="378"/>
      <c r="G34" s="379"/>
      <c r="H34" s="380"/>
      <c r="I34" s="365">
        <f t="shared" si="0"/>
        <v>65.27475</v>
      </c>
      <c r="J34" s="385"/>
      <c r="K34" s="385"/>
      <c r="L34" s="13">
        <f t="shared" si="1"/>
      </c>
      <c r="M34" s="14">
        <f t="shared" si="2"/>
      </c>
      <c r="N34" s="386"/>
      <c r="O34" s="550">
        <f t="shared" si="14"/>
      </c>
      <c r="P34" s="551" t="str">
        <f t="shared" si="3"/>
        <v>--</v>
      </c>
      <c r="Q34" s="552" t="str">
        <f t="shared" si="4"/>
        <v>--</v>
      </c>
      <c r="R34" s="553" t="str">
        <f t="shared" si="5"/>
        <v>--</v>
      </c>
      <c r="S34" s="554" t="str">
        <f t="shared" si="6"/>
        <v>--</v>
      </c>
      <c r="T34" s="555" t="str">
        <f t="shared" si="7"/>
        <v>--</v>
      </c>
      <c r="U34" s="556" t="str">
        <f t="shared" si="8"/>
        <v>--</v>
      </c>
      <c r="V34" s="557" t="str">
        <f t="shared" si="9"/>
        <v>--</v>
      </c>
      <c r="W34" s="558" t="str">
        <f t="shared" si="10"/>
        <v>--</v>
      </c>
      <c r="X34" s="559" t="str">
        <f t="shared" si="11"/>
        <v>--</v>
      </c>
      <c r="Y34" s="560" t="str">
        <f t="shared" si="12"/>
        <v>--</v>
      </c>
      <c r="Z34" s="561">
        <f t="shared" si="15"/>
      </c>
      <c r="AA34" s="54">
        <f t="shared" si="13"/>
      </c>
      <c r="AB34" s="3"/>
    </row>
    <row r="35" spans="2:28" ht="16.5" customHeight="1">
      <c r="B35" s="55"/>
      <c r="C35" s="377"/>
      <c r="D35" s="377"/>
      <c r="E35" s="377"/>
      <c r="F35" s="378"/>
      <c r="G35" s="379"/>
      <c r="H35" s="380"/>
      <c r="I35" s="365">
        <f t="shared" si="0"/>
        <v>65.27475</v>
      </c>
      <c r="J35" s="385"/>
      <c r="K35" s="385"/>
      <c r="L35" s="13">
        <f t="shared" si="1"/>
      </c>
      <c r="M35" s="14">
        <f t="shared" si="2"/>
      </c>
      <c r="N35" s="386"/>
      <c r="O35" s="550">
        <f t="shared" si="14"/>
      </c>
      <c r="P35" s="551" t="str">
        <f t="shared" si="3"/>
        <v>--</v>
      </c>
      <c r="Q35" s="552" t="str">
        <f t="shared" si="4"/>
        <v>--</v>
      </c>
      <c r="R35" s="553" t="str">
        <f t="shared" si="5"/>
        <v>--</v>
      </c>
      <c r="S35" s="554" t="str">
        <f t="shared" si="6"/>
        <v>--</v>
      </c>
      <c r="T35" s="555" t="str">
        <f t="shared" si="7"/>
        <v>--</v>
      </c>
      <c r="U35" s="556" t="str">
        <f t="shared" si="8"/>
        <v>--</v>
      </c>
      <c r="V35" s="557" t="str">
        <f t="shared" si="9"/>
        <v>--</v>
      </c>
      <c r="W35" s="558" t="str">
        <f t="shared" si="10"/>
        <v>--</v>
      </c>
      <c r="X35" s="559" t="str">
        <f t="shared" si="11"/>
        <v>--</v>
      </c>
      <c r="Y35" s="560" t="str">
        <f t="shared" si="12"/>
        <v>--</v>
      </c>
      <c r="Z35" s="561">
        <f t="shared" si="15"/>
      </c>
      <c r="AA35" s="54">
        <f t="shared" si="13"/>
      </c>
      <c r="AB35" s="3"/>
    </row>
    <row r="36" spans="2:28" ht="16.5" customHeight="1">
      <c r="B36" s="55"/>
      <c r="C36" s="377"/>
      <c r="D36" s="377"/>
      <c r="E36" s="377"/>
      <c r="F36" s="378"/>
      <c r="G36" s="379"/>
      <c r="H36" s="380"/>
      <c r="I36" s="365">
        <f>IF(H36&gt;25,H36,25)*IF(G36=330,$G$16,$G$17)/100</f>
        <v>65.27475</v>
      </c>
      <c r="J36" s="385"/>
      <c r="K36" s="385"/>
      <c r="L36" s="13">
        <f>IF(F36="","",(K36-J36)*24)</f>
      </c>
      <c r="M36" s="14">
        <f>IF(F36="","",ROUND((K36-J36)*24*60,0))</f>
      </c>
      <c r="N36" s="386"/>
      <c r="O36" s="550">
        <f>IF(F36="","","--")</f>
      </c>
      <c r="P36" s="551" t="str">
        <f>IF(N36="P",ROUND(M36/60,2)*I36*$L$17*0.01,"--")</f>
        <v>--</v>
      </c>
      <c r="Q36" s="552" t="str">
        <f>IF(N36="RP",ROUND(M36/60,2)*I36*$L$17*0.01*O36/100,"--")</f>
        <v>--</v>
      </c>
      <c r="R36" s="553" t="str">
        <f>IF(N36="F",I36*$L$17,"--")</f>
        <v>--</v>
      </c>
      <c r="S36" s="554" t="str">
        <f>IF(AND(M36&gt;10,N36="F"),I36*$L$17*IF(M36&gt;180,3,ROUND(M36/60,2)),"--")</f>
        <v>--</v>
      </c>
      <c r="T36" s="555" t="str">
        <f>IF(AND(M36&gt;180,N36="F"),(ROUND(M36/60,2)-3)*I36*$L$17*0.1,"--")</f>
        <v>--</v>
      </c>
      <c r="U36" s="556" t="str">
        <f>IF(N36="R",I36*$L$17*O36/100,"--")</f>
        <v>--</v>
      </c>
      <c r="V36" s="557" t="str">
        <f>IF(AND(M36&gt;10,N36="R"),I36*$L$17*O36/100*IF(M36&gt;180,3,ROUND(M36/60,2)),"--")</f>
        <v>--</v>
      </c>
      <c r="W36" s="558" t="str">
        <f>IF(AND(M36&gt;180,N36="R"),(ROUND(M36/60,2)-3)*O36/100*I36*$L$17*0.1,"--")</f>
        <v>--</v>
      </c>
      <c r="X36" s="559" t="str">
        <f>IF(N36="RF",ROUND(M36/60,2)*I36*$L$17*0.1,"--")</f>
        <v>--</v>
      </c>
      <c r="Y36" s="560" t="str">
        <f>IF(N36="RR",ROUND(M36/60,2)*O36/100*I36*$L$17*0.1,"--")</f>
        <v>--</v>
      </c>
      <c r="Z36" s="561">
        <f>IF(F36="","","SI")</f>
      </c>
      <c r="AA36" s="54">
        <f>IF(F36="","",SUM(P36:Y36)*IF(Z36="SI",1,2))</f>
      </c>
      <c r="AB36" s="3"/>
    </row>
    <row r="37" spans="2:28" ht="16.5" customHeight="1">
      <c r="B37" s="55"/>
      <c r="C37" s="377"/>
      <c r="D37" s="377"/>
      <c r="E37" s="377"/>
      <c r="F37" s="378"/>
      <c r="G37" s="379"/>
      <c r="H37" s="380"/>
      <c r="I37" s="365">
        <f>IF(H37&gt;25,H37,25)*IF(G37=330,$G$16,$G$17)/100</f>
        <v>65.27475</v>
      </c>
      <c r="J37" s="385"/>
      <c r="K37" s="385"/>
      <c r="L37" s="13">
        <f>IF(F37="","",(K37-J37)*24)</f>
      </c>
      <c r="M37" s="14">
        <f>IF(F37="","",ROUND((K37-J37)*24*60,0))</f>
      </c>
      <c r="N37" s="386"/>
      <c r="O37" s="550">
        <f>IF(F37="","","--")</f>
      </c>
      <c r="P37" s="551" t="str">
        <f>IF(N37="P",ROUND(M37/60,2)*I37*$L$17*0.01,"--")</f>
        <v>--</v>
      </c>
      <c r="Q37" s="552" t="str">
        <f>IF(N37="RP",ROUND(M37/60,2)*I37*$L$17*0.01*O37/100,"--")</f>
        <v>--</v>
      </c>
      <c r="R37" s="553" t="str">
        <f>IF(N37="F",I37*$L$17,"--")</f>
        <v>--</v>
      </c>
      <c r="S37" s="554" t="str">
        <f>IF(AND(M37&gt;10,N37="F"),I37*$L$17*IF(M37&gt;180,3,ROUND(M37/60,2)),"--")</f>
        <v>--</v>
      </c>
      <c r="T37" s="555" t="str">
        <f>IF(AND(M37&gt;180,N37="F"),(ROUND(M37/60,2)-3)*I37*$L$17*0.1,"--")</f>
        <v>--</v>
      </c>
      <c r="U37" s="556" t="str">
        <f>IF(N37="R",I37*$L$17*O37/100,"--")</f>
        <v>--</v>
      </c>
      <c r="V37" s="557" t="str">
        <f>IF(AND(M37&gt;10,N37="R"),I37*$L$17*O37/100*IF(M37&gt;180,3,ROUND(M37/60,2)),"--")</f>
        <v>--</v>
      </c>
      <c r="W37" s="558" t="str">
        <f>IF(AND(M37&gt;180,N37="R"),(ROUND(M37/60,2)-3)*O37/100*I37*$L$17*0.1,"--")</f>
        <v>--</v>
      </c>
      <c r="X37" s="559" t="str">
        <f>IF(N37="RF",ROUND(M37/60,2)*I37*$L$17*0.1,"--")</f>
        <v>--</v>
      </c>
      <c r="Y37" s="560" t="str">
        <f>IF(N37="RR",ROUND(M37/60,2)*O37/100*I37*$L$17*0.1,"--")</f>
        <v>--</v>
      </c>
      <c r="Z37" s="561">
        <f>IF(F37="","","SI")</f>
      </c>
      <c r="AA37" s="54">
        <f>IF(F37="","",SUM(P37:Y37)*IF(Z37="SI",1,2))</f>
      </c>
      <c r="AB37" s="3"/>
    </row>
    <row r="38" spans="2:28" ht="16.5" customHeight="1">
      <c r="B38" s="55"/>
      <c r="C38" s="377"/>
      <c r="D38" s="377"/>
      <c r="E38" s="377"/>
      <c r="F38" s="378"/>
      <c r="G38" s="379"/>
      <c r="H38" s="380"/>
      <c r="I38" s="365">
        <f>IF(H38&gt;25,H38,25)*IF(G38=330,$G$16,$G$17)/100</f>
        <v>65.27475</v>
      </c>
      <c r="J38" s="385"/>
      <c r="K38" s="385"/>
      <c r="L38" s="13">
        <f>IF(F38="","",(K38-J38)*24)</f>
      </c>
      <c r="M38" s="14">
        <f>IF(F38="","",ROUND((K38-J38)*24*60,0))</f>
      </c>
      <c r="N38" s="386"/>
      <c r="O38" s="550">
        <f>IF(F38="","","--")</f>
      </c>
      <c r="P38" s="551" t="str">
        <f>IF(N38="P",ROUND(M38/60,2)*I38*$L$17*0.01,"--")</f>
        <v>--</v>
      </c>
      <c r="Q38" s="552" t="str">
        <f>IF(N38="RP",ROUND(M38/60,2)*I38*$L$17*0.01*O38/100,"--")</f>
        <v>--</v>
      </c>
      <c r="R38" s="553" t="str">
        <f>IF(N38="F",I38*$L$17,"--")</f>
        <v>--</v>
      </c>
      <c r="S38" s="554" t="str">
        <f>IF(AND(M38&gt;10,N38="F"),I38*$L$17*IF(M38&gt;180,3,ROUND(M38/60,2)),"--")</f>
        <v>--</v>
      </c>
      <c r="T38" s="555" t="str">
        <f>IF(AND(M38&gt;180,N38="F"),(ROUND(M38/60,2)-3)*I38*$L$17*0.1,"--")</f>
        <v>--</v>
      </c>
      <c r="U38" s="556" t="str">
        <f>IF(N38="R",I38*$L$17*O38/100,"--")</f>
        <v>--</v>
      </c>
      <c r="V38" s="557" t="str">
        <f>IF(AND(M38&gt;10,N38="R"),I38*$L$17*O38/100*IF(M38&gt;180,3,ROUND(M38/60,2)),"--")</f>
        <v>--</v>
      </c>
      <c r="W38" s="558" t="str">
        <f>IF(AND(M38&gt;180,N38="R"),(ROUND(M38/60,2)-3)*O38/100*I38*$L$17*0.1,"--")</f>
        <v>--</v>
      </c>
      <c r="X38" s="559" t="str">
        <f>IF(N38="RF",ROUND(M38/60,2)*I38*$L$17*0.1,"--")</f>
        <v>--</v>
      </c>
      <c r="Y38" s="560" t="str">
        <f>IF(N38="RR",ROUND(M38/60,2)*O38/100*I38*$L$17*0.1,"--")</f>
        <v>--</v>
      </c>
      <c r="Z38" s="561">
        <f>IF(F38="","","SI")</f>
      </c>
      <c r="AA38" s="54">
        <f>IF(F38="","",SUM(P38:Y38)*IF(Z38="SI",1,2))</f>
      </c>
      <c r="AB38" s="3"/>
    </row>
    <row r="39" spans="1:28" ht="16.5" customHeight="1" thickBot="1">
      <c r="A39" s="1"/>
      <c r="B39" s="2"/>
      <c r="C39" s="381"/>
      <c r="D39" s="381"/>
      <c r="E39" s="381"/>
      <c r="F39" s="382"/>
      <c r="G39" s="383"/>
      <c r="H39" s="384"/>
      <c r="I39" s="366"/>
      <c r="J39" s="384"/>
      <c r="K39" s="384"/>
      <c r="L39" s="15"/>
      <c r="M39" s="15"/>
      <c r="N39" s="384"/>
      <c r="O39" s="387"/>
      <c r="P39" s="388"/>
      <c r="Q39" s="389"/>
      <c r="R39" s="390"/>
      <c r="S39" s="391"/>
      <c r="T39" s="392"/>
      <c r="U39" s="393"/>
      <c r="V39" s="394"/>
      <c r="W39" s="395"/>
      <c r="X39" s="396"/>
      <c r="Y39" s="397"/>
      <c r="Z39" s="398"/>
      <c r="AA39" s="56"/>
      <c r="AB39" s="3"/>
    </row>
    <row r="40" spans="1:28" ht="16.5" customHeight="1" thickBot="1" thickTop="1">
      <c r="A40" s="1"/>
      <c r="B40" s="2"/>
      <c r="C40" s="221" t="s">
        <v>68</v>
      </c>
      <c r="D40" s="949" t="s">
        <v>191</v>
      </c>
      <c r="E40" s="545"/>
      <c r="F40" s="222"/>
      <c r="G40" s="16"/>
      <c r="H40" s="17"/>
      <c r="I40" s="57"/>
      <c r="J40" s="57"/>
      <c r="K40" s="57"/>
      <c r="L40" s="57"/>
      <c r="M40" s="57"/>
      <c r="N40" s="57"/>
      <c r="O40" s="58"/>
      <c r="P40" s="289">
        <f aca="true" t="shared" si="16" ref="P40:Y40">ROUND(SUM(P20:P39),2)</f>
        <v>60.08</v>
      </c>
      <c r="Q40" s="290">
        <f t="shared" si="16"/>
        <v>0</v>
      </c>
      <c r="R40" s="291">
        <f t="shared" si="16"/>
        <v>46935.16</v>
      </c>
      <c r="S40" s="291">
        <f t="shared" si="16"/>
        <v>86830.04</v>
      </c>
      <c r="T40" s="292">
        <f t="shared" si="16"/>
        <v>8401.39</v>
      </c>
      <c r="U40" s="293">
        <f t="shared" si="16"/>
        <v>0</v>
      </c>
      <c r="V40" s="293">
        <f t="shared" si="16"/>
        <v>0</v>
      </c>
      <c r="W40" s="294">
        <f t="shared" si="16"/>
        <v>0</v>
      </c>
      <c r="X40" s="295">
        <f t="shared" si="16"/>
        <v>0</v>
      </c>
      <c r="Y40" s="296">
        <f t="shared" si="16"/>
        <v>0</v>
      </c>
      <c r="Z40" s="59"/>
      <c r="AA40" s="549">
        <f>ROUND(SUM(AA20:AA39),2)</f>
        <v>142226.68</v>
      </c>
      <c r="AB40" s="60"/>
    </row>
    <row r="41" spans="1:28" s="236" customFormat="1" ht="9.75" thickTop="1">
      <c r="A41" s="225"/>
      <c r="B41" s="226"/>
      <c r="C41" s="223"/>
      <c r="D41" s="223"/>
      <c r="E41" s="223"/>
      <c r="F41" s="224"/>
      <c r="G41" s="227"/>
      <c r="H41" s="228"/>
      <c r="I41" s="229"/>
      <c r="J41" s="229"/>
      <c r="K41" s="229"/>
      <c r="L41" s="229"/>
      <c r="M41" s="229"/>
      <c r="N41" s="229"/>
      <c r="O41" s="230"/>
      <c r="P41" s="231"/>
      <c r="Q41" s="231"/>
      <c r="R41" s="232"/>
      <c r="S41" s="232"/>
      <c r="T41" s="233"/>
      <c r="U41" s="233"/>
      <c r="V41" s="233"/>
      <c r="W41" s="233"/>
      <c r="X41" s="233"/>
      <c r="Y41" s="233"/>
      <c r="Z41" s="233"/>
      <c r="AA41" s="234"/>
      <c r="AB41" s="235"/>
    </row>
    <row r="42" spans="1:28" s="10" customFormat="1" ht="16.5" customHeight="1" thickBot="1">
      <c r="A42" s="8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</row>
    <row r="43" spans="1:28" ht="13.5" thickTop="1">
      <c r="A43" s="1"/>
      <c r="B43" s="1"/>
      <c r="AB43" s="1"/>
    </row>
    <row r="88" spans="1:2" ht="12.75">
      <c r="A88" s="1"/>
      <c r="B88" s="1"/>
    </row>
  </sheetData>
  <sheetProtection/>
  <printOptions horizontalCentered="1"/>
  <pageMargins left="0.23" right="0.37" top="0.7874015748031497" bottom="0.7874015748031497" header="0.5118110236220472" footer="0.5118110236220472"/>
  <pageSetup fitToHeight="1" fitToWidth="1" orientation="landscape" paperSize="9" scale="68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85" zoomScaleNormal="85" zoomScalePageLayoutView="0" workbookViewId="0" topLeftCell="E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92" customFormat="1" ht="26.25">
      <c r="AB1" s="371"/>
    </row>
    <row r="2" spans="2:28" s="92" customFormat="1" ht="26.25">
      <c r="B2" s="93" t="str">
        <f>+'TOT-1115'!B2</f>
        <v>ANEXO V al Memorándum  D.T.E.E.  N°  379 / 2016             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="10" customFormat="1" ht="12.75"/>
    <row r="4" spans="1:4" s="95" customFormat="1" ht="11.25">
      <c r="A4" s="548" t="s">
        <v>21</v>
      </c>
      <c r="C4" s="547"/>
      <c r="D4" s="547"/>
    </row>
    <row r="5" spans="1:4" s="95" customFormat="1" ht="11.25">
      <c r="A5" s="548" t="s">
        <v>143</v>
      </c>
      <c r="C5" s="547"/>
      <c r="D5" s="547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97" customFormat="1" ht="20.25">
      <c r="A8" s="44"/>
      <c r="B8" s="96"/>
      <c r="C8" s="44"/>
      <c r="D8" s="44"/>
      <c r="E8" s="44"/>
      <c r="F8" s="21" t="s">
        <v>44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10" customFormat="1" ht="12.75">
      <c r="A9" s="8"/>
      <c r="B9" s="43"/>
      <c r="C9" s="8"/>
      <c r="D9" s="8"/>
      <c r="E9" s="8"/>
      <c r="F9" s="109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97" customFormat="1" ht="20.25">
      <c r="A10" s="44"/>
      <c r="B10" s="96"/>
      <c r="C10" s="44"/>
      <c r="D10" s="44"/>
      <c r="E10" s="44"/>
      <c r="F10" s="21" t="s">
        <v>192</v>
      </c>
      <c r="G10" s="21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10" customFormat="1" ht="12.75">
      <c r="A11" s="8"/>
      <c r="B11" s="43"/>
      <c r="C11" s="8"/>
      <c r="D11" s="8"/>
      <c r="E11" s="8"/>
      <c r="F11" s="108"/>
      <c r="G11" s="106"/>
      <c r="H11" s="8"/>
      <c r="I11" s="105"/>
      <c r="J11" s="105"/>
      <c r="K11" s="105"/>
      <c r="L11" s="105"/>
      <c r="M11" s="105"/>
      <c r="N11" s="105"/>
      <c r="O11" s="1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04" customFormat="1" ht="19.5">
      <c r="A12" s="46"/>
      <c r="B12" s="70" t="str">
        <f>+'TOT-1115'!B14</f>
        <v>Desde el 01 al 30 de noviembre de 2015</v>
      </c>
      <c r="C12" s="100"/>
      <c r="D12" s="100"/>
      <c r="E12" s="100"/>
      <c r="F12" s="100"/>
      <c r="G12" s="101"/>
      <c r="H12" s="101"/>
      <c r="I12" s="102"/>
      <c r="J12" s="102"/>
      <c r="K12" s="102"/>
      <c r="L12" s="102"/>
      <c r="M12" s="102"/>
      <c r="N12" s="102"/>
      <c r="O12" s="102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3"/>
    </row>
    <row r="13" spans="1:28" s="104" customFormat="1" ht="7.5" customHeight="1">
      <c r="A13" s="46"/>
      <c r="B13" s="70"/>
      <c r="C13" s="100"/>
      <c r="D13" s="100"/>
      <c r="E13" s="100"/>
      <c r="F13" s="100"/>
      <c r="G13" s="101"/>
      <c r="H13" s="101"/>
      <c r="I13" s="102"/>
      <c r="J13" s="102"/>
      <c r="K13" s="102"/>
      <c r="L13" s="102"/>
      <c r="M13" s="102"/>
      <c r="N13" s="102"/>
      <c r="O13" s="102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3"/>
    </row>
    <row r="14" spans="1:28" s="10" customFormat="1" ht="7.5" customHeight="1" thickBot="1">
      <c r="A14" s="8"/>
      <c r="B14" s="43"/>
      <c r="C14" s="8"/>
      <c r="D14" s="8"/>
      <c r="E14" s="8"/>
      <c r="F14" s="8"/>
      <c r="G14" s="106"/>
      <c r="H14" s="107"/>
      <c r="I14" s="105"/>
      <c r="J14" s="105"/>
      <c r="K14" s="105"/>
      <c r="L14" s="105"/>
      <c r="M14" s="105"/>
      <c r="N14" s="105"/>
      <c r="O14" s="10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78" customFormat="1" ht="16.5" customHeight="1" thickBot="1" thickTop="1">
      <c r="A15" s="74"/>
      <c r="B15" s="75"/>
      <c r="C15" s="74"/>
      <c r="D15" s="74"/>
      <c r="E15" s="74"/>
      <c r="F15" s="373" t="s">
        <v>47</v>
      </c>
      <c r="G15" s="946" t="s">
        <v>169</v>
      </c>
      <c r="H15" s="219"/>
      <c r="I15" s="79"/>
      <c r="J15" s="79"/>
      <c r="K15" s="79"/>
      <c r="L15" s="79"/>
      <c r="M15" s="79"/>
      <c r="N15" s="79"/>
      <c r="O15" s="79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7"/>
    </row>
    <row r="16" spans="1:28" s="78" customFormat="1" ht="16.5" customHeight="1" thickBot="1" thickTop="1">
      <c r="A16" s="74"/>
      <c r="B16" s="75"/>
      <c r="C16" s="74"/>
      <c r="D16" s="74"/>
      <c r="E16" s="74"/>
      <c r="F16" s="373" t="s">
        <v>48</v>
      </c>
      <c r="G16" s="374">
        <v>69.722</v>
      </c>
      <c r="H16" s="220"/>
      <c r="I16" s="74"/>
      <c r="K16" s="80" t="s">
        <v>49</v>
      </c>
      <c r="L16" s="81">
        <f>30*'TOT-1115'!B13</f>
        <v>30</v>
      </c>
      <c r="M16" s="216" t="str">
        <f>IF(L16=30," ",IF(L16=60,"Coeficiente duplicado por tasa de falla &gt;4 Sal. x año/100 km.","REVISAR COEFICIENTE"))</f>
        <v> 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7"/>
    </row>
    <row r="17" spans="1:28" s="78" customFormat="1" ht="7.5" customHeight="1" thickTop="1">
      <c r="A17" s="74"/>
      <c r="B17" s="75"/>
      <c r="C17" s="74"/>
      <c r="D17" s="74"/>
      <c r="E17" s="74"/>
      <c r="F17" s="538"/>
      <c r="G17" s="539"/>
      <c r="H17" s="540"/>
      <c r="I17" s="74"/>
      <c r="K17" s="80"/>
      <c r="L17" s="81"/>
      <c r="M17" s="216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7"/>
    </row>
    <row r="18" spans="1:28" s="571" customFormat="1" ht="15" customHeight="1" thickBot="1">
      <c r="A18" s="567"/>
      <c r="B18" s="568"/>
      <c r="C18" s="569">
        <v>3</v>
      </c>
      <c r="D18" s="569">
        <v>4</v>
      </c>
      <c r="E18" s="569">
        <v>5</v>
      </c>
      <c r="F18" s="569">
        <v>6</v>
      </c>
      <c r="G18" s="569">
        <v>7</v>
      </c>
      <c r="H18" s="569">
        <v>8</v>
      </c>
      <c r="I18" s="569">
        <v>9</v>
      </c>
      <c r="J18" s="569">
        <v>10</v>
      </c>
      <c r="K18" s="569">
        <v>11</v>
      </c>
      <c r="L18" s="569">
        <v>12</v>
      </c>
      <c r="M18" s="569">
        <v>13</v>
      </c>
      <c r="N18" s="569">
        <v>14</v>
      </c>
      <c r="O18" s="569">
        <v>15</v>
      </c>
      <c r="P18" s="569">
        <v>16</v>
      </c>
      <c r="Q18" s="569">
        <v>17</v>
      </c>
      <c r="R18" s="569">
        <v>18</v>
      </c>
      <c r="S18" s="569">
        <v>19</v>
      </c>
      <c r="T18" s="569">
        <v>20</v>
      </c>
      <c r="U18" s="569">
        <v>21</v>
      </c>
      <c r="V18" s="569">
        <v>22</v>
      </c>
      <c r="W18" s="569">
        <v>23</v>
      </c>
      <c r="X18" s="569">
        <v>24</v>
      </c>
      <c r="Y18" s="569">
        <v>25</v>
      </c>
      <c r="Z18" s="569">
        <v>26</v>
      </c>
      <c r="AA18" s="569">
        <v>27</v>
      </c>
      <c r="AB18" s="570"/>
    </row>
    <row r="19" spans="1:28" s="91" customFormat="1" ht="33.75" customHeight="1" thickBot="1" thickTop="1">
      <c r="A19" s="82"/>
      <c r="B19" s="83"/>
      <c r="C19" s="84" t="s">
        <v>50</v>
      </c>
      <c r="D19" s="84" t="s">
        <v>142</v>
      </c>
      <c r="E19" s="84" t="s">
        <v>141</v>
      </c>
      <c r="F19" s="85" t="s">
        <v>24</v>
      </c>
      <c r="G19" s="86" t="s">
        <v>51</v>
      </c>
      <c r="H19" s="87" t="s">
        <v>52</v>
      </c>
      <c r="I19" s="246" t="s">
        <v>53</v>
      </c>
      <c r="J19" s="85" t="s">
        <v>54</v>
      </c>
      <c r="K19" s="85" t="s">
        <v>55</v>
      </c>
      <c r="L19" s="86" t="s">
        <v>56</v>
      </c>
      <c r="M19" s="86" t="s">
        <v>57</v>
      </c>
      <c r="N19" s="88" t="s">
        <v>58</v>
      </c>
      <c r="O19" s="86" t="s">
        <v>59</v>
      </c>
      <c r="P19" s="256" t="s">
        <v>60</v>
      </c>
      <c r="Q19" s="259" t="s">
        <v>61</v>
      </c>
      <c r="R19" s="262" t="s">
        <v>62</v>
      </c>
      <c r="S19" s="263"/>
      <c r="T19" s="264"/>
      <c r="U19" s="273" t="s">
        <v>63</v>
      </c>
      <c r="V19" s="274"/>
      <c r="W19" s="275"/>
      <c r="X19" s="283" t="s">
        <v>64</v>
      </c>
      <c r="Y19" s="286" t="s">
        <v>65</v>
      </c>
      <c r="Z19" s="89" t="s">
        <v>66</v>
      </c>
      <c r="AA19" s="89" t="s">
        <v>67</v>
      </c>
      <c r="AB19" s="90"/>
    </row>
    <row r="20" spans="1:28" ht="16.5" customHeight="1" thickTop="1">
      <c r="A20" s="1"/>
      <c r="B20" s="2"/>
      <c r="C20" s="50"/>
      <c r="D20" s="71"/>
      <c r="E20" s="71"/>
      <c r="F20" s="51"/>
      <c r="G20" s="52"/>
      <c r="H20" s="52"/>
      <c r="I20" s="247"/>
      <c r="J20" s="52"/>
      <c r="K20" s="53"/>
      <c r="L20" s="53"/>
      <c r="M20" s="53"/>
      <c r="N20" s="51"/>
      <c r="O20" s="52"/>
      <c r="P20" s="257"/>
      <c r="Q20" s="260"/>
      <c r="R20" s="265"/>
      <c r="S20" s="266"/>
      <c r="T20" s="267"/>
      <c r="U20" s="276"/>
      <c r="V20" s="277"/>
      <c r="W20" s="278"/>
      <c r="X20" s="284"/>
      <c r="Y20" s="287"/>
      <c r="Z20" s="271"/>
      <c r="AA20" s="53"/>
      <c r="AB20" s="3"/>
    </row>
    <row r="21" spans="1:28" ht="16.5" customHeight="1">
      <c r="A21" s="1"/>
      <c r="B21" s="2"/>
      <c r="C21" s="50"/>
      <c r="D21" s="50"/>
      <c r="E21" s="50"/>
      <c r="F21" s="50"/>
      <c r="G21" s="72"/>
      <c r="H21" s="72"/>
      <c r="I21" s="248"/>
      <c r="J21" s="50"/>
      <c r="K21" s="73"/>
      <c r="L21" s="73"/>
      <c r="M21" s="73"/>
      <c r="N21" s="71"/>
      <c r="O21" s="50"/>
      <c r="P21" s="258"/>
      <c r="Q21" s="261"/>
      <c r="R21" s="268"/>
      <c r="S21" s="269"/>
      <c r="T21" s="270"/>
      <c r="U21" s="279"/>
      <c r="V21" s="280"/>
      <c r="W21" s="281"/>
      <c r="X21" s="285"/>
      <c r="Y21" s="288"/>
      <c r="Z21" s="272"/>
      <c r="AA21" s="73"/>
      <c r="AB21" s="3"/>
    </row>
    <row r="22" spans="1:28" ht="16.5" customHeight="1">
      <c r="A22" s="1"/>
      <c r="B22" s="2"/>
      <c r="C22" s="377">
        <v>4</v>
      </c>
      <c r="D22" s="377">
        <v>294987</v>
      </c>
      <c r="E22" s="377">
        <v>4658</v>
      </c>
      <c r="F22" s="378" t="s">
        <v>185</v>
      </c>
      <c r="G22" s="379">
        <v>132</v>
      </c>
      <c r="H22" s="380">
        <v>207.5</v>
      </c>
      <c r="I22" s="249">
        <f aca="true" t="shared" si="0" ref="I22:I41">IF(H22&gt;25,H22,25)*IF(G22=330,$G$15,$G$16)/100</f>
        <v>144.67315</v>
      </c>
      <c r="J22" s="385">
        <v>42325.72222222222</v>
      </c>
      <c r="K22" s="385">
        <v>42325.774305555555</v>
      </c>
      <c r="L22" s="13">
        <f aca="true" t="shared" si="1" ref="L22:L41">IF(F22="","",(K22-J22)*24)</f>
        <v>1.2500000000582077</v>
      </c>
      <c r="M22" s="14">
        <f aca="true" t="shared" si="2" ref="M22:M41">IF(F22="","",ROUND((K22-J22)*24*60,0))</f>
        <v>75</v>
      </c>
      <c r="N22" s="386" t="s">
        <v>151</v>
      </c>
      <c r="O22" s="550" t="str">
        <f aca="true" t="shared" si="3" ref="O22:O41">IF(F22="","","--")</f>
        <v>--</v>
      </c>
      <c r="P22" s="551" t="str">
        <f aca="true" t="shared" si="4" ref="P22:P41">IF(N22="P",ROUND(M22/60,2)*I22*$L$16*0.01,"--")</f>
        <v>--</v>
      </c>
      <c r="Q22" s="552" t="str">
        <f aca="true" t="shared" si="5" ref="Q22:Q41">IF(N22="RP",ROUND(M22/60,2)*I22*$L$16*0.01*O22/100,"--")</f>
        <v>--</v>
      </c>
      <c r="R22" s="553">
        <f aca="true" t="shared" si="6" ref="R22:R41">IF(N22="F",I22*$L$16,"--")</f>
        <v>4340.1945</v>
      </c>
      <c r="S22" s="554">
        <f aca="true" t="shared" si="7" ref="S22:S41">IF(AND(M22&gt;10,N22="F"),I22*$L$16*IF(M22&gt;180,3,ROUND(M22/60,2)),"--")</f>
        <v>5425.243124999999</v>
      </c>
      <c r="T22" s="555" t="str">
        <f aca="true" t="shared" si="8" ref="T22:T41">IF(AND(M22&gt;180,N22="F"),(ROUND(M22/60,2)-3)*I22*$L$16*0.1,"--")</f>
        <v>--</v>
      </c>
      <c r="U22" s="556" t="str">
        <f aca="true" t="shared" si="9" ref="U22:U41">IF(N22="R",I22*$L$16*O22/100,"--")</f>
        <v>--</v>
      </c>
      <c r="V22" s="557" t="str">
        <f aca="true" t="shared" si="10" ref="V22:V41">IF(AND(M22&gt;10,N22="R"),I22*$L$16*O22/100*IF(M22&gt;180,3,ROUND(M22/60,2)),"--")</f>
        <v>--</v>
      </c>
      <c r="W22" s="558" t="str">
        <f aca="true" t="shared" si="11" ref="W22:W41">IF(AND(M22&gt;180,N22="R"),(ROUND(M22/60,2)-3)*O22/100*I22*$L$16*0.1,"--")</f>
        <v>--</v>
      </c>
      <c r="X22" s="559" t="str">
        <f aca="true" t="shared" si="12" ref="X22:X41">IF(N22="RF",ROUND(M22/60,2)*I22*$L$16*0.1,"--")</f>
        <v>--</v>
      </c>
      <c r="Y22" s="560" t="str">
        <f aca="true" t="shared" si="13" ref="Y22:Y41">IF(N22="RR",ROUND(M22/60,2)*O22/100*I22*$L$16*0.1,"--")</f>
        <v>--</v>
      </c>
      <c r="Z22" s="561" t="str">
        <f aca="true" t="shared" si="14" ref="Z22:Z41">IF(F22="","","SI")</f>
        <v>SI</v>
      </c>
      <c r="AA22" s="54">
        <f aca="true" t="shared" si="15" ref="AA22:AA41">IF(F22="","",SUM(P22:Y22)*IF(Z22="SI",1,2))</f>
        <v>9765.437624999999</v>
      </c>
      <c r="AB22" s="3"/>
    </row>
    <row r="23" spans="1:28" ht="16.5" customHeight="1">
      <c r="A23" s="1"/>
      <c r="B23" s="2"/>
      <c r="C23" s="377"/>
      <c r="D23" s="377"/>
      <c r="E23" s="377"/>
      <c r="F23" s="378"/>
      <c r="G23" s="379"/>
      <c r="H23" s="380"/>
      <c r="I23" s="249">
        <f t="shared" si="0"/>
        <v>17.4305</v>
      </c>
      <c r="J23" s="385"/>
      <c r="K23" s="385"/>
      <c r="L23" s="13">
        <f t="shared" si="1"/>
      </c>
      <c r="M23" s="14">
        <f t="shared" si="2"/>
      </c>
      <c r="N23" s="386"/>
      <c r="O23" s="550">
        <f t="shared" si="3"/>
      </c>
      <c r="P23" s="551" t="str">
        <f t="shared" si="4"/>
        <v>--</v>
      </c>
      <c r="Q23" s="552" t="str">
        <f t="shared" si="5"/>
        <v>--</v>
      </c>
      <c r="R23" s="553" t="str">
        <f t="shared" si="6"/>
        <v>--</v>
      </c>
      <c r="S23" s="554" t="str">
        <f t="shared" si="7"/>
        <v>--</v>
      </c>
      <c r="T23" s="555" t="str">
        <f t="shared" si="8"/>
        <v>--</v>
      </c>
      <c r="U23" s="556" t="str">
        <f t="shared" si="9"/>
        <v>--</v>
      </c>
      <c r="V23" s="557" t="str">
        <f t="shared" si="10"/>
        <v>--</v>
      </c>
      <c r="W23" s="558" t="str">
        <f t="shared" si="11"/>
        <v>--</v>
      </c>
      <c r="X23" s="559" t="str">
        <f t="shared" si="12"/>
        <v>--</v>
      </c>
      <c r="Y23" s="560" t="str">
        <f t="shared" si="13"/>
        <v>--</v>
      </c>
      <c r="Z23" s="561">
        <f t="shared" si="14"/>
      </c>
      <c r="AA23" s="54">
        <f t="shared" si="15"/>
      </c>
      <c r="AB23" s="3"/>
    </row>
    <row r="24" spans="1:28" ht="16.5" customHeight="1">
      <c r="A24" s="1"/>
      <c r="B24" s="2"/>
      <c r="C24" s="377"/>
      <c r="D24" s="377"/>
      <c r="E24" s="377"/>
      <c r="F24" s="378"/>
      <c r="G24" s="379"/>
      <c r="H24" s="380"/>
      <c r="I24" s="249">
        <f t="shared" si="0"/>
        <v>17.4305</v>
      </c>
      <c r="J24" s="385"/>
      <c r="K24" s="385"/>
      <c r="L24" s="13">
        <f t="shared" si="1"/>
      </c>
      <c r="M24" s="14">
        <f t="shared" si="2"/>
      </c>
      <c r="N24" s="386"/>
      <c r="O24" s="550">
        <f t="shared" si="3"/>
      </c>
      <c r="P24" s="551" t="str">
        <f t="shared" si="4"/>
        <v>--</v>
      </c>
      <c r="Q24" s="552" t="str">
        <f t="shared" si="5"/>
        <v>--</v>
      </c>
      <c r="R24" s="553" t="str">
        <f t="shared" si="6"/>
        <v>--</v>
      </c>
      <c r="S24" s="554" t="str">
        <f t="shared" si="7"/>
        <v>--</v>
      </c>
      <c r="T24" s="555" t="str">
        <f t="shared" si="8"/>
        <v>--</v>
      </c>
      <c r="U24" s="556" t="str">
        <f t="shared" si="9"/>
        <v>--</v>
      </c>
      <c r="V24" s="557" t="str">
        <f t="shared" si="10"/>
        <v>--</v>
      </c>
      <c r="W24" s="558" t="str">
        <f t="shared" si="11"/>
        <v>--</v>
      </c>
      <c r="X24" s="559" t="str">
        <f t="shared" si="12"/>
        <v>--</v>
      </c>
      <c r="Y24" s="560" t="str">
        <f t="shared" si="13"/>
        <v>--</v>
      </c>
      <c r="Z24" s="561">
        <f t="shared" si="14"/>
      </c>
      <c r="AA24" s="54">
        <f t="shared" si="15"/>
      </c>
      <c r="AB24" s="3"/>
    </row>
    <row r="25" spans="1:28" ht="16.5" customHeight="1">
      <c r="A25" s="1"/>
      <c r="B25" s="2"/>
      <c r="C25" s="377"/>
      <c r="D25" s="377"/>
      <c r="E25" s="377"/>
      <c r="F25" s="378"/>
      <c r="G25" s="379"/>
      <c r="H25" s="380"/>
      <c r="I25" s="249">
        <f t="shared" si="0"/>
        <v>17.4305</v>
      </c>
      <c r="J25" s="385"/>
      <c r="K25" s="385"/>
      <c r="L25" s="13">
        <f t="shared" si="1"/>
      </c>
      <c r="M25" s="14">
        <f t="shared" si="2"/>
      </c>
      <c r="N25" s="386"/>
      <c r="O25" s="550">
        <f t="shared" si="3"/>
      </c>
      <c r="P25" s="551" t="str">
        <f t="shared" si="4"/>
        <v>--</v>
      </c>
      <c r="Q25" s="552" t="str">
        <f t="shared" si="5"/>
        <v>--</v>
      </c>
      <c r="R25" s="553" t="str">
        <f t="shared" si="6"/>
        <v>--</v>
      </c>
      <c r="S25" s="554" t="str">
        <f t="shared" si="7"/>
        <v>--</v>
      </c>
      <c r="T25" s="555" t="str">
        <f t="shared" si="8"/>
        <v>--</v>
      </c>
      <c r="U25" s="556" t="str">
        <f t="shared" si="9"/>
        <v>--</v>
      </c>
      <c r="V25" s="557" t="str">
        <f t="shared" si="10"/>
        <v>--</v>
      </c>
      <c r="W25" s="558" t="str">
        <f t="shared" si="11"/>
        <v>--</v>
      </c>
      <c r="X25" s="559" t="str">
        <f t="shared" si="12"/>
        <v>--</v>
      </c>
      <c r="Y25" s="560" t="str">
        <f t="shared" si="13"/>
        <v>--</v>
      </c>
      <c r="Z25" s="561">
        <f t="shared" si="14"/>
      </c>
      <c r="AA25" s="54">
        <f t="shared" si="15"/>
      </c>
      <c r="AB25" s="3"/>
    </row>
    <row r="26" spans="1:28" ht="16.5" customHeight="1">
      <c r="A26" s="1"/>
      <c r="B26" s="2"/>
      <c r="C26" s="377"/>
      <c r="D26" s="377"/>
      <c r="E26" s="377"/>
      <c r="F26" s="378"/>
      <c r="G26" s="379"/>
      <c r="H26" s="380"/>
      <c r="I26" s="249">
        <f t="shared" si="0"/>
        <v>17.4305</v>
      </c>
      <c r="J26" s="385"/>
      <c r="K26" s="385"/>
      <c r="L26" s="13">
        <f t="shared" si="1"/>
      </c>
      <c r="M26" s="14">
        <f t="shared" si="2"/>
      </c>
      <c r="N26" s="386"/>
      <c r="O26" s="550">
        <f t="shared" si="3"/>
      </c>
      <c r="P26" s="551" t="str">
        <f t="shared" si="4"/>
        <v>--</v>
      </c>
      <c r="Q26" s="552" t="str">
        <f t="shared" si="5"/>
        <v>--</v>
      </c>
      <c r="R26" s="553" t="str">
        <f t="shared" si="6"/>
        <v>--</v>
      </c>
      <c r="S26" s="554" t="str">
        <f t="shared" si="7"/>
        <v>--</v>
      </c>
      <c r="T26" s="555" t="str">
        <f t="shared" si="8"/>
        <v>--</v>
      </c>
      <c r="U26" s="556" t="str">
        <f t="shared" si="9"/>
        <v>--</v>
      </c>
      <c r="V26" s="557" t="str">
        <f t="shared" si="10"/>
        <v>--</v>
      </c>
      <c r="W26" s="558" t="str">
        <f t="shared" si="11"/>
        <v>--</v>
      </c>
      <c r="X26" s="559" t="str">
        <f t="shared" si="12"/>
        <v>--</v>
      </c>
      <c r="Y26" s="560" t="str">
        <f t="shared" si="13"/>
        <v>--</v>
      </c>
      <c r="Z26" s="561">
        <f t="shared" si="14"/>
      </c>
      <c r="AA26" s="54">
        <f t="shared" si="15"/>
      </c>
      <c r="AB26" s="3"/>
    </row>
    <row r="27" spans="1:28" ht="16.5" customHeight="1">
      <c r="A27" s="1"/>
      <c r="B27" s="2"/>
      <c r="C27" s="377"/>
      <c r="D27" s="377"/>
      <c r="E27" s="377"/>
      <c r="F27" s="378"/>
      <c r="G27" s="379"/>
      <c r="H27" s="380"/>
      <c r="I27" s="249">
        <f t="shared" si="0"/>
        <v>17.4305</v>
      </c>
      <c r="J27" s="385"/>
      <c r="K27" s="385"/>
      <c r="L27" s="13">
        <f t="shared" si="1"/>
      </c>
      <c r="M27" s="14">
        <f t="shared" si="2"/>
      </c>
      <c r="N27" s="386"/>
      <c r="O27" s="550">
        <f t="shared" si="3"/>
      </c>
      <c r="P27" s="551" t="str">
        <f t="shared" si="4"/>
        <v>--</v>
      </c>
      <c r="Q27" s="552" t="str">
        <f t="shared" si="5"/>
        <v>--</v>
      </c>
      <c r="R27" s="553" t="str">
        <f t="shared" si="6"/>
        <v>--</v>
      </c>
      <c r="S27" s="554" t="str">
        <f t="shared" si="7"/>
        <v>--</v>
      </c>
      <c r="T27" s="555" t="str">
        <f t="shared" si="8"/>
        <v>--</v>
      </c>
      <c r="U27" s="556" t="str">
        <f t="shared" si="9"/>
        <v>--</v>
      </c>
      <c r="V27" s="557" t="str">
        <f t="shared" si="10"/>
        <v>--</v>
      </c>
      <c r="W27" s="558" t="str">
        <f t="shared" si="11"/>
        <v>--</v>
      </c>
      <c r="X27" s="559" t="str">
        <f t="shared" si="12"/>
        <v>--</v>
      </c>
      <c r="Y27" s="560" t="str">
        <f t="shared" si="13"/>
        <v>--</v>
      </c>
      <c r="Z27" s="561">
        <f t="shared" si="14"/>
      </c>
      <c r="AA27" s="54">
        <f t="shared" si="15"/>
      </c>
      <c r="AB27" s="3"/>
    </row>
    <row r="28" spans="1:28" ht="16.5" customHeight="1">
      <c r="A28" s="1"/>
      <c r="B28" s="2"/>
      <c r="C28" s="377"/>
      <c r="D28" s="377"/>
      <c r="E28" s="377"/>
      <c r="F28" s="378"/>
      <c r="G28" s="379"/>
      <c r="H28" s="380"/>
      <c r="I28" s="249">
        <f t="shared" si="0"/>
        <v>17.4305</v>
      </c>
      <c r="J28" s="385"/>
      <c r="K28" s="385"/>
      <c r="L28" s="13">
        <f t="shared" si="1"/>
      </c>
      <c r="M28" s="14">
        <f t="shared" si="2"/>
      </c>
      <c r="N28" s="386"/>
      <c r="O28" s="550">
        <f t="shared" si="3"/>
      </c>
      <c r="P28" s="551" t="str">
        <f t="shared" si="4"/>
        <v>--</v>
      </c>
      <c r="Q28" s="552" t="str">
        <f t="shared" si="5"/>
        <v>--</v>
      </c>
      <c r="R28" s="553" t="str">
        <f t="shared" si="6"/>
        <v>--</v>
      </c>
      <c r="S28" s="554" t="str">
        <f t="shared" si="7"/>
        <v>--</v>
      </c>
      <c r="T28" s="555" t="str">
        <f t="shared" si="8"/>
        <v>--</v>
      </c>
      <c r="U28" s="556" t="str">
        <f t="shared" si="9"/>
        <v>--</v>
      </c>
      <c r="V28" s="557" t="str">
        <f t="shared" si="10"/>
        <v>--</v>
      </c>
      <c r="W28" s="558" t="str">
        <f t="shared" si="11"/>
        <v>--</v>
      </c>
      <c r="X28" s="559" t="str">
        <f t="shared" si="12"/>
        <v>--</v>
      </c>
      <c r="Y28" s="560" t="str">
        <f t="shared" si="13"/>
        <v>--</v>
      </c>
      <c r="Z28" s="561">
        <f t="shared" si="14"/>
      </c>
      <c r="AA28" s="54">
        <f t="shared" si="15"/>
      </c>
      <c r="AB28" s="3"/>
    </row>
    <row r="29" spans="1:28" ht="16.5" customHeight="1">
      <c r="A29" s="1"/>
      <c r="B29" s="2"/>
      <c r="C29" s="377"/>
      <c r="D29" s="377"/>
      <c r="E29" s="377"/>
      <c r="F29" s="378"/>
      <c r="G29" s="379"/>
      <c r="H29" s="380"/>
      <c r="I29" s="249">
        <f t="shared" si="0"/>
        <v>17.4305</v>
      </c>
      <c r="J29" s="385"/>
      <c r="K29" s="385"/>
      <c r="L29" s="13">
        <f t="shared" si="1"/>
      </c>
      <c r="M29" s="14">
        <f t="shared" si="2"/>
      </c>
      <c r="N29" s="386"/>
      <c r="O29" s="550">
        <f t="shared" si="3"/>
      </c>
      <c r="P29" s="551" t="str">
        <f t="shared" si="4"/>
        <v>--</v>
      </c>
      <c r="Q29" s="552" t="str">
        <f t="shared" si="5"/>
        <v>--</v>
      </c>
      <c r="R29" s="553" t="str">
        <f t="shared" si="6"/>
        <v>--</v>
      </c>
      <c r="S29" s="554" t="str">
        <f t="shared" si="7"/>
        <v>--</v>
      </c>
      <c r="T29" s="555" t="str">
        <f t="shared" si="8"/>
        <v>--</v>
      </c>
      <c r="U29" s="556" t="str">
        <f t="shared" si="9"/>
        <v>--</v>
      </c>
      <c r="V29" s="557" t="str">
        <f t="shared" si="10"/>
        <v>--</v>
      </c>
      <c r="W29" s="558" t="str">
        <f t="shared" si="11"/>
        <v>--</v>
      </c>
      <c r="X29" s="559" t="str">
        <f t="shared" si="12"/>
        <v>--</v>
      </c>
      <c r="Y29" s="560" t="str">
        <f t="shared" si="13"/>
        <v>--</v>
      </c>
      <c r="Z29" s="561">
        <f t="shared" si="14"/>
      </c>
      <c r="AA29" s="54">
        <f t="shared" si="15"/>
      </c>
      <c r="AB29" s="3"/>
    </row>
    <row r="30" spans="1:28" ht="16.5" customHeight="1">
      <c r="A30" s="1"/>
      <c r="B30" s="2"/>
      <c r="C30" s="377"/>
      <c r="D30" s="377"/>
      <c r="E30" s="377"/>
      <c r="F30" s="378"/>
      <c r="G30" s="379"/>
      <c r="H30" s="380"/>
      <c r="I30" s="249">
        <f t="shared" si="0"/>
        <v>17.4305</v>
      </c>
      <c r="J30" s="385"/>
      <c r="K30" s="385"/>
      <c r="L30" s="13">
        <f t="shared" si="1"/>
      </c>
      <c r="M30" s="14">
        <f t="shared" si="2"/>
      </c>
      <c r="N30" s="386"/>
      <c r="O30" s="550">
        <f t="shared" si="3"/>
      </c>
      <c r="P30" s="551" t="str">
        <f t="shared" si="4"/>
        <v>--</v>
      </c>
      <c r="Q30" s="552" t="str">
        <f t="shared" si="5"/>
        <v>--</v>
      </c>
      <c r="R30" s="553" t="str">
        <f t="shared" si="6"/>
        <v>--</v>
      </c>
      <c r="S30" s="554" t="str">
        <f t="shared" si="7"/>
        <v>--</v>
      </c>
      <c r="T30" s="555" t="str">
        <f t="shared" si="8"/>
        <v>--</v>
      </c>
      <c r="U30" s="556" t="str">
        <f t="shared" si="9"/>
        <v>--</v>
      </c>
      <c r="V30" s="557" t="str">
        <f t="shared" si="10"/>
        <v>--</v>
      </c>
      <c r="W30" s="558" t="str">
        <f t="shared" si="11"/>
        <v>--</v>
      </c>
      <c r="X30" s="559" t="str">
        <f t="shared" si="12"/>
        <v>--</v>
      </c>
      <c r="Y30" s="560" t="str">
        <f t="shared" si="13"/>
        <v>--</v>
      </c>
      <c r="Z30" s="561">
        <f t="shared" si="14"/>
      </c>
      <c r="AA30" s="54">
        <f t="shared" si="15"/>
      </c>
      <c r="AB30" s="3"/>
    </row>
    <row r="31" spans="1:28" ht="16.5" customHeight="1">
      <c r="A31" s="1"/>
      <c r="B31" s="2"/>
      <c r="C31" s="377"/>
      <c r="D31" s="377"/>
      <c r="E31" s="377"/>
      <c r="F31" s="378"/>
      <c r="G31" s="379"/>
      <c r="H31" s="380"/>
      <c r="I31" s="249">
        <f t="shared" si="0"/>
        <v>17.4305</v>
      </c>
      <c r="J31" s="385"/>
      <c r="K31" s="385"/>
      <c r="L31" s="13">
        <f t="shared" si="1"/>
      </c>
      <c r="M31" s="14">
        <f t="shared" si="2"/>
      </c>
      <c r="N31" s="386"/>
      <c r="O31" s="550">
        <f t="shared" si="3"/>
      </c>
      <c r="P31" s="551" t="str">
        <f t="shared" si="4"/>
        <v>--</v>
      </c>
      <c r="Q31" s="552" t="str">
        <f t="shared" si="5"/>
        <v>--</v>
      </c>
      <c r="R31" s="553" t="str">
        <f t="shared" si="6"/>
        <v>--</v>
      </c>
      <c r="S31" s="554" t="str">
        <f t="shared" si="7"/>
        <v>--</v>
      </c>
      <c r="T31" s="555" t="str">
        <f t="shared" si="8"/>
        <v>--</v>
      </c>
      <c r="U31" s="556" t="str">
        <f t="shared" si="9"/>
        <v>--</v>
      </c>
      <c r="V31" s="557" t="str">
        <f t="shared" si="10"/>
        <v>--</v>
      </c>
      <c r="W31" s="558" t="str">
        <f t="shared" si="11"/>
        <v>--</v>
      </c>
      <c r="X31" s="559" t="str">
        <f t="shared" si="12"/>
        <v>--</v>
      </c>
      <c r="Y31" s="560" t="str">
        <f t="shared" si="13"/>
        <v>--</v>
      </c>
      <c r="Z31" s="561">
        <f t="shared" si="14"/>
      </c>
      <c r="AA31" s="54">
        <f t="shared" si="15"/>
      </c>
      <c r="AB31" s="3"/>
    </row>
    <row r="32" spans="1:28" ht="16.5" customHeight="1">
      <c r="A32" s="1"/>
      <c r="B32" s="2"/>
      <c r="C32" s="377"/>
      <c r="D32" s="377"/>
      <c r="E32" s="377"/>
      <c r="F32" s="378"/>
      <c r="G32" s="379"/>
      <c r="H32" s="380"/>
      <c r="I32" s="249">
        <f t="shared" si="0"/>
        <v>17.4305</v>
      </c>
      <c r="J32" s="385"/>
      <c r="K32" s="385"/>
      <c r="L32" s="13">
        <f t="shared" si="1"/>
      </c>
      <c r="M32" s="14">
        <f t="shared" si="2"/>
      </c>
      <c r="N32" s="386"/>
      <c r="O32" s="550">
        <f t="shared" si="3"/>
      </c>
      <c r="P32" s="551" t="str">
        <f t="shared" si="4"/>
        <v>--</v>
      </c>
      <c r="Q32" s="552" t="str">
        <f t="shared" si="5"/>
        <v>--</v>
      </c>
      <c r="R32" s="553" t="str">
        <f t="shared" si="6"/>
        <v>--</v>
      </c>
      <c r="S32" s="554" t="str">
        <f t="shared" si="7"/>
        <v>--</v>
      </c>
      <c r="T32" s="555" t="str">
        <f t="shared" si="8"/>
        <v>--</v>
      </c>
      <c r="U32" s="556" t="str">
        <f t="shared" si="9"/>
        <v>--</v>
      </c>
      <c r="V32" s="557" t="str">
        <f t="shared" si="10"/>
        <v>--</v>
      </c>
      <c r="W32" s="558" t="str">
        <f t="shared" si="11"/>
        <v>--</v>
      </c>
      <c r="X32" s="559" t="str">
        <f t="shared" si="12"/>
        <v>--</v>
      </c>
      <c r="Y32" s="560" t="str">
        <f t="shared" si="13"/>
        <v>--</v>
      </c>
      <c r="Z32" s="561">
        <f t="shared" si="14"/>
      </c>
      <c r="AA32" s="54">
        <f t="shared" si="15"/>
      </c>
      <c r="AB32" s="3"/>
    </row>
    <row r="33" spans="1:28" ht="16.5" customHeight="1">
      <c r="A33" s="1"/>
      <c r="B33" s="2"/>
      <c r="C33" s="377"/>
      <c r="D33" s="377"/>
      <c r="E33" s="377"/>
      <c r="F33" s="378"/>
      <c r="G33" s="379"/>
      <c r="H33" s="380"/>
      <c r="I33" s="249">
        <f t="shared" si="0"/>
        <v>17.4305</v>
      </c>
      <c r="J33" s="385"/>
      <c r="K33" s="385"/>
      <c r="L33" s="13">
        <f t="shared" si="1"/>
      </c>
      <c r="M33" s="14">
        <f t="shared" si="2"/>
      </c>
      <c r="N33" s="386"/>
      <c r="O33" s="550">
        <f t="shared" si="3"/>
      </c>
      <c r="P33" s="551" t="str">
        <f t="shared" si="4"/>
        <v>--</v>
      </c>
      <c r="Q33" s="552" t="str">
        <f t="shared" si="5"/>
        <v>--</v>
      </c>
      <c r="R33" s="553" t="str">
        <f t="shared" si="6"/>
        <v>--</v>
      </c>
      <c r="S33" s="554" t="str">
        <f t="shared" si="7"/>
        <v>--</v>
      </c>
      <c r="T33" s="555" t="str">
        <f t="shared" si="8"/>
        <v>--</v>
      </c>
      <c r="U33" s="556" t="str">
        <f t="shared" si="9"/>
        <v>--</v>
      </c>
      <c r="V33" s="557" t="str">
        <f t="shared" si="10"/>
        <v>--</v>
      </c>
      <c r="W33" s="558" t="str">
        <f t="shared" si="11"/>
        <v>--</v>
      </c>
      <c r="X33" s="559" t="str">
        <f t="shared" si="12"/>
        <v>--</v>
      </c>
      <c r="Y33" s="560" t="str">
        <f t="shared" si="13"/>
        <v>--</v>
      </c>
      <c r="Z33" s="561">
        <f t="shared" si="14"/>
      </c>
      <c r="AA33" s="54">
        <f t="shared" si="15"/>
      </c>
      <c r="AB33" s="3"/>
    </row>
    <row r="34" spans="1:28" ht="16.5" customHeight="1">
      <c r="A34" s="1"/>
      <c r="B34" s="2"/>
      <c r="C34" s="377"/>
      <c r="D34" s="377"/>
      <c r="E34" s="377"/>
      <c r="F34" s="378"/>
      <c r="G34" s="379"/>
      <c r="H34" s="380"/>
      <c r="I34" s="249">
        <f t="shared" si="0"/>
        <v>17.4305</v>
      </c>
      <c r="J34" s="385"/>
      <c r="K34" s="385"/>
      <c r="L34" s="13">
        <f t="shared" si="1"/>
      </c>
      <c r="M34" s="14">
        <f t="shared" si="2"/>
      </c>
      <c r="N34" s="386"/>
      <c r="O34" s="550">
        <f t="shared" si="3"/>
      </c>
      <c r="P34" s="551" t="str">
        <f t="shared" si="4"/>
        <v>--</v>
      </c>
      <c r="Q34" s="552" t="str">
        <f t="shared" si="5"/>
        <v>--</v>
      </c>
      <c r="R34" s="553" t="str">
        <f t="shared" si="6"/>
        <v>--</v>
      </c>
      <c r="S34" s="554" t="str">
        <f t="shared" si="7"/>
        <v>--</v>
      </c>
      <c r="T34" s="555" t="str">
        <f t="shared" si="8"/>
        <v>--</v>
      </c>
      <c r="U34" s="556" t="str">
        <f t="shared" si="9"/>
        <v>--</v>
      </c>
      <c r="V34" s="557" t="str">
        <f t="shared" si="10"/>
        <v>--</v>
      </c>
      <c r="W34" s="558" t="str">
        <f t="shared" si="11"/>
        <v>--</v>
      </c>
      <c r="X34" s="559" t="str">
        <f t="shared" si="12"/>
        <v>--</v>
      </c>
      <c r="Y34" s="560" t="str">
        <f t="shared" si="13"/>
        <v>--</v>
      </c>
      <c r="Z34" s="561">
        <f t="shared" si="14"/>
      </c>
      <c r="AA34" s="54">
        <f t="shared" si="15"/>
      </c>
      <c r="AB34" s="3"/>
    </row>
    <row r="35" spans="1:28" ht="16.5" customHeight="1">
      <c r="A35" s="1"/>
      <c r="B35" s="2"/>
      <c r="C35" s="377"/>
      <c r="D35" s="377"/>
      <c r="E35" s="377"/>
      <c r="F35" s="378"/>
      <c r="G35" s="379"/>
      <c r="H35" s="380"/>
      <c r="I35" s="249">
        <f t="shared" si="0"/>
        <v>17.4305</v>
      </c>
      <c r="J35" s="385"/>
      <c r="K35" s="385"/>
      <c r="L35" s="13">
        <f t="shared" si="1"/>
      </c>
      <c r="M35" s="14">
        <f t="shared" si="2"/>
      </c>
      <c r="N35" s="386"/>
      <c r="O35" s="550">
        <f t="shared" si="3"/>
      </c>
      <c r="P35" s="551" t="str">
        <f t="shared" si="4"/>
        <v>--</v>
      </c>
      <c r="Q35" s="552" t="str">
        <f t="shared" si="5"/>
        <v>--</v>
      </c>
      <c r="R35" s="553" t="str">
        <f t="shared" si="6"/>
        <v>--</v>
      </c>
      <c r="S35" s="554" t="str">
        <f t="shared" si="7"/>
        <v>--</v>
      </c>
      <c r="T35" s="555" t="str">
        <f t="shared" si="8"/>
        <v>--</v>
      </c>
      <c r="U35" s="556" t="str">
        <f t="shared" si="9"/>
        <v>--</v>
      </c>
      <c r="V35" s="557" t="str">
        <f t="shared" si="10"/>
        <v>--</v>
      </c>
      <c r="W35" s="558" t="str">
        <f t="shared" si="11"/>
        <v>--</v>
      </c>
      <c r="X35" s="559" t="str">
        <f t="shared" si="12"/>
        <v>--</v>
      </c>
      <c r="Y35" s="560" t="str">
        <f t="shared" si="13"/>
        <v>--</v>
      </c>
      <c r="Z35" s="561">
        <f t="shared" si="14"/>
      </c>
      <c r="AA35" s="54">
        <f t="shared" si="15"/>
      </c>
      <c r="AB35" s="3"/>
    </row>
    <row r="36" spans="1:28" ht="16.5" customHeight="1">
      <c r="A36" s="1"/>
      <c r="B36" s="2"/>
      <c r="C36" s="377"/>
      <c r="D36" s="377"/>
      <c r="E36" s="377"/>
      <c r="F36" s="378"/>
      <c r="G36" s="379"/>
      <c r="H36" s="380"/>
      <c r="I36" s="249">
        <f t="shared" si="0"/>
        <v>17.4305</v>
      </c>
      <c r="J36" s="385"/>
      <c r="K36" s="385"/>
      <c r="L36" s="13">
        <f t="shared" si="1"/>
      </c>
      <c r="M36" s="14">
        <f t="shared" si="2"/>
      </c>
      <c r="N36" s="386"/>
      <c r="O36" s="550">
        <f t="shared" si="3"/>
      </c>
      <c r="P36" s="551" t="str">
        <f t="shared" si="4"/>
        <v>--</v>
      </c>
      <c r="Q36" s="552" t="str">
        <f t="shared" si="5"/>
        <v>--</v>
      </c>
      <c r="R36" s="553" t="str">
        <f t="shared" si="6"/>
        <v>--</v>
      </c>
      <c r="S36" s="554" t="str">
        <f t="shared" si="7"/>
        <v>--</v>
      </c>
      <c r="T36" s="555" t="str">
        <f t="shared" si="8"/>
        <v>--</v>
      </c>
      <c r="U36" s="556" t="str">
        <f t="shared" si="9"/>
        <v>--</v>
      </c>
      <c r="V36" s="557" t="str">
        <f t="shared" si="10"/>
        <v>--</v>
      </c>
      <c r="W36" s="558" t="str">
        <f t="shared" si="11"/>
        <v>--</v>
      </c>
      <c r="X36" s="559" t="str">
        <f t="shared" si="12"/>
        <v>--</v>
      </c>
      <c r="Y36" s="560" t="str">
        <f t="shared" si="13"/>
        <v>--</v>
      </c>
      <c r="Z36" s="561">
        <f t="shared" si="14"/>
      </c>
      <c r="AA36" s="54">
        <f t="shared" si="15"/>
      </c>
      <c r="AB36" s="3"/>
    </row>
    <row r="37" spans="1:28" ht="16.5" customHeight="1">
      <c r="A37" s="1"/>
      <c r="B37" s="2"/>
      <c r="C37" s="377"/>
      <c r="D37" s="377"/>
      <c r="E37" s="377"/>
      <c r="F37" s="378"/>
      <c r="G37" s="379"/>
      <c r="H37" s="380"/>
      <c r="I37" s="249">
        <f t="shared" si="0"/>
        <v>17.4305</v>
      </c>
      <c r="J37" s="385"/>
      <c r="K37" s="385"/>
      <c r="L37" s="13">
        <f t="shared" si="1"/>
      </c>
      <c r="M37" s="14">
        <f t="shared" si="2"/>
      </c>
      <c r="N37" s="386"/>
      <c r="O37" s="550">
        <f t="shared" si="3"/>
      </c>
      <c r="P37" s="551" t="str">
        <f t="shared" si="4"/>
        <v>--</v>
      </c>
      <c r="Q37" s="552" t="str">
        <f t="shared" si="5"/>
        <v>--</v>
      </c>
      <c r="R37" s="553" t="str">
        <f t="shared" si="6"/>
        <v>--</v>
      </c>
      <c r="S37" s="554" t="str">
        <f t="shared" si="7"/>
        <v>--</v>
      </c>
      <c r="T37" s="555" t="str">
        <f t="shared" si="8"/>
        <v>--</v>
      </c>
      <c r="U37" s="556" t="str">
        <f t="shared" si="9"/>
        <v>--</v>
      </c>
      <c r="V37" s="557" t="str">
        <f t="shared" si="10"/>
        <v>--</v>
      </c>
      <c r="W37" s="558" t="str">
        <f t="shared" si="11"/>
        <v>--</v>
      </c>
      <c r="X37" s="559" t="str">
        <f t="shared" si="12"/>
        <v>--</v>
      </c>
      <c r="Y37" s="560" t="str">
        <f t="shared" si="13"/>
        <v>--</v>
      </c>
      <c r="Z37" s="561">
        <f t="shared" si="14"/>
      </c>
      <c r="AA37" s="54">
        <f t="shared" si="15"/>
      </c>
      <c r="AB37" s="3"/>
    </row>
    <row r="38" spans="2:28" ht="16.5" customHeight="1">
      <c r="B38" s="55"/>
      <c r="C38" s="377"/>
      <c r="D38" s="377"/>
      <c r="E38" s="377"/>
      <c r="F38" s="378"/>
      <c r="G38" s="379"/>
      <c r="H38" s="380"/>
      <c r="I38" s="249">
        <f t="shared" si="0"/>
        <v>17.4305</v>
      </c>
      <c r="J38" s="385"/>
      <c r="K38" s="385"/>
      <c r="L38" s="13">
        <f t="shared" si="1"/>
      </c>
      <c r="M38" s="14">
        <f t="shared" si="2"/>
      </c>
      <c r="N38" s="386"/>
      <c r="O38" s="550">
        <f t="shared" si="3"/>
      </c>
      <c r="P38" s="551" t="str">
        <f t="shared" si="4"/>
        <v>--</v>
      </c>
      <c r="Q38" s="552" t="str">
        <f t="shared" si="5"/>
        <v>--</v>
      </c>
      <c r="R38" s="553" t="str">
        <f t="shared" si="6"/>
        <v>--</v>
      </c>
      <c r="S38" s="554" t="str">
        <f t="shared" si="7"/>
        <v>--</v>
      </c>
      <c r="T38" s="555" t="str">
        <f t="shared" si="8"/>
        <v>--</v>
      </c>
      <c r="U38" s="556" t="str">
        <f t="shared" si="9"/>
        <v>--</v>
      </c>
      <c r="V38" s="557" t="str">
        <f t="shared" si="10"/>
        <v>--</v>
      </c>
      <c r="W38" s="558" t="str">
        <f t="shared" si="11"/>
        <v>--</v>
      </c>
      <c r="X38" s="559" t="str">
        <f t="shared" si="12"/>
        <v>--</v>
      </c>
      <c r="Y38" s="560" t="str">
        <f t="shared" si="13"/>
        <v>--</v>
      </c>
      <c r="Z38" s="561">
        <f t="shared" si="14"/>
      </c>
      <c r="AA38" s="54">
        <f t="shared" si="15"/>
      </c>
      <c r="AB38" s="3"/>
    </row>
    <row r="39" spans="2:28" ht="16.5" customHeight="1">
      <c r="B39" s="55"/>
      <c r="C39" s="377"/>
      <c r="D39" s="377"/>
      <c r="E39" s="377"/>
      <c r="F39" s="378"/>
      <c r="G39" s="379"/>
      <c r="H39" s="380"/>
      <c r="I39" s="249">
        <f t="shared" si="0"/>
        <v>17.4305</v>
      </c>
      <c r="J39" s="385"/>
      <c r="K39" s="385"/>
      <c r="L39" s="13">
        <f t="shared" si="1"/>
      </c>
      <c r="M39" s="14">
        <f t="shared" si="2"/>
      </c>
      <c r="N39" s="386"/>
      <c r="O39" s="550">
        <f t="shared" si="3"/>
      </c>
      <c r="P39" s="551" t="str">
        <f t="shared" si="4"/>
        <v>--</v>
      </c>
      <c r="Q39" s="552" t="str">
        <f t="shared" si="5"/>
        <v>--</v>
      </c>
      <c r="R39" s="553" t="str">
        <f t="shared" si="6"/>
        <v>--</v>
      </c>
      <c r="S39" s="554" t="str">
        <f t="shared" si="7"/>
        <v>--</v>
      </c>
      <c r="T39" s="555" t="str">
        <f t="shared" si="8"/>
        <v>--</v>
      </c>
      <c r="U39" s="556" t="str">
        <f t="shared" si="9"/>
        <v>--</v>
      </c>
      <c r="V39" s="557" t="str">
        <f t="shared" si="10"/>
        <v>--</v>
      </c>
      <c r="W39" s="558" t="str">
        <f t="shared" si="11"/>
        <v>--</v>
      </c>
      <c r="X39" s="559" t="str">
        <f t="shared" si="12"/>
        <v>--</v>
      </c>
      <c r="Y39" s="560" t="str">
        <f t="shared" si="13"/>
        <v>--</v>
      </c>
      <c r="Z39" s="561">
        <f t="shared" si="14"/>
      </c>
      <c r="AA39" s="54">
        <f t="shared" si="15"/>
      </c>
      <c r="AB39" s="3"/>
    </row>
    <row r="40" spans="2:28" ht="16.5" customHeight="1">
      <c r="B40" s="55"/>
      <c r="C40" s="377"/>
      <c r="D40" s="377"/>
      <c r="E40" s="377"/>
      <c r="F40" s="378"/>
      <c r="G40" s="379"/>
      <c r="H40" s="380"/>
      <c r="I40" s="249">
        <f t="shared" si="0"/>
        <v>17.4305</v>
      </c>
      <c r="J40" s="385"/>
      <c r="K40" s="385"/>
      <c r="L40" s="13">
        <f t="shared" si="1"/>
      </c>
      <c r="M40" s="14">
        <f t="shared" si="2"/>
      </c>
      <c r="N40" s="386"/>
      <c r="O40" s="550">
        <f t="shared" si="3"/>
      </c>
      <c r="P40" s="551" t="str">
        <f t="shared" si="4"/>
        <v>--</v>
      </c>
      <c r="Q40" s="552" t="str">
        <f t="shared" si="5"/>
        <v>--</v>
      </c>
      <c r="R40" s="553" t="str">
        <f t="shared" si="6"/>
        <v>--</v>
      </c>
      <c r="S40" s="554" t="str">
        <f t="shared" si="7"/>
        <v>--</v>
      </c>
      <c r="T40" s="555" t="str">
        <f t="shared" si="8"/>
        <v>--</v>
      </c>
      <c r="U40" s="556" t="str">
        <f t="shared" si="9"/>
        <v>--</v>
      </c>
      <c r="V40" s="557" t="str">
        <f t="shared" si="10"/>
        <v>--</v>
      </c>
      <c r="W40" s="558" t="str">
        <f t="shared" si="11"/>
        <v>--</v>
      </c>
      <c r="X40" s="559" t="str">
        <f t="shared" si="12"/>
        <v>--</v>
      </c>
      <c r="Y40" s="560" t="str">
        <f t="shared" si="13"/>
        <v>--</v>
      </c>
      <c r="Z40" s="561">
        <f t="shared" si="14"/>
      </c>
      <c r="AA40" s="54">
        <f t="shared" si="15"/>
      </c>
      <c r="AB40" s="3"/>
    </row>
    <row r="41" spans="2:28" ht="16.5" customHeight="1">
      <c r="B41" s="55"/>
      <c r="C41" s="377"/>
      <c r="D41" s="377"/>
      <c r="E41" s="377"/>
      <c r="F41" s="378"/>
      <c r="G41" s="379"/>
      <c r="H41" s="380"/>
      <c r="I41" s="249">
        <f t="shared" si="0"/>
        <v>17.4305</v>
      </c>
      <c r="J41" s="385"/>
      <c r="K41" s="385"/>
      <c r="L41" s="13">
        <f t="shared" si="1"/>
      </c>
      <c r="M41" s="14">
        <f t="shared" si="2"/>
      </c>
      <c r="N41" s="386"/>
      <c r="O41" s="550">
        <f t="shared" si="3"/>
      </c>
      <c r="P41" s="551" t="str">
        <f t="shared" si="4"/>
        <v>--</v>
      </c>
      <c r="Q41" s="552" t="str">
        <f t="shared" si="5"/>
        <v>--</v>
      </c>
      <c r="R41" s="553" t="str">
        <f t="shared" si="6"/>
        <v>--</v>
      </c>
      <c r="S41" s="554" t="str">
        <f t="shared" si="7"/>
        <v>--</v>
      </c>
      <c r="T41" s="555" t="str">
        <f t="shared" si="8"/>
        <v>--</v>
      </c>
      <c r="U41" s="556" t="str">
        <f t="shared" si="9"/>
        <v>--</v>
      </c>
      <c r="V41" s="557" t="str">
        <f t="shared" si="10"/>
        <v>--</v>
      </c>
      <c r="W41" s="558" t="str">
        <f t="shared" si="11"/>
        <v>--</v>
      </c>
      <c r="X41" s="559" t="str">
        <f t="shared" si="12"/>
        <v>--</v>
      </c>
      <c r="Y41" s="560" t="str">
        <f t="shared" si="13"/>
        <v>--</v>
      </c>
      <c r="Z41" s="561">
        <f t="shared" si="14"/>
      </c>
      <c r="AA41" s="54">
        <f t="shared" si="15"/>
      </c>
      <c r="AB41" s="3"/>
    </row>
    <row r="42" spans="1:28" ht="16.5" customHeight="1" thickBot="1">
      <c r="A42" s="1"/>
      <c r="B42" s="2"/>
      <c r="C42" s="381"/>
      <c r="D42" s="381"/>
      <c r="E42" s="381"/>
      <c r="F42" s="382"/>
      <c r="G42" s="383"/>
      <c r="H42" s="384"/>
      <c r="I42" s="250"/>
      <c r="J42" s="384"/>
      <c r="K42" s="384"/>
      <c r="L42" s="15"/>
      <c r="M42" s="15"/>
      <c r="N42" s="384"/>
      <c r="O42" s="387"/>
      <c r="P42" s="388"/>
      <c r="Q42" s="389"/>
      <c r="R42" s="390"/>
      <c r="S42" s="391"/>
      <c r="T42" s="392"/>
      <c r="U42" s="393"/>
      <c r="V42" s="394"/>
      <c r="W42" s="395"/>
      <c r="X42" s="396"/>
      <c r="Y42" s="397"/>
      <c r="Z42" s="398"/>
      <c r="AA42" s="56"/>
      <c r="AB42" s="3"/>
    </row>
    <row r="43" spans="1:28" ht="16.5" customHeight="1" thickBot="1" thickTop="1">
      <c r="A43" s="1"/>
      <c r="B43" s="2"/>
      <c r="C43" s="221" t="s">
        <v>68</v>
      </c>
      <c r="D43" s="949" t="s">
        <v>199</v>
      </c>
      <c r="E43" s="545"/>
      <c r="F43" s="222"/>
      <c r="G43" s="16"/>
      <c r="H43" s="17"/>
      <c r="I43" s="57"/>
      <c r="J43" s="57"/>
      <c r="K43" s="57"/>
      <c r="L43" s="57"/>
      <c r="M43" s="57"/>
      <c r="N43" s="57"/>
      <c r="O43" s="58"/>
      <c r="P43" s="289">
        <f aca="true" t="shared" si="16" ref="P43:Y43">ROUND(SUM(P20:P42),2)</f>
        <v>0</v>
      </c>
      <c r="Q43" s="290">
        <f t="shared" si="16"/>
        <v>0</v>
      </c>
      <c r="R43" s="291">
        <f t="shared" si="16"/>
        <v>4340.19</v>
      </c>
      <c r="S43" s="291">
        <f t="shared" si="16"/>
        <v>5425.24</v>
      </c>
      <c r="T43" s="292">
        <f t="shared" si="16"/>
        <v>0</v>
      </c>
      <c r="U43" s="293">
        <f t="shared" si="16"/>
        <v>0</v>
      </c>
      <c r="V43" s="293">
        <f t="shared" si="16"/>
        <v>0</v>
      </c>
      <c r="W43" s="294">
        <f t="shared" si="16"/>
        <v>0</v>
      </c>
      <c r="X43" s="295">
        <f t="shared" si="16"/>
        <v>0</v>
      </c>
      <c r="Y43" s="296">
        <f t="shared" si="16"/>
        <v>0</v>
      </c>
      <c r="Z43" s="59"/>
      <c r="AA43" s="549">
        <f>ROUND(SUM(AA20:AA42),2)</f>
        <v>9765.44</v>
      </c>
      <c r="AB43" s="60"/>
    </row>
    <row r="44" spans="1:28" s="236" customFormat="1" ht="9.75" thickTop="1">
      <c r="A44" s="225"/>
      <c r="B44" s="226"/>
      <c r="C44" s="223"/>
      <c r="D44" s="223"/>
      <c r="E44" s="223"/>
      <c r="F44" s="224"/>
      <c r="G44" s="227"/>
      <c r="H44" s="228"/>
      <c r="I44" s="229"/>
      <c r="J44" s="229"/>
      <c r="K44" s="229"/>
      <c r="L44" s="229"/>
      <c r="M44" s="229"/>
      <c r="N44" s="229"/>
      <c r="O44" s="230"/>
      <c r="P44" s="231"/>
      <c r="Q44" s="231"/>
      <c r="R44" s="232"/>
      <c r="S44" s="232"/>
      <c r="T44" s="233"/>
      <c r="U44" s="233"/>
      <c r="V44" s="233"/>
      <c r="W44" s="233"/>
      <c r="X44" s="233"/>
      <c r="Y44" s="233"/>
      <c r="Z44" s="233"/>
      <c r="AA44" s="234"/>
      <c r="AB44" s="235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 horizontalCentered="1"/>
  <pageMargins left="0.27" right="0.39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1"/>
  <sheetViews>
    <sheetView zoomScale="85" zoomScaleNormal="85" zoomScalePageLayoutView="0" workbookViewId="0" topLeftCell="E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92" customFormat="1" ht="26.25">
      <c r="AB1" s="371"/>
    </row>
    <row r="2" spans="2:28" s="92" customFormat="1" ht="26.25">
      <c r="B2" s="93" t="str">
        <f>+'TOT-1115'!B2</f>
        <v>ANEXO V al Memorándum  D.T.E.E.  N°  379 / 2016             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="10" customFormat="1" ht="12.75"/>
    <row r="4" spans="1:4" s="95" customFormat="1" ht="11.25">
      <c r="A4" s="548" t="s">
        <v>21</v>
      </c>
      <c r="C4" s="547"/>
      <c r="D4" s="547"/>
    </row>
    <row r="5" spans="1:4" s="95" customFormat="1" ht="11.25">
      <c r="A5" s="548" t="s">
        <v>143</v>
      </c>
      <c r="C5" s="547"/>
      <c r="D5" s="547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97" customFormat="1" ht="20.25">
      <c r="A8" s="44"/>
      <c r="B8" s="96"/>
      <c r="C8" s="44"/>
      <c r="D8" s="44"/>
      <c r="E8" s="44"/>
      <c r="F8" s="21" t="s">
        <v>44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10" customFormat="1" ht="12.75">
      <c r="A9" s="8"/>
      <c r="B9" s="43"/>
      <c r="C9" s="8"/>
      <c r="D9" s="8"/>
      <c r="E9" s="8"/>
      <c r="F9" s="109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97" customFormat="1" ht="20.25">
      <c r="A10" s="44"/>
      <c r="B10" s="96"/>
      <c r="C10" s="44"/>
      <c r="D10" s="44"/>
      <c r="E10" s="44"/>
      <c r="F10" s="21" t="s">
        <v>193</v>
      </c>
      <c r="G10" s="21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10" customFormat="1" ht="12.75">
      <c r="A11" s="8"/>
      <c r="B11" s="43"/>
      <c r="C11" s="8"/>
      <c r="D11" s="8"/>
      <c r="E11" s="8"/>
      <c r="F11" s="108"/>
      <c r="G11" s="106"/>
      <c r="H11" s="8"/>
      <c r="I11" s="105"/>
      <c r="J11" s="105"/>
      <c r="K11" s="105"/>
      <c r="L11" s="105"/>
      <c r="M11" s="105"/>
      <c r="N11" s="105"/>
      <c r="O11" s="1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04" customFormat="1" ht="19.5">
      <c r="A12" s="46"/>
      <c r="B12" s="70" t="str">
        <f>+'TOT-1115'!B14</f>
        <v>Desde el 01 al 30 de noviembre de 2015</v>
      </c>
      <c r="C12" s="100"/>
      <c r="D12" s="100"/>
      <c r="E12" s="100"/>
      <c r="F12" s="100"/>
      <c r="G12" s="101"/>
      <c r="H12" s="101"/>
      <c r="I12" s="102"/>
      <c r="J12" s="102"/>
      <c r="K12" s="102"/>
      <c r="L12" s="102"/>
      <c r="M12" s="102"/>
      <c r="N12" s="102"/>
      <c r="O12" s="102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3"/>
    </row>
    <row r="13" spans="1:28" s="104" customFormat="1" ht="7.5" customHeight="1">
      <c r="A13" s="46"/>
      <c r="B13" s="70"/>
      <c r="C13" s="100"/>
      <c r="D13" s="100"/>
      <c r="E13" s="100"/>
      <c r="F13" s="100"/>
      <c r="G13" s="101"/>
      <c r="H13" s="101"/>
      <c r="I13" s="102"/>
      <c r="J13" s="102"/>
      <c r="K13" s="102"/>
      <c r="L13" s="102"/>
      <c r="M13" s="102"/>
      <c r="N13" s="102"/>
      <c r="O13" s="102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3"/>
    </row>
    <row r="14" spans="1:28" s="10" customFormat="1" ht="7.5" customHeight="1" thickBot="1">
      <c r="A14" s="8"/>
      <c r="B14" s="43"/>
      <c r="C14" s="8"/>
      <c r="D14" s="8"/>
      <c r="E14" s="8"/>
      <c r="F14" s="8"/>
      <c r="G14" s="106"/>
      <c r="H14" s="107"/>
      <c r="I14" s="105"/>
      <c r="J14" s="105"/>
      <c r="K14" s="105"/>
      <c r="L14" s="105"/>
      <c r="M14" s="105"/>
      <c r="N14" s="105"/>
      <c r="O14" s="10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78" customFormat="1" ht="16.5" customHeight="1" thickBot="1" thickTop="1">
      <c r="A15" s="74"/>
      <c r="B15" s="75"/>
      <c r="C15" s="74"/>
      <c r="D15" s="74"/>
      <c r="E15" s="74"/>
      <c r="F15" s="373" t="s">
        <v>47</v>
      </c>
      <c r="G15" s="946" t="s">
        <v>169</v>
      </c>
      <c r="H15" s="219"/>
      <c r="I15" s="79"/>
      <c r="J15" s="79"/>
      <c r="K15" s="79"/>
      <c r="L15" s="79"/>
      <c r="M15" s="79"/>
      <c r="N15" s="79"/>
      <c r="O15" s="79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7"/>
    </row>
    <row r="16" spans="1:28" s="78" customFormat="1" ht="16.5" customHeight="1" thickBot="1" thickTop="1">
      <c r="A16" s="74"/>
      <c r="B16" s="75"/>
      <c r="C16" s="74"/>
      <c r="D16" s="74"/>
      <c r="E16" s="74"/>
      <c r="F16" s="373" t="s">
        <v>48</v>
      </c>
      <c r="G16" s="374">
        <v>69.722</v>
      </c>
      <c r="H16" s="220"/>
      <c r="I16" s="74"/>
      <c r="K16" s="80" t="s">
        <v>49</v>
      </c>
      <c r="L16" s="81">
        <f>30*'TOT-1115'!B13</f>
        <v>30</v>
      </c>
      <c r="M16" s="216" t="str">
        <f>IF(L16=30," ",IF(L16=60,"Coeficiente duplicado por tasa de falla &gt;4 Sal. x año/100 km.","REVISAR COEFICIENTE"))</f>
        <v> 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7"/>
    </row>
    <row r="17" spans="1:28" s="78" customFormat="1" ht="7.5" customHeight="1" thickTop="1">
      <c r="A17" s="74"/>
      <c r="B17" s="75"/>
      <c r="C17" s="74"/>
      <c r="D17" s="74"/>
      <c r="E17" s="74"/>
      <c r="F17" s="538"/>
      <c r="G17" s="539"/>
      <c r="H17" s="540"/>
      <c r="I17" s="74"/>
      <c r="K17" s="80"/>
      <c r="L17" s="81"/>
      <c r="M17" s="216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7"/>
    </row>
    <row r="18" spans="1:28" s="571" customFormat="1" ht="15" customHeight="1" thickBot="1">
      <c r="A18" s="567"/>
      <c r="B18" s="568"/>
      <c r="C18" s="569">
        <v>3</v>
      </c>
      <c r="D18" s="569">
        <v>4</v>
      </c>
      <c r="E18" s="569">
        <v>5</v>
      </c>
      <c r="F18" s="569">
        <v>6</v>
      </c>
      <c r="G18" s="569">
        <v>7</v>
      </c>
      <c r="H18" s="569">
        <v>8</v>
      </c>
      <c r="I18" s="569">
        <v>9</v>
      </c>
      <c r="J18" s="569">
        <v>10</v>
      </c>
      <c r="K18" s="569">
        <v>11</v>
      </c>
      <c r="L18" s="569">
        <v>12</v>
      </c>
      <c r="M18" s="569">
        <v>13</v>
      </c>
      <c r="N18" s="569">
        <v>14</v>
      </c>
      <c r="O18" s="569">
        <v>15</v>
      </c>
      <c r="P18" s="569">
        <v>16</v>
      </c>
      <c r="Q18" s="569">
        <v>17</v>
      </c>
      <c r="R18" s="569">
        <v>18</v>
      </c>
      <c r="S18" s="569">
        <v>19</v>
      </c>
      <c r="T18" s="569">
        <v>20</v>
      </c>
      <c r="U18" s="569">
        <v>21</v>
      </c>
      <c r="V18" s="569">
        <v>22</v>
      </c>
      <c r="W18" s="569">
        <v>23</v>
      </c>
      <c r="X18" s="569">
        <v>24</v>
      </c>
      <c r="Y18" s="569">
        <v>25</v>
      </c>
      <c r="Z18" s="569">
        <v>26</v>
      </c>
      <c r="AA18" s="569">
        <v>27</v>
      </c>
      <c r="AB18" s="570"/>
    </row>
    <row r="19" spans="1:28" s="91" customFormat="1" ht="33.75" customHeight="1" thickBot="1" thickTop="1">
      <c r="A19" s="82"/>
      <c r="B19" s="83"/>
      <c r="C19" s="84" t="s">
        <v>50</v>
      </c>
      <c r="D19" s="84" t="s">
        <v>142</v>
      </c>
      <c r="E19" s="84" t="s">
        <v>141</v>
      </c>
      <c r="F19" s="85" t="s">
        <v>24</v>
      </c>
      <c r="G19" s="86" t="s">
        <v>51</v>
      </c>
      <c r="H19" s="87" t="s">
        <v>52</v>
      </c>
      <c r="I19" s="246" t="s">
        <v>53</v>
      </c>
      <c r="J19" s="85" t="s">
        <v>54</v>
      </c>
      <c r="K19" s="85" t="s">
        <v>55</v>
      </c>
      <c r="L19" s="86" t="s">
        <v>56</v>
      </c>
      <c r="M19" s="86" t="s">
        <v>57</v>
      </c>
      <c r="N19" s="88" t="s">
        <v>58</v>
      </c>
      <c r="O19" s="86" t="s">
        <v>59</v>
      </c>
      <c r="P19" s="256" t="s">
        <v>60</v>
      </c>
      <c r="Q19" s="259" t="s">
        <v>61</v>
      </c>
      <c r="R19" s="262" t="s">
        <v>62</v>
      </c>
      <c r="S19" s="263"/>
      <c r="T19" s="264"/>
      <c r="U19" s="273" t="s">
        <v>63</v>
      </c>
      <c r="V19" s="274"/>
      <c r="W19" s="275"/>
      <c r="X19" s="283" t="s">
        <v>64</v>
      </c>
      <c r="Y19" s="286" t="s">
        <v>65</v>
      </c>
      <c r="Z19" s="89" t="s">
        <v>66</v>
      </c>
      <c r="AA19" s="89" t="s">
        <v>67</v>
      </c>
      <c r="AB19" s="90"/>
    </row>
    <row r="20" spans="1:28" ht="16.5" customHeight="1" thickTop="1">
      <c r="A20" s="1"/>
      <c r="B20" s="2"/>
      <c r="C20" s="50"/>
      <c r="D20" s="71"/>
      <c r="E20" s="71"/>
      <c r="F20" s="51"/>
      <c r="G20" s="52"/>
      <c r="H20" s="52"/>
      <c r="I20" s="247"/>
      <c r="J20" s="52"/>
      <c r="K20" s="53"/>
      <c r="L20" s="53"/>
      <c r="M20" s="53"/>
      <c r="N20" s="51"/>
      <c r="O20" s="52"/>
      <c r="P20" s="257"/>
      <c r="Q20" s="260"/>
      <c r="R20" s="265"/>
      <c r="S20" s="266"/>
      <c r="T20" s="267"/>
      <c r="U20" s="276"/>
      <c r="V20" s="277"/>
      <c r="W20" s="278"/>
      <c r="X20" s="284"/>
      <c r="Y20" s="287"/>
      <c r="Z20" s="271"/>
      <c r="AA20" s="53"/>
      <c r="AB20" s="3"/>
    </row>
    <row r="21" spans="1:28" ht="16.5" customHeight="1">
      <c r="A21" s="1"/>
      <c r="B21" s="2"/>
      <c r="C21" s="50"/>
      <c r="D21" s="50"/>
      <c r="E21" s="50"/>
      <c r="F21" s="50"/>
      <c r="G21" s="72"/>
      <c r="H21" s="72"/>
      <c r="I21" s="248"/>
      <c r="J21" s="50"/>
      <c r="K21" s="73"/>
      <c r="L21" s="73"/>
      <c r="M21" s="73"/>
      <c r="N21" s="71"/>
      <c r="O21" s="50"/>
      <c r="P21" s="258"/>
      <c r="Q21" s="261"/>
      <c r="R21" s="268"/>
      <c r="S21" s="269"/>
      <c r="T21" s="270"/>
      <c r="U21" s="279"/>
      <c r="V21" s="280"/>
      <c r="W21" s="281"/>
      <c r="X21" s="285"/>
      <c r="Y21" s="288"/>
      <c r="Z21" s="272"/>
      <c r="AA21" s="73"/>
      <c r="AB21" s="3"/>
    </row>
    <row r="22" spans="1:28" ht="16.5" customHeight="1">
      <c r="A22" s="1"/>
      <c r="B22" s="2"/>
      <c r="C22" s="377">
        <v>5</v>
      </c>
      <c r="D22" s="377">
        <v>294708</v>
      </c>
      <c r="E22" s="377">
        <v>4586</v>
      </c>
      <c r="F22" s="378" t="s">
        <v>179</v>
      </c>
      <c r="G22" s="379">
        <v>132</v>
      </c>
      <c r="H22" s="380">
        <v>127.98</v>
      </c>
      <c r="I22" s="249">
        <f aca="true" t="shared" si="0" ref="I22:I41">IF(H22&gt;25,H22,25)*IF(G22=330,$G$15,$G$16)/100</f>
        <v>89.2302156</v>
      </c>
      <c r="J22" s="385">
        <v>42321.57916666667</v>
      </c>
      <c r="K22" s="385">
        <v>42321.62222222222</v>
      </c>
      <c r="L22" s="13">
        <f aca="true" t="shared" si="1" ref="L22:L41">IF(F22="","",(K22-J22)*24)</f>
        <v>1.033333333209157</v>
      </c>
      <c r="M22" s="14">
        <f aca="true" t="shared" si="2" ref="M22:M41">IF(F22="","",ROUND((K22-J22)*24*60,0))</f>
        <v>62</v>
      </c>
      <c r="N22" s="386" t="s">
        <v>151</v>
      </c>
      <c r="O22" s="550" t="str">
        <f aca="true" t="shared" si="3" ref="O22:O41">IF(F22="","","--")</f>
        <v>--</v>
      </c>
      <c r="P22" s="551" t="str">
        <f aca="true" t="shared" si="4" ref="P22:P41">IF(N22="P",ROUND(M22/60,2)*I22*$L$16*0.01,"--")</f>
        <v>--</v>
      </c>
      <c r="Q22" s="552" t="str">
        <f aca="true" t="shared" si="5" ref="Q22:Q41">IF(N22="RP",ROUND(M22/60,2)*I22*$L$16*0.01*O22/100,"--")</f>
        <v>--</v>
      </c>
      <c r="R22" s="553">
        <f aca="true" t="shared" si="6" ref="R22:R41">IF(N22="F",I22*$L$16,"--")</f>
        <v>2676.9064679999997</v>
      </c>
      <c r="S22" s="554">
        <f aca="true" t="shared" si="7" ref="S22:S41">IF(AND(M22&gt;10,N22="F"),I22*$L$16*IF(M22&gt;180,3,ROUND(M22/60,2)),"--")</f>
        <v>2757.2136620399997</v>
      </c>
      <c r="T22" s="555" t="str">
        <f aca="true" t="shared" si="8" ref="T22:T41">IF(AND(M22&gt;180,N22="F"),(ROUND(M22/60,2)-3)*I22*$L$16*0.1,"--")</f>
        <v>--</v>
      </c>
      <c r="U22" s="556" t="str">
        <f aca="true" t="shared" si="9" ref="U22:U41">IF(N22="R",I22*$L$16*O22/100,"--")</f>
        <v>--</v>
      </c>
      <c r="V22" s="557" t="str">
        <f aca="true" t="shared" si="10" ref="V22:V41">IF(AND(M22&gt;10,N22="R"),I22*$L$16*O22/100*IF(M22&gt;180,3,ROUND(M22/60,2)),"--")</f>
        <v>--</v>
      </c>
      <c r="W22" s="558" t="str">
        <f aca="true" t="shared" si="11" ref="W22:W41">IF(AND(M22&gt;180,N22="R"),(ROUND(M22/60,2)-3)*O22/100*I22*$L$16*0.1,"--")</f>
        <v>--</v>
      </c>
      <c r="X22" s="559" t="str">
        <f aca="true" t="shared" si="12" ref="X22:X41">IF(N22="RF",ROUND(M22/60,2)*I22*$L$16*0.1,"--")</f>
        <v>--</v>
      </c>
      <c r="Y22" s="560" t="str">
        <f aca="true" t="shared" si="13" ref="Y22:Y41">IF(N22="RR",ROUND(M22/60,2)*O22/100*I22*$L$16*0.1,"--")</f>
        <v>--</v>
      </c>
      <c r="Z22" s="561" t="str">
        <f aca="true" t="shared" si="14" ref="Z22:Z41">IF(F22="","","SI")</f>
        <v>SI</v>
      </c>
      <c r="AA22" s="54">
        <f aca="true" t="shared" si="15" ref="AA22:AA41">IF(F22="","",SUM(P22:Y22)*IF(Z22="SI",1,2))</f>
        <v>5434.120130039999</v>
      </c>
      <c r="AB22" s="3"/>
    </row>
    <row r="23" spans="1:28" ht="16.5" customHeight="1">
      <c r="A23" s="1"/>
      <c r="B23" s="2"/>
      <c r="C23" s="377"/>
      <c r="D23" s="377"/>
      <c r="E23" s="377"/>
      <c r="F23" s="378"/>
      <c r="G23" s="379"/>
      <c r="H23" s="380"/>
      <c r="I23" s="249">
        <f t="shared" si="0"/>
        <v>17.4305</v>
      </c>
      <c r="J23" s="385"/>
      <c r="K23" s="385"/>
      <c r="L23" s="13">
        <f t="shared" si="1"/>
      </c>
      <c r="M23" s="14">
        <f t="shared" si="2"/>
      </c>
      <c r="N23" s="386"/>
      <c r="O23" s="550">
        <f t="shared" si="3"/>
      </c>
      <c r="P23" s="551" t="str">
        <f t="shared" si="4"/>
        <v>--</v>
      </c>
      <c r="Q23" s="552" t="str">
        <f t="shared" si="5"/>
        <v>--</v>
      </c>
      <c r="R23" s="553" t="str">
        <f t="shared" si="6"/>
        <v>--</v>
      </c>
      <c r="S23" s="554" t="str">
        <f t="shared" si="7"/>
        <v>--</v>
      </c>
      <c r="T23" s="555" t="str">
        <f t="shared" si="8"/>
        <v>--</v>
      </c>
      <c r="U23" s="556" t="str">
        <f t="shared" si="9"/>
        <v>--</v>
      </c>
      <c r="V23" s="557" t="str">
        <f t="shared" si="10"/>
        <v>--</v>
      </c>
      <c r="W23" s="558" t="str">
        <f t="shared" si="11"/>
        <v>--</v>
      </c>
      <c r="X23" s="559" t="str">
        <f t="shared" si="12"/>
        <v>--</v>
      </c>
      <c r="Y23" s="560" t="str">
        <f t="shared" si="13"/>
        <v>--</v>
      </c>
      <c r="Z23" s="561">
        <f t="shared" si="14"/>
      </c>
      <c r="AA23" s="54">
        <f t="shared" si="15"/>
      </c>
      <c r="AB23" s="3"/>
    </row>
    <row r="24" spans="1:28" ht="16.5" customHeight="1">
      <c r="A24" s="1"/>
      <c r="B24" s="2"/>
      <c r="C24" s="377"/>
      <c r="D24" s="377"/>
      <c r="E24" s="377"/>
      <c r="F24" s="378"/>
      <c r="G24" s="379"/>
      <c r="H24" s="380"/>
      <c r="I24" s="249">
        <f t="shared" si="0"/>
        <v>17.4305</v>
      </c>
      <c r="J24" s="385"/>
      <c r="K24" s="385"/>
      <c r="L24" s="13">
        <f t="shared" si="1"/>
      </c>
      <c r="M24" s="14">
        <f t="shared" si="2"/>
      </c>
      <c r="N24" s="386"/>
      <c r="O24" s="550">
        <f t="shared" si="3"/>
      </c>
      <c r="P24" s="551" t="str">
        <f t="shared" si="4"/>
        <v>--</v>
      </c>
      <c r="Q24" s="552" t="str">
        <f t="shared" si="5"/>
        <v>--</v>
      </c>
      <c r="R24" s="553" t="str">
        <f t="shared" si="6"/>
        <v>--</v>
      </c>
      <c r="S24" s="554" t="str">
        <f t="shared" si="7"/>
        <v>--</v>
      </c>
      <c r="T24" s="555" t="str">
        <f t="shared" si="8"/>
        <v>--</v>
      </c>
      <c r="U24" s="556" t="str">
        <f t="shared" si="9"/>
        <v>--</v>
      </c>
      <c r="V24" s="557" t="str">
        <f t="shared" si="10"/>
        <v>--</v>
      </c>
      <c r="W24" s="558" t="str">
        <f t="shared" si="11"/>
        <v>--</v>
      </c>
      <c r="X24" s="559" t="str">
        <f t="shared" si="12"/>
        <v>--</v>
      </c>
      <c r="Y24" s="560" t="str">
        <f t="shared" si="13"/>
        <v>--</v>
      </c>
      <c r="Z24" s="561">
        <f t="shared" si="14"/>
      </c>
      <c r="AA24" s="54">
        <f t="shared" si="15"/>
      </c>
      <c r="AB24" s="3"/>
    </row>
    <row r="25" spans="1:28" ht="16.5" customHeight="1">
      <c r="A25" s="1"/>
      <c r="B25" s="2"/>
      <c r="C25" s="377"/>
      <c r="D25" s="377"/>
      <c r="E25" s="377"/>
      <c r="F25" s="378"/>
      <c r="G25" s="379"/>
      <c r="H25" s="380"/>
      <c r="I25" s="249">
        <f t="shared" si="0"/>
        <v>17.4305</v>
      </c>
      <c r="J25" s="385"/>
      <c r="K25" s="385"/>
      <c r="L25" s="13">
        <f t="shared" si="1"/>
      </c>
      <c r="M25" s="14">
        <f t="shared" si="2"/>
      </c>
      <c r="N25" s="386"/>
      <c r="O25" s="550">
        <f t="shared" si="3"/>
      </c>
      <c r="P25" s="551" t="str">
        <f t="shared" si="4"/>
        <v>--</v>
      </c>
      <c r="Q25" s="552" t="str">
        <f t="shared" si="5"/>
        <v>--</v>
      </c>
      <c r="R25" s="553" t="str">
        <f t="shared" si="6"/>
        <v>--</v>
      </c>
      <c r="S25" s="554" t="str">
        <f t="shared" si="7"/>
        <v>--</v>
      </c>
      <c r="T25" s="555" t="str">
        <f t="shared" si="8"/>
        <v>--</v>
      </c>
      <c r="U25" s="556" t="str">
        <f t="shared" si="9"/>
        <v>--</v>
      </c>
      <c r="V25" s="557" t="str">
        <f t="shared" si="10"/>
        <v>--</v>
      </c>
      <c r="W25" s="558" t="str">
        <f t="shared" si="11"/>
        <v>--</v>
      </c>
      <c r="X25" s="559" t="str">
        <f t="shared" si="12"/>
        <v>--</v>
      </c>
      <c r="Y25" s="560" t="str">
        <f t="shared" si="13"/>
        <v>--</v>
      </c>
      <c r="Z25" s="561">
        <f t="shared" si="14"/>
      </c>
      <c r="AA25" s="54">
        <f t="shared" si="15"/>
      </c>
      <c r="AB25" s="3"/>
    </row>
    <row r="26" spans="1:28" ht="16.5" customHeight="1">
      <c r="A26" s="1"/>
      <c r="B26" s="2"/>
      <c r="C26" s="377"/>
      <c r="D26" s="377"/>
      <c r="E26" s="377"/>
      <c r="F26" s="378"/>
      <c r="G26" s="379"/>
      <c r="H26" s="380"/>
      <c r="I26" s="249">
        <f t="shared" si="0"/>
        <v>17.4305</v>
      </c>
      <c r="J26" s="385"/>
      <c r="K26" s="385"/>
      <c r="L26" s="13">
        <f t="shared" si="1"/>
      </c>
      <c r="M26" s="14">
        <f t="shared" si="2"/>
      </c>
      <c r="N26" s="386"/>
      <c r="O26" s="550">
        <f t="shared" si="3"/>
      </c>
      <c r="P26" s="551" t="str">
        <f t="shared" si="4"/>
        <v>--</v>
      </c>
      <c r="Q26" s="552" t="str">
        <f t="shared" si="5"/>
        <v>--</v>
      </c>
      <c r="R26" s="553" t="str">
        <f t="shared" si="6"/>
        <v>--</v>
      </c>
      <c r="S26" s="554" t="str">
        <f t="shared" si="7"/>
        <v>--</v>
      </c>
      <c r="T26" s="555" t="str">
        <f t="shared" si="8"/>
        <v>--</v>
      </c>
      <c r="U26" s="556" t="str">
        <f t="shared" si="9"/>
        <v>--</v>
      </c>
      <c r="V26" s="557" t="str">
        <f t="shared" si="10"/>
        <v>--</v>
      </c>
      <c r="W26" s="558" t="str">
        <f t="shared" si="11"/>
        <v>--</v>
      </c>
      <c r="X26" s="559" t="str">
        <f t="shared" si="12"/>
        <v>--</v>
      </c>
      <c r="Y26" s="560" t="str">
        <f t="shared" si="13"/>
        <v>--</v>
      </c>
      <c r="Z26" s="561">
        <f t="shared" si="14"/>
      </c>
      <c r="AA26" s="54">
        <f t="shared" si="15"/>
      </c>
      <c r="AB26" s="3"/>
    </row>
    <row r="27" spans="1:28" ht="16.5" customHeight="1">
      <c r="A27" s="1"/>
      <c r="B27" s="2"/>
      <c r="C27" s="377"/>
      <c r="D27" s="377"/>
      <c r="E27" s="377"/>
      <c r="F27" s="378"/>
      <c r="G27" s="379"/>
      <c r="H27" s="380"/>
      <c r="I27" s="249">
        <f t="shared" si="0"/>
        <v>17.4305</v>
      </c>
      <c r="J27" s="385"/>
      <c r="K27" s="385"/>
      <c r="L27" s="13">
        <f t="shared" si="1"/>
      </c>
      <c r="M27" s="14">
        <f t="shared" si="2"/>
      </c>
      <c r="N27" s="386"/>
      <c r="O27" s="550">
        <f t="shared" si="3"/>
      </c>
      <c r="P27" s="551" t="str">
        <f t="shared" si="4"/>
        <v>--</v>
      </c>
      <c r="Q27" s="552" t="str">
        <f t="shared" si="5"/>
        <v>--</v>
      </c>
      <c r="R27" s="553" t="str">
        <f t="shared" si="6"/>
        <v>--</v>
      </c>
      <c r="S27" s="554" t="str">
        <f t="shared" si="7"/>
        <v>--</v>
      </c>
      <c r="T27" s="555" t="str">
        <f t="shared" si="8"/>
        <v>--</v>
      </c>
      <c r="U27" s="556" t="str">
        <f t="shared" si="9"/>
        <v>--</v>
      </c>
      <c r="V27" s="557" t="str">
        <f t="shared" si="10"/>
        <v>--</v>
      </c>
      <c r="W27" s="558" t="str">
        <f t="shared" si="11"/>
        <v>--</v>
      </c>
      <c r="X27" s="559" t="str">
        <f t="shared" si="12"/>
        <v>--</v>
      </c>
      <c r="Y27" s="560" t="str">
        <f t="shared" si="13"/>
        <v>--</v>
      </c>
      <c r="Z27" s="561">
        <f t="shared" si="14"/>
      </c>
      <c r="AA27" s="54">
        <f t="shared" si="15"/>
      </c>
      <c r="AB27" s="3"/>
    </row>
    <row r="28" spans="1:28" ht="16.5" customHeight="1">
      <c r="A28" s="1"/>
      <c r="B28" s="2"/>
      <c r="C28" s="377"/>
      <c r="D28" s="377"/>
      <c r="E28" s="377"/>
      <c r="F28" s="378"/>
      <c r="G28" s="379"/>
      <c r="H28" s="380"/>
      <c r="I28" s="249">
        <f t="shared" si="0"/>
        <v>17.4305</v>
      </c>
      <c r="J28" s="385"/>
      <c r="K28" s="385"/>
      <c r="L28" s="13">
        <f t="shared" si="1"/>
      </c>
      <c r="M28" s="14">
        <f t="shared" si="2"/>
      </c>
      <c r="N28" s="386"/>
      <c r="O28" s="550">
        <f t="shared" si="3"/>
      </c>
      <c r="P28" s="551" t="str">
        <f t="shared" si="4"/>
        <v>--</v>
      </c>
      <c r="Q28" s="552" t="str">
        <f t="shared" si="5"/>
        <v>--</v>
      </c>
      <c r="R28" s="553" t="str">
        <f t="shared" si="6"/>
        <v>--</v>
      </c>
      <c r="S28" s="554" t="str">
        <f t="shared" si="7"/>
        <v>--</v>
      </c>
      <c r="T28" s="555" t="str">
        <f t="shared" si="8"/>
        <v>--</v>
      </c>
      <c r="U28" s="556" t="str">
        <f t="shared" si="9"/>
        <v>--</v>
      </c>
      <c r="V28" s="557" t="str">
        <f t="shared" si="10"/>
        <v>--</v>
      </c>
      <c r="W28" s="558" t="str">
        <f t="shared" si="11"/>
        <v>--</v>
      </c>
      <c r="X28" s="559" t="str">
        <f t="shared" si="12"/>
        <v>--</v>
      </c>
      <c r="Y28" s="560" t="str">
        <f t="shared" si="13"/>
        <v>--</v>
      </c>
      <c r="Z28" s="561">
        <f t="shared" si="14"/>
      </c>
      <c r="AA28" s="54">
        <f t="shared" si="15"/>
      </c>
      <c r="AB28" s="3"/>
    </row>
    <row r="29" spans="1:28" ht="16.5" customHeight="1">
      <c r="A29" s="1"/>
      <c r="B29" s="2"/>
      <c r="C29" s="377"/>
      <c r="D29" s="377"/>
      <c r="E29" s="377"/>
      <c r="F29" s="378"/>
      <c r="G29" s="379"/>
      <c r="H29" s="380"/>
      <c r="I29" s="249">
        <f t="shared" si="0"/>
        <v>17.4305</v>
      </c>
      <c r="J29" s="385"/>
      <c r="K29" s="385"/>
      <c r="L29" s="13">
        <f t="shared" si="1"/>
      </c>
      <c r="M29" s="14">
        <f t="shared" si="2"/>
      </c>
      <c r="N29" s="386"/>
      <c r="O29" s="550">
        <f t="shared" si="3"/>
      </c>
      <c r="P29" s="551" t="str">
        <f t="shared" si="4"/>
        <v>--</v>
      </c>
      <c r="Q29" s="552" t="str">
        <f t="shared" si="5"/>
        <v>--</v>
      </c>
      <c r="R29" s="553" t="str">
        <f t="shared" si="6"/>
        <v>--</v>
      </c>
      <c r="S29" s="554" t="str">
        <f t="shared" si="7"/>
        <v>--</v>
      </c>
      <c r="T29" s="555" t="str">
        <f t="shared" si="8"/>
        <v>--</v>
      </c>
      <c r="U29" s="556" t="str">
        <f t="shared" si="9"/>
        <v>--</v>
      </c>
      <c r="V29" s="557" t="str">
        <f t="shared" si="10"/>
        <v>--</v>
      </c>
      <c r="W29" s="558" t="str">
        <f t="shared" si="11"/>
        <v>--</v>
      </c>
      <c r="X29" s="559" t="str">
        <f t="shared" si="12"/>
        <v>--</v>
      </c>
      <c r="Y29" s="560" t="str">
        <f t="shared" si="13"/>
        <v>--</v>
      </c>
      <c r="Z29" s="561">
        <f t="shared" si="14"/>
      </c>
      <c r="AA29" s="54">
        <f t="shared" si="15"/>
      </c>
      <c r="AB29" s="3"/>
    </row>
    <row r="30" spans="1:28" ht="16.5" customHeight="1">
      <c r="A30" s="1"/>
      <c r="B30" s="2"/>
      <c r="C30" s="377"/>
      <c r="D30" s="377"/>
      <c r="E30" s="377"/>
      <c r="F30" s="378"/>
      <c r="G30" s="379"/>
      <c r="H30" s="380"/>
      <c r="I30" s="249">
        <f t="shared" si="0"/>
        <v>17.4305</v>
      </c>
      <c r="J30" s="385"/>
      <c r="K30" s="385"/>
      <c r="L30" s="13">
        <f t="shared" si="1"/>
      </c>
      <c r="M30" s="14">
        <f t="shared" si="2"/>
      </c>
      <c r="N30" s="386"/>
      <c r="O30" s="550">
        <f t="shared" si="3"/>
      </c>
      <c r="P30" s="551" t="str">
        <f t="shared" si="4"/>
        <v>--</v>
      </c>
      <c r="Q30" s="552" t="str">
        <f t="shared" si="5"/>
        <v>--</v>
      </c>
      <c r="R30" s="553" t="str">
        <f t="shared" si="6"/>
        <v>--</v>
      </c>
      <c r="S30" s="554" t="str">
        <f t="shared" si="7"/>
        <v>--</v>
      </c>
      <c r="T30" s="555" t="str">
        <f t="shared" si="8"/>
        <v>--</v>
      </c>
      <c r="U30" s="556" t="str">
        <f t="shared" si="9"/>
        <v>--</v>
      </c>
      <c r="V30" s="557" t="str">
        <f t="shared" si="10"/>
        <v>--</v>
      </c>
      <c r="W30" s="558" t="str">
        <f t="shared" si="11"/>
        <v>--</v>
      </c>
      <c r="X30" s="559" t="str">
        <f t="shared" si="12"/>
        <v>--</v>
      </c>
      <c r="Y30" s="560" t="str">
        <f t="shared" si="13"/>
        <v>--</v>
      </c>
      <c r="Z30" s="561">
        <f t="shared" si="14"/>
      </c>
      <c r="AA30" s="54">
        <f t="shared" si="15"/>
      </c>
      <c r="AB30" s="3"/>
    </row>
    <row r="31" spans="1:28" ht="16.5" customHeight="1">
      <c r="A31" s="1"/>
      <c r="B31" s="2"/>
      <c r="C31" s="377"/>
      <c r="D31" s="377"/>
      <c r="E31" s="377"/>
      <c r="F31" s="378"/>
      <c r="G31" s="379"/>
      <c r="H31" s="380"/>
      <c r="I31" s="249">
        <f t="shared" si="0"/>
        <v>17.4305</v>
      </c>
      <c r="J31" s="385"/>
      <c r="K31" s="385"/>
      <c r="L31" s="13">
        <f t="shared" si="1"/>
      </c>
      <c r="M31" s="14">
        <f t="shared" si="2"/>
      </c>
      <c r="N31" s="386"/>
      <c r="O31" s="550">
        <f t="shared" si="3"/>
      </c>
      <c r="P31" s="551" t="str">
        <f t="shared" si="4"/>
        <v>--</v>
      </c>
      <c r="Q31" s="552" t="str">
        <f t="shared" si="5"/>
        <v>--</v>
      </c>
      <c r="R31" s="553" t="str">
        <f t="shared" si="6"/>
        <v>--</v>
      </c>
      <c r="S31" s="554" t="str">
        <f t="shared" si="7"/>
        <v>--</v>
      </c>
      <c r="T31" s="555" t="str">
        <f t="shared" si="8"/>
        <v>--</v>
      </c>
      <c r="U31" s="556" t="str">
        <f t="shared" si="9"/>
        <v>--</v>
      </c>
      <c r="V31" s="557" t="str">
        <f t="shared" si="10"/>
        <v>--</v>
      </c>
      <c r="W31" s="558" t="str">
        <f t="shared" si="11"/>
        <v>--</v>
      </c>
      <c r="X31" s="559" t="str">
        <f t="shared" si="12"/>
        <v>--</v>
      </c>
      <c r="Y31" s="560" t="str">
        <f t="shared" si="13"/>
        <v>--</v>
      </c>
      <c r="Z31" s="561">
        <f t="shared" si="14"/>
      </c>
      <c r="AA31" s="54">
        <f t="shared" si="15"/>
      </c>
      <c r="AB31" s="3"/>
    </row>
    <row r="32" spans="1:28" ht="16.5" customHeight="1">
      <c r="A32" s="1"/>
      <c r="B32" s="2"/>
      <c r="C32" s="377"/>
      <c r="D32" s="377"/>
      <c r="E32" s="377"/>
      <c r="F32" s="378"/>
      <c r="G32" s="379"/>
      <c r="H32" s="380"/>
      <c r="I32" s="249">
        <f t="shared" si="0"/>
        <v>17.4305</v>
      </c>
      <c r="J32" s="385"/>
      <c r="K32" s="385"/>
      <c r="L32" s="13">
        <f t="shared" si="1"/>
      </c>
      <c r="M32" s="14">
        <f t="shared" si="2"/>
      </c>
      <c r="N32" s="386"/>
      <c r="O32" s="550">
        <f t="shared" si="3"/>
      </c>
      <c r="P32" s="551" t="str">
        <f t="shared" si="4"/>
        <v>--</v>
      </c>
      <c r="Q32" s="552" t="str">
        <f t="shared" si="5"/>
        <v>--</v>
      </c>
      <c r="R32" s="553" t="str">
        <f t="shared" si="6"/>
        <v>--</v>
      </c>
      <c r="S32" s="554" t="str">
        <f t="shared" si="7"/>
        <v>--</v>
      </c>
      <c r="T32" s="555" t="str">
        <f t="shared" si="8"/>
        <v>--</v>
      </c>
      <c r="U32" s="556" t="str">
        <f t="shared" si="9"/>
        <v>--</v>
      </c>
      <c r="V32" s="557" t="str">
        <f t="shared" si="10"/>
        <v>--</v>
      </c>
      <c r="W32" s="558" t="str">
        <f t="shared" si="11"/>
        <v>--</v>
      </c>
      <c r="X32" s="559" t="str">
        <f t="shared" si="12"/>
        <v>--</v>
      </c>
      <c r="Y32" s="560" t="str">
        <f t="shared" si="13"/>
        <v>--</v>
      </c>
      <c r="Z32" s="561">
        <f t="shared" si="14"/>
      </c>
      <c r="AA32" s="54">
        <f t="shared" si="15"/>
      </c>
      <c r="AB32" s="3"/>
    </row>
    <row r="33" spans="1:28" ht="16.5" customHeight="1">
      <c r="A33" s="1"/>
      <c r="B33" s="2"/>
      <c r="C33" s="377"/>
      <c r="D33" s="377"/>
      <c r="E33" s="377"/>
      <c r="F33" s="378"/>
      <c r="G33" s="379"/>
      <c r="H33" s="380"/>
      <c r="I33" s="249">
        <f t="shared" si="0"/>
        <v>17.4305</v>
      </c>
      <c r="J33" s="385"/>
      <c r="K33" s="385"/>
      <c r="L33" s="13">
        <f t="shared" si="1"/>
      </c>
      <c r="M33" s="14">
        <f t="shared" si="2"/>
      </c>
      <c r="N33" s="386"/>
      <c r="O33" s="550">
        <f t="shared" si="3"/>
      </c>
      <c r="P33" s="551" t="str">
        <f t="shared" si="4"/>
        <v>--</v>
      </c>
      <c r="Q33" s="552" t="str">
        <f t="shared" si="5"/>
        <v>--</v>
      </c>
      <c r="R33" s="553" t="str">
        <f t="shared" si="6"/>
        <v>--</v>
      </c>
      <c r="S33" s="554" t="str">
        <f t="shared" si="7"/>
        <v>--</v>
      </c>
      <c r="T33" s="555" t="str">
        <f t="shared" si="8"/>
        <v>--</v>
      </c>
      <c r="U33" s="556" t="str">
        <f t="shared" si="9"/>
        <v>--</v>
      </c>
      <c r="V33" s="557" t="str">
        <f t="shared" si="10"/>
        <v>--</v>
      </c>
      <c r="W33" s="558" t="str">
        <f t="shared" si="11"/>
        <v>--</v>
      </c>
      <c r="X33" s="559" t="str">
        <f t="shared" si="12"/>
        <v>--</v>
      </c>
      <c r="Y33" s="560" t="str">
        <f t="shared" si="13"/>
        <v>--</v>
      </c>
      <c r="Z33" s="561">
        <f t="shared" si="14"/>
      </c>
      <c r="AA33" s="54">
        <f t="shared" si="15"/>
      </c>
      <c r="AB33" s="3"/>
    </row>
    <row r="34" spans="1:28" ht="16.5" customHeight="1">
      <c r="A34" s="1"/>
      <c r="B34" s="2"/>
      <c r="C34" s="377"/>
      <c r="D34" s="377"/>
      <c r="E34" s="377"/>
      <c r="F34" s="378"/>
      <c r="G34" s="379"/>
      <c r="H34" s="380"/>
      <c r="I34" s="249">
        <f t="shared" si="0"/>
        <v>17.4305</v>
      </c>
      <c r="J34" s="385"/>
      <c r="K34" s="385"/>
      <c r="L34" s="13">
        <f t="shared" si="1"/>
      </c>
      <c r="M34" s="14">
        <f t="shared" si="2"/>
      </c>
      <c r="N34" s="386"/>
      <c r="O34" s="550">
        <f t="shared" si="3"/>
      </c>
      <c r="P34" s="551" t="str">
        <f t="shared" si="4"/>
        <v>--</v>
      </c>
      <c r="Q34" s="552" t="str">
        <f t="shared" si="5"/>
        <v>--</v>
      </c>
      <c r="R34" s="553" t="str">
        <f t="shared" si="6"/>
        <v>--</v>
      </c>
      <c r="S34" s="554" t="str">
        <f t="shared" si="7"/>
        <v>--</v>
      </c>
      <c r="T34" s="555" t="str">
        <f t="shared" si="8"/>
        <v>--</v>
      </c>
      <c r="U34" s="556" t="str">
        <f t="shared" si="9"/>
        <v>--</v>
      </c>
      <c r="V34" s="557" t="str">
        <f t="shared" si="10"/>
        <v>--</v>
      </c>
      <c r="W34" s="558" t="str">
        <f t="shared" si="11"/>
        <v>--</v>
      </c>
      <c r="X34" s="559" t="str">
        <f t="shared" si="12"/>
        <v>--</v>
      </c>
      <c r="Y34" s="560" t="str">
        <f t="shared" si="13"/>
        <v>--</v>
      </c>
      <c r="Z34" s="561">
        <f t="shared" si="14"/>
      </c>
      <c r="AA34" s="54">
        <f t="shared" si="15"/>
      </c>
      <c r="AB34" s="3"/>
    </row>
    <row r="35" spans="1:28" ht="16.5" customHeight="1">
      <c r="A35" s="1"/>
      <c r="B35" s="2"/>
      <c r="C35" s="377"/>
      <c r="D35" s="377"/>
      <c r="E35" s="377"/>
      <c r="F35" s="378"/>
      <c r="G35" s="379"/>
      <c r="H35" s="380"/>
      <c r="I35" s="249">
        <f t="shared" si="0"/>
        <v>17.4305</v>
      </c>
      <c r="J35" s="385"/>
      <c r="K35" s="385"/>
      <c r="L35" s="13">
        <f t="shared" si="1"/>
      </c>
      <c r="M35" s="14">
        <f t="shared" si="2"/>
      </c>
      <c r="N35" s="386"/>
      <c r="O35" s="550">
        <f t="shared" si="3"/>
      </c>
      <c r="P35" s="551" t="str">
        <f t="shared" si="4"/>
        <v>--</v>
      </c>
      <c r="Q35" s="552" t="str">
        <f t="shared" si="5"/>
        <v>--</v>
      </c>
      <c r="R35" s="553" t="str">
        <f t="shared" si="6"/>
        <v>--</v>
      </c>
      <c r="S35" s="554" t="str">
        <f t="shared" si="7"/>
        <v>--</v>
      </c>
      <c r="T35" s="555" t="str">
        <f t="shared" si="8"/>
        <v>--</v>
      </c>
      <c r="U35" s="556" t="str">
        <f t="shared" si="9"/>
        <v>--</v>
      </c>
      <c r="V35" s="557" t="str">
        <f t="shared" si="10"/>
        <v>--</v>
      </c>
      <c r="W35" s="558" t="str">
        <f t="shared" si="11"/>
        <v>--</v>
      </c>
      <c r="X35" s="559" t="str">
        <f t="shared" si="12"/>
        <v>--</v>
      </c>
      <c r="Y35" s="560" t="str">
        <f t="shared" si="13"/>
        <v>--</v>
      </c>
      <c r="Z35" s="561">
        <f t="shared" si="14"/>
      </c>
      <c r="AA35" s="54">
        <f t="shared" si="15"/>
      </c>
      <c r="AB35" s="3"/>
    </row>
    <row r="36" spans="1:28" ht="16.5" customHeight="1">
      <c r="A36" s="1"/>
      <c r="B36" s="2"/>
      <c r="C36" s="377"/>
      <c r="D36" s="377"/>
      <c r="E36" s="377"/>
      <c r="F36" s="378"/>
      <c r="G36" s="379"/>
      <c r="H36" s="380"/>
      <c r="I36" s="249">
        <f t="shared" si="0"/>
        <v>17.4305</v>
      </c>
      <c r="J36" s="385"/>
      <c r="K36" s="385"/>
      <c r="L36" s="13">
        <f t="shared" si="1"/>
      </c>
      <c r="M36" s="14">
        <f t="shared" si="2"/>
      </c>
      <c r="N36" s="386"/>
      <c r="O36" s="550">
        <f t="shared" si="3"/>
      </c>
      <c r="P36" s="551" t="str">
        <f t="shared" si="4"/>
        <v>--</v>
      </c>
      <c r="Q36" s="552" t="str">
        <f t="shared" si="5"/>
        <v>--</v>
      </c>
      <c r="R36" s="553" t="str">
        <f t="shared" si="6"/>
        <v>--</v>
      </c>
      <c r="S36" s="554" t="str">
        <f t="shared" si="7"/>
        <v>--</v>
      </c>
      <c r="T36" s="555" t="str">
        <f t="shared" si="8"/>
        <v>--</v>
      </c>
      <c r="U36" s="556" t="str">
        <f t="shared" si="9"/>
        <v>--</v>
      </c>
      <c r="V36" s="557" t="str">
        <f t="shared" si="10"/>
        <v>--</v>
      </c>
      <c r="W36" s="558" t="str">
        <f t="shared" si="11"/>
        <v>--</v>
      </c>
      <c r="X36" s="559" t="str">
        <f t="shared" si="12"/>
        <v>--</v>
      </c>
      <c r="Y36" s="560" t="str">
        <f t="shared" si="13"/>
        <v>--</v>
      </c>
      <c r="Z36" s="561">
        <f t="shared" si="14"/>
      </c>
      <c r="AA36" s="54">
        <f t="shared" si="15"/>
      </c>
      <c r="AB36" s="3"/>
    </row>
    <row r="37" spans="1:28" ht="16.5" customHeight="1">
      <c r="A37" s="1"/>
      <c r="B37" s="2"/>
      <c r="C37" s="377"/>
      <c r="D37" s="377"/>
      <c r="E37" s="377"/>
      <c r="F37" s="378"/>
      <c r="G37" s="379"/>
      <c r="H37" s="380"/>
      <c r="I37" s="249">
        <f t="shared" si="0"/>
        <v>17.4305</v>
      </c>
      <c r="J37" s="385"/>
      <c r="K37" s="385"/>
      <c r="L37" s="13">
        <f t="shared" si="1"/>
      </c>
      <c r="M37" s="14">
        <f t="shared" si="2"/>
      </c>
      <c r="N37" s="386"/>
      <c r="O37" s="550">
        <f t="shared" si="3"/>
      </c>
      <c r="P37" s="551" t="str">
        <f t="shared" si="4"/>
        <v>--</v>
      </c>
      <c r="Q37" s="552" t="str">
        <f t="shared" si="5"/>
        <v>--</v>
      </c>
      <c r="R37" s="553" t="str">
        <f t="shared" si="6"/>
        <v>--</v>
      </c>
      <c r="S37" s="554" t="str">
        <f t="shared" si="7"/>
        <v>--</v>
      </c>
      <c r="T37" s="555" t="str">
        <f t="shared" si="8"/>
        <v>--</v>
      </c>
      <c r="U37" s="556" t="str">
        <f t="shared" si="9"/>
        <v>--</v>
      </c>
      <c r="V37" s="557" t="str">
        <f t="shared" si="10"/>
        <v>--</v>
      </c>
      <c r="W37" s="558" t="str">
        <f t="shared" si="11"/>
        <v>--</v>
      </c>
      <c r="X37" s="559" t="str">
        <f t="shared" si="12"/>
        <v>--</v>
      </c>
      <c r="Y37" s="560" t="str">
        <f t="shared" si="13"/>
        <v>--</v>
      </c>
      <c r="Z37" s="561">
        <f t="shared" si="14"/>
      </c>
      <c r="AA37" s="54">
        <f t="shared" si="15"/>
      </c>
      <c r="AB37" s="3"/>
    </row>
    <row r="38" spans="2:28" ht="16.5" customHeight="1">
      <c r="B38" s="55"/>
      <c r="C38" s="377"/>
      <c r="D38" s="377"/>
      <c r="E38" s="377"/>
      <c r="F38" s="378"/>
      <c r="G38" s="379"/>
      <c r="H38" s="380"/>
      <c r="I38" s="249">
        <f t="shared" si="0"/>
        <v>17.4305</v>
      </c>
      <c r="J38" s="385"/>
      <c r="K38" s="385"/>
      <c r="L38" s="13">
        <f t="shared" si="1"/>
      </c>
      <c r="M38" s="14">
        <f t="shared" si="2"/>
      </c>
      <c r="N38" s="386"/>
      <c r="O38" s="550">
        <f t="shared" si="3"/>
      </c>
      <c r="P38" s="551" t="str">
        <f t="shared" si="4"/>
        <v>--</v>
      </c>
      <c r="Q38" s="552" t="str">
        <f t="shared" si="5"/>
        <v>--</v>
      </c>
      <c r="R38" s="553" t="str">
        <f t="shared" si="6"/>
        <v>--</v>
      </c>
      <c r="S38" s="554" t="str">
        <f t="shared" si="7"/>
        <v>--</v>
      </c>
      <c r="T38" s="555" t="str">
        <f t="shared" si="8"/>
        <v>--</v>
      </c>
      <c r="U38" s="556" t="str">
        <f t="shared" si="9"/>
        <v>--</v>
      </c>
      <c r="V38" s="557" t="str">
        <f t="shared" si="10"/>
        <v>--</v>
      </c>
      <c r="W38" s="558" t="str">
        <f t="shared" si="11"/>
        <v>--</v>
      </c>
      <c r="X38" s="559" t="str">
        <f t="shared" si="12"/>
        <v>--</v>
      </c>
      <c r="Y38" s="560" t="str">
        <f t="shared" si="13"/>
        <v>--</v>
      </c>
      <c r="Z38" s="561">
        <f t="shared" si="14"/>
      </c>
      <c r="AA38" s="54">
        <f t="shared" si="15"/>
      </c>
      <c r="AB38" s="3"/>
    </row>
    <row r="39" spans="2:28" ht="16.5" customHeight="1">
      <c r="B39" s="55"/>
      <c r="C39" s="377"/>
      <c r="D39" s="377"/>
      <c r="E39" s="377"/>
      <c r="F39" s="378"/>
      <c r="G39" s="379"/>
      <c r="H39" s="380"/>
      <c r="I39" s="249">
        <f t="shared" si="0"/>
        <v>17.4305</v>
      </c>
      <c r="J39" s="385"/>
      <c r="K39" s="385"/>
      <c r="L39" s="13">
        <f t="shared" si="1"/>
      </c>
      <c r="M39" s="14">
        <f t="shared" si="2"/>
      </c>
      <c r="N39" s="386"/>
      <c r="O39" s="550">
        <f t="shared" si="3"/>
      </c>
      <c r="P39" s="551" t="str">
        <f t="shared" si="4"/>
        <v>--</v>
      </c>
      <c r="Q39" s="552" t="str">
        <f t="shared" si="5"/>
        <v>--</v>
      </c>
      <c r="R39" s="553" t="str">
        <f t="shared" si="6"/>
        <v>--</v>
      </c>
      <c r="S39" s="554" t="str">
        <f t="shared" si="7"/>
        <v>--</v>
      </c>
      <c r="T39" s="555" t="str">
        <f t="shared" si="8"/>
        <v>--</v>
      </c>
      <c r="U39" s="556" t="str">
        <f t="shared" si="9"/>
        <v>--</v>
      </c>
      <c r="V39" s="557" t="str">
        <f t="shared" si="10"/>
        <v>--</v>
      </c>
      <c r="W39" s="558" t="str">
        <f t="shared" si="11"/>
        <v>--</v>
      </c>
      <c r="X39" s="559" t="str">
        <f t="shared" si="12"/>
        <v>--</v>
      </c>
      <c r="Y39" s="560" t="str">
        <f t="shared" si="13"/>
        <v>--</v>
      </c>
      <c r="Z39" s="561">
        <f t="shared" si="14"/>
      </c>
      <c r="AA39" s="54">
        <f t="shared" si="15"/>
      </c>
      <c r="AB39" s="3"/>
    </row>
    <row r="40" spans="2:28" ht="16.5" customHeight="1">
      <c r="B40" s="55"/>
      <c r="C40" s="377"/>
      <c r="D40" s="377"/>
      <c r="E40" s="377"/>
      <c r="F40" s="378"/>
      <c r="G40" s="379"/>
      <c r="H40" s="380"/>
      <c r="I40" s="249">
        <f t="shared" si="0"/>
        <v>17.4305</v>
      </c>
      <c r="J40" s="385"/>
      <c r="K40" s="385"/>
      <c r="L40" s="13">
        <f t="shared" si="1"/>
      </c>
      <c r="M40" s="14">
        <f t="shared" si="2"/>
      </c>
      <c r="N40" s="386"/>
      <c r="O40" s="550">
        <f t="shared" si="3"/>
      </c>
      <c r="P40" s="551" t="str">
        <f t="shared" si="4"/>
        <v>--</v>
      </c>
      <c r="Q40" s="552" t="str">
        <f t="shared" si="5"/>
        <v>--</v>
      </c>
      <c r="R40" s="553" t="str">
        <f t="shared" si="6"/>
        <v>--</v>
      </c>
      <c r="S40" s="554" t="str">
        <f t="shared" si="7"/>
        <v>--</v>
      </c>
      <c r="T40" s="555" t="str">
        <f t="shared" si="8"/>
        <v>--</v>
      </c>
      <c r="U40" s="556" t="str">
        <f t="shared" si="9"/>
        <v>--</v>
      </c>
      <c r="V40" s="557" t="str">
        <f t="shared" si="10"/>
        <v>--</v>
      </c>
      <c r="W40" s="558" t="str">
        <f t="shared" si="11"/>
        <v>--</v>
      </c>
      <c r="X40" s="559" t="str">
        <f t="shared" si="12"/>
        <v>--</v>
      </c>
      <c r="Y40" s="560" t="str">
        <f t="shared" si="13"/>
        <v>--</v>
      </c>
      <c r="Z40" s="561">
        <f t="shared" si="14"/>
      </c>
      <c r="AA40" s="54">
        <f t="shared" si="15"/>
      </c>
      <c r="AB40" s="3"/>
    </row>
    <row r="41" spans="2:28" ht="16.5" customHeight="1">
      <c r="B41" s="55"/>
      <c r="C41" s="377"/>
      <c r="D41" s="377"/>
      <c r="E41" s="377"/>
      <c r="F41" s="378"/>
      <c r="G41" s="379"/>
      <c r="H41" s="380"/>
      <c r="I41" s="249">
        <f t="shared" si="0"/>
        <v>17.4305</v>
      </c>
      <c r="J41" s="385"/>
      <c r="K41" s="385"/>
      <c r="L41" s="13">
        <f t="shared" si="1"/>
      </c>
      <c r="M41" s="14">
        <f t="shared" si="2"/>
      </c>
      <c r="N41" s="386"/>
      <c r="O41" s="550">
        <f t="shared" si="3"/>
      </c>
      <c r="P41" s="551" t="str">
        <f t="shared" si="4"/>
        <v>--</v>
      </c>
      <c r="Q41" s="552" t="str">
        <f t="shared" si="5"/>
        <v>--</v>
      </c>
      <c r="R41" s="553" t="str">
        <f t="shared" si="6"/>
        <v>--</v>
      </c>
      <c r="S41" s="554" t="str">
        <f t="shared" si="7"/>
        <v>--</v>
      </c>
      <c r="T41" s="555" t="str">
        <f t="shared" si="8"/>
        <v>--</v>
      </c>
      <c r="U41" s="556" t="str">
        <f t="shared" si="9"/>
        <v>--</v>
      </c>
      <c r="V41" s="557" t="str">
        <f t="shared" si="10"/>
        <v>--</v>
      </c>
      <c r="W41" s="558" t="str">
        <f t="shared" si="11"/>
        <v>--</v>
      </c>
      <c r="X41" s="559" t="str">
        <f t="shared" si="12"/>
        <v>--</v>
      </c>
      <c r="Y41" s="560" t="str">
        <f t="shared" si="13"/>
        <v>--</v>
      </c>
      <c r="Z41" s="561">
        <f t="shared" si="14"/>
      </c>
      <c r="AA41" s="54">
        <f t="shared" si="15"/>
      </c>
      <c r="AB41" s="3"/>
    </row>
    <row r="42" spans="1:28" ht="16.5" customHeight="1" thickBot="1">
      <c r="A42" s="1"/>
      <c r="B42" s="2"/>
      <c r="C42" s="381"/>
      <c r="D42" s="381"/>
      <c r="E42" s="381"/>
      <c r="F42" s="382"/>
      <c r="G42" s="383"/>
      <c r="H42" s="384"/>
      <c r="I42" s="250"/>
      <c r="J42" s="384"/>
      <c r="K42" s="384"/>
      <c r="L42" s="15"/>
      <c r="M42" s="15"/>
      <c r="N42" s="384"/>
      <c r="O42" s="387"/>
      <c r="P42" s="388"/>
      <c r="Q42" s="389"/>
      <c r="R42" s="390"/>
      <c r="S42" s="391"/>
      <c r="T42" s="392"/>
      <c r="U42" s="393"/>
      <c r="V42" s="394"/>
      <c r="W42" s="395"/>
      <c r="X42" s="396"/>
      <c r="Y42" s="397"/>
      <c r="Z42" s="398"/>
      <c r="AA42" s="56"/>
      <c r="AB42" s="3"/>
    </row>
    <row r="43" spans="1:28" ht="16.5" customHeight="1" thickBot="1" thickTop="1">
      <c r="A43" s="1"/>
      <c r="B43" s="2"/>
      <c r="C43" s="221" t="s">
        <v>68</v>
      </c>
      <c r="D43" s="949" t="s">
        <v>199</v>
      </c>
      <c r="E43" s="545"/>
      <c r="F43" s="222"/>
      <c r="G43" s="16"/>
      <c r="H43" s="17"/>
      <c r="I43" s="57"/>
      <c r="J43" s="57"/>
      <c r="K43" s="57"/>
      <c r="L43" s="57"/>
      <c r="M43" s="57"/>
      <c r="N43" s="57"/>
      <c r="O43" s="58"/>
      <c r="P43" s="289">
        <f aca="true" t="shared" si="16" ref="P43:Y43">ROUND(SUM(P20:P42),2)</f>
        <v>0</v>
      </c>
      <c r="Q43" s="290">
        <f t="shared" si="16"/>
        <v>0</v>
      </c>
      <c r="R43" s="291">
        <f t="shared" si="16"/>
        <v>2676.91</v>
      </c>
      <c r="S43" s="291">
        <f t="shared" si="16"/>
        <v>2757.21</v>
      </c>
      <c r="T43" s="292">
        <f t="shared" si="16"/>
        <v>0</v>
      </c>
      <c r="U43" s="293">
        <f t="shared" si="16"/>
        <v>0</v>
      </c>
      <c r="V43" s="293">
        <f t="shared" si="16"/>
        <v>0</v>
      </c>
      <c r="W43" s="294">
        <f t="shared" si="16"/>
        <v>0</v>
      </c>
      <c r="X43" s="295">
        <f t="shared" si="16"/>
        <v>0</v>
      </c>
      <c r="Y43" s="296">
        <f t="shared" si="16"/>
        <v>0</v>
      </c>
      <c r="Z43" s="59"/>
      <c r="AA43" s="549">
        <f>ROUND(SUM(AA20:AA42),2)</f>
        <v>5434.12</v>
      </c>
      <c r="AB43" s="60"/>
    </row>
    <row r="44" spans="1:28" s="236" customFormat="1" ht="9.75" thickTop="1">
      <c r="A44" s="225"/>
      <c r="B44" s="226"/>
      <c r="C44" s="223"/>
      <c r="D44" s="223"/>
      <c r="E44" s="223"/>
      <c r="F44" s="224"/>
      <c r="G44" s="227"/>
      <c r="H44" s="228"/>
      <c r="I44" s="229"/>
      <c r="J44" s="229"/>
      <c r="K44" s="229"/>
      <c r="L44" s="229"/>
      <c r="M44" s="229"/>
      <c r="N44" s="229"/>
      <c r="O44" s="230"/>
      <c r="P44" s="231"/>
      <c r="Q44" s="231"/>
      <c r="R44" s="232"/>
      <c r="S44" s="232"/>
      <c r="T44" s="233"/>
      <c r="U44" s="233"/>
      <c r="V44" s="233"/>
      <c r="W44" s="233"/>
      <c r="X44" s="233"/>
      <c r="Y44" s="233"/>
      <c r="Z44" s="233"/>
      <c r="AA44" s="234"/>
      <c r="AB44" s="235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 horizontalCentered="1"/>
  <pageMargins left="0.25" right="0.36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85" zoomScaleNormal="85" zoomScalePageLayoutView="0" workbookViewId="0" topLeftCell="C1">
      <selection activeCell="I19" sqref="I19"/>
    </sheetView>
  </sheetViews>
  <sheetFormatPr defaultColWidth="11.421875" defaultRowHeight="12.75"/>
  <cols>
    <col min="1" max="2" width="4.140625" style="510" customWidth="1"/>
    <col min="3" max="3" width="5.57421875" style="510" customWidth="1"/>
    <col min="4" max="5" width="13.7109375" style="510" customWidth="1"/>
    <col min="6" max="7" width="25.7109375" style="510" customWidth="1"/>
    <col min="8" max="8" width="7.7109375" style="510" customWidth="1"/>
    <col min="9" max="9" width="12.7109375" style="510" customWidth="1"/>
    <col min="10" max="10" width="6.421875" style="510" hidden="1" customWidth="1"/>
    <col min="11" max="12" width="15.7109375" style="510" customWidth="1"/>
    <col min="13" max="15" width="9.7109375" style="510" customWidth="1"/>
    <col min="16" max="16" width="5.8515625" style="510" customWidth="1"/>
    <col min="17" max="18" width="7.00390625" style="510" customWidth="1"/>
    <col min="19" max="19" width="9.421875" style="510" hidden="1" customWidth="1"/>
    <col min="20" max="21" width="11.28125" style="510" hidden="1" customWidth="1"/>
    <col min="22" max="25" width="6.140625" style="510" hidden="1" customWidth="1"/>
    <col min="26" max="27" width="11.57421875" style="510" hidden="1" customWidth="1"/>
    <col min="28" max="28" width="9.00390625" style="510" customWidth="1"/>
    <col min="29" max="29" width="15.7109375" style="510" customWidth="1"/>
    <col min="30" max="30" width="4.140625" style="510" customWidth="1"/>
    <col min="31" max="16384" width="11.421875" style="510" customWidth="1"/>
  </cols>
  <sheetData>
    <row r="1" spans="1:30" s="416" customFormat="1" ht="26.25">
      <c r="A1" s="92"/>
      <c r="B1" s="92"/>
      <c r="C1" s="92"/>
      <c r="D1" s="92"/>
      <c r="E1" s="92"/>
      <c r="F1" s="92"/>
      <c r="G1" s="92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5"/>
    </row>
    <row r="2" spans="1:30" s="416" customFormat="1" ht="26.25">
      <c r="A2" s="92"/>
      <c r="B2" s="93" t="str">
        <f>+'TOT-1115'!B2</f>
        <v>ANEXO V al Memorándum  D.T.E.E.  N°  379 / 2016             .-</v>
      </c>
      <c r="C2" s="94"/>
      <c r="D2" s="94"/>
      <c r="E2" s="94"/>
      <c r="F2" s="94"/>
      <c r="G2" s="94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0" s="419" customFormat="1" ht="12.75">
      <c r="A3" s="10"/>
      <c r="B3" s="10"/>
      <c r="C3" s="10"/>
      <c r="D3" s="10"/>
      <c r="E3" s="10"/>
      <c r="F3" s="10"/>
      <c r="G3" s="10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</row>
    <row r="4" spans="1:30" s="421" customFormat="1" ht="11.25">
      <c r="A4" s="548" t="s">
        <v>21</v>
      </c>
      <c r="B4" s="95"/>
      <c r="C4" s="547"/>
      <c r="D4" s="547"/>
      <c r="E4" s="547"/>
      <c r="F4" s="95"/>
      <c r="G4" s="95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</row>
    <row r="5" spans="1:30" s="421" customFormat="1" ht="11.25">
      <c r="A5" s="548" t="s">
        <v>143</v>
      </c>
      <c r="B5" s="95"/>
      <c r="C5" s="547"/>
      <c r="D5" s="547"/>
      <c r="E5" s="547"/>
      <c r="F5" s="95"/>
      <c r="G5" s="95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</row>
    <row r="6" spans="1:30" s="419" customFormat="1" ht="13.5" thickBot="1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</row>
    <row r="7" spans="1:30" s="419" customFormat="1" ht="13.5" thickTop="1">
      <c r="A7" s="418"/>
      <c r="B7" s="422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4"/>
    </row>
    <row r="8" spans="1:30" s="428" customFormat="1" ht="20.25">
      <c r="A8" s="425"/>
      <c r="B8" s="426"/>
      <c r="C8" s="173"/>
      <c r="D8" s="173"/>
      <c r="E8" s="173"/>
      <c r="F8" s="427" t="s">
        <v>44</v>
      </c>
      <c r="H8" s="173"/>
      <c r="I8" s="425"/>
      <c r="J8" s="425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429"/>
    </row>
    <row r="9" spans="1:30" s="419" customFormat="1" ht="12.75">
      <c r="A9" s="418"/>
      <c r="B9" s="430"/>
      <c r="C9" s="160"/>
      <c r="D9" s="160"/>
      <c r="E9" s="160"/>
      <c r="F9" s="160"/>
      <c r="G9" s="160"/>
      <c r="H9" s="160"/>
      <c r="I9" s="418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431"/>
    </row>
    <row r="10" spans="1:30" s="428" customFormat="1" ht="20.25">
      <c r="A10" s="425"/>
      <c r="B10" s="426"/>
      <c r="C10" s="173"/>
      <c r="D10" s="173"/>
      <c r="E10" s="173"/>
      <c r="F10" s="427" t="s">
        <v>69</v>
      </c>
      <c r="G10" s="173"/>
      <c r="H10" s="173"/>
      <c r="I10" s="425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429"/>
    </row>
    <row r="11" spans="1:30" s="419" customFormat="1" ht="12.75">
      <c r="A11" s="418"/>
      <c r="B11" s="430"/>
      <c r="C11" s="160"/>
      <c r="D11" s="160"/>
      <c r="E11" s="160"/>
      <c r="F11" s="432"/>
      <c r="G11" s="160"/>
      <c r="H11" s="160"/>
      <c r="I11" s="418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431"/>
    </row>
    <row r="12" spans="1:30" s="428" customFormat="1" ht="20.25">
      <c r="A12" s="425"/>
      <c r="B12" s="426"/>
      <c r="C12" s="173"/>
      <c r="D12" s="173"/>
      <c r="E12" s="173"/>
      <c r="F12" s="427" t="s">
        <v>70</v>
      </c>
      <c r="G12" s="433"/>
      <c r="H12" s="425"/>
      <c r="I12" s="425"/>
      <c r="J12" s="173"/>
      <c r="K12" s="173"/>
      <c r="L12" s="425"/>
      <c r="M12" s="425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429"/>
    </row>
    <row r="13" spans="1:30" s="419" customFormat="1" ht="12.75">
      <c r="A13" s="418"/>
      <c r="B13" s="430"/>
      <c r="C13" s="160"/>
      <c r="D13" s="160"/>
      <c r="E13" s="160"/>
      <c r="F13" s="434"/>
      <c r="G13" s="435"/>
      <c r="H13" s="418"/>
      <c r="I13" s="418"/>
      <c r="J13" s="160"/>
      <c r="K13" s="160"/>
      <c r="L13" s="418"/>
      <c r="M13" s="418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431"/>
    </row>
    <row r="14" spans="1:30" s="428" customFormat="1" ht="20.25">
      <c r="A14" s="425"/>
      <c r="B14" s="426"/>
      <c r="C14" s="173"/>
      <c r="D14" s="173"/>
      <c r="E14" s="173"/>
      <c r="F14" s="427" t="s">
        <v>71</v>
      </c>
      <c r="G14" s="174"/>
      <c r="H14" s="174"/>
      <c r="I14" s="175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429"/>
    </row>
    <row r="15" spans="1:30" s="419" customFormat="1" ht="12.75">
      <c r="A15" s="418"/>
      <c r="B15" s="430"/>
      <c r="C15" s="160"/>
      <c r="D15" s="160"/>
      <c r="E15" s="160"/>
      <c r="F15" s="436"/>
      <c r="G15" s="161"/>
      <c r="H15" s="161"/>
      <c r="I15" s="162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431"/>
    </row>
    <row r="16" spans="1:30" s="442" customFormat="1" ht="19.5">
      <c r="A16" s="437"/>
      <c r="B16" s="70" t="str">
        <f>+'TOT-1115'!B14</f>
        <v>Desde el 01 al 30 de noviembre de 2015</v>
      </c>
      <c r="C16" s="438"/>
      <c r="D16" s="438"/>
      <c r="E16" s="438"/>
      <c r="F16" s="438"/>
      <c r="G16" s="438"/>
      <c r="H16" s="438"/>
      <c r="I16" s="439"/>
      <c r="J16" s="438"/>
      <c r="K16" s="440"/>
      <c r="L16" s="440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41"/>
    </row>
    <row r="17" spans="1:30" s="419" customFormat="1" ht="14.25" thickBot="1">
      <c r="A17" s="418"/>
      <c r="B17" s="430"/>
      <c r="C17" s="160"/>
      <c r="D17" s="160"/>
      <c r="E17" s="160"/>
      <c r="F17" s="160"/>
      <c r="G17" s="160"/>
      <c r="H17" s="160"/>
      <c r="I17" s="36"/>
      <c r="J17" s="160"/>
      <c r="K17" s="443"/>
      <c r="L17" s="444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431"/>
    </row>
    <row r="18" spans="1:30" s="419" customFormat="1" ht="16.5" customHeight="1" thickBot="1" thickTop="1">
      <c r="A18" s="418"/>
      <c r="B18" s="430"/>
      <c r="C18" s="160"/>
      <c r="D18" s="160"/>
      <c r="E18" s="160"/>
      <c r="F18" s="180" t="s">
        <v>72</v>
      </c>
      <c r="G18" s="181"/>
      <c r="H18" s="445"/>
      <c r="I18" s="446">
        <v>0.909</v>
      </c>
      <c r="J18" s="418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431"/>
    </row>
    <row r="19" spans="1:30" s="419" customFormat="1" ht="16.5" customHeight="1" thickBot="1" thickTop="1">
      <c r="A19" s="418"/>
      <c r="B19" s="430"/>
      <c r="C19" s="160"/>
      <c r="D19" s="160"/>
      <c r="E19" s="160"/>
      <c r="F19" s="184" t="s">
        <v>73</v>
      </c>
      <c r="G19" s="185"/>
      <c r="H19" s="185"/>
      <c r="I19" s="186">
        <v>30</v>
      </c>
      <c r="J19" s="160"/>
      <c r="K19" s="216" t="str">
        <f>IF(I19=30," ",IF(I19=60,"Coeficiente duplicado por tasa de falla &gt;4 Sal. x año/100 km.","REVISAR COEFICIENTE"))</f>
        <v> 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447"/>
      <c r="X19" s="447"/>
      <c r="Y19" s="447"/>
      <c r="Z19" s="447"/>
      <c r="AA19" s="447"/>
      <c r="AB19" s="447"/>
      <c r="AC19" s="447"/>
      <c r="AD19" s="431"/>
    </row>
    <row r="20" spans="1:30" s="576" customFormat="1" ht="16.5" customHeight="1" thickBot="1" thickTop="1">
      <c r="A20" s="572"/>
      <c r="B20" s="573"/>
      <c r="C20" s="574">
        <v>3</v>
      </c>
      <c r="D20" s="574">
        <v>4</v>
      </c>
      <c r="E20" s="574">
        <v>5</v>
      </c>
      <c r="F20" s="574">
        <v>6</v>
      </c>
      <c r="G20" s="574">
        <v>7</v>
      </c>
      <c r="H20" s="574">
        <v>8</v>
      </c>
      <c r="I20" s="574">
        <v>9</v>
      </c>
      <c r="J20" s="574">
        <v>10</v>
      </c>
      <c r="K20" s="574">
        <v>11</v>
      </c>
      <c r="L20" s="574">
        <v>12</v>
      </c>
      <c r="M20" s="574">
        <v>13</v>
      </c>
      <c r="N20" s="574">
        <v>14</v>
      </c>
      <c r="O20" s="574">
        <v>15</v>
      </c>
      <c r="P20" s="574">
        <v>16</v>
      </c>
      <c r="Q20" s="574">
        <v>17</v>
      </c>
      <c r="R20" s="574">
        <v>18</v>
      </c>
      <c r="S20" s="574">
        <v>19</v>
      </c>
      <c r="T20" s="574">
        <v>20</v>
      </c>
      <c r="U20" s="574">
        <v>21</v>
      </c>
      <c r="V20" s="574">
        <v>22</v>
      </c>
      <c r="W20" s="574">
        <v>23</v>
      </c>
      <c r="X20" s="574">
        <v>24</v>
      </c>
      <c r="Y20" s="574">
        <v>25</v>
      </c>
      <c r="Z20" s="574">
        <v>26</v>
      </c>
      <c r="AA20" s="574">
        <v>27</v>
      </c>
      <c r="AB20" s="574">
        <v>28</v>
      </c>
      <c r="AC20" s="574">
        <v>29</v>
      </c>
      <c r="AD20" s="575"/>
    </row>
    <row r="21" spans="1:30" s="457" customFormat="1" ht="33.75" customHeight="1" thickBot="1" thickTop="1">
      <c r="A21" s="448"/>
      <c r="B21" s="449"/>
      <c r="C21" s="196" t="s">
        <v>50</v>
      </c>
      <c r="D21" s="84" t="s">
        <v>142</v>
      </c>
      <c r="E21" s="84" t="s">
        <v>141</v>
      </c>
      <c r="F21" s="195" t="s">
        <v>74</v>
      </c>
      <c r="G21" s="191" t="s">
        <v>19</v>
      </c>
      <c r="H21" s="192" t="s">
        <v>75</v>
      </c>
      <c r="I21" s="195" t="s">
        <v>51</v>
      </c>
      <c r="J21" s="246" t="s">
        <v>53</v>
      </c>
      <c r="K21" s="194" t="s">
        <v>76</v>
      </c>
      <c r="L21" s="194" t="s">
        <v>77</v>
      </c>
      <c r="M21" s="195" t="s">
        <v>78</v>
      </c>
      <c r="N21" s="195" t="s">
        <v>79</v>
      </c>
      <c r="O21" s="88" t="s">
        <v>58</v>
      </c>
      <c r="P21" s="196" t="s">
        <v>80</v>
      </c>
      <c r="Q21" s="195" t="s">
        <v>81</v>
      </c>
      <c r="R21" s="191" t="s">
        <v>82</v>
      </c>
      <c r="S21" s="297" t="s">
        <v>83</v>
      </c>
      <c r="T21" s="450" t="s">
        <v>60</v>
      </c>
      <c r="U21" s="451" t="s">
        <v>61</v>
      </c>
      <c r="V21" s="313" t="s">
        <v>84</v>
      </c>
      <c r="W21" s="452"/>
      <c r="X21" s="322" t="s">
        <v>84</v>
      </c>
      <c r="Y21" s="453"/>
      <c r="Z21" s="454" t="s">
        <v>64</v>
      </c>
      <c r="AA21" s="455" t="s">
        <v>65</v>
      </c>
      <c r="AB21" s="195" t="s">
        <v>66</v>
      </c>
      <c r="AC21" s="195" t="s">
        <v>67</v>
      </c>
      <c r="AD21" s="456"/>
    </row>
    <row r="22" spans="1:30" s="419" customFormat="1" ht="16.5" customHeight="1" thickTop="1">
      <c r="A22" s="418"/>
      <c r="B22" s="430"/>
      <c r="C22" s="458"/>
      <c r="D22" s="458"/>
      <c r="E22" s="458"/>
      <c r="F22" s="459"/>
      <c r="G22" s="460"/>
      <c r="H22" s="460"/>
      <c r="I22" s="460"/>
      <c r="J22" s="461"/>
      <c r="K22" s="459"/>
      <c r="L22" s="460"/>
      <c r="M22" s="459"/>
      <c r="N22" s="459"/>
      <c r="O22" s="460"/>
      <c r="P22" s="460"/>
      <c r="Q22" s="460"/>
      <c r="R22" s="460"/>
      <c r="S22" s="462"/>
      <c r="T22" s="463"/>
      <c r="U22" s="464"/>
      <c r="V22" s="465"/>
      <c r="W22" s="466"/>
      <c r="X22" s="467"/>
      <c r="Y22" s="468"/>
      <c r="Z22" s="469"/>
      <c r="AA22" s="470"/>
      <c r="AB22" s="460"/>
      <c r="AC22" s="471"/>
      <c r="AD22" s="431"/>
    </row>
    <row r="23" spans="1:30" s="419" customFormat="1" ht="16.5" customHeight="1">
      <c r="A23" s="418"/>
      <c r="B23" s="430"/>
      <c r="C23" s="458"/>
      <c r="D23" s="458"/>
      <c r="E23" s="458"/>
      <c r="F23" s="472"/>
      <c r="G23" s="472"/>
      <c r="H23" s="472"/>
      <c r="I23" s="472"/>
      <c r="J23" s="473"/>
      <c r="K23" s="474"/>
      <c r="L23" s="472"/>
      <c r="M23" s="474"/>
      <c r="N23" s="474"/>
      <c r="O23" s="472"/>
      <c r="P23" s="472"/>
      <c r="Q23" s="472"/>
      <c r="R23" s="472"/>
      <c r="S23" s="475"/>
      <c r="T23" s="476"/>
      <c r="U23" s="477"/>
      <c r="V23" s="478"/>
      <c r="W23" s="479"/>
      <c r="X23" s="480"/>
      <c r="Y23" s="481"/>
      <c r="Z23" s="482"/>
      <c r="AA23" s="483"/>
      <c r="AB23" s="472"/>
      <c r="AC23" s="484"/>
      <c r="AD23" s="431"/>
    </row>
    <row r="24" spans="1:30" s="419" customFormat="1" ht="16.5" customHeight="1">
      <c r="A24" s="418"/>
      <c r="B24" s="430"/>
      <c r="C24" s="513">
        <v>6</v>
      </c>
      <c r="D24" s="513">
        <v>294224</v>
      </c>
      <c r="E24" s="513">
        <v>1810</v>
      </c>
      <c r="F24" s="378" t="s">
        <v>154</v>
      </c>
      <c r="G24" s="377" t="s">
        <v>153</v>
      </c>
      <c r="H24" s="514">
        <v>30</v>
      </c>
      <c r="I24" s="543" t="s">
        <v>152</v>
      </c>
      <c r="J24" s="249">
        <f aca="true" t="shared" si="0" ref="J24:J35">H24*$I$18</f>
        <v>27.27</v>
      </c>
      <c r="K24" s="517">
        <v>42312.31041666667</v>
      </c>
      <c r="L24" s="517">
        <v>42312.77916666667</v>
      </c>
      <c r="M24" s="25">
        <f aca="true" t="shared" si="1" ref="M24:M38">IF(F24="","",(L24-K24)*24)</f>
        <v>11.25</v>
      </c>
      <c r="N24" s="26">
        <f aca="true" t="shared" si="2" ref="N24:N38">IF(F24="","",ROUND((L24-K24)*24*60,0))</f>
        <v>675</v>
      </c>
      <c r="O24" s="518" t="s">
        <v>147</v>
      </c>
      <c r="P24" s="24" t="str">
        <f aca="true" t="shared" si="3" ref="P24:P38">IF(F24="","",IF(OR(O24="P",O24="RP"),"--","NO"))</f>
        <v>--</v>
      </c>
      <c r="Q24" s="562" t="str">
        <f aca="true" t="shared" si="4" ref="Q24:Q38">IF(F24="","","--")</f>
        <v>--</v>
      </c>
      <c r="R24" s="24" t="str">
        <f aca="true" t="shared" si="5" ref="R24:R38">IF(F24="","","NO")</f>
        <v>NO</v>
      </c>
      <c r="S24" s="300">
        <f aca="true" t="shared" si="6" ref="S24:S35">$I$19*IF(OR(O24="P",O24="RP"),0.1,1)*IF(R24="SI",1,0.1)</f>
        <v>0.30000000000000004</v>
      </c>
      <c r="T24" s="563">
        <f aca="true" t="shared" si="7" ref="T24:T35">IF(O24="P",J24*S24*ROUND(N24/60,2),"--")</f>
        <v>92.03625000000001</v>
      </c>
      <c r="U24" s="564" t="str">
        <f aca="true" t="shared" si="8" ref="U24:U35">IF(O24="RP",J24*S24*ROUND(N24/60,2)*Q24/100,"--")</f>
        <v>--</v>
      </c>
      <c r="V24" s="319" t="str">
        <f aca="true" t="shared" si="9" ref="V24:V35">IF(AND(O24="F",P24="NO"),J24*S24,"--")</f>
        <v>--</v>
      </c>
      <c r="W24" s="320" t="str">
        <f aca="true" t="shared" si="10" ref="W24:W35">IF(O24="F",J24*S24*ROUND(N24/60,2),"--")</f>
        <v>--</v>
      </c>
      <c r="X24" s="328" t="str">
        <f aca="true" t="shared" si="11" ref="X24:X35">IF(AND(O24="R",P24="NO"),J24*S24*Q24/100,"--")</f>
        <v>--</v>
      </c>
      <c r="Y24" s="329" t="str">
        <f aca="true" t="shared" si="12" ref="Y24:Y35">IF(O24="R",J24*S24*ROUND(N24/60,2)*Q24/100,"--")</f>
        <v>--</v>
      </c>
      <c r="Z24" s="334" t="str">
        <f aca="true" t="shared" si="13" ref="Z24:Z35">IF(O24="RF",J24*S24*ROUND(N24/60,2),"--")</f>
        <v>--</v>
      </c>
      <c r="AA24" s="340" t="str">
        <f aca="true" t="shared" si="14" ref="AA24:AA35">IF(O24="RR",J24*S24*ROUND(N24/60,2)*Q24/100,"--")</f>
        <v>--</v>
      </c>
      <c r="AB24" s="24" t="s">
        <v>148</v>
      </c>
      <c r="AC24" s="485">
        <f>IF(F24="","",SUM(T24:AA24)*IF(AB24="SI",1,2))</f>
        <v>92.03625000000001</v>
      </c>
      <c r="AD24" s="486"/>
    </row>
    <row r="25" spans="1:30" s="419" customFormat="1" ht="16.5" customHeight="1">
      <c r="A25" s="418"/>
      <c r="B25" s="430"/>
      <c r="C25" s="513">
        <v>7</v>
      </c>
      <c r="D25" s="513">
        <v>294705</v>
      </c>
      <c r="E25" s="513">
        <v>1810</v>
      </c>
      <c r="F25" s="378" t="s">
        <v>154</v>
      </c>
      <c r="G25" s="377" t="s">
        <v>153</v>
      </c>
      <c r="H25" s="514">
        <v>30</v>
      </c>
      <c r="I25" s="543" t="s">
        <v>152</v>
      </c>
      <c r="J25" s="249">
        <f t="shared" si="0"/>
        <v>27.27</v>
      </c>
      <c r="K25" s="517">
        <v>42318.29861111111</v>
      </c>
      <c r="L25" s="517">
        <v>42318.4875</v>
      </c>
      <c r="M25" s="25">
        <f t="shared" si="1"/>
        <v>4.533333333441988</v>
      </c>
      <c r="N25" s="26">
        <f t="shared" si="2"/>
        <v>272</v>
      </c>
      <c r="O25" s="518" t="s">
        <v>147</v>
      </c>
      <c r="P25" s="24" t="str">
        <f t="shared" si="3"/>
        <v>--</v>
      </c>
      <c r="Q25" s="562" t="str">
        <f t="shared" si="4"/>
        <v>--</v>
      </c>
      <c r="R25" s="24" t="str">
        <f t="shared" si="5"/>
        <v>NO</v>
      </c>
      <c r="S25" s="300">
        <f t="shared" si="6"/>
        <v>0.30000000000000004</v>
      </c>
      <c r="T25" s="563">
        <f t="shared" si="7"/>
        <v>37.05993000000001</v>
      </c>
      <c r="U25" s="564" t="str">
        <f t="shared" si="8"/>
        <v>--</v>
      </c>
      <c r="V25" s="319" t="str">
        <f t="shared" si="9"/>
        <v>--</v>
      </c>
      <c r="W25" s="320" t="str">
        <f t="shared" si="10"/>
        <v>--</v>
      </c>
      <c r="X25" s="328" t="str">
        <f t="shared" si="11"/>
        <v>--</v>
      </c>
      <c r="Y25" s="329" t="str">
        <f t="shared" si="12"/>
        <v>--</v>
      </c>
      <c r="Z25" s="334" t="str">
        <f t="shared" si="13"/>
        <v>--</v>
      </c>
      <c r="AA25" s="340" t="str">
        <f t="shared" si="14"/>
        <v>--</v>
      </c>
      <c r="AB25" s="24" t="s">
        <v>148</v>
      </c>
      <c r="AC25" s="485">
        <f>IF(F25="","",SUM(T25:AA25)*IF(AB25="SI",1,2))</f>
        <v>37.05993000000001</v>
      </c>
      <c r="AD25" s="486"/>
    </row>
    <row r="26" spans="1:30" s="419" customFormat="1" ht="16.5" customHeight="1">
      <c r="A26" s="418"/>
      <c r="B26" s="430"/>
      <c r="C26" s="513">
        <v>8</v>
      </c>
      <c r="D26" s="513">
        <v>294986</v>
      </c>
      <c r="E26" s="513">
        <v>1809</v>
      </c>
      <c r="F26" s="378" t="s">
        <v>154</v>
      </c>
      <c r="G26" s="377" t="s">
        <v>155</v>
      </c>
      <c r="H26" s="514">
        <v>30</v>
      </c>
      <c r="I26" s="543" t="s">
        <v>152</v>
      </c>
      <c r="J26" s="249">
        <f t="shared" si="0"/>
        <v>27.27</v>
      </c>
      <c r="K26" s="517">
        <v>42328.25347222222</v>
      </c>
      <c r="L26" s="517">
        <v>42328.521527777775</v>
      </c>
      <c r="M26" s="25">
        <f t="shared" si="1"/>
        <v>6.433333333348855</v>
      </c>
      <c r="N26" s="26">
        <f t="shared" si="2"/>
        <v>386</v>
      </c>
      <c r="O26" s="518" t="s">
        <v>147</v>
      </c>
      <c r="P26" s="24" t="str">
        <f t="shared" si="3"/>
        <v>--</v>
      </c>
      <c r="Q26" s="562" t="str">
        <f t="shared" si="4"/>
        <v>--</v>
      </c>
      <c r="R26" s="24" t="str">
        <f t="shared" si="5"/>
        <v>NO</v>
      </c>
      <c r="S26" s="300">
        <f t="shared" si="6"/>
        <v>0.30000000000000004</v>
      </c>
      <c r="T26" s="563">
        <f t="shared" si="7"/>
        <v>52.60383</v>
      </c>
      <c r="U26" s="564" t="str">
        <f t="shared" si="8"/>
        <v>--</v>
      </c>
      <c r="V26" s="319" t="str">
        <f t="shared" si="9"/>
        <v>--</v>
      </c>
      <c r="W26" s="320" t="str">
        <f t="shared" si="10"/>
        <v>--</v>
      </c>
      <c r="X26" s="328" t="str">
        <f t="shared" si="11"/>
        <v>--</v>
      </c>
      <c r="Y26" s="329" t="str">
        <f t="shared" si="12"/>
        <v>--</v>
      </c>
      <c r="Z26" s="334" t="str">
        <f t="shared" si="13"/>
        <v>--</v>
      </c>
      <c r="AA26" s="340" t="str">
        <f t="shared" si="14"/>
        <v>--</v>
      </c>
      <c r="AB26" s="24" t="s">
        <v>148</v>
      </c>
      <c r="AC26" s="485">
        <f>IF(F26="","",SUM(T26:AA26)*IF(AB26="SI",1,2))</f>
        <v>52.60383</v>
      </c>
      <c r="AD26" s="486"/>
    </row>
    <row r="27" spans="1:30" s="419" customFormat="1" ht="16.5" customHeight="1">
      <c r="A27" s="418"/>
      <c r="B27" s="430"/>
      <c r="C27" s="513"/>
      <c r="D27" s="513"/>
      <c r="E27" s="513"/>
      <c r="F27" s="378"/>
      <c r="G27" s="377"/>
      <c r="H27" s="514"/>
      <c r="I27" s="543"/>
      <c r="J27" s="249">
        <f t="shared" si="0"/>
        <v>0</v>
      </c>
      <c r="K27" s="517"/>
      <c r="L27" s="517"/>
      <c r="M27" s="25">
        <f t="shared" si="1"/>
      </c>
      <c r="N27" s="26">
        <f t="shared" si="2"/>
      </c>
      <c r="O27" s="518"/>
      <c r="P27" s="24">
        <f t="shared" si="3"/>
      </c>
      <c r="Q27" s="562">
        <f t="shared" si="4"/>
      </c>
      <c r="R27" s="24">
        <f t="shared" si="5"/>
      </c>
      <c r="S27" s="300">
        <f t="shared" si="6"/>
        <v>3</v>
      </c>
      <c r="T27" s="563" t="str">
        <f t="shared" si="7"/>
        <v>--</v>
      </c>
      <c r="U27" s="564" t="str">
        <f t="shared" si="8"/>
        <v>--</v>
      </c>
      <c r="V27" s="319" t="str">
        <f t="shared" si="9"/>
        <v>--</v>
      </c>
      <c r="W27" s="320" t="str">
        <f t="shared" si="10"/>
        <v>--</v>
      </c>
      <c r="X27" s="328" t="str">
        <f t="shared" si="11"/>
        <v>--</v>
      </c>
      <c r="Y27" s="329" t="str">
        <f t="shared" si="12"/>
        <v>--</v>
      </c>
      <c r="Z27" s="334" t="str">
        <f t="shared" si="13"/>
        <v>--</v>
      </c>
      <c r="AA27" s="340" t="str">
        <f t="shared" si="14"/>
        <v>--</v>
      </c>
      <c r="AB27" s="24">
        <f aca="true" t="shared" si="15" ref="AB27:AB37">IF(F27="","","SI")</f>
      </c>
      <c r="AC27" s="485">
        <f aca="true" t="shared" si="16" ref="AC27:AC39">IF(F27="","",SUM(T27:AA27)*IF(AB27="SI",1,2))</f>
      </c>
      <c r="AD27" s="486"/>
    </row>
    <row r="28" spans="1:30" s="419" customFormat="1" ht="16.5" customHeight="1">
      <c r="A28" s="418"/>
      <c r="B28" s="430"/>
      <c r="C28" s="513"/>
      <c r="D28" s="513"/>
      <c r="E28" s="513"/>
      <c r="F28" s="378"/>
      <c r="G28" s="377"/>
      <c r="H28" s="514"/>
      <c r="I28" s="543"/>
      <c r="J28" s="249">
        <f t="shared" si="0"/>
        <v>0</v>
      </c>
      <c r="K28" s="517"/>
      <c r="L28" s="517"/>
      <c r="M28" s="25">
        <f t="shared" si="1"/>
      </c>
      <c r="N28" s="26">
        <f t="shared" si="2"/>
      </c>
      <c r="O28" s="518"/>
      <c r="P28" s="24">
        <f t="shared" si="3"/>
      </c>
      <c r="Q28" s="562">
        <f t="shared" si="4"/>
      </c>
      <c r="R28" s="24">
        <f t="shared" si="5"/>
      </c>
      <c r="S28" s="300">
        <f t="shared" si="6"/>
        <v>3</v>
      </c>
      <c r="T28" s="563" t="str">
        <f t="shared" si="7"/>
        <v>--</v>
      </c>
      <c r="U28" s="564" t="str">
        <f t="shared" si="8"/>
        <v>--</v>
      </c>
      <c r="V28" s="319" t="str">
        <f t="shared" si="9"/>
        <v>--</v>
      </c>
      <c r="W28" s="320" t="str">
        <f t="shared" si="10"/>
        <v>--</v>
      </c>
      <c r="X28" s="328" t="str">
        <f t="shared" si="11"/>
        <v>--</v>
      </c>
      <c r="Y28" s="329" t="str">
        <f t="shared" si="12"/>
        <v>--</v>
      </c>
      <c r="Z28" s="334" t="str">
        <f t="shared" si="13"/>
        <v>--</v>
      </c>
      <c r="AA28" s="340" t="str">
        <f t="shared" si="14"/>
        <v>--</v>
      </c>
      <c r="AB28" s="24">
        <f t="shared" si="15"/>
      </c>
      <c r="AC28" s="485">
        <f t="shared" si="16"/>
      </c>
      <c r="AD28" s="486"/>
    </row>
    <row r="29" spans="1:30" s="419" customFormat="1" ht="16.5" customHeight="1">
      <c r="A29" s="418"/>
      <c r="B29" s="430"/>
      <c r="C29" s="513"/>
      <c r="D29" s="513"/>
      <c r="E29" s="513"/>
      <c r="F29" s="378"/>
      <c r="G29" s="377"/>
      <c r="H29" s="514"/>
      <c r="I29" s="515"/>
      <c r="J29" s="249">
        <f t="shared" si="0"/>
        <v>0</v>
      </c>
      <c r="K29" s="517"/>
      <c r="L29" s="517"/>
      <c r="M29" s="25">
        <f t="shared" si="1"/>
      </c>
      <c r="N29" s="26">
        <f t="shared" si="2"/>
      </c>
      <c r="O29" s="518"/>
      <c r="P29" s="24">
        <f t="shared" si="3"/>
      </c>
      <c r="Q29" s="562">
        <f t="shared" si="4"/>
      </c>
      <c r="R29" s="24">
        <f t="shared" si="5"/>
      </c>
      <c r="S29" s="300">
        <f t="shared" si="6"/>
        <v>3</v>
      </c>
      <c r="T29" s="563" t="str">
        <f t="shared" si="7"/>
        <v>--</v>
      </c>
      <c r="U29" s="564" t="str">
        <f t="shared" si="8"/>
        <v>--</v>
      </c>
      <c r="V29" s="319" t="str">
        <f t="shared" si="9"/>
        <v>--</v>
      </c>
      <c r="W29" s="320" t="str">
        <f t="shared" si="10"/>
        <v>--</v>
      </c>
      <c r="X29" s="328" t="str">
        <f t="shared" si="11"/>
        <v>--</v>
      </c>
      <c r="Y29" s="329" t="str">
        <f t="shared" si="12"/>
        <v>--</v>
      </c>
      <c r="Z29" s="334" t="str">
        <f t="shared" si="13"/>
        <v>--</v>
      </c>
      <c r="AA29" s="340" t="str">
        <f t="shared" si="14"/>
        <v>--</v>
      </c>
      <c r="AB29" s="24">
        <f t="shared" si="15"/>
      </c>
      <c r="AC29" s="485">
        <f t="shared" si="16"/>
      </c>
      <c r="AD29" s="486"/>
    </row>
    <row r="30" spans="1:30" s="419" customFormat="1" ht="16.5" customHeight="1">
      <c r="A30" s="418"/>
      <c r="B30" s="430"/>
      <c r="C30" s="513"/>
      <c r="D30" s="513"/>
      <c r="E30" s="513"/>
      <c r="F30" s="378"/>
      <c r="G30" s="377"/>
      <c r="H30" s="514"/>
      <c r="I30" s="543"/>
      <c r="J30" s="249">
        <f t="shared" si="0"/>
        <v>0</v>
      </c>
      <c r="K30" s="517"/>
      <c r="L30" s="517"/>
      <c r="M30" s="25">
        <f t="shared" si="1"/>
      </c>
      <c r="N30" s="26">
        <f t="shared" si="2"/>
      </c>
      <c r="O30" s="518"/>
      <c r="P30" s="24">
        <f t="shared" si="3"/>
      </c>
      <c r="Q30" s="562">
        <f t="shared" si="4"/>
      </c>
      <c r="R30" s="24">
        <f t="shared" si="5"/>
      </c>
      <c r="S30" s="300">
        <f t="shared" si="6"/>
        <v>3</v>
      </c>
      <c r="T30" s="563" t="str">
        <f t="shared" si="7"/>
        <v>--</v>
      </c>
      <c r="U30" s="564" t="str">
        <f t="shared" si="8"/>
        <v>--</v>
      </c>
      <c r="V30" s="319" t="str">
        <f t="shared" si="9"/>
        <v>--</v>
      </c>
      <c r="W30" s="320" t="str">
        <f t="shared" si="10"/>
        <v>--</v>
      </c>
      <c r="X30" s="328" t="str">
        <f t="shared" si="11"/>
        <v>--</v>
      </c>
      <c r="Y30" s="329" t="str">
        <f t="shared" si="12"/>
        <v>--</v>
      </c>
      <c r="Z30" s="334" t="str">
        <f t="shared" si="13"/>
        <v>--</v>
      </c>
      <c r="AA30" s="340" t="str">
        <f t="shared" si="14"/>
        <v>--</v>
      </c>
      <c r="AB30" s="24">
        <f t="shared" si="15"/>
      </c>
      <c r="AC30" s="485">
        <f t="shared" si="16"/>
      </c>
      <c r="AD30" s="486"/>
    </row>
    <row r="31" spans="1:30" s="419" customFormat="1" ht="16.5" customHeight="1">
      <c r="A31" s="418"/>
      <c r="B31" s="430"/>
      <c r="C31" s="513"/>
      <c r="D31" s="513"/>
      <c r="E31" s="513"/>
      <c r="F31" s="378"/>
      <c r="G31" s="377"/>
      <c r="H31" s="514"/>
      <c r="I31" s="543"/>
      <c r="J31" s="249">
        <f t="shared" si="0"/>
        <v>0</v>
      </c>
      <c r="K31" s="517"/>
      <c r="L31" s="517"/>
      <c r="M31" s="25">
        <f t="shared" si="1"/>
      </c>
      <c r="N31" s="26">
        <f t="shared" si="2"/>
      </c>
      <c r="O31" s="518"/>
      <c r="P31" s="24">
        <f t="shared" si="3"/>
      </c>
      <c r="Q31" s="562">
        <f t="shared" si="4"/>
      </c>
      <c r="R31" s="24">
        <f t="shared" si="5"/>
      </c>
      <c r="S31" s="300">
        <f t="shared" si="6"/>
        <v>3</v>
      </c>
      <c r="T31" s="563" t="str">
        <f t="shared" si="7"/>
        <v>--</v>
      </c>
      <c r="U31" s="564" t="str">
        <f t="shared" si="8"/>
        <v>--</v>
      </c>
      <c r="V31" s="319" t="str">
        <f t="shared" si="9"/>
        <v>--</v>
      </c>
      <c r="W31" s="320" t="str">
        <f t="shared" si="10"/>
        <v>--</v>
      </c>
      <c r="X31" s="328" t="str">
        <f t="shared" si="11"/>
        <v>--</v>
      </c>
      <c r="Y31" s="329" t="str">
        <f t="shared" si="12"/>
        <v>--</v>
      </c>
      <c r="Z31" s="334" t="str">
        <f t="shared" si="13"/>
        <v>--</v>
      </c>
      <c r="AA31" s="340" t="str">
        <f t="shared" si="14"/>
        <v>--</v>
      </c>
      <c r="AB31" s="24">
        <f t="shared" si="15"/>
      </c>
      <c r="AC31" s="485">
        <f t="shared" si="16"/>
      </c>
      <c r="AD31" s="486"/>
    </row>
    <row r="32" spans="1:30" s="419" customFormat="1" ht="16.5" customHeight="1">
      <c r="A32" s="418"/>
      <c r="B32" s="430"/>
      <c r="C32" s="513"/>
      <c r="D32" s="513"/>
      <c r="E32" s="513"/>
      <c r="F32" s="378"/>
      <c r="G32" s="377"/>
      <c r="H32" s="514"/>
      <c r="I32" s="543"/>
      <c r="J32" s="249">
        <f t="shared" si="0"/>
        <v>0</v>
      </c>
      <c r="K32" s="517"/>
      <c r="L32" s="517"/>
      <c r="M32" s="25">
        <f t="shared" si="1"/>
      </c>
      <c r="N32" s="26">
        <f t="shared" si="2"/>
      </c>
      <c r="O32" s="518"/>
      <c r="P32" s="24">
        <f t="shared" si="3"/>
      </c>
      <c r="Q32" s="562">
        <f t="shared" si="4"/>
      </c>
      <c r="R32" s="24">
        <f t="shared" si="5"/>
      </c>
      <c r="S32" s="300">
        <f t="shared" si="6"/>
        <v>3</v>
      </c>
      <c r="T32" s="563" t="str">
        <f t="shared" si="7"/>
        <v>--</v>
      </c>
      <c r="U32" s="564" t="str">
        <f t="shared" si="8"/>
        <v>--</v>
      </c>
      <c r="V32" s="319" t="str">
        <f t="shared" si="9"/>
        <v>--</v>
      </c>
      <c r="W32" s="320" t="str">
        <f t="shared" si="10"/>
        <v>--</v>
      </c>
      <c r="X32" s="328" t="str">
        <f t="shared" si="11"/>
        <v>--</v>
      </c>
      <c r="Y32" s="329" t="str">
        <f t="shared" si="12"/>
        <v>--</v>
      </c>
      <c r="Z32" s="334" t="str">
        <f t="shared" si="13"/>
        <v>--</v>
      </c>
      <c r="AA32" s="340" t="str">
        <f t="shared" si="14"/>
        <v>--</v>
      </c>
      <c r="AB32" s="24">
        <f t="shared" si="15"/>
      </c>
      <c r="AC32" s="485">
        <f t="shared" si="16"/>
      </c>
      <c r="AD32" s="431"/>
    </row>
    <row r="33" spans="1:30" s="419" customFormat="1" ht="16.5" customHeight="1">
      <c r="A33" s="418"/>
      <c r="B33" s="430"/>
      <c r="C33" s="513"/>
      <c r="D33" s="513"/>
      <c r="E33" s="513"/>
      <c r="F33" s="378"/>
      <c r="G33" s="377"/>
      <c r="H33" s="514"/>
      <c r="I33" s="543"/>
      <c r="J33" s="249">
        <f t="shared" si="0"/>
        <v>0</v>
      </c>
      <c r="K33" s="517"/>
      <c r="L33" s="517"/>
      <c r="M33" s="25">
        <f t="shared" si="1"/>
      </c>
      <c r="N33" s="26">
        <f t="shared" si="2"/>
      </c>
      <c r="O33" s="518"/>
      <c r="P33" s="24">
        <f t="shared" si="3"/>
      </c>
      <c r="Q33" s="562">
        <f t="shared" si="4"/>
      </c>
      <c r="R33" s="24">
        <f t="shared" si="5"/>
      </c>
      <c r="S33" s="300">
        <f t="shared" si="6"/>
        <v>3</v>
      </c>
      <c r="T33" s="563" t="str">
        <f t="shared" si="7"/>
        <v>--</v>
      </c>
      <c r="U33" s="564" t="str">
        <f t="shared" si="8"/>
        <v>--</v>
      </c>
      <c r="V33" s="319" t="str">
        <f t="shared" si="9"/>
        <v>--</v>
      </c>
      <c r="W33" s="320" t="str">
        <f t="shared" si="10"/>
        <v>--</v>
      </c>
      <c r="X33" s="328" t="str">
        <f t="shared" si="11"/>
        <v>--</v>
      </c>
      <c r="Y33" s="329" t="str">
        <f t="shared" si="12"/>
        <v>--</v>
      </c>
      <c r="Z33" s="334" t="str">
        <f t="shared" si="13"/>
        <v>--</v>
      </c>
      <c r="AA33" s="340" t="str">
        <f t="shared" si="14"/>
        <v>--</v>
      </c>
      <c r="AB33" s="24">
        <f t="shared" si="15"/>
      </c>
      <c r="AC33" s="485">
        <f t="shared" si="16"/>
      </c>
      <c r="AD33" s="431"/>
    </row>
    <row r="34" spans="1:30" s="419" customFormat="1" ht="16.5" customHeight="1">
      <c r="A34" s="418"/>
      <c r="B34" s="430"/>
      <c r="C34" s="513"/>
      <c r="D34" s="513"/>
      <c r="E34" s="513"/>
      <c r="F34" s="378"/>
      <c r="G34" s="377"/>
      <c r="H34" s="514"/>
      <c r="I34" s="543"/>
      <c r="J34" s="249">
        <f t="shared" si="0"/>
        <v>0</v>
      </c>
      <c r="K34" s="517"/>
      <c r="L34" s="517"/>
      <c r="M34" s="25">
        <f t="shared" si="1"/>
      </c>
      <c r="N34" s="26">
        <f t="shared" si="2"/>
      </c>
      <c r="O34" s="518"/>
      <c r="P34" s="24">
        <f t="shared" si="3"/>
      </c>
      <c r="Q34" s="562">
        <f t="shared" si="4"/>
      </c>
      <c r="R34" s="24">
        <f t="shared" si="5"/>
      </c>
      <c r="S34" s="300">
        <f t="shared" si="6"/>
        <v>3</v>
      </c>
      <c r="T34" s="563" t="str">
        <f t="shared" si="7"/>
        <v>--</v>
      </c>
      <c r="U34" s="564" t="str">
        <f t="shared" si="8"/>
        <v>--</v>
      </c>
      <c r="V34" s="319" t="str">
        <f t="shared" si="9"/>
        <v>--</v>
      </c>
      <c r="W34" s="320" t="str">
        <f t="shared" si="10"/>
        <v>--</v>
      </c>
      <c r="X34" s="328" t="str">
        <f t="shared" si="11"/>
        <v>--</v>
      </c>
      <c r="Y34" s="329" t="str">
        <f t="shared" si="12"/>
        <v>--</v>
      </c>
      <c r="Z34" s="334" t="str">
        <f t="shared" si="13"/>
        <v>--</v>
      </c>
      <c r="AA34" s="340" t="str">
        <f t="shared" si="14"/>
        <v>--</v>
      </c>
      <c r="AB34" s="24">
        <f t="shared" si="15"/>
      </c>
      <c r="AC34" s="485">
        <f t="shared" si="16"/>
      </c>
      <c r="AD34" s="431"/>
    </row>
    <row r="35" spans="1:30" s="419" customFormat="1" ht="16.5" customHeight="1">
      <c r="A35" s="418"/>
      <c r="B35" s="430"/>
      <c r="C35" s="513"/>
      <c r="D35" s="513"/>
      <c r="E35" s="513"/>
      <c r="F35" s="378"/>
      <c r="G35" s="377"/>
      <c r="H35" s="514"/>
      <c r="I35" s="543"/>
      <c r="J35" s="249">
        <f t="shared" si="0"/>
        <v>0</v>
      </c>
      <c r="K35" s="517"/>
      <c r="L35" s="517"/>
      <c r="M35" s="25">
        <f t="shared" si="1"/>
      </c>
      <c r="N35" s="26">
        <f t="shared" si="2"/>
      </c>
      <c r="O35" s="518"/>
      <c r="P35" s="24">
        <f t="shared" si="3"/>
      </c>
      <c r="Q35" s="562">
        <f t="shared" si="4"/>
      </c>
      <c r="R35" s="24">
        <f t="shared" si="5"/>
      </c>
      <c r="S35" s="300">
        <f t="shared" si="6"/>
        <v>3</v>
      </c>
      <c r="T35" s="563" t="str">
        <f t="shared" si="7"/>
        <v>--</v>
      </c>
      <c r="U35" s="564" t="str">
        <f t="shared" si="8"/>
        <v>--</v>
      </c>
      <c r="V35" s="319" t="str">
        <f t="shared" si="9"/>
        <v>--</v>
      </c>
      <c r="W35" s="320" t="str">
        <f t="shared" si="10"/>
        <v>--</v>
      </c>
      <c r="X35" s="328" t="str">
        <f t="shared" si="11"/>
        <v>--</v>
      </c>
      <c r="Y35" s="329" t="str">
        <f t="shared" si="12"/>
        <v>--</v>
      </c>
      <c r="Z35" s="334" t="str">
        <f t="shared" si="13"/>
        <v>--</v>
      </c>
      <c r="AA35" s="340" t="str">
        <f t="shared" si="14"/>
        <v>--</v>
      </c>
      <c r="AB35" s="24">
        <f t="shared" si="15"/>
      </c>
      <c r="AC35" s="485">
        <f t="shared" si="16"/>
      </c>
      <c r="AD35" s="431"/>
    </row>
    <row r="36" spans="1:30" s="419" customFormat="1" ht="16.5" customHeight="1">
      <c r="A36" s="418"/>
      <c r="B36" s="430"/>
      <c r="C36" s="513"/>
      <c r="D36" s="513"/>
      <c r="E36" s="513"/>
      <c r="F36" s="378"/>
      <c r="G36" s="377"/>
      <c r="H36" s="514"/>
      <c r="I36" s="515"/>
      <c r="J36" s="249">
        <f aca="true" t="shared" si="17" ref="J36:J43">H36*$I$18</f>
        <v>0</v>
      </c>
      <c r="K36" s="517"/>
      <c r="L36" s="517"/>
      <c r="M36" s="25">
        <f t="shared" si="1"/>
      </c>
      <c r="N36" s="26">
        <f t="shared" si="2"/>
      </c>
      <c r="O36" s="518"/>
      <c r="P36" s="24">
        <f t="shared" si="3"/>
      </c>
      <c r="Q36" s="562">
        <f t="shared" si="4"/>
      </c>
      <c r="R36" s="24">
        <f t="shared" si="5"/>
      </c>
      <c r="S36" s="300">
        <f aca="true" t="shared" si="18" ref="S36:S43">$I$19*IF(OR(O36="P",O36="RP"),0.1,1)*IF(R36="SI",1,0.1)</f>
        <v>3</v>
      </c>
      <c r="T36" s="563" t="str">
        <f aca="true" t="shared" si="19" ref="T36:T43">IF(O36="P",J36*S36*ROUND(N36/60,2),"--")</f>
        <v>--</v>
      </c>
      <c r="U36" s="564" t="str">
        <f aca="true" t="shared" si="20" ref="U36:U43">IF(O36="RP",J36*S36*ROUND(N36/60,2)*Q36/100,"--")</f>
        <v>--</v>
      </c>
      <c r="V36" s="319" t="str">
        <f aca="true" t="shared" si="21" ref="V36:V43">IF(AND(O36="F",P36="NO"),J36*S36,"--")</f>
        <v>--</v>
      </c>
      <c r="W36" s="320" t="str">
        <f aca="true" t="shared" si="22" ref="W36:W43">IF(O36="F",J36*S36*ROUND(N36/60,2),"--")</f>
        <v>--</v>
      </c>
      <c r="X36" s="328" t="str">
        <f aca="true" t="shared" si="23" ref="X36:X43">IF(AND(O36="R",P36="NO"),J36*S36*Q36/100,"--")</f>
        <v>--</v>
      </c>
      <c r="Y36" s="329" t="str">
        <f aca="true" t="shared" si="24" ref="Y36:Y43">IF(O36="R",J36*S36*ROUND(N36/60,2)*Q36/100,"--")</f>
        <v>--</v>
      </c>
      <c r="Z36" s="334" t="str">
        <f aca="true" t="shared" si="25" ref="Z36:Z43">IF(O36="RF",J36*S36*ROUND(N36/60,2),"--")</f>
        <v>--</v>
      </c>
      <c r="AA36" s="340" t="str">
        <f aca="true" t="shared" si="26" ref="AA36:AA43">IF(O36="RR",J36*S36*ROUND(N36/60,2)*Q36/100,"--")</f>
        <v>--</v>
      </c>
      <c r="AB36" s="24">
        <f t="shared" si="15"/>
      </c>
      <c r="AC36" s="485">
        <f t="shared" si="16"/>
      </c>
      <c r="AD36" s="431"/>
    </row>
    <row r="37" spans="1:30" s="419" customFormat="1" ht="16.5" customHeight="1">
      <c r="A37" s="418"/>
      <c r="B37" s="430"/>
      <c r="C37" s="513"/>
      <c r="D37" s="513"/>
      <c r="E37" s="513"/>
      <c r="F37" s="378"/>
      <c r="G37" s="377"/>
      <c r="H37" s="514"/>
      <c r="I37" s="515"/>
      <c r="J37" s="249">
        <f t="shared" si="17"/>
        <v>0</v>
      </c>
      <c r="K37" s="517"/>
      <c r="L37" s="517"/>
      <c r="M37" s="25">
        <f t="shared" si="1"/>
      </c>
      <c r="N37" s="26">
        <f t="shared" si="2"/>
      </c>
      <c r="O37" s="518"/>
      <c r="P37" s="24">
        <f t="shared" si="3"/>
      </c>
      <c r="Q37" s="562">
        <f t="shared" si="4"/>
      </c>
      <c r="R37" s="24">
        <f t="shared" si="5"/>
      </c>
      <c r="S37" s="300">
        <f t="shared" si="18"/>
        <v>3</v>
      </c>
      <c r="T37" s="563" t="str">
        <f t="shared" si="19"/>
        <v>--</v>
      </c>
      <c r="U37" s="564" t="str">
        <f t="shared" si="20"/>
        <v>--</v>
      </c>
      <c r="V37" s="319" t="str">
        <f t="shared" si="21"/>
        <v>--</v>
      </c>
      <c r="W37" s="320" t="str">
        <f t="shared" si="22"/>
        <v>--</v>
      </c>
      <c r="X37" s="328" t="str">
        <f t="shared" si="23"/>
        <v>--</v>
      </c>
      <c r="Y37" s="329" t="str">
        <f t="shared" si="24"/>
        <v>--</v>
      </c>
      <c r="Z37" s="334" t="str">
        <f t="shared" si="25"/>
        <v>--</v>
      </c>
      <c r="AA37" s="340" t="str">
        <f t="shared" si="26"/>
        <v>--</v>
      </c>
      <c r="AB37" s="24">
        <f t="shared" si="15"/>
      </c>
      <c r="AC37" s="485">
        <f t="shared" si="16"/>
      </c>
      <c r="AD37" s="431"/>
    </row>
    <row r="38" spans="1:30" s="419" customFormat="1" ht="16.5" customHeight="1">
      <c r="A38" s="418"/>
      <c r="B38" s="430"/>
      <c r="C38" s="513"/>
      <c r="D38" s="513"/>
      <c r="E38" s="513"/>
      <c r="F38" s="378"/>
      <c r="G38" s="377"/>
      <c r="H38" s="514"/>
      <c r="I38" s="515"/>
      <c r="J38" s="249">
        <f t="shared" si="17"/>
        <v>0</v>
      </c>
      <c r="K38" s="517"/>
      <c r="L38" s="517"/>
      <c r="M38" s="25">
        <f t="shared" si="1"/>
      </c>
      <c r="N38" s="26">
        <f t="shared" si="2"/>
      </c>
      <c r="O38" s="518"/>
      <c r="P38" s="24">
        <f t="shared" si="3"/>
      </c>
      <c r="Q38" s="562">
        <f t="shared" si="4"/>
      </c>
      <c r="R38" s="24">
        <f t="shared" si="5"/>
      </c>
      <c r="S38" s="300">
        <f t="shared" si="18"/>
        <v>3</v>
      </c>
      <c r="T38" s="563" t="str">
        <f t="shared" si="19"/>
        <v>--</v>
      </c>
      <c r="U38" s="564" t="str">
        <f t="shared" si="20"/>
        <v>--</v>
      </c>
      <c r="V38" s="319" t="str">
        <f t="shared" si="21"/>
        <v>--</v>
      </c>
      <c r="W38" s="320" t="str">
        <f t="shared" si="22"/>
        <v>--</v>
      </c>
      <c r="X38" s="328" t="str">
        <f t="shared" si="23"/>
        <v>--</v>
      </c>
      <c r="Y38" s="329" t="str">
        <f t="shared" si="24"/>
        <v>--</v>
      </c>
      <c r="Z38" s="334" t="str">
        <f t="shared" si="25"/>
        <v>--</v>
      </c>
      <c r="AA38" s="340" t="str">
        <f t="shared" si="26"/>
        <v>--</v>
      </c>
      <c r="AB38" s="24">
        <f aca="true" t="shared" si="27" ref="AB38:AB43">IF(F38="","","SI")</f>
      </c>
      <c r="AC38" s="485">
        <f t="shared" si="16"/>
      </c>
      <c r="AD38" s="431"/>
    </row>
    <row r="39" spans="1:30" s="419" customFormat="1" ht="16.5" customHeight="1">
      <c r="A39" s="418"/>
      <c r="B39" s="430"/>
      <c r="C39" s="513"/>
      <c r="D39" s="513"/>
      <c r="E39" s="513"/>
      <c r="F39" s="378"/>
      <c r="G39" s="377"/>
      <c r="H39" s="514"/>
      <c r="I39" s="515"/>
      <c r="J39" s="249">
        <f t="shared" si="17"/>
        <v>0</v>
      </c>
      <c r="K39" s="517"/>
      <c r="L39" s="517"/>
      <c r="M39" s="25">
        <f>IF(F39="","",(L39-K39)*24)</f>
      </c>
      <c r="N39" s="26">
        <f>IF(F39="","",ROUND((L39-K39)*24*60,0))</f>
      </c>
      <c r="O39" s="518"/>
      <c r="P39" s="24">
        <f>IF(F39="","",IF(OR(O39="P",O39="RP"),"--","NO"))</f>
      </c>
      <c r="Q39" s="562">
        <f>IF(F39="","","--")</f>
      </c>
      <c r="R39" s="24">
        <f>IF(F39="","","NO")</f>
      </c>
      <c r="S39" s="300">
        <f t="shared" si="18"/>
        <v>3</v>
      </c>
      <c r="T39" s="563" t="str">
        <f t="shared" si="19"/>
        <v>--</v>
      </c>
      <c r="U39" s="564" t="str">
        <f t="shared" si="20"/>
        <v>--</v>
      </c>
      <c r="V39" s="319" t="str">
        <f t="shared" si="21"/>
        <v>--</v>
      </c>
      <c r="W39" s="320" t="str">
        <f t="shared" si="22"/>
        <v>--</v>
      </c>
      <c r="X39" s="328" t="str">
        <f t="shared" si="23"/>
        <v>--</v>
      </c>
      <c r="Y39" s="329" t="str">
        <f t="shared" si="24"/>
        <v>--</v>
      </c>
      <c r="Z39" s="334" t="str">
        <f t="shared" si="25"/>
        <v>--</v>
      </c>
      <c r="AA39" s="340" t="str">
        <f t="shared" si="26"/>
        <v>--</v>
      </c>
      <c r="AB39" s="24">
        <f t="shared" si="27"/>
      </c>
      <c r="AC39" s="485">
        <f t="shared" si="16"/>
      </c>
      <c r="AD39" s="431"/>
    </row>
    <row r="40" spans="1:30" s="419" customFormat="1" ht="16.5" customHeight="1">
      <c r="A40" s="418"/>
      <c r="B40" s="430"/>
      <c r="C40" s="513"/>
      <c r="D40" s="513"/>
      <c r="E40" s="513"/>
      <c r="F40" s="378"/>
      <c r="G40" s="377"/>
      <c r="H40" s="514"/>
      <c r="I40" s="515"/>
      <c r="J40" s="249">
        <f t="shared" si="17"/>
        <v>0</v>
      </c>
      <c r="K40" s="517"/>
      <c r="L40" s="517"/>
      <c r="M40" s="25">
        <f>IF(F40="","",(L40-K40)*24)</f>
      </c>
      <c r="N40" s="26">
        <f>IF(F40="","",ROUND((L40-K40)*24*60,0))</f>
      </c>
      <c r="O40" s="518"/>
      <c r="P40" s="24">
        <f>IF(F40="","",IF(OR(O40="P",O40="RP"),"--","NO"))</f>
      </c>
      <c r="Q40" s="562">
        <f>IF(F40="","","--")</f>
      </c>
      <c r="R40" s="24">
        <f>IF(F40="","","NO")</f>
      </c>
      <c r="S40" s="300">
        <f t="shared" si="18"/>
        <v>3</v>
      </c>
      <c r="T40" s="563" t="str">
        <f t="shared" si="19"/>
        <v>--</v>
      </c>
      <c r="U40" s="564" t="str">
        <f t="shared" si="20"/>
        <v>--</v>
      </c>
      <c r="V40" s="319" t="str">
        <f t="shared" si="21"/>
        <v>--</v>
      </c>
      <c r="W40" s="320" t="str">
        <f t="shared" si="22"/>
        <v>--</v>
      </c>
      <c r="X40" s="328" t="str">
        <f t="shared" si="23"/>
        <v>--</v>
      </c>
      <c r="Y40" s="329" t="str">
        <f t="shared" si="24"/>
        <v>--</v>
      </c>
      <c r="Z40" s="334" t="str">
        <f t="shared" si="25"/>
        <v>--</v>
      </c>
      <c r="AA40" s="340" t="str">
        <f t="shared" si="26"/>
        <v>--</v>
      </c>
      <c r="AB40" s="24">
        <f t="shared" si="27"/>
      </c>
      <c r="AC40" s="485">
        <f>IF(F40="","",SUM(T40:AA40)*IF(AB40="SI",1,2))</f>
      </c>
      <c r="AD40" s="431"/>
    </row>
    <row r="41" spans="1:30" s="419" customFormat="1" ht="16.5" customHeight="1">
      <c r="A41" s="418"/>
      <c r="B41" s="430"/>
      <c r="C41" s="513"/>
      <c r="D41" s="513"/>
      <c r="E41" s="513"/>
      <c r="F41" s="378"/>
      <c r="G41" s="377"/>
      <c r="H41" s="514"/>
      <c r="I41" s="515"/>
      <c r="J41" s="249">
        <f t="shared" si="17"/>
        <v>0</v>
      </c>
      <c r="K41" s="517"/>
      <c r="L41" s="517"/>
      <c r="M41" s="25">
        <f>IF(F41="","",(L41-K41)*24)</f>
      </c>
      <c r="N41" s="26">
        <f>IF(F41="","",ROUND((L41-K41)*24*60,0))</f>
      </c>
      <c r="O41" s="518"/>
      <c r="P41" s="24">
        <f>IF(F41="","",IF(OR(O41="P",O41="RP"),"--","NO"))</f>
      </c>
      <c r="Q41" s="562">
        <f>IF(F41="","","--")</f>
      </c>
      <c r="R41" s="24">
        <f>IF(F41="","","NO")</f>
      </c>
      <c r="S41" s="300">
        <f t="shared" si="18"/>
        <v>3</v>
      </c>
      <c r="T41" s="563" t="str">
        <f t="shared" si="19"/>
        <v>--</v>
      </c>
      <c r="U41" s="564" t="str">
        <f t="shared" si="20"/>
        <v>--</v>
      </c>
      <c r="V41" s="319" t="str">
        <f t="shared" si="21"/>
        <v>--</v>
      </c>
      <c r="W41" s="320" t="str">
        <f t="shared" si="22"/>
        <v>--</v>
      </c>
      <c r="X41" s="328" t="str">
        <f t="shared" si="23"/>
        <v>--</v>
      </c>
      <c r="Y41" s="329" t="str">
        <f t="shared" si="24"/>
        <v>--</v>
      </c>
      <c r="Z41" s="334" t="str">
        <f t="shared" si="25"/>
        <v>--</v>
      </c>
      <c r="AA41" s="340" t="str">
        <f t="shared" si="26"/>
        <v>--</v>
      </c>
      <c r="AB41" s="24">
        <f t="shared" si="27"/>
      </c>
      <c r="AC41" s="485">
        <f>IF(F41="","",SUM(T41:AA41)*IF(AB41="SI",1,2))</f>
      </c>
      <c r="AD41" s="431"/>
    </row>
    <row r="42" spans="1:30" s="419" customFormat="1" ht="16.5" customHeight="1">
      <c r="A42" s="418"/>
      <c r="B42" s="430"/>
      <c r="C42" s="513"/>
      <c r="D42" s="513"/>
      <c r="E42" s="513"/>
      <c r="F42" s="378"/>
      <c r="G42" s="377"/>
      <c r="H42" s="514"/>
      <c r="I42" s="515"/>
      <c r="J42" s="249">
        <f t="shared" si="17"/>
        <v>0</v>
      </c>
      <c r="K42" s="517"/>
      <c r="L42" s="517"/>
      <c r="M42" s="25">
        <f>IF(F42="","",(L42-K42)*24)</f>
      </c>
      <c r="N42" s="26">
        <f>IF(F42="","",ROUND((L42-K42)*24*60,0))</f>
      </c>
      <c r="O42" s="518"/>
      <c r="P42" s="24">
        <f>IF(F42="","",IF(OR(O42="P",O42="RP"),"--","NO"))</f>
      </c>
      <c r="Q42" s="562">
        <f>IF(F42="","","--")</f>
      </c>
      <c r="R42" s="24">
        <f>IF(F42="","","NO")</f>
      </c>
      <c r="S42" s="300">
        <f t="shared" si="18"/>
        <v>3</v>
      </c>
      <c r="T42" s="563" t="str">
        <f t="shared" si="19"/>
        <v>--</v>
      </c>
      <c r="U42" s="564" t="str">
        <f t="shared" si="20"/>
        <v>--</v>
      </c>
      <c r="V42" s="319" t="str">
        <f t="shared" si="21"/>
        <v>--</v>
      </c>
      <c r="W42" s="320" t="str">
        <f t="shared" si="22"/>
        <v>--</v>
      </c>
      <c r="X42" s="328" t="str">
        <f t="shared" si="23"/>
        <v>--</v>
      </c>
      <c r="Y42" s="329" t="str">
        <f t="shared" si="24"/>
        <v>--</v>
      </c>
      <c r="Z42" s="334" t="str">
        <f t="shared" si="25"/>
        <v>--</v>
      </c>
      <c r="AA42" s="340" t="str">
        <f t="shared" si="26"/>
        <v>--</v>
      </c>
      <c r="AB42" s="24">
        <f t="shared" si="27"/>
      </c>
      <c r="AC42" s="485">
        <f>IF(F42="","",SUM(T42:AA42)*IF(AB42="SI",1,2))</f>
      </c>
      <c r="AD42" s="431"/>
    </row>
    <row r="43" spans="1:30" s="419" customFormat="1" ht="16.5" customHeight="1">
      <c r="A43" s="418"/>
      <c r="B43" s="430"/>
      <c r="C43" s="513"/>
      <c r="D43" s="513"/>
      <c r="E43" s="513"/>
      <c r="F43" s="378"/>
      <c r="G43" s="377"/>
      <c r="H43" s="514"/>
      <c r="I43" s="515"/>
      <c r="J43" s="249">
        <f t="shared" si="17"/>
        <v>0</v>
      </c>
      <c r="K43" s="517"/>
      <c r="L43" s="517"/>
      <c r="M43" s="25">
        <f>IF(F43="","",(L43-K43)*24)</f>
      </c>
      <c r="N43" s="26">
        <f>IF(F43="","",ROUND((L43-K43)*24*60,0))</f>
      </c>
      <c r="O43" s="518"/>
      <c r="P43" s="24">
        <f>IF(F43="","",IF(OR(O43="P",O43="RP"),"--","NO"))</f>
      </c>
      <c r="Q43" s="562">
        <f>IF(F43="","","--")</f>
      </c>
      <c r="R43" s="24">
        <f>IF(F43="","","NO")</f>
      </c>
      <c r="S43" s="300">
        <f t="shared" si="18"/>
        <v>3</v>
      </c>
      <c r="T43" s="563" t="str">
        <f t="shared" si="19"/>
        <v>--</v>
      </c>
      <c r="U43" s="564" t="str">
        <f t="shared" si="20"/>
        <v>--</v>
      </c>
      <c r="V43" s="319" t="str">
        <f t="shared" si="21"/>
        <v>--</v>
      </c>
      <c r="W43" s="320" t="str">
        <f t="shared" si="22"/>
        <v>--</v>
      </c>
      <c r="X43" s="328" t="str">
        <f t="shared" si="23"/>
        <v>--</v>
      </c>
      <c r="Y43" s="329" t="str">
        <f t="shared" si="24"/>
        <v>--</v>
      </c>
      <c r="Z43" s="334" t="str">
        <f t="shared" si="25"/>
        <v>--</v>
      </c>
      <c r="AA43" s="340" t="str">
        <f t="shared" si="26"/>
        <v>--</v>
      </c>
      <c r="AB43" s="24">
        <f t="shared" si="27"/>
      </c>
      <c r="AC43" s="485">
        <f>IF(F43="","",SUM(T43:AA43)*IF(AB43="SI",1,2))</f>
      </c>
      <c r="AD43" s="431"/>
    </row>
    <row r="44" spans="1:30" s="419" customFormat="1" ht="16.5" customHeight="1" thickBot="1">
      <c r="A44" s="418"/>
      <c r="B44" s="430"/>
      <c r="C44" s="516"/>
      <c r="D44" s="516"/>
      <c r="E44" s="516"/>
      <c r="F44" s="516"/>
      <c r="G44" s="516"/>
      <c r="H44" s="516"/>
      <c r="I44" s="516"/>
      <c r="J44" s="488"/>
      <c r="K44" s="516"/>
      <c r="L44" s="516"/>
      <c r="M44" s="487"/>
      <c r="N44" s="487"/>
      <c r="O44" s="516"/>
      <c r="P44" s="516"/>
      <c r="Q44" s="516"/>
      <c r="R44" s="516"/>
      <c r="S44" s="519"/>
      <c r="T44" s="520"/>
      <c r="U44" s="521"/>
      <c r="V44" s="522"/>
      <c r="W44" s="523"/>
      <c r="X44" s="524"/>
      <c r="Y44" s="525"/>
      <c r="Z44" s="526"/>
      <c r="AA44" s="527"/>
      <c r="AB44" s="516"/>
      <c r="AC44" s="489"/>
      <c r="AD44" s="431"/>
    </row>
    <row r="45" spans="1:30" s="419" customFormat="1" ht="16.5" customHeight="1" thickBot="1" thickTop="1">
      <c r="A45" s="418"/>
      <c r="B45" s="430"/>
      <c r="C45" s="490" t="s">
        <v>68</v>
      </c>
      <c r="D45" s="950" t="s">
        <v>168</v>
      </c>
      <c r="E45" s="227"/>
      <c r="F45" s="222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491">
        <f aca="true" t="shared" si="28" ref="T45:AA45">SUM(T22:T44)</f>
        <v>181.70001000000002</v>
      </c>
      <c r="U45" s="492">
        <f t="shared" si="28"/>
        <v>0</v>
      </c>
      <c r="V45" s="493">
        <f t="shared" si="28"/>
        <v>0</v>
      </c>
      <c r="W45" s="493">
        <f t="shared" si="28"/>
        <v>0</v>
      </c>
      <c r="X45" s="494">
        <f t="shared" si="28"/>
        <v>0</v>
      </c>
      <c r="Y45" s="494">
        <f t="shared" si="28"/>
        <v>0</v>
      </c>
      <c r="Z45" s="495">
        <f t="shared" si="28"/>
        <v>0</v>
      </c>
      <c r="AA45" s="496">
        <f t="shared" si="28"/>
        <v>0</v>
      </c>
      <c r="AB45" s="497"/>
      <c r="AC45" s="498">
        <f>ROUND(SUM(AC22:AC44),2)</f>
        <v>181.7</v>
      </c>
      <c r="AD45" s="431"/>
    </row>
    <row r="46" spans="1:30" s="506" customFormat="1" ht="9.75" thickTop="1">
      <c r="A46" s="499"/>
      <c r="B46" s="500"/>
      <c r="C46" s="501"/>
      <c r="D46" s="501"/>
      <c r="E46" s="501"/>
      <c r="F46" s="224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3"/>
      <c r="U46" s="503"/>
      <c r="V46" s="503"/>
      <c r="W46" s="503"/>
      <c r="X46" s="503"/>
      <c r="Y46" s="503"/>
      <c r="Z46" s="503"/>
      <c r="AA46" s="503"/>
      <c r="AB46" s="502"/>
      <c r="AC46" s="504"/>
      <c r="AD46" s="505"/>
    </row>
    <row r="47" spans="1:30" s="419" customFormat="1" ht="16.5" customHeight="1" thickBot="1">
      <c r="A47" s="418"/>
      <c r="B47" s="507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9"/>
    </row>
    <row r="48" spans="2:30" ht="16.5" customHeight="1" thickTop="1"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2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 horizontalCentered="1"/>
  <pageMargins left="0.21" right="0.34" top="0.7874015748031497" bottom="0.52" header="0.5118110236220472" footer="0.33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85" zoomScaleNormal="85" zoomScalePageLayoutView="0" workbookViewId="0" topLeftCell="E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92" customFormat="1" ht="26.25"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372"/>
    </row>
    <row r="2" spans="2:30" s="92" customFormat="1" ht="26.25">
      <c r="B2" s="93" t="str">
        <f>+'TOT-1115'!B2</f>
        <v>ANEXO V al Memorándum  D.T.E.E.  N°  379 / 2016             .-</v>
      </c>
      <c r="C2" s="94"/>
      <c r="D2" s="94"/>
      <c r="E2" s="154"/>
      <c r="F2" s="154"/>
      <c r="G2" s="9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10" customFormat="1" ht="12.75"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s="95" customFormat="1" ht="11.25">
      <c r="A4" s="548" t="s">
        <v>21</v>
      </c>
      <c r="C4" s="547"/>
      <c r="D4" s="547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</row>
    <row r="5" spans="1:30" s="95" customFormat="1" ht="11.25">
      <c r="A5" s="548" t="s">
        <v>143</v>
      </c>
      <c r="C5" s="547"/>
      <c r="D5" s="547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</row>
    <row r="6" spans="1:30" s="10" customFormat="1" ht="13.5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10" customFormat="1" ht="13.5" thickTop="1">
      <c r="A7" s="152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7"/>
    </row>
    <row r="8" spans="1:30" s="97" customFormat="1" ht="20.25">
      <c r="A8" s="170"/>
      <c r="B8" s="171"/>
      <c r="C8" s="159"/>
      <c r="D8" s="159"/>
      <c r="E8" s="159"/>
      <c r="F8" s="21" t="s">
        <v>44</v>
      </c>
      <c r="H8" s="159"/>
      <c r="I8" s="170"/>
      <c r="J8" s="170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72"/>
    </row>
    <row r="9" spans="1:30" s="97" customFormat="1" ht="7.5" customHeight="1">
      <c r="A9" s="170"/>
      <c r="B9" s="171"/>
      <c r="C9" s="159"/>
      <c r="D9" s="159"/>
      <c r="E9" s="159"/>
      <c r="F9" s="21"/>
      <c r="H9" s="159"/>
      <c r="I9" s="170"/>
      <c r="J9" s="170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72"/>
    </row>
    <row r="10" spans="1:30" s="10" customFormat="1" ht="7.5" customHeight="1">
      <c r="A10" s="152"/>
      <c r="B10" s="158"/>
      <c r="C10" s="29"/>
      <c r="D10" s="29"/>
      <c r="E10" s="29"/>
      <c r="F10" s="29"/>
      <c r="G10" s="29"/>
      <c r="H10" s="29"/>
      <c r="I10" s="152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7"/>
    </row>
    <row r="11" spans="1:30" s="97" customFormat="1" ht="20.25">
      <c r="A11" s="170"/>
      <c r="B11" s="171"/>
      <c r="C11" s="159"/>
      <c r="D11" s="159"/>
      <c r="E11" s="159"/>
      <c r="F11" s="200" t="s">
        <v>85</v>
      </c>
      <c r="G11" s="159"/>
      <c r="H11" s="159"/>
      <c r="I11" s="170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72"/>
    </row>
    <row r="12" spans="1:30" s="97" customFormat="1" ht="8.25" customHeight="1">
      <c r="A12" s="170"/>
      <c r="B12" s="171"/>
      <c r="C12" s="159"/>
      <c r="D12" s="159"/>
      <c r="E12" s="159"/>
      <c r="F12" s="200"/>
      <c r="G12" s="159"/>
      <c r="H12" s="159"/>
      <c r="I12" s="170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72"/>
    </row>
    <row r="13" spans="1:30" s="10" customFormat="1" ht="8.25" customHeight="1">
      <c r="A13" s="152"/>
      <c r="B13" s="158"/>
      <c r="C13" s="29"/>
      <c r="D13" s="29"/>
      <c r="E13" s="29"/>
      <c r="F13" s="106"/>
      <c r="G13" s="161"/>
      <c r="H13" s="161"/>
      <c r="I13" s="162"/>
      <c r="J13" s="16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7"/>
    </row>
    <row r="14" spans="1:30" s="104" customFormat="1" ht="19.5">
      <c r="A14" s="176"/>
      <c r="B14" s="70" t="str">
        <f>+'TOT-1115'!B14</f>
        <v>Desde el 01 al 30 de noviembre de 2015</v>
      </c>
      <c r="C14" s="177"/>
      <c r="D14" s="177"/>
      <c r="E14" s="177"/>
      <c r="F14" s="177"/>
      <c r="G14" s="177"/>
      <c r="H14" s="177"/>
      <c r="I14" s="178"/>
      <c r="J14" s="177"/>
      <c r="K14" s="101"/>
      <c r="L14" s="101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9"/>
    </row>
    <row r="15" spans="1:30" s="78" customFormat="1" ht="8.25" customHeight="1">
      <c r="A15" s="74"/>
      <c r="B15" s="75"/>
      <c r="C15" s="74"/>
      <c r="D15" s="74"/>
      <c r="E15" s="74"/>
      <c r="F15" s="538"/>
      <c r="G15" s="539"/>
      <c r="H15" s="540"/>
      <c r="I15" s="74"/>
      <c r="K15" s="80"/>
      <c r="L15" s="81"/>
      <c r="M15" s="216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7"/>
    </row>
    <row r="16" spans="1:30" s="10" customFormat="1" ht="8.25" customHeight="1" thickBot="1">
      <c r="A16" s="152"/>
      <c r="B16" s="158"/>
      <c r="C16" s="29"/>
      <c r="D16" s="29"/>
      <c r="E16" s="29"/>
      <c r="F16" s="29"/>
      <c r="G16" s="29"/>
      <c r="H16" s="29"/>
      <c r="I16" s="66"/>
      <c r="J16" s="29"/>
      <c r="K16" s="167"/>
      <c r="L16" s="16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7"/>
    </row>
    <row r="17" spans="1:30" s="10" customFormat="1" ht="16.5" customHeight="1" thickBot="1" thickTop="1">
      <c r="A17" s="152"/>
      <c r="B17" s="158"/>
      <c r="C17" s="29"/>
      <c r="D17" s="29"/>
      <c r="E17" s="29"/>
      <c r="F17" s="180" t="s">
        <v>72</v>
      </c>
      <c r="G17" s="181"/>
      <c r="H17" s="182"/>
      <c r="I17" s="183">
        <v>0.243</v>
      </c>
      <c r="J17" s="152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7"/>
    </row>
    <row r="18" spans="1:30" s="10" customFormat="1" ht="16.5" customHeight="1" thickBot="1" thickTop="1">
      <c r="A18" s="152"/>
      <c r="B18" s="158"/>
      <c r="C18" s="29"/>
      <c r="D18" s="29"/>
      <c r="E18" s="29"/>
      <c r="F18" s="184" t="s">
        <v>73</v>
      </c>
      <c r="G18" s="185"/>
      <c r="H18" s="185"/>
      <c r="I18" s="186">
        <f>30*'TOT-1115'!B13</f>
        <v>30</v>
      </c>
      <c r="J18" s="29"/>
      <c r="K18" s="216" t="str">
        <f>IF(I18=30," ",IF(I18=60,"Coeficiente duplicado por tasa de falla &gt;4 Sal. x año/100 km.","REVISAR COEFICIENTE"))</f>
        <v> 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63"/>
      <c r="X18" s="163"/>
      <c r="Y18" s="163"/>
      <c r="Z18" s="163"/>
      <c r="AA18" s="163"/>
      <c r="AB18" s="163"/>
      <c r="AC18" s="163"/>
      <c r="AD18" s="37"/>
    </row>
    <row r="19" spans="1:30" s="78" customFormat="1" ht="8.25" customHeight="1" thickTop="1">
      <c r="A19" s="74"/>
      <c r="B19" s="75"/>
      <c r="C19" s="74"/>
      <c r="D19" s="74"/>
      <c r="E19" s="74"/>
      <c r="F19" s="538"/>
      <c r="G19" s="539"/>
      <c r="H19" s="540"/>
      <c r="I19" s="74"/>
      <c r="K19" s="80"/>
      <c r="L19" s="81"/>
      <c r="M19" s="216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7"/>
    </row>
    <row r="20" spans="1:30" s="571" customFormat="1" ht="15" customHeight="1" thickBot="1">
      <c r="A20" s="577"/>
      <c r="B20" s="578"/>
      <c r="C20" s="579">
        <v>3</v>
      </c>
      <c r="D20" s="579">
        <v>4</v>
      </c>
      <c r="E20" s="579">
        <v>5</v>
      </c>
      <c r="F20" s="579">
        <v>6</v>
      </c>
      <c r="G20" s="579">
        <v>7</v>
      </c>
      <c r="H20" s="579">
        <v>8</v>
      </c>
      <c r="I20" s="579">
        <v>9</v>
      </c>
      <c r="J20" s="579">
        <v>10</v>
      </c>
      <c r="K20" s="579">
        <v>11</v>
      </c>
      <c r="L20" s="579">
        <v>12</v>
      </c>
      <c r="M20" s="579">
        <v>13</v>
      </c>
      <c r="N20" s="579">
        <v>14</v>
      </c>
      <c r="O20" s="579">
        <v>15</v>
      </c>
      <c r="P20" s="579">
        <v>16</v>
      </c>
      <c r="Q20" s="579">
        <v>17</v>
      </c>
      <c r="R20" s="579">
        <v>18</v>
      </c>
      <c r="S20" s="579">
        <v>19</v>
      </c>
      <c r="T20" s="579">
        <v>20</v>
      </c>
      <c r="U20" s="579">
        <v>21</v>
      </c>
      <c r="V20" s="579">
        <v>22</v>
      </c>
      <c r="W20" s="579">
        <v>23</v>
      </c>
      <c r="X20" s="579">
        <v>24</v>
      </c>
      <c r="Y20" s="579">
        <v>25</v>
      </c>
      <c r="Z20" s="579">
        <v>26</v>
      </c>
      <c r="AA20" s="579">
        <v>27</v>
      </c>
      <c r="AB20" s="579">
        <v>28</v>
      </c>
      <c r="AC20" s="579">
        <v>29</v>
      </c>
      <c r="AD20" s="580"/>
    </row>
    <row r="21" spans="1:30" s="91" customFormat="1" ht="33.75" customHeight="1" thickBot="1" thickTop="1">
      <c r="A21" s="187"/>
      <c r="B21" s="188"/>
      <c r="C21" s="190" t="s">
        <v>50</v>
      </c>
      <c r="D21" s="84" t="s">
        <v>142</v>
      </c>
      <c r="E21" s="84" t="s">
        <v>141</v>
      </c>
      <c r="F21" s="195" t="s">
        <v>74</v>
      </c>
      <c r="G21" s="191" t="s">
        <v>19</v>
      </c>
      <c r="H21" s="192" t="s">
        <v>75</v>
      </c>
      <c r="I21" s="193" t="s">
        <v>51</v>
      </c>
      <c r="J21" s="246" t="s">
        <v>53</v>
      </c>
      <c r="K21" s="194" t="s">
        <v>76</v>
      </c>
      <c r="L21" s="194" t="s">
        <v>77</v>
      </c>
      <c r="M21" s="195" t="s">
        <v>78</v>
      </c>
      <c r="N21" s="195" t="s">
        <v>79</v>
      </c>
      <c r="O21" s="88" t="s">
        <v>58</v>
      </c>
      <c r="P21" s="196" t="s">
        <v>80</v>
      </c>
      <c r="Q21" s="195" t="s">
        <v>81</v>
      </c>
      <c r="R21" s="191" t="s">
        <v>82</v>
      </c>
      <c r="S21" s="297" t="s">
        <v>83</v>
      </c>
      <c r="T21" s="283" t="s">
        <v>60</v>
      </c>
      <c r="U21" s="307" t="s">
        <v>61</v>
      </c>
      <c r="V21" s="313" t="s">
        <v>84</v>
      </c>
      <c r="W21" s="314"/>
      <c r="X21" s="322" t="s">
        <v>84</v>
      </c>
      <c r="Y21" s="323"/>
      <c r="Z21" s="331" t="s">
        <v>64</v>
      </c>
      <c r="AA21" s="337" t="s">
        <v>65</v>
      </c>
      <c r="AB21" s="193" t="s">
        <v>66</v>
      </c>
      <c r="AC21" s="193" t="s">
        <v>67</v>
      </c>
      <c r="AD21" s="189"/>
    </row>
    <row r="22" spans="1:30" s="10" customFormat="1" ht="16.5" customHeight="1" thickTop="1">
      <c r="A22" s="152"/>
      <c r="B22" s="158"/>
      <c r="C22" s="18"/>
      <c r="D22" s="18"/>
      <c r="E22" s="18"/>
      <c r="F22" s="22"/>
      <c r="G22" s="22"/>
      <c r="H22" s="22"/>
      <c r="I22" s="22"/>
      <c r="J22" s="251"/>
      <c r="K22" s="23"/>
      <c r="L22" s="22"/>
      <c r="M22" s="23"/>
      <c r="N22" s="23"/>
      <c r="O22" s="22"/>
      <c r="P22" s="22"/>
      <c r="Q22" s="22"/>
      <c r="R22" s="22"/>
      <c r="S22" s="298"/>
      <c r="T22" s="302"/>
      <c r="U22" s="308"/>
      <c r="V22" s="315"/>
      <c r="W22" s="316"/>
      <c r="X22" s="324"/>
      <c r="Y22" s="325"/>
      <c r="Z22" s="332"/>
      <c r="AA22" s="338"/>
      <c r="AB22" s="22"/>
      <c r="AC22" s="61"/>
      <c r="AD22" s="37"/>
    </row>
    <row r="23" spans="1:30" s="10" customFormat="1" ht="16.5" customHeight="1">
      <c r="A23" s="152"/>
      <c r="B23" s="158"/>
      <c r="C23" s="18"/>
      <c r="D23" s="18"/>
      <c r="E23" s="18"/>
      <c r="F23" s="19"/>
      <c r="G23" s="19"/>
      <c r="H23" s="19"/>
      <c r="I23" s="19"/>
      <c r="J23" s="252"/>
      <c r="K23" s="20"/>
      <c r="L23" s="19"/>
      <c r="M23" s="20"/>
      <c r="N23" s="20"/>
      <c r="O23" s="19"/>
      <c r="P23" s="19"/>
      <c r="Q23" s="19"/>
      <c r="R23" s="19"/>
      <c r="S23" s="299"/>
      <c r="T23" s="303"/>
      <c r="U23" s="309"/>
      <c r="V23" s="317"/>
      <c r="W23" s="318"/>
      <c r="X23" s="326"/>
      <c r="Y23" s="327"/>
      <c r="Z23" s="333"/>
      <c r="AA23" s="339"/>
      <c r="AB23" s="19"/>
      <c r="AC23" s="198"/>
      <c r="AD23" s="37"/>
    </row>
    <row r="24" spans="1:30" s="10" customFormat="1" ht="16.5" customHeight="1">
      <c r="A24" s="152"/>
      <c r="B24" s="158"/>
      <c r="C24" s="513">
        <v>9</v>
      </c>
      <c r="D24" s="513">
        <v>294226</v>
      </c>
      <c r="E24" s="513">
        <v>1812</v>
      </c>
      <c r="F24" s="378" t="s">
        <v>16</v>
      </c>
      <c r="G24" s="377" t="s">
        <v>155</v>
      </c>
      <c r="H24" s="514">
        <v>15</v>
      </c>
      <c r="I24" s="543" t="s">
        <v>152</v>
      </c>
      <c r="J24" s="249">
        <f aca="true" t="shared" si="0" ref="J24:J43">H24*$I$17</f>
        <v>3.645</v>
      </c>
      <c r="K24" s="517">
        <v>42312.54513888889</v>
      </c>
      <c r="L24" s="517">
        <v>42312.74236111111</v>
      </c>
      <c r="M24" s="25">
        <f aca="true" t="shared" si="1" ref="M24:M43">IF(F24="","",(L24-K24)*24)</f>
        <v>4.7333333332207985</v>
      </c>
      <c r="N24" s="26">
        <f aca="true" t="shared" si="2" ref="N24:N43">IF(F24="","",ROUND((L24-K24)*24*60,0))</f>
        <v>284</v>
      </c>
      <c r="O24" s="518" t="s">
        <v>147</v>
      </c>
      <c r="P24" s="24" t="str">
        <f>IF(F24="","",IF(OR(O24="P",O24="RP"),"--","NO"))</f>
        <v>--</v>
      </c>
      <c r="Q24" s="562" t="str">
        <f aca="true" t="shared" si="3" ref="Q24:Q43">IF(F24="","","--")</f>
        <v>--</v>
      </c>
      <c r="R24" s="24" t="str">
        <f aca="true" t="shared" si="4" ref="R24:R43">IF(F24="","","NO")</f>
        <v>NO</v>
      </c>
      <c r="S24" s="300">
        <f aca="true" t="shared" si="5" ref="S24:S43">$I$18*IF(OR(O24="P",O24="RP"),0.1,1)*IF(R24="SI",1,0.1)</f>
        <v>0.30000000000000004</v>
      </c>
      <c r="T24" s="304">
        <f aca="true" t="shared" si="6" ref="T24:T43">IF(O24="P",J24*S24*ROUND(N24/60,2),"--")</f>
        <v>5.172255000000001</v>
      </c>
      <c r="U24" s="310" t="str">
        <f aca="true" t="shared" si="7" ref="U24:U43">IF(O24="RP",J24*S24*ROUND(N24/60,2)*Q24/100,"--")</f>
        <v>--</v>
      </c>
      <c r="V24" s="319" t="str">
        <f aca="true" t="shared" si="8" ref="V24:V43">IF(AND(O24="F",P24="NO"),J24*S24,"--")</f>
        <v>--</v>
      </c>
      <c r="W24" s="320" t="str">
        <f aca="true" t="shared" si="9" ref="W24:W43">IF(O24="F",J24*S24*ROUND(N24/60,2),"--")</f>
        <v>--</v>
      </c>
      <c r="X24" s="328" t="str">
        <f aca="true" t="shared" si="10" ref="X24:X43">IF(AND(O24="R",P24="NO"),J24*S24*Q24/100,"--")</f>
        <v>--</v>
      </c>
      <c r="Y24" s="329" t="str">
        <f aca="true" t="shared" si="11" ref="Y24:Y43">IF(O24="R",J24*S24*ROUND(N24/60,2)*Q24/100,"--")</f>
        <v>--</v>
      </c>
      <c r="Z24" s="334" t="str">
        <f aca="true" t="shared" si="12" ref="Z24:Z43">IF(O24="RF",J24*S24*ROUND(N24/60,2),"--")</f>
        <v>--</v>
      </c>
      <c r="AA24" s="340" t="str">
        <f aca="true" t="shared" si="13" ref="AA24:AA43">IF(O24="RR",J24*S24*ROUND(N24/60,2)*Q24/100,"--")</f>
        <v>--</v>
      </c>
      <c r="AB24" s="24" t="str">
        <f aca="true" t="shared" si="14" ref="AB24:AB43">IF(F24="","","SI")</f>
        <v>SI</v>
      </c>
      <c r="AC24" s="62">
        <f aca="true" t="shared" si="15" ref="AC24:AC43">IF(F24="","",SUM(T24:AA24)*IF(AB24="SI",1,2))</f>
        <v>5.172255000000001</v>
      </c>
      <c r="AD24" s="367"/>
    </row>
    <row r="25" spans="1:30" s="10" customFormat="1" ht="16.5" customHeight="1">
      <c r="A25" s="152"/>
      <c r="B25" s="158"/>
      <c r="C25" s="513">
        <v>10</v>
      </c>
      <c r="D25" s="513">
        <v>294227</v>
      </c>
      <c r="E25" s="513">
        <v>1813</v>
      </c>
      <c r="F25" s="378" t="s">
        <v>16</v>
      </c>
      <c r="G25" s="377" t="s">
        <v>186</v>
      </c>
      <c r="H25" s="514">
        <v>15</v>
      </c>
      <c r="I25" s="543" t="s">
        <v>152</v>
      </c>
      <c r="J25" s="249">
        <f t="shared" si="0"/>
        <v>3.645</v>
      </c>
      <c r="K25" s="517">
        <v>42313.53333333333</v>
      </c>
      <c r="L25" s="517">
        <v>42313.74652777778</v>
      </c>
      <c r="M25" s="25">
        <f t="shared" si="1"/>
        <v>5.116666666755918</v>
      </c>
      <c r="N25" s="26">
        <f t="shared" si="2"/>
        <v>307</v>
      </c>
      <c r="O25" s="518" t="s">
        <v>147</v>
      </c>
      <c r="P25" s="24" t="str">
        <f aca="true" t="shared" si="16" ref="P25:P43">IF(F25="","",IF(OR(O25="P",O25="RP"),"--","NO"))</f>
        <v>--</v>
      </c>
      <c r="Q25" s="562" t="str">
        <f t="shared" si="3"/>
        <v>--</v>
      </c>
      <c r="R25" s="24" t="str">
        <f t="shared" si="4"/>
        <v>NO</v>
      </c>
      <c r="S25" s="300">
        <f t="shared" si="5"/>
        <v>0.30000000000000004</v>
      </c>
      <c r="T25" s="304">
        <f t="shared" si="6"/>
        <v>5.598720000000001</v>
      </c>
      <c r="U25" s="310" t="str">
        <f t="shared" si="7"/>
        <v>--</v>
      </c>
      <c r="V25" s="319" t="str">
        <f t="shared" si="8"/>
        <v>--</v>
      </c>
      <c r="W25" s="320" t="str">
        <f t="shared" si="9"/>
        <v>--</v>
      </c>
      <c r="X25" s="328" t="str">
        <f t="shared" si="10"/>
        <v>--</v>
      </c>
      <c r="Y25" s="329" t="str">
        <f t="shared" si="11"/>
        <v>--</v>
      </c>
      <c r="Z25" s="334" t="str">
        <f t="shared" si="12"/>
        <v>--</v>
      </c>
      <c r="AA25" s="340" t="str">
        <f t="shared" si="13"/>
        <v>--</v>
      </c>
      <c r="AB25" s="24" t="str">
        <f t="shared" si="14"/>
        <v>SI</v>
      </c>
      <c r="AC25" s="62">
        <f t="shared" si="15"/>
        <v>5.598720000000001</v>
      </c>
      <c r="AD25" s="367"/>
    </row>
    <row r="26" spans="1:30" s="10" customFormat="1" ht="16.5" customHeight="1">
      <c r="A26" s="152"/>
      <c r="B26" s="158"/>
      <c r="C26" s="513">
        <v>11</v>
      </c>
      <c r="D26" s="513">
        <v>294706</v>
      </c>
      <c r="E26" s="513">
        <v>4970</v>
      </c>
      <c r="F26" s="378" t="s">
        <v>187</v>
      </c>
      <c r="G26" s="377" t="s">
        <v>10</v>
      </c>
      <c r="H26" s="514">
        <v>15</v>
      </c>
      <c r="I26" s="543" t="s">
        <v>152</v>
      </c>
      <c r="J26" s="249">
        <f t="shared" si="0"/>
        <v>3.645</v>
      </c>
      <c r="K26" s="517">
        <v>42318.373611111114</v>
      </c>
      <c r="L26" s="517">
        <v>42318.70208333333</v>
      </c>
      <c r="M26" s="25">
        <f t="shared" si="1"/>
        <v>7.883333333185874</v>
      </c>
      <c r="N26" s="26">
        <f t="shared" si="2"/>
        <v>473</v>
      </c>
      <c r="O26" s="518" t="s">
        <v>147</v>
      </c>
      <c r="P26" s="24" t="str">
        <f t="shared" si="16"/>
        <v>--</v>
      </c>
      <c r="Q26" s="562" t="str">
        <f t="shared" si="3"/>
        <v>--</v>
      </c>
      <c r="R26" s="24" t="str">
        <f t="shared" si="4"/>
        <v>NO</v>
      </c>
      <c r="S26" s="300">
        <f t="shared" si="5"/>
        <v>0.30000000000000004</v>
      </c>
      <c r="T26" s="304">
        <f t="shared" si="6"/>
        <v>8.61678</v>
      </c>
      <c r="U26" s="310" t="str">
        <f t="shared" si="7"/>
        <v>--</v>
      </c>
      <c r="V26" s="319" t="str">
        <f t="shared" si="8"/>
        <v>--</v>
      </c>
      <c r="W26" s="320" t="str">
        <f t="shared" si="9"/>
        <v>--</v>
      </c>
      <c r="X26" s="328" t="str">
        <f t="shared" si="10"/>
        <v>--</v>
      </c>
      <c r="Y26" s="329" t="str">
        <f t="shared" si="11"/>
        <v>--</v>
      </c>
      <c r="Z26" s="334" t="str">
        <f t="shared" si="12"/>
        <v>--</v>
      </c>
      <c r="AA26" s="340" t="str">
        <f t="shared" si="13"/>
        <v>--</v>
      </c>
      <c r="AB26" s="24" t="str">
        <f t="shared" si="14"/>
        <v>SI</v>
      </c>
      <c r="AC26" s="62">
        <f t="shared" si="15"/>
        <v>8.61678</v>
      </c>
      <c r="AD26" s="367"/>
    </row>
    <row r="27" spans="1:30" s="10" customFormat="1" ht="16.5" customHeight="1">
      <c r="A27" s="152"/>
      <c r="B27" s="158"/>
      <c r="C27" s="513">
        <v>12</v>
      </c>
      <c r="D27" s="513">
        <v>294992</v>
      </c>
      <c r="E27" s="513">
        <v>1805</v>
      </c>
      <c r="F27" s="378" t="s">
        <v>188</v>
      </c>
      <c r="G27" s="377" t="s">
        <v>9</v>
      </c>
      <c r="H27" s="514">
        <v>15</v>
      </c>
      <c r="I27" s="543" t="s">
        <v>152</v>
      </c>
      <c r="J27" s="249">
        <f t="shared" si="0"/>
        <v>3.645</v>
      </c>
      <c r="K27" s="517">
        <v>42325.39375</v>
      </c>
      <c r="L27" s="517">
        <v>42325.46527777778</v>
      </c>
      <c r="M27" s="25">
        <f t="shared" si="1"/>
        <v>1.7166666666744277</v>
      </c>
      <c r="N27" s="26">
        <f t="shared" si="2"/>
        <v>103</v>
      </c>
      <c r="O27" s="518" t="s">
        <v>151</v>
      </c>
      <c r="P27" s="24" t="str">
        <f t="shared" si="16"/>
        <v>NO</v>
      </c>
      <c r="Q27" s="562" t="str">
        <f t="shared" si="3"/>
        <v>--</v>
      </c>
      <c r="R27" s="24" t="s">
        <v>148</v>
      </c>
      <c r="S27" s="300">
        <f t="shared" si="5"/>
        <v>30</v>
      </c>
      <c r="T27" s="304" t="str">
        <f t="shared" si="6"/>
        <v>--</v>
      </c>
      <c r="U27" s="310" t="str">
        <f t="shared" si="7"/>
        <v>--</v>
      </c>
      <c r="V27" s="319">
        <f t="shared" si="8"/>
        <v>109.35</v>
      </c>
      <c r="W27" s="320">
        <f t="shared" si="9"/>
        <v>188.082</v>
      </c>
      <c r="X27" s="328" t="str">
        <f t="shared" si="10"/>
        <v>--</v>
      </c>
      <c r="Y27" s="329" t="str">
        <f t="shared" si="11"/>
        <v>--</v>
      </c>
      <c r="Z27" s="334" t="str">
        <f t="shared" si="12"/>
        <v>--</v>
      </c>
      <c r="AA27" s="340" t="str">
        <f t="shared" si="13"/>
        <v>--</v>
      </c>
      <c r="AB27" s="24" t="str">
        <f t="shared" si="14"/>
        <v>SI</v>
      </c>
      <c r="AC27" s="62">
        <f t="shared" si="15"/>
        <v>297.432</v>
      </c>
      <c r="AD27" s="367"/>
    </row>
    <row r="28" spans="1:30" s="10" customFormat="1" ht="16.5" customHeight="1">
      <c r="A28" s="152"/>
      <c r="B28" s="158"/>
      <c r="C28" s="513"/>
      <c r="D28" s="513"/>
      <c r="E28" s="513"/>
      <c r="F28" s="378"/>
      <c r="G28" s="377"/>
      <c r="H28" s="514"/>
      <c r="I28" s="515"/>
      <c r="J28" s="249">
        <f t="shared" si="0"/>
        <v>0</v>
      </c>
      <c r="K28" s="517"/>
      <c r="L28" s="517"/>
      <c r="M28" s="25">
        <f t="shared" si="1"/>
      </c>
      <c r="N28" s="26">
        <f t="shared" si="2"/>
      </c>
      <c r="O28" s="518"/>
      <c r="P28" s="24">
        <f t="shared" si="16"/>
      </c>
      <c r="Q28" s="562">
        <f t="shared" si="3"/>
      </c>
      <c r="R28" s="24">
        <f t="shared" si="4"/>
      </c>
      <c r="S28" s="300">
        <f t="shared" si="5"/>
        <v>3</v>
      </c>
      <c r="T28" s="304" t="str">
        <f t="shared" si="6"/>
        <v>--</v>
      </c>
      <c r="U28" s="310" t="str">
        <f t="shared" si="7"/>
        <v>--</v>
      </c>
      <c r="V28" s="319" t="str">
        <f t="shared" si="8"/>
        <v>--</v>
      </c>
      <c r="W28" s="320" t="str">
        <f t="shared" si="9"/>
        <v>--</v>
      </c>
      <c r="X28" s="328" t="str">
        <f t="shared" si="10"/>
        <v>--</v>
      </c>
      <c r="Y28" s="329" t="str">
        <f t="shared" si="11"/>
        <v>--</v>
      </c>
      <c r="Z28" s="334" t="str">
        <f t="shared" si="12"/>
        <v>--</v>
      </c>
      <c r="AA28" s="340" t="str">
        <f t="shared" si="13"/>
        <v>--</v>
      </c>
      <c r="AB28" s="24">
        <f t="shared" si="14"/>
      </c>
      <c r="AC28" s="62">
        <f t="shared" si="15"/>
      </c>
      <c r="AD28" s="367"/>
    </row>
    <row r="29" spans="1:30" s="10" customFormat="1" ht="16.5" customHeight="1">
      <c r="A29" s="152"/>
      <c r="B29" s="158"/>
      <c r="C29" s="513"/>
      <c r="D29" s="513"/>
      <c r="E29" s="513"/>
      <c r="F29" s="378"/>
      <c r="G29" s="377"/>
      <c r="H29" s="514"/>
      <c r="I29" s="515"/>
      <c r="J29" s="249">
        <f t="shared" si="0"/>
        <v>0</v>
      </c>
      <c r="K29" s="517"/>
      <c r="L29" s="517"/>
      <c r="M29" s="25">
        <f t="shared" si="1"/>
      </c>
      <c r="N29" s="26">
        <f t="shared" si="2"/>
      </c>
      <c r="O29" s="518"/>
      <c r="P29" s="24">
        <f t="shared" si="16"/>
      </c>
      <c r="Q29" s="562">
        <f t="shared" si="3"/>
      </c>
      <c r="R29" s="24">
        <f t="shared" si="4"/>
      </c>
      <c r="S29" s="300">
        <f t="shared" si="5"/>
        <v>3</v>
      </c>
      <c r="T29" s="304" t="str">
        <f t="shared" si="6"/>
        <v>--</v>
      </c>
      <c r="U29" s="310" t="str">
        <f t="shared" si="7"/>
        <v>--</v>
      </c>
      <c r="V29" s="319" t="str">
        <f t="shared" si="8"/>
        <v>--</v>
      </c>
      <c r="W29" s="320" t="str">
        <f t="shared" si="9"/>
        <v>--</v>
      </c>
      <c r="X29" s="328" t="str">
        <f t="shared" si="10"/>
        <v>--</v>
      </c>
      <c r="Y29" s="329" t="str">
        <f t="shared" si="11"/>
        <v>--</v>
      </c>
      <c r="Z29" s="334" t="str">
        <f t="shared" si="12"/>
        <v>--</v>
      </c>
      <c r="AA29" s="340" t="str">
        <f t="shared" si="13"/>
        <v>--</v>
      </c>
      <c r="AB29" s="24">
        <f t="shared" si="14"/>
      </c>
      <c r="AC29" s="62">
        <f t="shared" si="15"/>
      </c>
      <c r="AD29" s="367"/>
    </row>
    <row r="30" spans="1:30" s="10" customFormat="1" ht="16.5" customHeight="1">
      <c r="A30" s="152"/>
      <c r="B30" s="158"/>
      <c r="C30" s="513"/>
      <c r="D30" s="513"/>
      <c r="E30" s="513"/>
      <c r="F30" s="378"/>
      <c r="G30" s="377"/>
      <c r="H30" s="514"/>
      <c r="I30" s="515"/>
      <c r="J30" s="249">
        <f t="shared" si="0"/>
        <v>0</v>
      </c>
      <c r="K30" s="517"/>
      <c r="L30" s="517"/>
      <c r="M30" s="25">
        <f t="shared" si="1"/>
      </c>
      <c r="N30" s="26">
        <f t="shared" si="2"/>
      </c>
      <c r="O30" s="518"/>
      <c r="P30" s="24">
        <f t="shared" si="16"/>
      </c>
      <c r="Q30" s="562">
        <f t="shared" si="3"/>
      </c>
      <c r="R30" s="24">
        <f t="shared" si="4"/>
      </c>
      <c r="S30" s="300">
        <f t="shared" si="5"/>
        <v>3</v>
      </c>
      <c r="T30" s="304" t="str">
        <f t="shared" si="6"/>
        <v>--</v>
      </c>
      <c r="U30" s="310" t="str">
        <f t="shared" si="7"/>
        <v>--</v>
      </c>
      <c r="V30" s="319" t="str">
        <f t="shared" si="8"/>
        <v>--</v>
      </c>
      <c r="W30" s="320" t="str">
        <f t="shared" si="9"/>
        <v>--</v>
      </c>
      <c r="X30" s="328" t="str">
        <f t="shared" si="10"/>
        <v>--</v>
      </c>
      <c r="Y30" s="329" t="str">
        <f t="shared" si="11"/>
        <v>--</v>
      </c>
      <c r="Z30" s="334" t="str">
        <f t="shared" si="12"/>
        <v>--</v>
      </c>
      <c r="AA30" s="340" t="str">
        <f t="shared" si="13"/>
        <v>--</v>
      </c>
      <c r="AB30" s="24">
        <f t="shared" si="14"/>
      </c>
      <c r="AC30" s="62">
        <f t="shared" si="15"/>
      </c>
      <c r="AD30" s="37"/>
    </row>
    <row r="31" spans="1:30" s="10" customFormat="1" ht="16.5" customHeight="1">
      <c r="A31" s="152"/>
      <c r="B31" s="158"/>
      <c r="C31" s="513"/>
      <c r="D31" s="513"/>
      <c r="E31" s="513"/>
      <c r="F31" s="378"/>
      <c r="G31" s="377"/>
      <c r="H31" s="514"/>
      <c r="I31" s="515"/>
      <c r="J31" s="249">
        <f t="shared" si="0"/>
        <v>0</v>
      </c>
      <c r="K31" s="517"/>
      <c r="L31" s="517"/>
      <c r="M31" s="25">
        <f t="shared" si="1"/>
      </c>
      <c r="N31" s="26">
        <f t="shared" si="2"/>
      </c>
      <c r="O31" s="518"/>
      <c r="P31" s="24">
        <f t="shared" si="16"/>
      </c>
      <c r="Q31" s="562">
        <f t="shared" si="3"/>
      </c>
      <c r="R31" s="24">
        <f t="shared" si="4"/>
      </c>
      <c r="S31" s="300">
        <f t="shared" si="5"/>
        <v>3</v>
      </c>
      <c r="T31" s="304" t="str">
        <f t="shared" si="6"/>
        <v>--</v>
      </c>
      <c r="U31" s="310" t="str">
        <f t="shared" si="7"/>
        <v>--</v>
      </c>
      <c r="V31" s="319" t="str">
        <f t="shared" si="8"/>
        <v>--</v>
      </c>
      <c r="W31" s="320" t="str">
        <f t="shared" si="9"/>
        <v>--</v>
      </c>
      <c r="X31" s="328" t="str">
        <f t="shared" si="10"/>
        <v>--</v>
      </c>
      <c r="Y31" s="329" t="str">
        <f t="shared" si="11"/>
        <v>--</v>
      </c>
      <c r="Z31" s="334" t="str">
        <f t="shared" si="12"/>
        <v>--</v>
      </c>
      <c r="AA31" s="340" t="str">
        <f t="shared" si="13"/>
        <v>--</v>
      </c>
      <c r="AB31" s="24">
        <f t="shared" si="14"/>
      </c>
      <c r="AC31" s="62">
        <f t="shared" si="15"/>
      </c>
      <c r="AD31" s="37"/>
    </row>
    <row r="32" spans="1:30" s="10" customFormat="1" ht="16.5" customHeight="1">
      <c r="A32" s="152"/>
      <c r="B32" s="158"/>
      <c r="C32" s="513"/>
      <c r="D32" s="513"/>
      <c r="E32" s="513"/>
      <c r="F32" s="378"/>
      <c r="G32" s="377"/>
      <c r="H32" s="514"/>
      <c r="I32" s="515"/>
      <c r="J32" s="249">
        <f t="shared" si="0"/>
        <v>0</v>
      </c>
      <c r="K32" s="517"/>
      <c r="L32" s="517"/>
      <c r="M32" s="25">
        <f t="shared" si="1"/>
      </c>
      <c r="N32" s="26">
        <f t="shared" si="2"/>
      </c>
      <c r="O32" s="518"/>
      <c r="P32" s="24">
        <f t="shared" si="16"/>
      </c>
      <c r="Q32" s="562">
        <f t="shared" si="3"/>
      </c>
      <c r="R32" s="24">
        <f t="shared" si="4"/>
      </c>
      <c r="S32" s="300">
        <f t="shared" si="5"/>
        <v>3</v>
      </c>
      <c r="T32" s="304" t="str">
        <f t="shared" si="6"/>
        <v>--</v>
      </c>
      <c r="U32" s="310" t="str">
        <f t="shared" si="7"/>
        <v>--</v>
      </c>
      <c r="V32" s="319" t="str">
        <f t="shared" si="8"/>
        <v>--</v>
      </c>
      <c r="W32" s="320" t="str">
        <f t="shared" si="9"/>
        <v>--</v>
      </c>
      <c r="X32" s="328" t="str">
        <f t="shared" si="10"/>
        <v>--</v>
      </c>
      <c r="Y32" s="329" t="str">
        <f t="shared" si="11"/>
        <v>--</v>
      </c>
      <c r="Z32" s="334" t="str">
        <f t="shared" si="12"/>
        <v>--</v>
      </c>
      <c r="AA32" s="340" t="str">
        <f t="shared" si="13"/>
        <v>--</v>
      </c>
      <c r="AB32" s="24">
        <f t="shared" si="14"/>
      </c>
      <c r="AC32" s="62">
        <f t="shared" si="15"/>
      </c>
      <c r="AD32" s="37"/>
    </row>
    <row r="33" spans="1:30" s="10" customFormat="1" ht="16.5" customHeight="1">
      <c r="A33" s="152"/>
      <c r="B33" s="158"/>
      <c r="C33" s="513"/>
      <c r="D33" s="513"/>
      <c r="E33" s="513"/>
      <c r="F33" s="378"/>
      <c r="G33" s="377"/>
      <c r="H33" s="514"/>
      <c r="I33" s="515"/>
      <c r="J33" s="249">
        <f t="shared" si="0"/>
        <v>0</v>
      </c>
      <c r="K33" s="517"/>
      <c r="L33" s="517"/>
      <c r="M33" s="25">
        <f t="shared" si="1"/>
      </c>
      <c r="N33" s="26">
        <f t="shared" si="2"/>
      </c>
      <c r="O33" s="518"/>
      <c r="P33" s="24">
        <f t="shared" si="16"/>
      </c>
      <c r="Q33" s="562">
        <f t="shared" si="3"/>
      </c>
      <c r="R33" s="24">
        <f t="shared" si="4"/>
      </c>
      <c r="S33" s="300">
        <f t="shared" si="5"/>
        <v>3</v>
      </c>
      <c r="T33" s="304" t="str">
        <f t="shared" si="6"/>
        <v>--</v>
      </c>
      <c r="U33" s="310" t="str">
        <f t="shared" si="7"/>
        <v>--</v>
      </c>
      <c r="V33" s="319" t="str">
        <f t="shared" si="8"/>
        <v>--</v>
      </c>
      <c r="W33" s="320" t="str">
        <f t="shared" si="9"/>
        <v>--</v>
      </c>
      <c r="X33" s="328" t="str">
        <f t="shared" si="10"/>
        <v>--</v>
      </c>
      <c r="Y33" s="329" t="str">
        <f t="shared" si="11"/>
        <v>--</v>
      </c>
      <c r="Z33" s="334" t="str">
        <f t="shared" si="12"/>
        <v>--</v>
      </c>
      <c r="AA33" s="340" t="str">
        <f t="shared" si="13"/>
        <v>--</v>
      </c>
      <c r="AB33" s="24">
        <f t="shared" si="14"/>
      </c>
      <c r="AC33" s="62">
        <f t="shared" si="15"/>
      </c>
      <c r="AD33" s="37"/>
    </row>
    <row r="34" spans="1:30" s="10" customFormat="1" ht="16.5" customHeight="1">
      <c r="A34" s="152"/>
      <c r="B34" s="158"/>
      <c r="C34" s="513"/>
      <c r="D34" s="513"/>
      <c r="E34" s="513"/>
      <c r="F34" s="378"/>
      <c r="G34" s="377"/>
      <c r="H34" s="514"/>
      <c r="I34" s="515"/>
      <c r="J34" s="249">
        <f t="shared" si="0"/>
        <v>0</v>
      </c>
      <c r="K34" s="517"/>
      <c r="L34" s="517"/>
      <c r="M34" s="25">
        <f t="shared" si="1"/>
      </c>
      <c r="N34" s="26">
        <f t="shared" si="2"/>
      </c>
      <c r="O34" s="518"/>
      <c r="P34" s="24">
        <f t="shared" si="16"/>
      </c>
      <c r="Q34" s="562">
        <f t="shared" si="3"/>
      </c>
      <c r="R34" s="24">
        <f t="shared" si="4"/>
      </c>
      <c r="S34" s="300">
        <f t="shared" si="5"/>
        <v>3</v>
      </c>
      <c r="T34" s="304" t="str">
        <f t="shared" si="6"/>
        <v>--</v>
      </c>
      <c r="U34" s="310" t="str">
        <f t="shared" si="7"/>
        <v>--</v>
      </c>
      <c r="V34" s="319" t="str">
        <f t="shared" si="8"/>
        <v>--</v>
      </c>
      <c r="W34" s="320" t="str">
        <f t="shared" si="9"/>
        <v>--</v>
      </c>
      <c r="X34" s="328" t="str">
        <f t="shared" si="10"/>
        <v>--</v>
      </c>
      <c r="Y34" s="329" t="str">
        <f t="shared" si="11"/>
        <v>--</v>
      </c>
      <c r="Z34" s="334" t="str">
        <f t="shared" si="12"/>
        <v>--</v>
      </c>
      <c r="AA34" s="340" t="str">
        <f t="shared" si="13"/>
        <v>--</v>
      </c>
      <c r="AB34" s="24">
        <f t="shared" si="14"/>
      </c>
      <c r="AC34" s="62">
        <f t="shared" si="15"/>
      </c>
      <c r="AD34" s="37"/>
    </row>
    <row r="35" spans="1:30" s="10" customFormat="1" ht="16.5" customHeight="1">
      <c r="A35" s="152"/>
      <c r="B35" s="158"/>
      <c r="C35" s="513"/>
      <c r="D35" s="513"/>
      <c r="E35" s="513"/>
      <c r="F35" s="378"/>
      <c r="G35" s="377"/>
      <c r="H35" s="514"/>
      <c r="I35" s="515"/>
      <c r="J35" s="249">
        <f t="shared" si="0"/>
        <v>0</v>
      </c>
      <c r="K35" s="517"/>
      <c r="L35" s="517"/>
      <c r="M35" s="25">
        <f t="shared" si="1"/>
      </c>
      <c r="N35" s="26">
        <f t="shared" si="2"/>
      </c>
      <c r="O35" s="518"/>
      <c r="P35" s="24">
        <f t="shared" si="16"/>
      </c>
      <c r="Q35" s="562">
        <f t="shared" si="3"/>
      </c>
      <c r="R35" s="24">
        <f t="shared" si="4"/>
      </c>
      <c r="S35" s="300">
        <f t="shared" si="5"/>
        <v>3</v>
      </c>
      <c r="T35" s="304" t="str">
        <f t="shared" si="6"/>
        <v>--</v>
      </c>
      <c r="U35" s="310" t="str">
        <f t="shared" si="7"/>
        <v>--</v>
      </c>
      <c r="V35" s="319" t="str">
        <f t="shared" si="8"/>
        <v>--</v>
      </c>
      <c r="W35" s="320" t="str">
        <f t="shared" si="9"/>
        <v>--</v>
      </c>
      <c r="X35" s="328" t="str">
        <f t="shared" si="10"/>
        <v>--</v>
      </c>
      <c r="Y35" s="329" t="str">
        <f t="shared" si="11"/>
        <v>--</v>
      </c>
      <c r="Z35" s="334" t="str">
        <f t="shared" si="12"/>
        <v>--</v>
      </c>
      <c r="AA35" s="340" t="str">
        <f t="shared" si="13"/>
        <v>--</v>
      </c>
      <c r="AB35" s="24">
        <f t="shared" si="14"/>
      </c>
      <c r="AC35" s="62">
        <f t="shared" si="15"/>
      </c>
      <c r="AD35" s="37"/>
    </row>
    <row r="36" spans="1:30" s="10" customFormat="1" ht="16.5" customHeight="1">
      <c r="A36" s="152"/>
      <c r="B36" s="158"/>
      <c r="C36" s="513"/>
      <c r="D36" s="513"/>
      <c r="E36" s="513"/>
      <c r="F36" s="378"/>
      <c r="G36" s="377"/>
      <c r="H36" s="514"/>
      <c r="I36" s="515"/>
      <c r="J36" s="249">
        <f t="shared" si="0"/>
        <v>0</v>
      </c>
      <c r="K36" s="517"/>
      <c r="L36" s="517"/>
      <c r="M36" s="25">
        <f t="shared" si="1"/>
      </c>
      <c r="N36" s="26">
        <f t="shared" si="2"/>
      </c>
      <c r="O36" s="518"/>
      <c r="P36" s="24">
        <f t="shared" si="16"/>
      </c>
      <c r="Q36" s="562">
        <f t="shared" si="3"/>
      </c>
      <c r="R36" s="24">
        <f t="shared" si="4"/>
      </c>
      <c r="S36" s="300">
        <f t="shared" si="5"/>
        <v>3</v>
      </c>
      <c r="T36" s="304" t="str">
        <f t="shared" si="6"/>
        <v>--</v>
      </c>
      <c r="U36" s="310" t="str">
        <f t="shared" si="7"/>
        <v>--</v>
      </c>
      <c r="V36" s="319" t="str">
        <f t="shared" si="8"/>
        <v>--</v>
      </c>
      <c r="W36" s="320" t="str">
        <f t="shared" si="9"/>
        <v>--</v>
      </c>
      <c r="X36" s="328" t="str">
        <f t="shared" si="10"/>
        <v>--</v>
      </c>
      <c r="Y36" s="329" t="str">
        <f t="shared" si="11"/>
        <v>--</v>
      </c>
      <c r="Z36" s="334" t="str">
        <f t="shared" si="12"/>
        <v>--</v>
      </c>
      <c r="AA36" s="340" t="str">
        <f t="shared" si="13"/>
        <v>--</v>
      </c>
      <c r="AB36" s="24">
        <f t="shared" si="14"/>
      </c>
      <c r="AC36" s="62">
        <f t="shared" si="15"/>
      </c>
      <c r="AD36" s="37"/>
    </row>
    <row r="37" spans="1:30" s="10" customFormat="1" ht="16.5" customHeight="1">
      <c r="A37" s="152"/>
      <c r="B37" s="158"/>
      <c r="C37" s="513"/>
      <c r="D37" s="513"/>
      <c r="E37" s="513"/>
      <c r="F37" s="378"/>
      <c r="G37" s="377"/>
      <c r="H37" s="514"/>
      <c r="I37" s="515"/>
      <c r="J37" s="249">
        <f t="shared" si="0"/>
        <v>0</v>
      </c>
      <c r="K37" s="517"/>
      <c r="L37" s="517"/>
      <c r="M37" s="25">
        <f t="shared" si="1"/>
      </c>
      <c r="N37" s="26">
        <f t="shared" si="2"/>
      </c>
      <c r="O37" s="518"/>
      <c r="P37" s="24">
        <f t="shared" si="16"/>
      </c>
      <c r="Q37" s="562">
        <f t="shared" si="3"/>
      </c>
      <c r="R37" s="24">
        <f t="shared" si="4"/>
      </c>
      <c r="S37" s="300">
        <f t="shared" si="5"/>
        <v>3</v>
      </c>
      <c r="T37" s="304" t="str">
        <f t="shared" si="6"/>
        <v>--</v>
      </c>
      <c r="U37" s="310" t="str">
        <f t="shared" si="7"/>
        <v>--</v>
      </c>
      <c r="V37" s="319" t="str">
        <f t="shared" si="8"/>
        <v>--</v>
      </c>
      <c r="W37" s="320" t="str">
        <f t="shared" si="9"/>
        <v>--</v>
      </c>
      <c r="X37" s="328" t="str">
        <f t="shared" si="10"/>
        <v>--</v>
      </c>
      <c r="Y37" s="329" t="str">
        <f t="shared" si="11"/>
        <v>--</v>
      </c>
      <c r="Z37" s="334" t="str">
        <f t="shared" si="12"/>
        <v>--</v>
      </c>
      <c r="AA37" s="340" t="str">
        <f t="shared" si="13"/>
        <v>--</v>
      </c>
      <c r="AB37" s="24">
        <f t="shared" si="14"/>
      </c>
      <c r="AC37" s="62">
        <f t="shared" si="15"/>
      </c>
      <c r="AD37" s="37"/>
    </row>
    <row r="38" spans="1:30" s="10" customFormat="1" ht="16.5" customHeight="1">
      <c r="A38" s="152"/>
      <c r="B38" s="158"/>
      <c r="C38" s="513"/>
      <c r="D38" s="513"/>
      <c r="E38" s="513"/>
      <c r="F38" s="378"/>
      <c r="G38" s="377"/>
      <c r="H38" s="514"/>
      <c r="I38" s="515"/>
      <c r="J38" s="249">
        <f t="shared" si="0"/>
        <v>0</v>
      </c>
      <c r="K38" s="517"/>
      <c r="L38" s="517"/>
      <c r="M38" s="25">
        <f t="shared" si="1"/>
      </c>
      <c r="N38" s="26">
        <f t="shared" si="2"/>
      </c>
      <c r="O38" s="518"/>
      <c r="P38" s="24">
        <f t="shared" si="16"/>
      </c>
      <c r="Q38" s="562">
        <f t="shared" si="3"/>
      </c>
      <c r="R38" s="24">
        <f t="shared" si="4"/>
      </c>
      <c r="S38" s="300">
        <f t="shared" si="5"/>
        <v>3</v>
      </c>
      <c r="T38" s="304" t="str">
        <f t="shared" si="6"/>
        <v>--</v>
      </c>
      <c r="U38" s="310" t="str">
        <f t="shared" si="7"/>
        <v>--</v>
      </c>
      <c r="V38" s="319" t="str">
        <f t="shared" si="8"/>
        <v>--</v>
      </c>
      <c r="W38" s="320" t="str">
        <f t="shared" si="9"/>
        <v>--</v>
      </c>
      <c r="X38" s="328" t="str">
        <f t="shared" si="10"/>
        <v>--</v>
      </c>
      <c r="Y38" s="329" t="str">
        <f t="shared" si="11"/>
        <v>--</v>
      </c>
      <c r="Z38" s="334" t="str">
        <f t="shared" si="12"/>
        <v>--</v>
      </c>
      <c r="AA38" s="340" t="str">
        <f t="shared" si="13"/>
        <v>--</v>
      </c>
      <c r="AB38" s="24">
        <f t="shared" si="14"/>
      </c>
      <c r="AC38" s="62">
        <f t="shared" si="15"/>
      </c>
      <c r="AD38" s="37"/>
    </row>
    <row r="39" spans="1:30" s="10" customFormat="1" ht="16.5" customHeight="1">
      <c r="A39" s="152"/>
      <c r="B39" s="158"/>
      <c r="C39" s="513"/>
      <c r="D39" s="513"/>
      <c r="E39" s="513"/>
      <c r="F39" s="378"/>
      <c r="G39" s="377"/>
      <c r="H39" s="514"/>
      <c r="I39" s="515"/>
      <c r="J39" s="249">
        <f t="shared" si="0"/>
        <v>0</v>
      </c>
      <c r="K39" s="517"/>
      <c r="L39" s="517"/>
      <c r="M39" s="25">
        <f t="shared" si="1"/>
      </c>
      <c r="N39" s="26">
        <f t="shared" si="2"/>
      </c>
      <c r="O39" s="518"/>
      <c r="P39" s="24">
        <f t="shared" si="16"/>
      </c>
      <c r="Q39" s="562">
        <f t="shared" si="3"/>
      </c>
      <c r="R39" s="24">
        <f t="shared" si="4"/>
      </c>
      <c r="S39" s="300">
        <f t="shared" si="5"/>
        <v>3</v>
      </c>
      <c r="T39" s="304" t="str">
        <f t="shared" si="6"/>
        <v>--</v>
      </c>
      <c r="U39" s="310" t="str">
        <f t="shared" si="7"/>
        <v>--</v>
      </c>
      <c r="V39" s="319" t="str">
        <f t="shared" si="8"/>
        <v>--</v>
      </c>
      <c r="W39" s="320" t="str">
        <f t="shared" si="9"/>
        <v>--</v>
      </c>
      <c r="X39" s="328" t="str">
        <f t="shared" si="10"/>
        <v>--</v>
      </c>
      <c r="Y39" s="329" t="str">
        <f t="shared" si="11"/>
        <v>--</v>
      </c>
      <c r="Z39" s="334" t="str">
        <f t="shared" si="12"/>
        <v>--</v>
      </c>
      <c r="AA39" s="340" t="str">
        <f t="shared" si="13"/>
        <v>--</v>
      </c>
      <c r="AB39" s="24">
        <f t="shared" si="14"/>
      </c>
      <c r="AC39" s="62">
        <f t="shared" si="15"/>
      </c>
      <c r="AD39" s="37"/>
    </row>
    <row r="40" spans="1:30" s="10" customFormat="1" ht="16.5" customHeight="1">
      <c r="A40" s="152"/>
      <c r="B40" s="158"/>
      <c r="C40" s="513"/>
      <c r="D40" s="513"/>
      <c r="E40" s="513"/>
      <c r="F40" s="378"/>
      <c r="G40" s="377"/>
      <c r="H40" s="514"/>
      <c r="I40" s="515"/>
      <c r="J40" s="249">
        <f t="shared" si="0"/>
        <v>0</v>
      </c>
      <c r="K40" s="517"/>
      <c r="L40" s="517"/>
      <c r="M40" s="25">
        <f t="shared" si="1"/>
      </c>
      <c r="N40" s="26">
        <f t="shared" si="2"/>
      </c>
      <c r="O40" s="518"/>
      <c r="P40" s="24">
        <f t="shared" si="16"/>
      </c>
      <c r="Q40" s="562">
        <f t="shared" si="3"/>
      </c>
      <c r="R40" s="24">
        <f t="shared" si="4"/>
      </c>
      <c r="S40" s="300">
        <f t="shared" si="5"/>
        <v>3</v>
      </c>
      <c r="T40" s="304" t="str">
        <f t="shared" si="6"/>
        <v>--</v>
      </c>
      <c r="U40" s="310" t="str">
        <f t="shared" si="7"/>
        <v>--</v>
      </c>
      <c r="V40" s="319" t="str">
        <f t="shared" si="8"/>
        <v>--</v>
      </c>
      <c r="W40" s="320" t="str">
        <f t="shared" si="9"/>
        <v>--</v>
      </c>
      <c r="X40" s="328" t="str">
        <f t="shared" si="10"/>
        <v>--</v>
      </c>
      <c r="Y40" s="329" t="str">
        <f t="shared" si="11"/>
        <v>--</v>
      </c>
      <c r="Z40" s="334" t="str">
        <f t="shared" si="12"/>
        <v>--</v>
      </c>
      <c r="AA40" s="340" t="str">
        <f t="shared" si="13"/>
        <v>--</v>
      </c>
      <c r="AB40" s="24">
        <f t="shared" si="14"/>
      </c>
      <c r="AC40" s="62">
        <f t="shared" si="15"/>
      </c>
      <c r="AD40" s="37"/>
    </row>
    <row r="41" spans="1:30" s="10" customFormat="1" ht="16.5" customHeight="1">
      <c r="A41" s="152"/>
      <c r="B41" s="158"/>
      <c r="C41" s="513"/>
      <c r="D41" s="513"/>
      <c r="E41" s="513"/>
      <c r="F41" s="378"/>
      <c r="G41" s="377"/>
      <c r="H41" s="514"/>
      <c r="I41" s="515"/>
      <c r="J41" s="249">
        <f t="shared" si="0"/>
        <v>0</v>
      </c>
      <c r="K41" s="517"/>
      <c r="L41" s="517"/>
      <c r="M41" s="25">
        <f t="shared" si="1"/>
      </c>
      <c r="N41" s="26">
        <f t="shared" si="2"/>
      </c>
      <c r="O41" s="518"/>
      <c r="P41" s="24">
        <f t="shared" si="16"/>
      </c>
      <c r="Q41" s="562">
        <f t="shared" si="3"/>
      </c>
      <c r="R41" s="24">
        <f t="shared" si="4"/>
      </c>
      <c r="S41" s="300">
        <f t="shared" si="5"/>
        <v>3</v>
      </c>
      <c r="T41" s="304" t="str">
        <f t="shared" si="6"/>
        <v>--</v>
      </c>
      <c r="U41" s="310" t="str">
        <f t="shared" si="7"/>
        <v>--</v>
      </c>
      <c r="V41" s="319" t="str">
        <f t="shared" si="8"/>
        <v>--</v>
      </c>
      <c r="W41" s="320" t="str">
        <f t="shared" si="9"/>
        <v>--</v>
      </c>
      <c r="X41" s="328" t="str">
        <f t="shared" si="10"/>
        <v>--</v>
      </c>
      <c r="Y41" s="329" t="str">
        <f t="shared" si="11"/>
        <v>--</v>
      </c>
      <c r="Z41" s="334" t="str">
        <f t="shared" si="12"/>
        <v>--</v>
      </c>
      <c r="AA41" s="340" t="str">
        <f t="shared" si="13"/>
        <v>--</v>
      </c>
      <c r="AB41" s="24">
        <f t="shared" si="14"/>
      </c>
      <c r="AC41" s="62">
        <f t="shared" si="15"/>
      </c>
      <c r="AD41" s="37"/>
    </row>
    <row r="42" spans="1:30" s="10" customFormat="1" ht="16.5" customHeight="1">
      <c r="A42" s="152"/>
      <c r="B42" s="158"/>
      <c r="C42" s="513"/>
      <c r="D42" s="513"/>
      <c r="E42" s="513"/>
      <c r="F42" s="378"/>
      <c r="G42" s="377"/>
      <c r="H42" s="514"/>
      <c r="I42" s="515"/>
      <c r="J42" s="249">
        <f t="shared" si="0"/>
        <v>0</v>
      </c>
      <c r="K42" s="517"/>
      <c r="L42" s="517"/>
      <c r="M42" s="25">
        <f t="shared" si="1"/>
      </c>
      <c r="N42" s="26">
        <f t="shared" si="2"/>
      </c>
      <c r="O42" s="518"/>
      <c r="P42" s="24">
        <f t="shared" si="16"/>
      </c>
      <c r="Q42" s="562">
        <f t="shared" si="3"/>
      </c>
      <c r="R42" s="24">
        <f t="shared" si="4"/>
      </c>
      <c r="S42" s="300">
        <f t="shared" si="5"/>
        <v>3</v>
      </c>
      <c r="T42" s="304" t="str">
        <f t="shared" si="6"/>
        <v>--</v>
      </c>
      <c r="U42" s="310" t="str">
        <f t="shared" si="7"/>
        <v>--</v>
      </c>
      <c r="V42" s="319" t="str">
        <f t="shared" si="8"/>
        <v>--</v>
      </c>
      <c r="W42" s="320" t="str">
        <f t="shared" si="9"/>
        <v>--</v>
      </c>
      <c r="X42" s="328" t="str">
        <f t="shared" si="10"/>
        <v>--</v>
      </c>
      <c r="Y42" s="329" t="str">
        <f t="shared" si="11"/>
        <v>--</v>
      </c>
      <c r="Z42" s="334" t="str">
        <f t="shared" si="12"/>
        <v>--</v>
      </c>
      <c r="AA42" s="340" t="str">
        <f t="shared" si="13"/>
        <v>--</v>
      </c>
      <c r="AB42" s="24">
        <f t="shared" si="14"/>
      </c>
      <c r="AC42" s="62">
        <f t="shared" si="15"/>
      </c>
      <c r="AD42" s="37"/>
    </row>
    <row r="43" spans="1:30" s="10" customFormat="1" ht="16.5" customHeight="1">
      <c r="A43" s="152"/>
      <c r="B43" s="158"/>
      <c r="C43" s="513"/>
      <c r="D43" s="513"/>
      <c r="E43" s="513"/>
      <c r="F43" s="378"/>
      <c r="G43" s="377"/>
      <c r="H43" s="514"/>
      <c r="I43" s="515"/>
      <c r="J43" s="249">
        <f t="shared" si="0"/>
        <v>0</v>
      </c>
      <c r="K43" s="517"/>
      <c r="L43" s="517"/>
      <c r="M43" s="25">
        <f t="shared" si="1"/>
      </c>
      <c r="N43" s="26">
        <f t="shared" si="2"/>
      </c>
      <c r="O43" s="518"/>
      <c r="P43" s="24">
        <f t="shared" si="16"/>
      </c>
      <c r="Q43" s="562">
        <f t="shared" si="3"/>
      </c>
      <c r="R43" s="24">
        <f t="shared" si="4"/>
      </c>
      <c r="S43" s="300">
        <f t="shared" si="5"/>
        <v>3</v>
      </c>
      <c r="T43" s="304" t="str">
        <f t="shared" si="6"/>
        <v>--</v>
      </c>
      <c r="U43" s="310" t="str">
        <f t="shared" si="7"/>
        <v>--</v>
      </c>
      <c r="V43" s="319" t="str">
        <f t="shared" si="8"/>
        <v>--</v>
      </c>
      <c r="W43" s="320" t="str">
        <f t="shared" si="9"/>
        <v>--</v>
      </c>
      <c r="X43" s="328" t="str">
        <f t="shared" si="10"/>
        <v>--</v>
      </c>
      <c r="Y43" s="329" t="str">
        <f t="shared" si="11"/>
        <v>--</v>
      </c>
      <c r="Z43" s="334" t="str">
        <f t="shared" si="12"/>
        <v>--</v>
      </c>
      <c r="AA43" s="340" t="str">
        <f t="shared" si="13"/>
        <v>--</v>
      </c>
      <c r="AB43" s="24">
        <f t="shared" si="14"/>
      </c>
      <c r="AC43" s="62">
        <f t="shared" si="15"/>
      </c>
      <c r="AD43" s="37"/>
    </row>
    <row r="44" spans="1:30" s="10" customFormat="1" ht="16.5" customHeight="1" thickBot="1">
      <c r="A44" s="152"/>
      <c r="B44" s="158"/>
      <c r="C44" s="516"/>
      <c r="D44" s="516"/>
      <c r="E44" s="516"/>
      <c r="F44" s="516"/>
      <c r="G44" s="516"/>
      <c r="H44" s="516"/>
      <c r="I44" s="516"/>
      <c r="J44" s="253"/>
      <c r="K44" s="516"/>
      <c r="L44" s="516"/>
      <c r="M44" s="28"/>
      <c r="N44" s="28"/>
      <c r="O44" s="516"/>
      <c r="P44" s="516"/>
      <c r="Q44" s="516"/>
      <c r="R44" s="516"/>
      <c r="S44" s="301"/>
      <c r="T44" s="305"/>
      <c r="U44" s="311"/>
      <c r="V44" s="343"/>
      <c r="W44" s="344"/>
      <c r="X44" s="345"/>
      <c r="Y44" s="346"/>
      <c r="Z44" s="335"/>
      <c r="AA44" s="341"/>
      <c r="AB44" s="28"/>
      <c r="AC44" s="199"/>
      <c r="AD44" s="37"/>
    </row>
    <row r="45" spans="1:30" s="10" customFormat="1" ht="16.5" customHeight="1" thickBot="1" thickTop="1">
      <c r="A45" s="152"/>
      <c r="B45" s="158"/>
      <c r="C45" s="221" t="s">
        <v>68</v>
      </c>
      <c r="D45" s="949" t="s">
        <v>191</v>
      </c>
      <c r="E45" s="545"/>
      <c r="F45" s="222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6">
        <f aca="true" t="shared" si="17" ref="T45:AA45">SUM(T22:T44)</f>
        <v>19.387755000000002</v>
      </c>
      <c r="U45" s="312">
        <f t="shared" si="17"/>
        <v>0</v>
      </c>
      <c r="V45" s="321">
        <f t="shared" si="17"/>
        <v>109.35</v>
      </c>
      <c r="W45" s="321">
        <f t="shared" si="17"/>
        <v>188.082</v>
      </c>
      <c r="X45" s="330">
        <f t="shared" si="17"/>
        <v>0</v>
      </c>
      <c r="Y45" s="330">
        <f t="shared" si="17"/>
        <v>0</v>
      </c>
      <c r="Z45" s="336">
        <f t="shared" si="17"/>
        <v>0</v>
      </c>
      <c r="AA45" s="342">
        <f t="shared" si="17"/>
        <v>0</v>
      </c>
      <c r="AB45" s="30"/>
      <c r="AC45" s="237">
        <f>ROUND(SUM(AC22:AC44),2)</f>
        <v>316.82</v>
      </c>
      <c r="AD45" s="37"/>
    </row>
    <row r="46" spans="1:30" s="239" customFormat="1" ht="9.75" thickTop="1">
      <c r="A46" s="240"/>
      <c r="B46" s="241"/>
      <c r="C46" s="223"/>
      <c r="D46" s="223"/>
      <c r="E46" s="223"/>
      <c r="F46" s="224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3"/>
      <c r="U46" s="243"/>
      <c r="V46" s="243"/>
      <c r="W46" s="243"/>
      <c r="X46" s="243"/>
      <c r="Y46" s="243"/>
      <c r="Z46" s="243"/>
      <c r="AA46" s="243"/>
      <c r="AB46" s="242"/>
      <c r="AC46" s="244"/>
      <c r="AD46" s="245"/>
    </row>
    <row r="47" spans="1:30" s="10" customFormat="1" ht="16.5" customHeight="1" thickBot="1">
      <c r="A47" s="152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6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 horizontalCentered="1"/>
  <pageMargins left="0.25" right="0.41" top="0.7874015748031497" bottom="0.64" header="0.5118110236220472" footer="0.33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E156"/>
  <sheetViews>
    <sheetView zoomScale="85" zoomScaleNormal="85" zoomScalePageLayoutView="0" workbookViewId="0" topLeftCell="F1">
      <selection activeCell="H17" sqref="H17"/>
    </sheetView>
  </sheetViews>
  <sheetFormatPr defaultColWidth="11.421875" defaultRowHeight="12.75"/>
  <cols>
    <col min="1" max="2" width="4.140625" style="634" customWidth="1"/>
    <col min="3" max="3" width="5.421875" style="634" customWidth="1"/>
    <col min="4" max="5" width="13.57421875" style="634" customWidth="1"/>
    <col min="6" max="7" width="25.7109375" style="634" customWidth="1"/>
    <col min="8" max="8" width="9.7109375" style="634" customWidth="1"/>
    <col min="9" max="9" width="12.7109375" style="634" customWidth="1"/>
    <col min="10" max="10" width="13.7109375" style="634" hidden="1" customWidth="1"/>
    <col min="11" max="12" width="16.28125" style="634" customWidth="1"/>
    <col min="13" max="16" width="9.7109375" style="634" customWidth="1"/>
    <col min="17" max="17" width="5.8515625" style="634" customWidth="1"/>
    <col min="18" max="18" width="7.00390625" style="634" customWidth="1"/>
    <col min="19" max="19" width="11.8515625" style="634" hidden="1" customWidth="1"/>
    <col min="20" max="21" width="11.28125" style="634" hidden="1" customWidth="1"/>
    <col min="22" max="25" width="4.7109375" style="634" hidden="1" customWidth="1"/>
    <col min="26" max="26" width="11.57421875" style="634" hidden="1" customWidth="1"/>
    <col min="27" max="27" width="12.421875" style="634" hidden="1" customWidth="1"/>
    <col min="28" max="28" width="9.7109375" style="634" customWidth="1"/>
    <col min="29" max="29" width="15.7109375" style="634" customWidth="1"/>
    <col min="30" max="30" width="4.140625" style="634" customWidth="1"/>
    <col min="31" max="16384" width="11.421875" style="634" customWidth="1"/>
  </cols>
  <sheetData>
    <row r="1" spans="2:30" s="581" customFormat="1" ht="26.25"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3"/>
    </row>
    <row r="2" spans="1:30" s="581" customFormat="1" ht="26.25">
      <c r="A2" s="582"/>
      <c r="B2" s="584" t="str">
        <f>'TOT-1115'!B2</f>
        <v>ANEXO V al Memorándum  D.T.E.E.  N°  379 / 2016             .-</v>
      </c>
      <c r="C2" s="584"/>
      <c r="D2" s="584"/>
      <c r="E2" s="584"/>
      <c r="F2" s="584"/>
      <c r="G2" s="585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</row>
    <row r="3" spans="1:30" s="587" customFormat="1" ht="12.75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</row>
    <row r="4" spans="1:30" s="591" customFormat="1" ht="11.25">
      <c r="A4" s="588" t="s">
        <v>156</v>
      </c>
      <c r="B4" s="589"/>
      <c r="C4" s="589"/>
      <c r="D4" s="589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  <c r="W4" s="590"/>
      <c r="X4" s="590"/>
      <c r="Y4" s="590"/>
      <c r="Z4" s="590"/>
      <c r="AA4" s="590"/>
      <c r="AB4" s="590"/>
      <c r="AC4" s="590"/>
      <c r="AD4" s="590"/>
    </row>
    <row r="5" spans="1:30" s="591" customFormat="1" ht="11.25">
      <c r="A5" s="588" t="s">
        <v>22</v>
      </c>
      <c r="B5" s="589"/>
      <c r="C5" s="589"/>
      <c r="D5" s="589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</row>
    <row r="6" spans="1:30" s="587" customFormat="1" ht="13.5" thickBot="1">
      <c r="A6" s="586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</row>
    <row r="7" spans="1:30" s="587" customFormat="1" ht="13.5" thickTop="1">
      <c r="A7" s="586"/>
      <c r="B7" s="592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4"/>
    </row>
    <row r="8" spans="1:30" s="601" customFormat="1" ht="20.25">
      <c r="A8" s="595"/>
      <c r="B8" s="596"/>
      <c r="C8" s="597"/>
      <c r="D8" s="597"/>
      <c r="E8" s="595"/>
      <c r="F8" s="598" t="s">
        <v>157</v>
      </c>
      <c r="G8" s="595"/>
      <c r="H8" s="595"/>
      <c r="I8" s="599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600"/>
    </row>
    <row r="9" spans="1:30" s="587" customFormat="1" ht="12.75">
      <c r="A9" s="586"/>
      <c r="B9" s="602"/>
      <c r="C9" s="603"/>
      <c r="D9" s="603"/>
      <c r="E9" s="586"/>
      <c r="F9" s="603"/>
      <c r="G9" s="604"/>
      <c r="H9" s="586"/>
      <c r="I9" s="603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05"/>
    </row>
    <row r="10" spans="1:30" s="612" customFormat="1" ht="30" customHeight="1">
      <c r="A10" s="606"/>
      <c r="B10" s="607"/>
      <c r="C10" s="608"/>
      <c r="D10" s="608"/>
      <c r="E10" s="606"/>
      <c r="F10" s="609" t="s">
        <v>158</v>
      </c>
      <c r="G10" s="606"/>
      <c r="H10" s="610"/>
      <c r="I10" s="608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11"/>
    </row>
    <row r="11" spans="1:30" s="616" customFormat="1" ht="9.75" customHeight="1">
      <c r="A11" s="613"/>
      <c r="B11" s="614"/>
      <c r="C11" s="615"/>
      <c r="D11" s="615"/>
      <c r="E11" s="613"/>
      <c r="G11" s="615"/>
      <c r="H11" s="615"/>
      <c r="I11" s="615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7"/>
    </row>
    <row r="12" spans="1:30" s="616" customFormat="1" ht="21" customHeight="1">
      <c r="A12" s="606"/>
      <c r="B12" s="607"/>
      <c r="C12" s="608"/>
      <c r="D12" s="608"/>
      <c r="E12" s="606"/>
      <c r="F12" s="618" t="s">
        <v>194</v>
      </c>
      <c r="G12" s="606"/>
      <c r="H12" s="606"/>
      <c r="I12" s="606"/>
      <c r="J12" s="619"/>
      <c r="K12" s="619"/>
      <c r="L12" s="619"/>
      <c r="M12" s="619"/>
      <c r="N12" s="619"/>
      <c r="O12" s="613"/>
      <c r="P12" s="613"/>
      <c r="Q12" s="613"/>
      <c r="R12" s="613"/>
      <c r="S12" s="613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7"/>
    </row>
    <row r="13" spans="1:30" s="587" customFormat="1" ht="12.75">
      <c r="A13" s="586"/>
      <c r="B13" s="602"/>
      <c r="C13" s="603"/>
      <c r="D13" s="603"/>
      <c r="E13" s="586"/>
      <c r="F13" s="603"/>
      <c r="G13" s="603"/>
      <c r="H13" s="603"/>
      <c r="I13" s="620"/>
      <c r="J13" s="603"/>
      <c r="K13" s="603"/>
      <c r="L13" s="603"/>
      <c r="M13" s="603"/>
      <c r="N13" s="603"/>
      <c r="O13" s="586"/>
      <c r="P13" s="586"/>
      <c r="Q13" s="586"/>
      <c r="R13" s="586"/>
      <c r="S13" s="586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05"/>
    </row>
    <row r="14" spans="1:30" s="627" customFormat="1" ht="19.5">
      <c r="A14" s="621"/>
      <c r="B14" s="622" t="str">
        <f>'TOT-1115'!B14</f>
        <v>Desde el 01 al 30 de noviembre de 2015</v>
      </c>
      <c r="C14" s="623"/>
      <c r="D14" s="623"/>
      <c r="E14" s="624"/>
      <c r="F14" s="625"/>
      <c r="G14" s="625"/>
      <c r="H14" s="625"/>
      <c r="I14" s="625"/>
      <c r="J14" s="625"/>
      <c r="K14" s="625"/>
      <c r="L14" s="625"/>
      <c r="M14" s="625"/>
      <c r="N14" s="625"/>
      <c r="O14" s="624"/>
      <c r="P14" s="624"/>
      <c r="Q14" s="624"/>
      <c r="R14" s="624"/>
      <c r="S14" s="624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6"/>
    </row>
    <row r="15" spans="1:30" s="587" customFormat="1" ht="13.5" thickBot="1">
      <c r="A15" s="586"/>
      <c r="B15" s="602"/>
      <c r="C15" s="603"/>
      <c r="D15" s="603"/>
      <c r="E15" s="586"/>
      <c r="F15" s="603"/>
      <c r="G15" s="603"/>
      <c r="H15" s="603"/>
      <c r="I15" s="620"/>
      <c r="J15" s="603"/>
      <c r="K15" s="603"/>
      <c r="L15" s="603"/>
      <c r="M15" s="603"/>
      <c r="N15" s="603"/>
      <c r="O15" s="586"/>
      <c r="P15" s="586"/>
      <c r="Q15" s="586"/>
      <c r="R15" s="586"/>
      <c r="S15" s="586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5"/>
    </row>
    <row r="16" spans="1:30" s="587" customFormat="1" ht="16.5" customHeight="1" thickBot="1" thickTop="1">
      <c r="A16" s="586"/>
      <c r="B16" s="602"/>
      <c r="C16" s="603"/>
      <c r="D16" s="603"/>
      <c r="E16" s="586"/>
      <c r="F16" s="628" t="s">
        <v>91</v>
      </c>
      <c r="G16" s="629"/>
      <c r="H16" s="630">
        <v>0.909</v>
      </c>
      <c r="J16" s="586"/>
      <c r="K16" s="586"/>
      <c r="L16" s="586"/>
      <c r="M16" s="586"/>
      <c r="N16" s="586"/>
      <c r="O16" s="586"/>
      <c r="P16" s="586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5"/>
    </row>
    <row r="17" spans="1:30" s="587" customFormat="1" ht="16.5" customHeight="1" thickBot="1" thickTop="1">
      <c r="A17" s="586"/>
      <c r="B17" s="602"/>
      <c r="C17" s="603"/>
      <c r="D17" s="603"/>
      <c r="E17" s="586"/>
      <c r="F17" s="631" t="s">
        <v>73</v>
      </c>
      <c r="G17" s="632"/>
      <c r="H17" s="633">
        <v>30</v>
      </c>
      <c r="I17" s="634"/>
      <c r="J17" s="603"/>
      <c r="K17" s="635"/>
      <c r="L17" s="636"/>
      <c r="M17" s="637"/>
      <c r="N17" s="603"/>
      <c r="O17" s="603"/>
      <c r="P17" s="603"/>
      <c r="Q17" s="603"/>
      <c r="R17" s="603"/>
      <c r="S17" s="603"/>
      <c r="T17" s="603"/>
      <c r="U17" s="603"/>
      <c r="V17" s="603"/>
      <c r="W17" s="638"/>
      <c r="X17" s="638"/>
      <c r="Y17" s="638"/>
      <c r="Z17" s="638"/>
      <c r="AA17" s="638"/>
      <c r="AB17" s="638"/>
      <c r="AC17" s="586"/>
      <c r="AD17" s="605"/>
    </row>
    <row r="18" spans="1:30" s="587" customFormat="1" ht="16.5" customHeight="1" thickBot="1" thickTop="1">
      <c r="A18" s="586"/>
      <c r="B18" s="602"/>
      <c r="C18" s="639">
        <v>3</v>
      </c>
      <c r="D18" s="639">
        <v>4</v>
      </c>
      <c r="E18" s="639">
        <v>5</v>
      </c>
      <c r="F18" s="639">
        <v>6</v>
      </c>
      <c r="G18" s="639">
        <v>7</v>
      </c>
      <c r="H18" s="639">
        <v>8</v>
      </c>
      <c r="I18" s="639">
        <v>9</v>
      </c>
      <c r="J18" s="639">
        <v>10</v>
      </c>
      <c r="K18" s="639">
        <v>11</v>
      </c>
      <c r="L18" s="639">
        <v>12</v>
      </c>
      <c r="M18" s="639">
        <v>13</v>
      </c>
      <c r="N18" s="639">
        <v>14</v>
      </c>
      <c r="O18" s="639">
        <v>15</v>
      </c>
      <c r="P18" s="639">
        <v>16</v>
      </c>
      <c r="Q18" s="639">
        <v>17</v>
      </c>
      <c r="R18" s="639">
        <v>18</v>
      </c>
      <c r="S18" s="639">
        <v>19</v>
      </c>
      <c r="T18" s="639">
        <v>20</v>
      </c>
      <c r="U18" s="639">
        <v>21</v>
      </c>
      <c r="V18" s="639">
        <v>22</v>
      </c>
      <c r="W18" s="639">
        <v>23</v>
      </c>
      <c r="X18" s="639">
        <v>24</v>
      </c>
      <c r="Y18" s="639">
        <v>25</v>
      </c>
      <c r="Z18" s="639">
        <v>26</v>
      </c>
      <c r="AA18" s="639">
        <v>27</v>
      </c>
      <c r="AB18" s="639">
        <v>28</v>
      </c>
      <c r="AC18" s="639">
        <v>29</v>
      </c>
      <c r="AD18" s="605"/>
    </row>
    <row r="19" spans="1:30" s="587" customFormat="1" ht="33.75" customHeight="1" thickBot="1" thickTop="1">
      <c r="A19" s="586"/>
      <c r="B19" s="602"/>
      <c r="C19" s="640" t="s">
        <v>50</v>
      </c>
      <c r="D19" s="641" t="s">
        <v>142</v>
      </c>
      <c r="E19" s="641" t="s">
        <v>141</v>
      </c>
      <c r="F19" s="642" t="s">
        <v>74</v>
      </c>
      <c r="G19" s="643" t="s">
        <v>19</v>
      </c>
      <c r="H19" s="644" t="s">
        <v>75</v>
      </c>
      <c r="I19" s="645" t="s">
        <v>51</v>
      </c>
      <c r="J19" s="646" t="s">
        <v>53</v>
      </c>
      <c r="K19" s="643" t="s">
        <v>54</v>
      </c>
      <c r="L19" s="643" t="s">
        <v>55</v>
      </c>
      <c r="M19" s="642" t="s">
        <v>159</v>
      </c>
      <c r="N19" s="642" t="s">
        <v>79</v>
      </c>
      <c r="O19" s="647" t="s">
        <v>58</v>
      </c>
      <c r="P19" s="647" t="s">
        <v>136</v>
      </c>
      <c r="Q19" s="648" t="s">
        <v>80</v>
      </c>
      <c r="R19" s="643" t="s">
        <v>82</v>
      </c>
      <c r="S19" s="649" t="s">
        <v>160</v>
      </c>
      <c r="T19" s="650" t="s">
        <v>60</v>
      </c>
      <c r="U19" s="651" t="s">
        <v>61</v>
      </c>
      <c r="V19" s="652" t="s">
        <v>161</v>
      </c>
      <c r="W19" s="653"/>
      <c r="X19" s="654" t="s">
        <v>162</v>
      </c>
      <c r="Y19" s="655"/>
      <c r="Z19" s="656" t="s">
        <v>64</v>
      </c>
      <c r="AA19" s="657" t="s">
        <v>163</v>
      </c>
      <c r="AB19" s="658" t="s">
        <v>164</v>
      </c>
      <c r="AC19" s="645" t="s">
        <v>67</v>
      </c>
      <c r="AD19" s="605"/>
    </row>
    <row r="20" spans="1:30" s="587" customFormat="1" ht="16.5" customHeight="1" thickTop="1">
      <c r="A20" s="586"/>
      <c r="B20" s="602"/>
      <c r="C20" s="659"/>
      <c r="D20" s="659"/>
      <c r="E20" s="659"/>
      <c r="F20" s="659"/>
      <c r="G20" s="659"/>
      <c r="H20" s="659"/>
      <c r="I20" s="660"/>
      <c r="J20" s="661"/>
      <c r="K20" s="659"/>
      <c r="L20" s="659"/>
      <c r="M20" s="659"/>
      <c r="N20" s="659"/>
      <c r="O20" s="659"/>
      <c r="P20" s="662"/>
      <c r="Q20" s="663"/>
      <c r="R20" s="659"/>
      <c r="S20" s="664"/>
      <c r="T20" s="665"/>
      <c r="U20" s="666"/>
      <c r="V20" s="667"/>
      <c r="W20" s="668"/>
      <c r="X20" s="669"/>
      <c r="Y20" s="670"/>
      <c r="Z20" s="671"/>
      <c r="AA20" s="672"/>
      <c r="AB20" s="663"/>
      <c r="AC20" s="673"/>
      <c r="AD20" s="605"/>
    </row>
    <row r="21" spans="1:30" s="587" customFormat="1" ht="16.5" customHeight="1">
      <c r="A21" s="586"/>
      <c r="B21" s="602"/>
      <c r="C21" s="674"/>
      <c r="D21" s="674"/>
      <c r="E21" s="674"/>
      <c r="F21" s="674"/>
      <c r="G21" s="674"/>
      <c r="H21" s="674"/>
      <c r="I21" s="675"/>
      <c r="J21" s="676"/>
      <c r="K21" s="674"/>
      <c r="L21" s="674"/>
      <c r="M21" s="674"/>
      <c r="N21" s="674"/>
      <c r="O21" s="674"/>
      <c r="P21" s="677"/>
      <c r="Q21" s="678"/>
      <c r="R21" s="674"/>
      <c r="S21" s="679"/>
      <c r="T21" s="680"/>
      <c r="U21" s="681"/>
      <c r="V21" s="682"/>
      <c r="W21" s="683"/>
      <c r="X21" s="684"/>
      <c r="Y21" s="685"/>
      <c r="Z21" s="686"/>
      <c r="AA21" s="687"/>
      <c r="AB21" s="678"/>
      <c r="AC21" s="688"/>
      <c r="AD21" s="605"/>
    </row>
    <row r="22" spans="1:30" s="587" customFormat="1" ht="16.5" customHeight="1">
      <c r="A22" s="586"/>
      <c r="B22" s="602"/>
      <c r="C22" s="674">
        <v>13</v>
      </c>
      <c r="D22" s="674">
        <v>293965</v>
      </c>
      <c r="E22" s="674">
        <v>5353</v>
      </c>
      <c r="F22" s="689" t="s">
        <v>165</v>
      </c>
      <c r="G22" s="690" t="s">
        <v>10</v>
      </c>
      <c r="H22" s="691">
        <v>100</v>
      </c>
      <c r="I22" s="692" t="s">
        <v>166</v>
      </c>
      <c r="J22" s="693">
        <f>H22*$H$16</f>
        <v>90.9</v>
      </c>
      <c r="K22" s="694">
        <v>42309</v>
      </c>
      <c r="L22" s="694">
        <v>42315.9</v>
      </c>
      <c r="M22" s="695">
        <f>IF(F22="","",(L22-K22)*24)</f>
        <v>165.60000000003492</v>
      </c>
      <c r="N22" s="696">
        <f>IF(F22="","",ROUND((L22-K22)*24*60,0))</f>
        <v>9936</v>
      </c>
      <c r="O22" s="697" t="s">
        <v>147</v>
      </c>
      <c r="P22" s="698" t="str">
        <f>IF(F22="","","--")</f>
        <v>--</v>
      </c>
      <c r="Q22" s="699" t="str">
        <f>IF(F22="","",IF(OR(O22="P",O22="RP"),"--","NO"))</f>
        <v>--</v>
      </c>
      <c r="R22" s="700" t="s">
        <v>167</v>
      </c>
      <c r="S22" s="701">
        <f>$H$17*IF(OR(O22="P",O22="RP"),0.1,1)*IF(R22="SI",1,0.1)</f>
        <v>0.30000000000000004</v>
      </c>
      <c r="T22" s="702">
        <f>IF(O22="P",J22*S22*ROUND(N22/60,2),"--")</f>
        <v>4515.912000000001</v>
      </c>
      <c r="U22" s="703" t="str">
        <f>IF(O22="RP",J22*S22*P22/100*ROUND(N22/60,2),"--")</f>
        <v>--</v>
      </c>
      <c r="V22" s="704" t="str">
        <f>IF(AND(O22="F",Q22="NO"),J22*S22,"--")</f>
        <v>--</v>
      </c>
      <c r="W22" s="705" t="str">
        <f>IF(O22="F",J22*S22*ROUND(N22/60,2),"--")</f>
        <v>--</v>
      </c>
      <c r="X22" s="706" t="str">
        <f>IF(AND(O22="R",Q22="NO"),J22*S22*P22/100,"--")</f>
        <v>--</v>
      </c>
      <c r="Y22" s="707" t="str">
        <f>IF(O22="R",J22*S22*P22/100*ROUND(N22/60,2),"--")</f>
        <v>--</v>
      </c>
      <c r="Z22" s="708" t="str">
        <f>IF(O22="RF",J22*S22*ROUND(N22/60,2),"--")</f>
        <v>--</v>
      </c>
      <c r="AA22" s="709" t="str">
        <f>IF(O22="RR",J22*S22*P22/100*ROUND(N22/60,2),"--")</f>
        <v>--</v>
      </c>
      <c r="AB22" s="710" t="str">
        <f>IF(F22="","","SI")</f>
        <v>SI</v>
      </c>
      <c r="AC22" s="711">
        <f>IF(F22="","",(SUM(T22:AA22)*IF(AB22="SI",1,2)*IF(AND(P22&lt;&gt;"--",O22="RF"),P22/100,1)))</f>
        <v>4515.912000000001</v>
      </c>
      <c r="AD22" s="605"/>
    </row>
    <row r="23" spans="1:30" s="587" customFormat="1" ht="16.5" customHeight="1">
      <c r="A23" s="586"/>
      <c r="B23" s="602"/>
      <c r="C23" s="712">
        <v>14</v>
      </c>
      <c r="D23" s="712">
        <v>294225</v>
      </c>
      <c r="E23" s="712">
        <v>5353</v>
      </c>
      <c r="F23" s="689" t="s">
        <v>165</v>
      </c>
      <c r="G23" s="690" t="s">
        <v>10</v>
      </c>
      <c r="H23" s="691">
        <v>100</v>
      </c>
      <c r="I23" s="692" t="s">
        <v>166</v>
      </c>
      <c r="J23" s="693">
        <f aca="true" t="shared" si="0" ref="J23:J41">H23*$H$16</f>
        <v>90.9</v>
      </c>
      <c r="K23" s="694">
        <v>42315.99930555555</v>
      </c>
      <c r="L23" s="694">
        <v>42316.84305555555</v>
      </c>
      <c r="M23" s="695">
        <f aca="true" t="shared" si="1" ref="M23:M41">IF(F23="","",(L23-K23)*24)</f>
        <v>20.25</v>
      </c>
      <c r="N23" s="696">
        <f aca="true" t="shared" si="2" ref="N23:N41">IF(F23="","",ROUND((L23-K23)*24*60,0))</f>
        <v>1215</v>
      </c>
      <c r="O23" s="697" t="s">
        <v>151</v>
      </c>
      <c r="P23" s="698" t="str">
        <f aca="true" t="shared" si="3" ref="P23:P41">IF(F23="","","--")</f>
        <v>--</v>
      </c>
      <c r="Q23" s="699" t="str">
        <f aca="true" t="shared" si="4" ref="Q23:Q41">IF(F23="","",IF(OR(O23="P",O23="RP"),"--","NO"))</f>
        <v>NO</v>
      </c>
      <c r="R23" s="700" t="s">
        <v>148</v>
      </c>
      <c r="S23" s="701">
        <f aca="true" t="shared" si="5" ref="S23:S41">$H$17*IF(OR(O23="P",O23="RP"),0.1,1)*IF(R23="SI",1,0.1)</f>
        <v>30</v>
      </c>
      <c r="T23" s="702" t="str">
        <f aca="true" t="shared" si="6" ref="T23:T41">IF(O23="P",J23*S23*ROUND(N23/60,2),"--")</f>
        <v>--</v>
      </c>
      <c r="U23" s="703" t="str">
        <f aca="true" t="shared" si="7" ref="U23:U41">IF(O23="RP",J23*S23*P23/100*ROUND(N23/60,2),"--")</f>
        <v>--</v>
      </c>
      <c r="V23" s="704">
        <f aca="true" t="shared" si="8" ref="V23:V41">IF(AND(O23="F",Q23="NO"),J23*S23,"--")</f>
        <v>2727</v>
      </c>
      <c r="W23" s="705">
        <f aca="true" t="shared" si="9" ref="W23:W41">IF(O23="F",J23*S23*ROUND(N23/60,2),"--")</f>
        <v>55221.75</v>
      </c>
      <c r="X23" s="706" t="str">
        <f aca="true" t="shared" si="10" ref="X23:X41">IF(AND(O23="R",Q23="NO"),J23*S23*P23/100,"--")</f>
        <v>--</v>
      </c>
      <c r="Y23" s="707" t="str">
        <f aca="true" t="shared" si="11" ref="Y23:Y41">IF(O23="R",J23*S23*P23/100*ROUND(N23/60,2),"--")</f>
        <v>--</v>
      </c>
      <c r="Z23" s="708" t="str">
        <f aca="true" t="shared" si="12" ref="Z23:Z41">IF(O23="RF",J23*S23*ROUND(N23/60,2),"--")</f>
        <v>--</v>
      </c>
      <c r="AA23" s="709" t="str">
        <f aca="true" t="shared" si="13" ref="AA23:AA41">IF(O23="RR",J23*S23*P23/100*ROUND(N23/60,2),"--")</f>
        <v>--</v>
      </c>
      <c r="AB23" s="710" t="str">
        <f aca="true" t="shared" si="14" ref="AB23:AB38">IF(F23="","","SI")</f>
        <v>SI</v>
      </c>
      <c r="AC23" s="711">
        <f aca="true" t="shared" si="15" ref="AC23:AC41">IF(F23="","",(SUM(T23:AA23)*IF(AB23="SI",1,2)*IF(AND(P23&lt;&gt;"--",O23="RF"),P23/100,1)))</f>
        <v>57948.75</v>
      </c>
      <c r="AD23" s="605"/>
    </row>
    <row r="24" spans="1:30" s="587" customFormat="1" ht="16.5" customHeight="1">
      <c r="A24" s="586"/>
      <c r="B24" s="602"/>
      <c r="C24" s="674"/>
      <c r="D24" s="674"/>
      <c r="E24" s="674"/>
      <c r="F24" s="689"/>
      <c r="G24" s="690"/>
      <c r="H24" s="691"/>
      <c r="I24" s="692"/>
      <c r="J24" s="693">
        <f t="shared" si="0"/>
        <v>0</v>
      </c>
      <c r="K24" s="694"/>
      <c r="L24" s="694"/>
      <c r="M24" s="695">
        <f t="shared" si="1"/>
      </c>
      <c r="N24" s="696">
        <f t="shared" si="2"/>
      </c>
      <c r="O24" s="697"/>
      <c r="P24" s="698">
        <f t="shared" si="3"/>
      </c>
      <c r="Q24" s="699">
        <f t="shared" si="4"/>
      </c>
      <c r="R24" s="700">
        <f aca="true" t="shared" si="16" ref="R24:R41">IF(F24="","","NO")</f>
      </c>
      <c r="S24" s="701">
        <f t="shared" si="5"/>
        <v>3</v>
      </c>
      <c r="T24" s="702" t="str">
        <f t="shared" si="6"/>
        <v>--</v>
      </c>
      <c r="U24" s="703" t="str">
        <f t="shared" si="7"/>
        <v>--</v>
      </c>
      <c r="V24" s="704" t="str">
        <f t="shared" si="8"/>
        <v>--</v>
      </c>
      <c r="W24" s="705" t="str">
        <f t="shared" si="9"/>
        <v>--</v>
      </c>
      <c r="X24" s="706" t="str">
        <f t="shared" si="10"/>
        <v>--</v>
      </c>
      <c r="Y24" s="707" t="str">
        <f t="shared" si="11"/>
        <v>--</v>
      </c>
      <c r="Z24" s="708" t="str">
        <f t="shared" si="12"/>
        <v>--</v>
      </c>
      <c r="AA24" s="709" t="str">
        <f t="shared" si="13"/>
        <v>--</v>
      </c>
      <c r="AB24" s="710">
        <f t="shared" si="14"/>
      </c>
      <c r="AC24" s="711">
        <f t="shared" si="15"/>
      </c>
      <c r="AD24" s="605"/>
    </row>
    <row r="25" spans="1:30" s="587" customFormat="1" ht="16.5" customHeight="1">
      <c r="A25" s="586"/>
      <c r="B25" s="602"/>
      <c r="C25" s="712"/>
      <c r="D25" s="712"/>
      <c r="E25" s="712"/>
      <c r="F25" s="689"/>
      <c r="G25" s="690"/>
      <c r="H25" s="691"/>
      <c r="I25" s="692"/>
      <c r="J25" s="693">
        <f t="shared" si="0"/>
        <v>0</v>
      </c>
      <c r="K25" s="694"/>
      <c r="L25" s="694"/>
      <c r="M25" s="695">
        <f t="shared" si="1"/>
      </c>
      <c r="N25" s="696">
        <f t="shared" si="2"/>
      </c>
      <c r="O25" s="697"/>
      <c r="P25" s="698">
        <f t="shared" si="3"/>
      </c>
      <c r="Q25" s="699">
        <f t="shared" si="4"/>
      </c>
      <c r="R25" s="700">
        <f t="shared" si="16"/>
      </c>
      <c r="S25" s="701">
        <f t="shared" si="5"/>
        <v>3</v>
      </c>
      <c r="T25" s="702" t="str">
        <f t="shared" si="6"/>
        <v>--</v>
      </c>
      <c r="U25" s="703" t="str">
        <f t="shared" si="7"/>
        <v>--</v>
      </c>
      <c r="V25" s="704" t="str">
        <f t="shared" si="8"/>
        <v>--</v>
      </c>
      <c r="W25" s="705" t="str">
        <f t="shared" si="9"/>
        <v>--</v>
      </c>
      <c r="X25" s="706" t="str">
        <f t="shared" si="10"/>
        <v>--</v>
      </c>
      <c r="Y25" s="707" t="str">
        <f t="shared" si="11"/>
        <v>--</v>
      </c>
      <c r="Z25" s="708" t="str">
        <f t="shared" si="12"/>
        <v>--</v>
      </c>
      <c r="AA25" s="709" t="str">
        <f t="shared" si="13"/>
        <v>--</v>
      </c>
      <c r="AB25" s="710">
        <f t="shared" si="14"/>
      </c>
      <c r="AC25" s="711">
        <f t="shared" si="15"/>
      </c>
      <c r="AD25" s="605"/>
    </row>
    <row r="26" spans="1:30" s="587" customFormat="1" ht="16.5" customHeight="1">
      <c r="A26" s="586"/>
      <c r="B26" s="602"/>
      <c r="C26" s="674"/>
      <c r="D26" s="674"/>
      <c r="E26" s="674"/>
      <c r="F26" s="689"/>
      <c r="G26" s="690"/>
      <c r="H26" s="691"/>
      <c r="I26" s="713"/>
      <c r="J26" s="693">
        <f t="shared" si="0"/>
        <v>0</v>
      </c>
      <c r="K26" s="694"/>
      <c r="L26" s="694"/>
      <c r="M26" s="695">
        <f t="shared" si="1"/>
      </c>
      <c r="N26" s="696">
        <f t="shared" si="2"/>
      </c>
      <c r="O26" s="697"/>
      <c r="P26" s="698">
        <f t="shared" si="3"/>
      </c>
      <c r="Q26" s="699">
        <f t="shared" si="4"/>
      </c>
      <c r="R26" s="700">
        <f t="shared" si="16"/>
      </c>
      <c r="S26" s="701">
        <f t="shared" si="5"/>
        <v>3</v>
      </c>
      <c r="T26" s="702" t="str">
        <f t="shared" si="6"/>
        <v>--</v>
      </c>
      <c r="U26" s="703" t="str">
        <f t="shared" si="7"/>
        <v>--</v>
      </c>
      <c r="V26" s="704" t="str">
        <f t="shared" si="8"/>
        <v>--</v>
      </c>
      <c r="W26" s="705" t="str">
        <f t="shared" si="9"/>
        <v>--</v>
      </c>
      <c r="X26" s="706" t="str">
        <f t="shared" si="10"/>
        <v>--</v>
      </c>
      <c r="Y26" s="707" t="str">
        <f t="shared" si="11"/>
        <v>--</v>
      </c>
      <c r="Z26" s="708" t="str">
        <f t="shared" si="12"/>
        <v>--</v>
      </c>
      <c r="AA26" s="709" t="str">
        <f t="shared" si="13"/>
        <v>--</v>
      </c>
      <c r="AB26" s="710">
        <f t="shared" si="14"/>
      </c>
      <c r="AC26" s="711">
        <f t="shared" si="15"/>
      </c>
      <c r="AD26" s="605"/>
    </row>
    <row r="27" spans="1:30" s="587" customFormat="1" ht="16.5" customHeight="1">
      <c r="A27" s="586"/>
      <c r="B27" s="602"/>
      <c r="C27" s="714"/>
      <c r="D27" s="714"/>
      <c r="E27" s="714"/>
      <c r="F27" s="689"/>
      <c r="G27" s="690"/>
      <c r="H27" s="691"/>
      <c r="I27" s="713"/>
      <c r="J27" s="693"/>
      <c r="K27" s="694"/>
      <c r="L27" s="694"/>
      <c r="M27" s="695"/>
      <c r="N27" s="696"/>
      <c r="O27" s="697"/>
      <c r="P27" s="698"/>
      <c r="Q27" s="699"/>
      <c r="R27" s="700"/>
      <c r="S27" s="701">
        <f>$H$17*IF(OR(O27="P",O27="RP"),0.1,1)*IF(R27="SI",1,0.1)</f>
        <v>3</v>
      </c>
      <c r="T27" s="702" t="str">
        <f>IF(O27="P",J27*S27*ROUND(N27/60,2),"--")</f>
        <v>--</v>
      </c>
      <c r="U27" s="703" t="str">
        <f>IF(O27="RP",J27*S27*P27/100*ROUND(N27/60,2),"--")</f>
        <v>--</v>
      </c>
      <c r="V27" s="704" t="str">
        <f>IF(AND(O27="F",Q27="NO"),J27*S27,"--")</f>
        <v>--</v>
      </c>
      <c r="W27" s="705" t="str">
        <f>IF(O27="F",J27*S27*ROUND(N27/60,2),"--")</f>
        <v>--</v>
      </c>
      <c r="X27" s="706" t="str">
        <f>IF(AND(O27="R",Q27="NO"),J27*S27*P27/100,"--")</f>
        <v>--</v>
      </c>
      <c r="Y27" s="707" t="str">
        <f>IF(O27="R",J27*S27*P27/100*ROUND(N27/60,2),"--")</f>
        <v>--</v>
      </c>
      <c r="Z27" s="708" t="str">
        <f>IF(O27="RF",J27*S27*ROUND(N27/60,2),"--")</f>
        <v>--</v>
      </c>
      <c r="AA27" s="709" t="str">
        <f>IF(O27="RR",J27*S27*P27/100*ROUND(N27/60,2),"--")</f>
        <v>--</v>
      </c>
      <c r="AB27" s="710">
        <f>IF(F27="","","SI")</f>
      </c>
      <c r="AC27" s="711">
        <f>IF(F27="","",(SUM(T27:AA27)*IF(AB27="SI",1,2)*IF(AND(P27&lt;&gt;"--",O27="RF"),P27/100,1)))</f>
      </c>
      <c r="AD27" s="605"/>
    </row>
    <row r="28" spans="1:31" s="587" customFormat="1" ht="16.5" customHeight="1">
      <c r="A28" s="586"/>
      <c r="B28" s="602"/>
      <c r="C28" s="712"/>
      <c r="D28" s="712"/>
      <c r="E28" s="712"/>
      <c r="F28" s="689"/>
      <c r="G28" s="690"/>
      <c r="H28" s="691"/>
      <c r="I28" s="713"/>
      <c r="J28" s="693">
        <f t="shared" si="0"/>
        <v>0</v>
      </c>
      <c r="K28" s="694"/>
      <c r="L28" s="694"/>
      <c r="M28" s="695">
        <f t="shared" si="1"/>
      </c>
      <c r="N28" s="696">
        <f t="shared" si="2"/>
      </c>
      <c r="O28" s="697"/>
      <c r="P28" s="698">
        <f t="shared" si="3"/>
      </c>
      <c r="Q28" s="699">
        <f t="shared" si="4"/>
      </c>
      <c r="R28" s="700">
        <f t="shared" si="16"/>
      </c>
      <c r="S28" s="701">
        <f t="shared" si="5"/>
        <v>3</v>
      </c>
      <c r="T28" s="702" t="str">
        <f t="shared" si="6"/>
        <v>--</v>
      </c>
      <c r="U28" s="703" t="str">
        <f t="shared" si="7"/>
        <v>--</v>
      </c>
      <c r="V28" s="704" t="str">
        <f t="shared" si="8"/>
        <v>--</v>
      </c>
      <c r="W28" s="705" t="str">
        <f t="shared" si="9"/>
        <v>--</v>
      </c>
      <c r="X28" s="706" t="str">
        <f t="shared" si="10"/>
        <v>--</v>
      </c>
      <c r="Y28" s="707" t="str">
        <f t="shared" si="11"/>
        <v>--</v>
      </c>
      <c r="Z28" s="708" t="str">
        <f t="shared" si="12"/>
        <v>--</v>
      </c>
      <c r="AA28" s="709" t="str">
        <f t="shared" si="13"/>
        <v>--</v>
      </c>
      <c r="AB28" s="710">
        <f t="shared" si="14"/>
      </c>
      <c r="AC28" s="711">
        <f t="shared" si="15"/>
      </c>
      <c r="AD28" s="605"/>
      <c r="AE28" s="603"/>
    </row>
    <row r="29" spans="1:30" s="587" customFormat="1" ht="16.5" customHeight="1">
      <c r="A29" s="586"/>
      <c r="B29" s="602"/>
      <c r="C29" s="674"/>
      <c r="D29" s="674"/>
      <c r="E29" s="674"/>
      <c r="F29" s="689"/>
      <c r="G29" s="690"/>
      <c r="H29" s="691"/>
      <c r="I29" s="713"/>
      <c r="J29" s="693">
        <f t="shared" si="0"/>
        <v>0</v>
      </c>
      <c r="K29" s="694"/>
      <c r="L29" s="694"/>
      <c r="M29" s="695">
        <f t="shared" si="1"/>
      </c>
      <c r="N29" s="696">
        <f t="shared" si="2"/>
      </c>
      <c r="O29" s="697"/>
      <c r="P29" s="698">
        <f t="shared" si="3"/>
      </c>
      <c r="Q29" s="699">
        <f t="shared" si="4"/>
      </c>
      <c r="R29" s="700">
        <f t="shared" si="16"/>
      </c>
      <c r="S29" s="701">
        <f t="shared" si="5"/>
        <v>3</v>
      </c>
      <c r="T29" s="702" t="str">
        <f t="shared" si="6"/>
        <v>--</v>
      </c>
      <c r="U29" s="703" t="str">
        <f t="shared" si="7"/>
        <v>--</v>
      </c>
      <c r="V29" s="704" t="str">
        <f t="shared" si="8"/>
        <v>--</v>
      </c>
      <c r="W29" s="705" t="str">
        <f t="shared" si="9"/>
        <v>--</v>
      </c>
      <c r="X29" s="706" t="str">
        <f t="shared" si="10"/>
        <v>--</v>
      </c>
      <c r="Y29" s="707" t="str">
        <f t="shared" si="11"/>
        <v>--</v>
      </c>
      <c r="Z29" s="708" t="str">
        <f t="shared" si="12"/>
        <v>--</v>
      </c>
      <c r="AA29" s="709" t="str">
        <f t="shared" si="13"/>
        <v>--</v>
      </c>
      <c r="AB29" s="710">
        <f t="shared" si="14"/>
      </c>
      <c r="AC29" s="711">
        <f t="shared" si="15"/>
      </c>
      <c r="AD29" s="605"/>
    </row>
    <row r="30" spans="1:30" s="587" customFormat="1" ht="16.5" customHeight="1">
      <c r="A30" s="586"/>
      <c r="B30" s="602"/>
      <c r="C30" s="712"/>
      <c r="D30" s="712"/>
      <c r="E30" s="712"/>
      <c r="F30" s="689"/>
      <c r="G30" s="690"/>
      <c r="H30" s="691"/>
      <c r="I30" s="713"/>
      <c r="J30" s="693">
        <f t="shared" si="0"/>
        <v>0</v>
      </c>
      <c r="K30" s="694"/>
      <c r="L30" s="694"/>
      <c r="M30" s="695">
        <f t="shared" si="1"/>
      </c>
      <c r="N30" s="696">
        <f t="shared" si="2"/>
      </c>
      <c r="O30" s="697"/>
      <c r="P30" s="698">
        <f t="shared" si="3"/>
      </c>
      <c r="Q30" s="699">
        <f t="shared" si="4"/>
      </c>
      <c r="R30" s="700">
        <f t="shared" si="16"/>
      </c>
      <c r="S30" s="701">
        <f t="shared" si="5"/>
        <v>3</v>
      </c>
      <c r="T30" s="702" t="str">
        <f t="shared" si="6"/>
        <v>--</v>
      </c>
      <c r="U30" s="703" t="str">
        <f t="shared" si="7"/>
        <v>--</v>
      </c>
      <c r="V30" s="704" t="str">
        <f t="shared" si="8"/>
        <v>--</v>
      </c>
      <c r="W30" s="705" t="str">
        <f t="shared" si="9"/>
        <v>--</v>
      </c>
      <c r="X30" s="706" t="str">
        <f t="shared" si="10"/>
        <v>--</v>
      </c>
      <c r="Y30" s="707" t="str">
        <f t="shared" si="11"/>
        <v>--</v>
      </c>
      <c r="Z30" s="708" t="str">
        <f t="shared" si="12"/>
        <v>--</v>
      </c>
      <c r="AA30" s="709" t="str">
        <f t="shared" si="13"/>
        <v>--</v>
      </c>
      <c r="AB30" s="710">
        <f t="shared" si="14"/>
      </c>
      <c r="AC30" s="711">
        <f t="shared" si="15"/>
      </c>
      <c r="AD30" s="605"/>
    </row>
    <row r="31" spans="1:30" s="587" customFormat="1" ht="16.5" customHeight="1">
      <c r="A31" s="586"/>
      <c r="B31" s="602"/>
      <c r="C31" s="674"/>
      <c r="D31" s="674"/>
      <c r="E31" s="674"/>
      <c r="F31" s="689"/>
      <c r="G31" s="690"/>
      <c r="H31" s="691"/>
      <c r="I31" s="713"/>
      <c r="J31" s="693">
        <f t="shared" si="0"/>
        <v>0</v>
      </c>
      <c r="K31" s="694"/>
      <c r="L31" s="694"/>
      <c r="M31" s="695">
        <f t="shared" si="1"/>
      </c>
      <c r="N31" s="696">
        <f t="shared" si="2"/>
      </c>
      <c r="O31" s="697"/>
      <c r="P31" s="698">
        <f t="shared" si="3"/>
      </c>
      <c r="Q31" s="699">
        <f t="shared" si="4"/>
      </c>
      <c r="R31" s="700">
        <f t="shared" si="16"/>
      </c>
      <c r="S31" s="701">
        <f t="shared" si="5"/>
        <v>3</v>
      </c>
      <c r="T31" s="702" t="str">
        <f t="shared" si="6"/>
        <v>--</v>
      </c>
      <c r="U31" s="703" t="str">
        <f t="shared" si="7"/>
        <v>--</v>
      </c>
      <c r="V31" s="704" t="str">
        <f t="shared" si="8"/>
        <v>--</v>
      </c>
      <c r="W31" s="705" t="str">
        <f t="shared" si="9"/>
        <v>--</v>
      </c>
      <c r="X31" s="706" t="str">
        <f t="shared" si="10"/>
        <v>--</v>
      </c>
      <c r="Y31" s="707" t="str">
        <f t="shared" si="11"/>
        <v>--</v>
      </c>
      <c r="Z31" s="708" t="str">
        <f t="shared" si="12"/>
        <v>--</v>
      </c>
      <c r="AA31" s="709" t="str">
        <f t="shared" si="13"/>
        <v>--</v>
      </c>
      <c r="AB31" s="710">
        <f t="shared" si="14"/>
      </c>
      <c r="AC31" s="711">
        <f t="shared" si="15"/>
      </c>
      <c r="AD31" s="605"/>
    </row>
    <row r="32" spans="1:30" s="587" customFormat="1" ht="16.5" customHeight="1">
      <c r="A32" s="586"/>
      <c r="B32" s="602"/>
      <c r="C32" s="712"/>
      <c r="D32" s="712"/>
      <c r="E32" s="712"/>
      <c r="F32" s="689"/>
      <c r="G32" s="715"/>
      <c r="H32" s="691"/>
      <c r="I32" s="692"/>
      <c r="J32" s="693">
        <f t="shared" si="0"/>
        <v>0</v>
      </c>
      <c r="K32" s="694"/>
      <c r="L32" s="694"/>
      <c r="M32" s="695">
        <f t="shared" si="1"/>
      </c>
      <c r="N32" s="696">
        <f t="shared" si="2"/>
      </c>
      <c r="O32" s="697"/>
      <c r="P32" s="698">
        <f t="shared" si="3"/>
      </c>
      <c r="Q32" s="699">
        <f t="shared" si="4"/>
      </c>
      <c r="R32" s="700">
        <f t="shared" si="16"/>
      </c>
      <c r="S32" s="701">
        <f t="shared" si="5"/>
        <v>3</v>
      </c>
      <c r="T32" s="702" t="str">
        <f t="shared" si="6"/>
        <v>--</v>
      </c>
      <c r="U32" s="703" t="str">
        <f t="shared" si="7"/>
        <v>--</v>
      </c>
      <c r="V32" s="704" t="str">
        <f t="shared" si="8"/>
        <v>--</v>
      </c>
      <c r="W32" s="705" t="str">
        <f t="shared" si="9"/>
        <v>--</v>
      </c>
      <c r="X32" s="706" t="str">
        <f t="shared" si="10"/>
        <v>--</v>
      </c>
      <c r="Y32" s="707" t="str">
        <f t="shared" si="11"/>
        <v>--</v>
      </c>
      <c r="Z32" s="708" t="str">
        <f t="shared" si="12"/>
        <v>--</v>
      </c>
      <c r="AA32" s="709" t="str">
        <f t="shared" si="13"/>
        <v>--</v>
      </c>
      <c r="AB32" s="710">
        <f t="shared" si="14"/>
      </c>
      <c r="AC32" s="711">
        <f t="shared" si="15"/>
      </c>
      <c r="AD32" s="605"/>
    </row>
    <row r="33" spans="1:30" s="587" customFormat="1" ht="16.5" customHeight="1">
      <c r="A33" s="586"/>
      <c r="B33" s="602"/>
      <c r="C33" s="674"/>
      <c r="D33" s="674"/>
      <c r="E33" s="674"/>
      <c r="F33" s="689"/>
      <c r="G33" s="715"/>
      <c r="H33" s="691"/>
      <c r="I33" s="713"/>
      <c r="J33" s="693">
        <f t="shared" si="0"/>
        <v>0</v>
      </c>
      <c r="K33" s="694"/>
      <c r="L33" s="694"/>
      <c r="M33" s="695">
        <f t="shared" si="1"/>
      </c>
      <c r="N33" s="696">
        <f t="shared" si="2"/>
      </c>
      <c r="O33" s="697"/>
      <c r="P33" s="698">
        <f t="shared" si="3"/>
      </c>
      <c r="Q33" s="699">
        <f t="shared" si="4"/>
      </c>
      <c r="R33" s="700">
        <f t="shared" si="16"/>
      </c>
      <c r="S33" s="701">
        <f t="shared" si="5"/>
        <v>3</v>
      </c>
      <c r="T33" s="702" t="str">
        <f t="shared" si="6"/>
        <v>--</v>
      </c>
      <c r="U33" s="703" t="str">
        <f t="shared" si="7"/>
        <v>--</v>
      </c>
      <c r="V33" s="704" t="str">
        <f t="shared" si="8"/>
        <v>--</v>
      </c>
      <c r="W33" s="705" t="str">
        <f t="shared" si="9"/>
        <v>--</v>
      </c>
      <c r="X33" s="706" t="str">
        <f t="shared" si="10"/>
        <v>--</v>
      </c>
      <c r="Y33" s="707" t="str">
        <f t="shared" si="11"/>
        <v>--</v>
      </c>
      <c r="Z33" s="708" t="str">
        <f t="shared" si="12"/>
        <v>--</v>
      </c>
      <c r="AA33" s="709" t="str">
        <f t="shared" si="13"/>
        <v>--</v>
      </c>
      <c r="AB33" s="710">
        <f t="shared" si="14"/>
      </c>
      <c r="AC33" s="711">
        <f t="shared" si="15"/>
      </c>
      <c r="AD33" s="605"/>
    </row>
    <row r="34" spans="1:30" s="587" customFormat="1" ht="16.5" customHeight="1">
      <c r="A34" s="586"/>
      <c r="B34" s="602"/>
      <c r="C34" s="712"/>
      <c r="D34" s="712"/>
      <c r="E34" s="712"/>
      <c r="F34" s="689"/>
      <c r="G34" s="715"/>
      <c r="H34" s="691"/>
      <c r="I34" s="692"/>
      <c r="J34" s="693">
        <f t="shared" si="0"/>
        <v>0</v>
      </c>
      <c r="K34" s="694"/>
      <c r="L34" s="694"/>
      <c r="M34" s="695">
        <f t="shared" si="1"/>
      </c>
      <c r="N34" s="696">
        <f t="shared" si="2"/>
      </c>
      <c r="O34" s="697"/>
      <c r="P34" s="698">
        <f t="shared" si="3"/>
      </c>
      <c r="Q34" s="699">
        <f t="shared" si="4"/>
      </c>
      <c r="R34" s="700">
        <f t="shared" si="16"/>
      </c>
      <c r="S34" s="701">
        <f t="shared" si="5"/>
        <v>3</v>
      </c>
      <c r="T34" s="702" t="str">
        <f t="shared" si="6"/>
        <v>--</v>
      </c>
      <c r="U34" s="703" t="str">
        <f t="shared" si="7"/>
        <v>--</v>
      </c>
      <c r="V34" s="704" t="str">
        <f t="shared" si="8"/>
        <v>--</v>
      </c>
      <c r="W34" s="705" t="str">
        <f t="shared" si="9"/>
        <v>--</v>
      </c>
      <c r="X34" s="706" t="str">
        <f t="shared" si="10"/>
        <v>--</v>
      </c>
      <c r="Y34" s="707" t="str">
        <f t="shared" si="11"/>
        <v>--</v>
      </c>
      <c r="Z34" s="708" t="str">
        <f t="shared" si="12"/>
        <v>--</v>
      </c>
      <c r="AA34" s="709" t="str">
        <f t="shared" si="13"/>
        <v>--</v>
      </c>
      <c r="AB34" s="710">
        <f t="shared" si="14"/>
      </c>
      <c r="AC34" s="711">
        <f t="shared" si="15"/>
      </c>
      <c r="AD34" s="605"/>
    </row>
    <row r="35" spans="1:30" s="587" customFormat="1" ht="16.5" customHeight="1">
      <c r="A35" s="586"/>
      <c r="B35" s="602"/>
      <c r="C35" s="674"/>
      <c r="D35" s="674"/>
      <c r="E35" s="674"/>
      <c r="F35" s="689"/>
      <c r="G35" s="715"/>
      <c r="H35" s="691"/>
      <c r="I35" s="713"/>
      <c r="J35" s="693">
        <f t="shared" si="0"/>
        <v>0</v>
      </c>
      <c r="K35" s="694"/>
      <c r="L35" s="694"/>
      <c r="M35" s="695">
        <f t="shared" si="1"/>
      </c>
      <c r="N35" s="696">
        <f t="shared" si="2"/>
      </c>
      <c r="O35" s="697"/>
      <c r="P35" s="698">
        <f t="shared" si="3"/>
      </c>
      <c r="Q35" s="699">
        <f t="shared" si="4"/>
      </c>
      <c r="R35" s="700">
        <f t="shared" si="16"/>
      </c>
      <c r="S35" s="701">
        <f t="shared" si="5"/>
        <v>3</v>
      </c>
      <c r="T35" s="702" t="str">
        <f t="shared" si="6"/>
        <v>--</v>
      </c>
      <c r="U35" s="703" t="str">
        <f t="shared" si="7"/>
        <v>--</v>
      </c>
      <c r="V35" s="704" t="str">
        <f t="shared" si="8"/>
        <v>--</v>
      </c>
      <c r="W35" s="705" t="str">
        <f t="shared" si="9"/>
        <v>--</v>
      </c>
      <c r="X35" s="706" t="str">
        <f t="shared" si="10"/>
        <v>--</v>
      </c>
      <c r="Y35" s="707" t="str">
        <f t="shared" si="11"/>
        <v>--</v>
      </c>
      <c r="Z35" s="708" t="str">
        <f t="shared" si="12"/>
        <v>--</v>
      </c>
      <c r="AA35" s="709" t="str">
        <f t="shared" si="13"/>
        <v>--</v>
      </c>
      <c r="AB35" s="710">
        <f t="shared" si="14"/>
      </c>
      <c r="AC35" s="711">
        <f t="shared" si="15"/>
      </c>
      <c r="AD35" s="605"/>
    </row>
    <row r="36" spans="1:30" s="587" customFormat="1" ht="16.5" customHeight="1">
      <c r="A36" s="586"/>
      <c r="B36" s="602"/>
      <c r="C36" s="712"/>
      <c r="D36" s="712"/>
      <c r="E36" s="712"/>
      <c r="F36" s="689"/>
      <c r="G36" s="715"/>
      <c r="H36" s="691"/>
      <c r="I36" s="692"/>
      <c r="J36" s="693">
        <f t="shared" si="0"/>
        <v>0</v>
      </c>
      <c r="K36" s="694"/>
      <c r="L36" s="694"/>
      <c r="M36" s="695">
        <f t="shared" si="1"/>
      </c>
      <c r="N36" s="696">
        <f t="shared" si="2"/>
      </c>
      <c r="O36" s="697"/>
      <c r="P36" s="698">
        <f t="shared" si="3"/>
      </c>
      <c r="Q36" s="699">
        <f t="shared" si="4"/>
      </c>
      <c r="R36" s="700">
        <f t="shared" si="16"/>
      </c>
      <c r="S36" s="701">
        <f t="shared" si="5"/>
        <v>3</v>
      </c>
      <c r="T36" s="702" t="str">
        <f t="shared" si="6"/>
        <v>--</v>
      </c>
      <c r="U36" s="703" t="str">
        <f t="shared" si="7"/>
        <v>--</v>
      </c>
      <c r="V36" s="704" t="str">
        <f t="shared" si="8"/>
        <v>--</v>
      </c>
      <c r="W36" s="705" t="str">
        <f t="shared" si="9"/>
        <v>--</v>
      </c>
      <c r="X36" s="706" t="str">
        <f t="shared" si="10"/>
        <v>--</v>
      </c>
      <c r="Y36" s="707" t="str">
        <f t="shared" si="11"/>
        <v>--</v>
      </c>
      <c r="Z36" s="708" t="str">
        <f t="shared" si="12"/>
        <v>--</v>
      </c>
      <c r="AA36" s="709" t="str">
        <f t="shared" si="13"/>
        <v>--</v>
      </c>
      <c r="AB36" s="710">
        <f t="shared" si="14"/>
      </c>
      <c r="AC36" s="711">
        <f t="shared" si="15"/>
      </c>
      <c r="AD36" s="605"/>
    </row>
    <row r="37" spans="1:30" s="587" customFormat="1" ht="16.5" customHeight="1">
      <c r="A37" s="586"/>
      <c r="B37" s="602"/>
      <c r="C37" s="674"/>
      <c r="D37" s="674"/>
      <c r="E37" s="674"/>
      <c r="F37" s="689"/>
      <c r="G37" s="715"/>
      <c r="H37" s="691"/>
      <c r="I37" s="713"/>
      <c r="J37" s="693">
        <f t="shared" si="0"/>
        <v>0</v>
      </c>
      <c r="K37" s="694"/>
      <c r="L37" s="694"/>
      <c r="M37" s="695">
        <f t="shared" si="1"/>
      </c>
      <c r="N37" s="696">
        <f t="shared" si="2"/>
      </c>
      <c r="O37" s="697"/>
      <c r="P37" s="698">
        <f t="shared" si="3"/>
      </c>
      <c r="Q37" s="699">
        <f t="shared" si="4"/>
      </c>
      <c r="R37" s="700">
        <f t="shared" si="16"/>
      </c>
      <c r="S37" s="701">
        <f t="shared" si="5"/>
        <v>3</v>
      </c>
      <c r="T37" s="702" t="str">
        <f t="shared" si="6"/>
        <v>--</v>
      </c>
      <c r="U37" s="703" t="str">
        <f t="shared" si="7"/>
        <v>--</v>
      </c>
      <c r="V37" s="704" t="str">
        <f t="shared" si="8"/>
        <v>--</v>
      </c>
      <c r="W37" s="705" t="str">
        <f t="shared" si="9"/>
        <v>--</v>
      </c>
      <c r="X37" s="706" t="str">
        <f t="shared" si="10"/>
        <v>--</v>
      </c>
      <c r="Y37" s="707" t="str">
        <f t="shared" si="11"/>
        <v>--</v>
      </c>
      <c r="Z37" s="708" t="str">
        <f t="shared" si="12"/>
        <v>--</v>
      </c>
      <c r="AA37" s="709" t="str">
        <f t="shared" si="13"/>
        <v>--</v>
      </c>
      <c r="AB37" s="710">
        <f t="shared" si="14"/>
      </c>
      <c r="AC37" s="711">
        <f t="shared" si="15"/>
      </c>
      <c r="AD37" s="605"/>
    </row>
    <row r="38" spans="1:30" s="587" customFormat="1" ht="16.5" customHeight="1">
      <c r="A38" s="586"/>
      <c r="B38" s="602"/>
      <c r="C38" s="712"/>
      <c r="D38" s="712"/>
      <c r="E38" s="712"/>
      <c r="F38" s="689"/>
      <c r="G38" s="715"/>
      <c r="H38" s="691"/>
      <c r="I38" s="713"/>
      <c r="J38" s="693">
        <f t="shared" si="0"/>
        <v>0</v>
      </c>
      <c r="K38" s="694"/>
      <c r="L38" s="694"/>
      <c r="M38" s="695">
        <f t="shared" si="1"/>
      </c>
      <c r="N38" s="696">
        <f t="shared" si="2"/>
      </c>
      <c r="O38" s="697"/>
      <c r="P38" s="698">
        <f t="shared" si="3"/>
      </c>
      <c r="Q38" s="699">
        <f t="shared" si="4"/>
      </c>
      <c r="R38" s="700">
        <f t="shared" si="16"/>
      </c>
      <c r="S38" s="701">
        <f t="shared" si="5"/>
        <v>3</v>
      </c>
      <c r="T38" s="702" t="str">
        <f t="shared" si="6"/>
        <v>--</v>
      </c>
      <c r="U38" s="703" t="str">
        <f t="shared" si="7"/>
        <v>--</v>
      </c>
      <c r="V38" s="704" t="str">
        <f t="shared" si="8"/>
        <v>--</v>
      </c>
      <c r="W38" s="705" t="str">
        <f t="shared" si="9"/>
        <v>--</v>
      </c>
      <c r="X38" s="706" t="str">
        <f t="shared" si="10"/>
        <v>--</v>
      </c>
      <c r="Y38" s="707" t="str">
        <f t="shared" si="11"/>
        <v>--</v>
      </c>
      <c r="Z38" s="708" t="str">
        <f t="shared" si="12"/>
        <v>--</v>
      </c>
      <c r="AA38" s="709" t="str">
        <f t="shared" si="13"/>
        <v>--</v>
      </c>
      <c r="AB38" s="710">
        <f t="shared" si="14"/>
      </c>
      <c r="AC38" s="711">
        <f t="shared" si="15"/>
      </c>
      <c r="AD38" s="605"/>
    </row>
    <row r="39" spans="1:30" s="587" customFormat="1" ht="16.5" customHeight="1">
      <c r="A39" s="586"/>
      <c r="B39" s="602"/>
      <c r="C39" s="674"/>
      <c r="D39" s="674"/>
      <c r="E39" s="674"/>
      <c r="F39" s="689"/>
      <c r="G39" s="715"/>
      <c r="H39" s="691"/>
      <c r="I39" s="713"/>
      <c r="J39" s="693">
        <f t="shared" si="0"/>
        <v>0</v>
      </c>
      <c r="K39" s="694"/>
      <c r="L39" s="694"/>
      <c r="M39" s="695">
        <f t="shared" si="1"/>
      </c>
      <c r="N39" s="696">
        <f t="shared" si="2"/>
      </c>
      <c r="O39" s="697"/>
      <c r="P39" s="698">
        <f t="shared" si="3"/>
      </c>
      <c r="Q39" s="699">
        <f t="shared" si="4"/>
      </c>
      <c r="R39" s="700">
        <f t="shared" si="16"/>
      </c>
      <c r="S39" s="701">
        <f t="shared" si="5"/>
        <v>3</v>
      </c>
      <c r="T39" s="702" t="str">
        <f t="shared" si="6"/>
        <v>--</v>
      </c>
      <c r="U39" s="703" t="str">
        <f t="shared" si="7"/>
        <v>--</v>
      </c>
      <c r="V39" s="704" t="str">
        <f t="shared" si="8"/>
        <v>--</v>
      </c>
      <c r="W39" s="705" t="str">
        <f t="shared" si="9"/>
        <v>--</v>
      </c>
      <c r="X39" s="706" t="str">
        <f t="shared" si="10"/>
        <v>--</v>
      </c>
      <c r="Y39" s="707" t="str">
        <f t="shared" si="11"/>
        <v>--</v>
      </c>
      <c r="Z39" s="708" t="str">
        <f t="shared" si="12"/>
        <v>--</v>
      </c>
      <c r="AA39" s="709" t="str">
        <f t="shared" si="13"/>
        <v>--</v>
      </c>
      <c r="AB39" s="710">
        <f>IF(F39="","","SI")</f>
      </c>
      <c r="AC39" s="711">
        <f t="shared" si="15"/>
      </c>
      <c r="AD39" s="605"/>
    </row>
    <row r="40" spans="1:30" s="587" customFormat="1" ht="16.5" customHeight="1">
      <c r="A40" s="586"/>
      <c r="B40" s="602"/>
      <c r="C40" s="712"/>
      <c r="D40" s="712"/>
      <c r="E40" s="712"/>
      <c r="F40" s="689"/>
      <c r="G40" s="715"/>
      <c r="H40" s="691"/>
      <c r="I40" s="713"/>
      <c r="J40" s="693">
        <f t="shared" si="0"/>
        <v>0</v>
      </c>
      <c r="K40" s="694"/>
      <c r="L40" s="694"/>
      <c r="M40" s="695">
        <f t="shared" si="1"/>
      </c>
      <c r="N40" s="696">
        <f t="shared" si="2"/>
      </c>
      <c r="O40" s="697"/>
      <c r="P40" s="698">
        <f t="shared" si="3"/>
      </c>
      <c r="Q40" s="699">
        <f t="shared" si="4"/>
      </c>
      <c r="R40" s="700">
        <f t="shared" si="16"/>
      </c>
      <c r="S40" s="701">
        <f t="shared" si="5"/>
        <v>3</v>
      </c>
      <c r="T40" s="702" t="str">
        <f t="shared" si="6"/>
        <v>--</v>
      </c>
      <c r="U40" s="703" t="str">
        <f t="shared" si="7"/>
        <v>--</v>
      </c>
      <c r="V40" s="704" t="str">
        <f t="shared" si="8"/>
        <v>--</v>
      </c>
      <c r="W40" s="705" t="str">
        <f t="shared" si="9"/>
        <v>--</v>
      </c>
      <c r="X40" s="706" t="str">
        <f t="shared" si="10"/>
        <v>--</v>
      </c>
      <c r="Y40" s="707" t="str">
        <f t="shared" si="11"/>
        <v>--</v>
      </c>
      <c r="Z40" s="708" t="str">
        <f t="shared" si="12"/>
        <v>--</v>
      </c>
      <c r="AA40" s="709" t="str">
        <f t="shared" si="13"/>
        <v>--</v>
      </c>
      <c r="AB40" s="710">
        <f>IF(F40="","","SI")</f>
      </c>
      <c r="AC40" s="711">
        <f t="shared" si="15"/>
      </c>
      <c r="AD40" s="605"/>
    </row>
    <row r="41" spans="1:30" s="587" customFormat="1" ht="16.5" customHeight="1">
      <c r="A41" s="586"/>
      <c r="B41" s="602"/>
      <c r="C41" s="674"/>
      <c r="D41" s="674"/>
      <c r="E41" s="674"/>
      <c r="F41" s="689"/>
      <c r="G41" s="715"/>
      <c r="H41" s="691"/>
      <c r="I41" s="713"/>
      <c r="J41" s="693">
        <f t="shared" si="0"/>
        <v>0</v>
      </c>
      <c r="K41" s="694"/>
      <c r="L41" s="694"/>
      <c r="M41" s="695">
        <f t="shared" si="1"/>
      </c>
      <c r="N41" s="696">
        <f t="shared" si="2"/>
      </c>
      <c r="O41" s="697"/>
      <c r="P41" s="698">
        <f t="shared" si="3"/>
      </c>
      <c r="Q41" s="699">
        <f t="shared" si="4"/>
      </c>
      <c r="R41" s="700">
        <f t="shared" si="16"/>
      </c>
      <c r="S41" s="701">
        <f t="shared" si="5"/>
        <v>3</v>
      </c>
      <c r="T41" s="702" t="str">
        <f t="shared" si="6"/>
        <v>--</v>
      </c>
      <c r="U41" s="703" t="str">
        <f t="shared" si="7"/>
        <v>--</v>
      </c>
      <c r="V41" s="704" t="str">
        <f t="shared" si="8"/>
        <v>--</v>
      </c>
      <c r="W41" s="705" t="str">
        <f t="shared" si="9"/>
        <v>--</v>
      </c>
      <c r="X41" s="706" t="str">
        <f t="shared" si="10"/>
        <v>--</v>
      </c>
      <c r="Y41" s="707" t="str">
        <f t="shared" si="11"/>
        <v>--</v>
      </c>
      <c r="Z41" s="708" t="str">
        <f t="shared" si="12"/>
        <v>--</v>
      </c>
      <c r="AA41" s="709" t="str">
        <f t="shared" si="13"/>
        <v>--</v>
      </c>
      <c r="AB41" s="710">
        <f>IF(F41="","","SI")</f>
      </c>
      <c r="AC41" s="711">
        <f t="shared" si="15"/>
      </c>
      <c r="AD41" s="605"/>
    </row>
    <row r="42" spans="1:30" s="587" customFormat="1" ht="16.5" customHeight="1" thickBot="1">
      <c r="A42" s="586"/>
      <c r="B42" s="602"/>
      <c r="C42" s="712"/>
      <c r="D42" s="716"/>
      <c r="E42" s="712"/>
      <c r="F42" s="717"/>
      <c r="G42" s="718"/>
      <c r="H42" s="717"/>
      <c r="I42" s="719"/>
      <c r="J42" s="720"/>
      <c r="K42" s="721"/>
      <c r="L42" s="722"/>
      <c r="M42" s="723"/>
      <c r="N42" s="724"/>
      <c r="O42" s="725"/>
      <c r="P42" s="726"/>
      <c r="Q42" s="727"/>
      <c r="R42" s="725"/>
      <c r="S42" s="728"/>
      <c r="T42" s="729"/>
      <c r="U42" s="730"/>
      <c r="V42" s="731"/>
      <c r="W42" s="732"/>
      <c r="X42" s="733"/>
      <c r="Y42" s="734"/>
      <c r="Z42" s="735"/>
      <c r="AA42" s="736"/>
      <c r="AB42" s="737"/>
      <c r="AC42" s="738"/>
      <c r="AD42" s="605"/>
    </row>
    <row r="43" spans="1:30" s="587" customFormat="1" ht="16.5" customHeight="1" thickBot="1" thickTop="1">
      <c r="A43" s="586"/>
      <c r="B43" s="602"/>
      <c r="C43" s="739" t="s">
        <v>68</v>
      </c>
      <c r="D43" s="740" t="s">
        <v>191</v>
      </c>
      <c r="E43" s="739"/>
      <c r="F43" s="741"/>
      <c r="G43" s="603"/>
      <c r="H43" s="603"/>
      <c r="I43" s="603"/>
      <c r="J43" s="603"/>
      <c r="K43" s="603"/>
      <c r="L43" s="638"/>
      <c r="M43" s="603"/>
      <c r="N43" s="603"/>
      <c r="O43" s="603"/>
      <c r="P43" s="603"/>
      <c r="Q43" s="603"/>
      <c r="R43" s="603"/>
      <c r="S43" s="603"/>
      <c r="T43" s="742">
        <f aca="true" t="shared" si="17" ref="T43:AA43">SUM(T20:T42)</f>
        <v>4515.912000000001</v>
      </c>
      <c r="U43" s="743">
        <f t="shared" si="17"/>
        <v>0</v>
      </c>
      <c r="V43" s="744">
        <f t="shared" si="17"/>
        <v>2727</v>
      </c>
      <c r="W43" s="745">
        <f t="shared" si="17"/>
        <v>55221.75</v>
      </c>
      <c r="X43" s="746">
        <f t="shared" si="17"/>
        <v>0</v>
      </c>
      <c r="Y43" s="747">
        <f t="shared" si="17"/>
        <v>0</v>
      </c>
      <c r="Z43" s="748">
        <f t="shared" si="17"/>
        <v>0</v>
      </c>
      <c r="AA43" s="749">
        <f t="shared" si="17"/>
        <v>0</v>
      </c>
      <c r="AB43" s="586"/>
      <c r="AC43" s="750">
        <f>ROUND(SUM(AC20:AC42),2)</f>
        <v>62464.66</v>
      </c>
      <c r="AD43" s="605"/>
    </row>
    <row r="44" spans="1:30" s="587" customFormat="1" ht="16.5" customHeight="1" thickBot="1" thickTop="1">
      <c r="A44" s="586"/>
      <c r="B44" s="751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752"/>
      <c r="Z44" s="752"/>
      <c r="AA44" s="752"/>
      <c r="AB44" s="752"/>
      <c r="AC44" s="752"/>
      <c r="AD44" s="753"/>
    </row>
    <row r="45" spans="1:31" ht="16.5" customHeight="1" thickTop="1">
      <c r="A45" s="754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</row>
    <row r="46" spans="1:31" ht="16.5" customHeight="1">
      <c r="A46" s="754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755"/>
      <c r="R46" s="755"/>
      <c r="S46" s="755"/>
      <c r="T46" s="755"/>
      <c r="U46" s="755"/>
      <c r="V46" s="755"/>
      <c r="W46" s="755"/>
      <c r="X46" s="755"/>
      <c r="Y46" s="755"/>
      <c r="Z46" s="755"/>
      <c r="AA46" s="755"/>
      <c r="AB46" s="755"/>
      <c r="AC46" s="755"/>
      <c r="AD46" s="755"/>
      <c r="AE46" s="755"/>
    </row>
    <row r="47" spans="1:31" ht="16.5" customHeight="1">
      <c r="A47" s="754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755"/>
      <c r="T47" s="755"/>
      <c r="U47" s="755"/>
      <c r="V47" s="755"/>
      <c r="W47" s="755"/>
      <c r="X47" s="755"/>
      <c r="Y47" s="755"/>
      <c r="Z47" s="755"/>
      <c r="AA47" s="755"/>
      <c r="AB47" s="755"/>
      <c r="AC47" s="755"/>
      <c r="AD47" s="755"/>
      <c r="AE47" s="755"/>
    </row>
    <row r="48" spans="1:31" ht="16.5" customHeight="1">
      <c r="A48" s="754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5"/>
      <c r="V48" s="755"/>
      <c r="W48" s="755"/>
      <c r="X48" s="755"/>
      <c r="Y48" s="755"/>
      <c r="Z48" s="755"/>
      <c r="AA48" s="755"/>
      <c r="AB48" s="755"/>
      <c r="AC48" s="755"/>
      <c r="AD48" s="755"/>
      <c r="AE48" s="755"/>
    </row>
    <row r="49" spans="6:31" ht="16.5" customHeight="1"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</row>
    <row r="50" spans="6:31" ht="16.5" customHeight="1"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</row>
    <row r="51" spans="6:31" ht="16.5" customHeight="1"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</row>
    <row r="52" spans="6:31" ht="16.5" customHeight="1"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</row>
    <row r="53" spans="6:31" ht="16.5" customHeight="1"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</row>
    <row r="54" spans="6:31" ht="16.5" customHeight="1"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  <c r="Q54" s="755"/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</row>
    <row r="55" spans="6:31" ht="16.5" customHeight="1"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</row>
    <row r="56" spans="6:31" ht="16.5" customHeight="1"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</row>
    <row r="57" spans="6:31" ht="16.5" customHeight="1"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</row>
    <row r="58" spans="6:31" ht="16.5" customHeight="1"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</row>
    <row r="59" spans="6:31" ht="16.5" customHeight="1"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</row>
    <row r="60" spans="6:31" ht="16.5" customHeight="1"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755"/>
      <c r="Y60" s="755"/>
      <c r="Z60" s="755"/>
      <c r="AA60" s="755"/>
      <c r="AB60" s="755"/>
      <c r="AC60" s="755"/>
      <c r="AD60" s="755"/>
      <c r="AE60" s="755"/>
    </row>
    <row r="61" spans="6:31" ht="16.5" customHeight="1"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5"/>
      <c r="Y61" s="755"/>
      <c r="Z61" s="755"/>
      <c r="AA61" s="755"/>
      <c r="AB61" s="755"/>
      <c r="AC61" s="755"/>
      <c r="AD61" s="755"/>
      <c r="AE61" s="755"/>
    </row>
    <row r="62" spans="6:31" ht="16.5" customHeight="1"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755"/>
      <c r="Y62" s="755"/>
      <c r="Z62" s="755"/>
      <c r="AA62" s="755"/>
      <c r="AB62" s="755"/>
      <c r="AC62" s="755"/>
      <c r="AD62" s="755"/>
      <c r="AE62" s="755"/>
    </row>
    <row r="63" spans="6:31" ht="16.5" customHeight="1"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755"/>
      <c r="AB63" s="755"/>
      <c r="AC63" s="755"/>
      <c r="AD63" s="755"/>
      <c r="AE63" s="755"/>
    </row>
    <row r="64" spans="6:31" ht="16.5" customHeight="1">
      <c r="F64" s="755"/>
      <c r="G64" s="755"/>
      <c r="H64" s="755"/>
      <c r="I64" s="755"/>
      <c r="J64" s="755"/>
      <c r="K64" s="755"/>
      <c r="L64" s="755"/>
      <c r="M64" s="755"/>
      <c r="N64" s="755"/>
      <c r="O64" s="755"/>
      <c r="P64" s="755"/>
      <c r="Q64" s="755"/>
      <c r="R64" s="755"/>
      <c r="S64" s="755"/>
      <c r="T64" s="755"/>
      <c r="U64" s="755"/>
      <c r="V64" s="755"/>
      <c r="W64" s="755"/>
      <c r="X64" s="755"/>
      <c r="Y64" s="755"/>
      <c r="Z64" s="755"/>
      <c r="AA64" s="755"/>
      <c r="AB64" s="755"/>
      <c r="AC64" s="755"/>
      <c r="AD64" s="755"/>
      <c r="AE64" s="755"/>
    </row>
    <row r="65" spans="6:31" ht="16.5" customHeight="1"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755"/>
      <c r="Y65" s="755"/>
      <c r="Z65" s="755"/>
      <c r="AA65" s="755"/>
      <c r="AB65" s="755"/>
      <c r="AC65" s="755"/>
      <c r="AD65" s="755"/>
      <c r="AE65" s="755"/>
    </row>
    <row r="66" spans="6:31" ht="16.5" customHeight="1"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755"/>
      <c r="Y66" s="755"/>
      <c r="Z66" s="755"/>
      <c r="AA66" s="755"/>
      <c r="AB66" s="755"/>
      <c r="AC66" s="755"/>
      <c r="AD66" s="755"/>
      <c r="AE66" s="755"/>
    </row>
    <row r="67" spans="6:31" ht="16.5" customHeight="1"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755"/>
      <c r="Y67" s="755"/>
      <c r="Z67" s="755"/>
      <c r="AA67" s="755"/>
      <c r="AB67" s="755"/>
      <c r="AC67" s="755"/>
      <c r="AD67" s="755"/>
      <c r="AE67" s="755"/>
    </row>
    <row r="68" spans="6:31" ht="16.5" customHeight="1"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755"/>
      <c r="Y68" s="755"/>
      <c r="Z68" s="755"/>
      <c r="AA68" s="755"/>
      <c r="AB68" s="755"/>
      <c r="AC68" s="755"/>
      <c r="AD68" s="755"/>
      <c r="AE68" s="755"/>
    </row>
    <row r="69" spans="6:31" ht="16.5" customHeight="1"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</row>
    <row r="70" spans="6:31" ht="16.5" customHeight="1"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</row>
    <row r="71" spans="6:31" ht="16.5" customHeight="1"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755"/>
      <c r="Y71" s="755"/>
      <c r="Z71" s="755"/>
      <c r="AA71" s="755"/>
      <c r="AB71" s="755"/>
      <c r="AC71" s="755"/>
      <c r="AD71" s="755"/>
      <c r="AE71" s="755"/>
    </row>
    <row r="72" spans="6:31" ht="16.5" customHeight="1"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755"/>
      <c r="W72" s="755"/>
      <c r="X72" s="755"/>
      <c r="Y72" s="755"/>
      <c r="Z72" s="755"/>
      <c r="AA72" s="755"/>
      <c r="AB72" s="755"/>
      <c r="AC72" s="755"/>
      <c r="AD72" s="755"/>
      <c r="AE72" s="755"/>
    </row>
    <row r="73" spans="6:31" ht="16.5" customHeight="1"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755"/>
      <c r="X73" s="755"/>
      <c r="Y73" s="755"/>
      <c r="Z73" s="755"/>
      <c r="AA73" s="755"/>
      <c r="AB73" s="755"/>
      <c r="AC73" s="755"/>
      <c r="AD73" s="755"/>
      <c r="AE73" s="755"/>
    </row>
    <row r="74" spans="6:31" ht="16.5" customHeight="1"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755"/>
      <c r="Y74" s="755"/>
      <c r="Z74" s="755"/>
      <c r="AA74" s="755"/>
      <c r="AB74" s="755"/>
      <c r="AC74" s="755"/>
      <c r="AD74" s="755"/>
      <c r="AE74" s="755"/>
    </row>
    <row r="75" spans="6:31" ht="16.5" customHeight="1"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  <c r="S75" s="755"/>
      <c r="T75" s="755"/>
      <c r="U75" s="755"/>
      <c r="V75" s="755"/>
      <c r="W75" s="755"/>
      <c r="X75" s="755"/>
      <c r="Y75" s="755"/>
      <c r="Z75" s="755"/>
      <c r="AA75" s="755"/>
      <c r="AB75" s="755"/>
      <c r="AC75" s="755"/>
      <c r="AD75" s="755"/>
      <c r="AE75" s="755"/>
    </row>
    <row r="76" spans="6:31" ht="16.5" customHeight="1"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755"/>
      <c r="R76" s="755"/>
      <c r="S76" s="755"/>
      <c r="T76" s="755"/>
      <c r="U76" s="755"/>
      <c r="V76" s="755"/>
      <c r="W76" s="755"/>
      <c r="X76" s="755"/>
      <c r="Y76" s="755"/>
      <c r="Z76" s="755"/>
      <c r="AA76" s="755"/>
      <c r="AB76" s="755"/>
      <c r="AC76" s="755"/>
      <c r="AD76" s="755"/>
      <c r="AE76" s="755"/>
    </row>
    <row r="77" spans="6:31" ht="16.5" customHeight="1"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55"/>
      <c r="T77" s="755"/>
      <c r="U77" s="755"/>
      <c r="V77" s="755"/>
      <c r="W77" s="755"/>
      <c r="X77" s="755"/>
      <c r="Y77" s="755"/>
      <c r="Z77" s="755"/>
      <c r="AA77" s="755"/>
      <c r="AB77" s="755"/>
      <c r="AC77" s="755"/>
      <c r="AD77" s="755"/>
      <c r="AE77" s="755"/>
    </row>
    <row r="78" spans="6:31" ht="16.5" customHeight="1"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  <c r="Q78" s="755"/>
      <c r="R78" s="755"/>
      <c r="S78" s="755"/>
      <c r="T78" s="755"/>
      <c r="U78" s="755"/>
      <c r="V78" s="755"/>
      <c r="W78" s="755"/>
      <c r="X78" s="755"/>
      <c r="Y78" s="755"/>
      <c r="Z78" s="755"/>
      <c r="AA78" s="755"/>
      <c r="AB78" s="755"/>
      <c r="AC78" s="755"/>
      <c r="AD78" s="755"/>
      <c r="AE78" s="755"/>
    </row>
    <row r="79" spans="6:31" ht="16.5" customHeight="1"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</row>
    <row r="80" spans="6:31" ht="16.5" customHeight="1">
      <c r="F80" s="755"/>
      <c r="G80" s="755"/>
      <c r="H80" s="755"/>
      <c r="I80" s="755"/>
      <c r="J80" s="755"/>
      <c r="K80" s="755"/>
      <c r="L80" s="755"/>
      <c r="M80" s="755"/>
      <c r="N80" s="755"/>
      <c r="O80" s="755"/>
      <c r="P80" s="755"/>
      <c r="Q80" s="755"/>
      <c r="R80" s="755"/>
      <c r="S80" s="755"/>
      <c r="T80" s="755"/>
      <c r="U80" s="755"/>
      <c r="V80" s="755"/>
      <c r="W80" s="755"/>
      <c r="X80" s="755"/>
      <c r="Y80" s="755"/>
      <c r="Z80" s="755"/>
      <c r="AA80" s="755"/>
      <c r="AB80" s="755"/>
      <c r="AC80" s="755"/>
      <c r="AD80" s="755"/>
      <c r="AE80" s="755"/>
    </row>
    <row r="81" spans="6:31" ht="16.5" customHeight="1"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755"/>
      <c r="Y81" s="755"/>
      <c r="Z81" s="755"/>
      <c r="AA81" s="755"/>
      <c r="AB81" s="755"/>
      <c r="AC81" s="755"/>
      <c r="AD81" s="755"/>
      <c r="AE81" s="755"/>
    </row>
    <row r="82" spans="6:31" ht="16.5" customHeight="1"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755"/>
      <c r="X82" s="755"/>
      <c r="Y82" s="755"/>
      <c r="Z82" s="755"/>
      <c r="AA82" s="755"/>
      <c r="AB82" s="755"/>
      <c r="AC82" s="755"/>
      <c r="AD82" s="755"/>
      <c r="AE82" s="755"/>
    </row>
    <row r="83" spans="6:31" ht="16.5" customHeight="1"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755"/>
      <c r="Y83" s="755"/>
      <c r="Z83" s="755"/>
      <c r="AA83" s="755"/>
      <c r="AB83" s="755"/>
      <c r="AC83" s="755"/>
      <c r="AD83" s="755"/>
      <c r="AE83" s="755"/>
    </row>
    <row r="84" spans="6:31" ht="16.5" customHeight="1"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  <c r="V84" s="755"/>
      <c r="W84" s="755"/>
      <c r="X84" s="755"/>
      <c r="Y84" s="755"/>
      <c r="Z84" s="755"/>
      <c r="AA84" s="755"/>
      <c r="AB84" s="755"/>
      <c r="AC84" s="755"/>
      <c r="AD84" s="755"/>
      <c r="AE84" s="755"/>
    </row>
    <row r="85" spans="6:31" ht="16.5" customHeight="1">
      <c r="F85" s="755"/>
      <c r="G85" s="755"/>
      <c r="H85" s="755"/>
      <c r="I85" s="755"/>
      <c r="J85" s="755"/>
      <c r="K85" s="755"/>
      <c r="L85" s="755"/>
      <c r="M85" s="755"/>
      <c r="N85" s="755"/>
      <c r="O85" s="755"/>
      <c r="P85" s="755"/>
      <c r="Q85" s="755"/>
      <c r="R85" s="755"/>
      <c r="S85" s="755"/>
      <c r="T85" s="755"/>
      <c r="U85" s="755"/>
      <c r="V85" s="755"/>
      <c r="W85" s="755"/>
      <c r="X85" s="755"/>
      <c r="Y85" s="755"/>
      <c r="Z85" s="755"/>
      <c r="AA85" s="755"/>
      <c r="AB85" s="755"/>
      <c r="AC85" s="755"/>
      <c r="AD85" s="755"/>
      <c r="AE85" s="755"/>
    </row>
    <row r="86" spans="6:31" ht="16.5" customHeight="1"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5"/>
      <c r="W86" s="755"/>
      <c r="X86" s="755"/>
      <c r="Y86" s="755"/>
      <c r="Z86" s="755"/>
      <c r="AA86" s="755"/>
      <c r="AB86" s="755"/>
      <c r="AC86" s="755"/>
      <c r="AD86" s="755"/>
      <c r="AE86" s="755"/>
    </row>
    <row r="87" spans="6:31" ht="16.5" customHeight="1"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</row>
    <row r="88" spans="6:31" ht="16.5" customHeight="1"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755"/>
      <c r="Y88" s="755"/>
      <c r="Z88" s="755"/>
      <c r="AA88" s="755"/>
      <c r="AB88" s="755"/>
      <c r="AC88" s="755"/>
      <c r="AD88" s="755"/>
      <c r="AE88" s="755"/>
    </row>
    <row r="89" spans="6:31" ht="16.5" customHeight="1"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  <c r="Q89" s="755"/>
      <c r="R89" s="755"/>
      <c r="S89" s="755"/>
      <c r="T89" s="755"/>
      <c r="U89" s="755"/>
      <c r="V89" s="755"/>
      <c r="W89" s="755"/>
      <c r="X89" s="755"/>
      <c r="Y89" s="755"/>
      <c r="Z89" s="755"/>
      <c r="AA89" s="755"/>
      <c r="AB89" s="755"/>
      <c r="AC89" s="755"/>
      <c r="AD89" s="755"/>
      <c r="AE89" s="755"/>
    </row>
    <row r="90" spans="6:31" ht="16.5" customHeight="1">
      <c r="F90" s="755"/>
      <c r="G90" s="755"/>
      <c r="H90" s="755"/>
      <c r="I90" s="755"/>
      <c r="J90" s="755"/>
      <c r="K90" s="755"/>
      <c r="L90" s="755"/>
      <c r="M90" s="755"/>
      <c r="N90" s="755"/>
      <c r="O90" s="755"/>
      <c r="P90" s="755"/>
      <c r="Q90" s="755"/>
      <c r="R90" s="755"/>
      <c r="S90" s="755"/>
      <c r="T90" s="755"/>
      <c r="U90" s="755"/>
      <c r="V90" s="755"/>
      <c r="W90" s="755"/>
      <c r="X90" s="755"/>
      <c r="Y90" s="755"/>
      <c r="Z90" s="755"/>
      <c r="AA90" s="755"/>
      <c r="AB90" s="755"/>
      <c r="AC90" s="755"/>
      <c r="AD90" s="755"/>
      <c r="AE90" s="755"/>
    </row>
    <row r="91" spans="6:31" ht="16.5" customHeight="1">
      <c r="F91" s="755"/>
      <c r="G91" s="755"/>
      <c r="H91" s="755"/>
      <c r="I91" s="755"/>
      <c r="J91" s="755"/>
      <c r="K91" s="755"/>
      <c r="L91" s="755"/>
      <c r="M91" s="755"/>
      <c r="N91" s="755"/>
      <c r="O91" s="755"/>
      <c r="P91" s="755"/>
      <c r="Q91" s="755"/>
      <c r="R91" s="755"/>
      <c r="S91" s="755"/>
      <c r="T91" s="755"/>
      <c r="U91" s="755"/>
      <c r="V91" s="755"/>
      <c r="W91" s="755"/>
      <c r="X91" s="755"/>
      <c r="Y91" s="755"/>
      <c r="Z91" s="755"/>
      <c r="AA91" s="755"/>
      <c r="AB91" s="755"/>
      <c r="AC91" s="755"/>
      <c r="AD91" s="755"/>
      <c r="AE91" s="755"/>
    </row>
    <row r="92" spans="6:31" ht="16.5" customHeight="1">
      <c r="F92" s="755"/>
      <c r="G92" s="755"/>
      <c r="H92" s="755"/>
      <c r="I92" s="755"/>
      <c r="J92" s="755"/>
      <c r="K92" s="755"/>
      <c r="L92" s="755"/>
      <c r="M92" s="755"/>
      <c r="N92" s="755"/>
      <c r="O92" s="755"/>
      <c r="P92" s="755"/>
      <c r="Q92" s="755"/>
      <c r="R92" s="755"/>
      <c r="S92" s="755"/>
      <c r="T92" s="755"/>
      <c r="U92" s="755"/>
      <c r="V92" s="755"/>
      <c r="W92" s="755"/>
      <c r="X92" s="755"/>
      <c r="Y92" s="755"/>
      <c r="Z92" s="755"/>
      <c r="AA92" s="755"/>
      <c r="AB92" s="755"/>
      <c r="AC92" s="755"/>
      <c r="AD92" s="755"/>
      <c r="AE92" s="755"/>
    </row>
    <row r="93" spans="6:31" ht="16.5" customHeight="1">
      <c r="F93" s="755"/>
      <c r="G93" s="755"/>
      <c r="H93" s="755"/>
      <c r="I93" s="755"/>
      <c r="J93" s="755"/>
      <c r="K93" s="755"/>
      <c r="L93" s="755"/>
      <c r="M93" s="755"/>
      <c r="N93" s="755"/>
      <c r="O93" s="755"/>
      <c r="P93" s="755"/>
      <c r="Q93" s="755"/>
      <c r="R93" s="755"/>
      <c r="S93" s="755"/>
      <c r="T93" s="755"/>
      <c r="U93" s="755"/>
      <c r="V93" s="755"/>
      <c r="W93" s="755"/>
      <c r="X93" s="755"/>
      <c r="Y93" s="755"/>
      <c r="Z93" s="755"/>
      <c r="AA93" s="755"/>
      <c r="AB93" s="755"/>
      <c r="AC93" s="755"/>
      <c r="AD93" s="755"/>
      <c r="AE93" s="755"/>
    </row>
    <row r="94" spans="6:31" ht="16.5" customHeight="1">
      <c r="F94" s="755"/>
      <c r="G94" s="755"/>
      <c r="H94" s="755"/>
      <c r="I94" s="755"/>
      <c r="J94" s="755"/>
      <c r="K94" s="755"/>
      <c r="L94" s="755"/>
      <c r="M94" s="755"/>
      <c r="N94" s="755"/>
      <c r="O94" s="755"/>
      <c r="P94" s="755"/>
      <c r="Q94" s="755"/>
      <c r="R94" s="755"/>
      <c r="S94" s="755"/>
      <c r="T94" s="755"/>
      <c r="U94" s="755"/>
      <c r="V94" s="755"/>
      <c r="W94" s="755"/>
      <c r="X94" s="755"/>
      <c r="Y94" s="755"/>
      <c r="Z94" s="755"/>
      <c r="AA94" s="755"/>
      <c r="AB94" s="755"/>
      <c r="AC94" s="755"/>
      <c r="AD94" s="755"/>
      <c r="AE94" s="755"/>
    </row>
    <row r="95" spans="6:31" ht="16.5" customHeight="1"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  <c r="Q95" s="755"/>
      <c r="R95" s="755"/>
      <c r="S95" s="755"/>
      <c r="T95" s="755"/>
      <c r="U95" s="755"/>
      <c r="V95" s="755"/>
      <c r="W95" s="755"/>
      <c r="X95" s="755"/>
      <c r="Y95" s="755"/>
      <c r="Z95" s="755"/>
      <c r="AA95" s="755"/>
      <c r="AB95" s="755"/>
      <c r="AC95" s="755"/>
      <c r="AD95" s="755"/>
      <c r="AE95" s="755"/>
    </row>
    <row r="96" spans="6:31" ht="16.5" customHeight="1">
      <c r="F96" s="755"/>
      <c r="G96" s="755"/>
      <c r="H96" s="755"/>
      <c r="I96" s="755"/>
      <c r="J96" s="755"/>
      <c r="K96" s="755"/>
      <c r="L96" s="755"/>
      <c r="M96" s="755"/>
      <c r="N96" s="755"/>
      <c r="O96" s="755"/>
      <c r="P96" s="755"/>
      <c r="Q96" s="755"/>
      <c r="R96" s="755"/>
      <c r="S96" s="755"/>
      <c r="T96" s="755"/>
      <c r="U96" s="755"/>
      <c r="V96" s="755"/>
      <c r="W96" s="755"/>
      <c r="X96" s="755"/>
      <c r="Y96" s="755"/>
      <c r="Z96" s="755"/>
      <c r="AA96" s="755"/>
      <c r="AB96" s="755"/>
      <c r="AC96" s="755"/>
      <c r="AD96" s="755"/>
      <c r="AE96" s="755"/>
    </row>
    <row r="97" spans="6:31" ht="16.5" customHeight="1">
      <c r="F97" s="755"/>
      <c r="G97" s="755"/>
      <c r="H97" s="755"/>
      <c r="I97" s="755"/>
      <c r="J97" s="755"/>
      <c r="K97" s="755"/>
      <c r="L97" s="755"/>
      <c r="M97" s="755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</row>
    <row r="98" spans="6:31" ht="16.5" customHeight="1">
      <c r="F98" s="755"/>
      <c r="G98" s="755"/>
      <c r="H98" s="755"/>
      <c r="I98" s="755"/>
      <c r="J98" s="755"/>
      <c r="K98" s="755"/>
      <c r="L98" s="755"/>
      <c r="M98" s="755"/>
      <c r="N98" s="755"/>
      <c r="O98" s="755"/>
      <c r="P98" s="755"/>
      <c r="Q98" s="755"/>
      <c r="R98" s="755"/>
      <c r="S98" s="755"/>
      <c r="T98" s="755"/>
      <c r="U98" s="755"/>
      <c r="V98" s="755"/>
      <c r="W98" s="755"/>
      <c r="X98" s="755"/>
      <c r="Y98" s="755"/>
      <c r="Z98" s="755"/>
      <c r="AA98" s="755"/>
      <c r="AB98" s="755"/>
      <c r="AC98" s="755"/>
      <c r="AD98" s="755"/>
      <c r="AE98" s="755"/>
    </row>
    <row r="99" spans="6:31" ht="16.5" customHeight="1">
      <c r="F99" s="755"/>
      <c r="G99" s="755"/>
      <c r="H99" s="755"/>
      <c r="I99" s="755"/>
      <c r="J99" s="755"/>
      <c r="K99" s="755"/>
      <c r="L99" s="755"/>
      <c r="M99" s="755"/>
      <c r="N99" s="755"/>
      <c r="O99" s="755"/>
      <c r="P99" s="755"/>
      <c r="Q99" s="755"/>
      <c r="R99" s="755"/>
      <c r="S99" s="755"/>
      <c r="T99" s="755"/>
      <c r="U99" s="755"/>
      <c r="V99" s="755"/>
      <c r="W99" s="755"/>
      <c r="X99" s="755"/>
      <c r="Y99" s="755"/>
      <c r="Z99" s="755"/>
      <c r="AA99" s="755"/>
      <c r="AB99" s="755"/>
      <c r="AC99" s="755"/>
      <c r="AD99" s="755"/>
      <c r="AE99" s="755"/>
    </row>
    <row r="100" spans="6:31" ht="16.5" customHeight="1">
      <c r="F100" s="755"/>
      <c r="G100" s="755"/>
      <c r="H100" s="755"/>
      <c r="I100" s="755"/>
      <c r="J100" s="755"/>
      <c r="K100" s="755"/>
      <c r="L100" s="755"/>
      <c r="M100" s="755"/>
      <c r="N100" s="755"/>
      <c r="O100" s="755"/>
      <c r="P100" s="755"/>
      <c r="Q100" s="755"/>
      <c r="R100" s="755"/>
      <c r="S100" s="755"/>
      <c r="T100" s="755"/>
      <c r="U100" s="755"/>
      <c r="V100" s="755"/>
      <c r="W100" s="755"/>
      <c r="X100" s="755"/>
      <c r="Y100" s="755"/>
      <c r="Z100" s="755"/>
      <c r="AA100" s="755"/>
      <c r="AB100" s="755"/>
      <c r="AC100" s="755"/>
      <c r="AD100" s="755"/>
      <c r="AE100" s="755"/>
    </row>
    <row r="101" spans="6:31" ht="16.5" customHeight="1">
      <c r="F101" s="755"/>
      <c r="G101" s="755"/>
      <c r="H101" s="755"/>
      <c r="I101" s="755"/>
      <c r="J101" s="755"/>
      <c r="K101" s="755"/>
      <c r="L101" s="755"/>
      <c r="M101" s="755"/>
      <c r="N101" s="755"/>
      <c r="O101" s="755"/>
      <c r="P101" s="755"/>
      <c r="Q101" s="755"/>
      <c r="R101" s="755"/>
      <c r="S101" s="755"/>
      <c r="T101" s="755"/>
      <c r="U101" s="755"/>
      <c r="V101" s="755"/>
      <c r="W101" s="755"/>
      <c r="X101" s="755"/>
      <c r="Y101" s="755"/>
      <c r="Z101" s="755"/>
      <c r="AA101" s="755"/>
      <c r="AB101" s="755"/>
      <c r="AC101" s="755"/>
      <c r="AD101" s="755"/>
      <c r="AE101" s="755"/>
    </row>
    <row r="102" spans="6:31" ht="16.5" customHeight="1">
      <c r="F102" s="755"/>
      <c r="G102" s="755"/>
      <c r="H102" s="755"/>
      <c r="I102" s="755"/>
      <c r="J102" s="755"/>
      <c r="K102" s="755"/>
      <c r="L102" s="755"/>
      <c r="M102" s="755"/>
      <c r="N102" s="755"/>
      <c r="O102" s="755"/>
      <c r="P102" s="755"/>
      <c r="Q102" s="755"/>
      <c r="R102" s="755"/>
      <c r="S102" s="755"/>
      <c r="T102" s="755"/>
      <c r="U102" s="755"/>
      <c r="V102" s="755"/>
      <c r="W102" s="755"/>
      <c r="X102" s="755"/>
      <c r="Y102" s="755"/>
      <c r="Z102" s="755"/>
      <c r="AA102" s="755"/>
      <c r="AB102" s="755"/>
      <c r="AC102" s="755"/>
      <c r="AD102" s="755"/>
      <c r="AE102" s="755"/>
    </row>
    <row r="103" spans="6:31" ht="16.5" customHeight="1">
      <c r="F103" s="755"/>
      <c r="G103" s="755"/>
      <c r="H103" s="755"/>
      <c r="I103" s="755"/>
      <c r="J103" s="755"/>
      <c r="K103" s="755"/>
      <c r="L103" s="755"/>
      <c r="M103" s="755"/>
      <c r="N103" s="755"/>
      <c r="O103" s="755"/>
      <c r="P103" s="755"/>
      <c r="Q103" s="755"/>
      <c r="R103" s="755"/>
      <c r="S103" s="755"/>
      <c r="T103" s="755"/>
      <c r="U103" s="755"/>
      <c r="V103" s="755"/>
      <c r="W103" s="755"/>
      <c r="X103" s="755"/>
      <c r="Y103" s="755"/>
      <c r="Z103" s="755"/>
      <c r="AA103" s="755"/>
      <c r="AB103" s="755"/>
      <c r="AC103" s="755"/>
      <c r="AD103" s="755"/>
      <c r="AE103" s="755"/>
    </row>
    <row r="104" spans="6:31" ht="16.5" customHeight="1"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55"/>
      <c r="Y104" s="755"/>
      <c r="Z104" s="755"/>
      <c r="AA104" s="755"/>
      <c r="AB104" s="755"/>
      <c r="AC104" s="755"/>
      <c r="AD104" s="755"/>
      <c r="AE104" s="755"/>
    </row>
    <row r="105" spans="6:31" ht="16.5" customHeight="1"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  <c r="Q105" s="755"/>
      <c r="R105" s="755"/>
      <c r="S105" s="755"/>
      <c r="T105" s="755"/>
      <c r="U105" s="755"/>
      <c r="V105" s="755"/>
      <c r="W105" s="755"/>
      <c r="X105" s="755"/>
      <c r="Y105" s="755"/>
      <c r="Z105" s="755"/>
      <c r="AA105" s="755"/>
      <c r="AB105" s="755"/>
      <c r="AC105" s="755"/>
      <c r="AD105" s="755"/>
      <c r="AE105" s="755"/>
    </row>
    <row r="106" spans="6:31" ht="16.5" customHeight="1">
      <c r="F106" s="755"/>
      <c r="G106" s="755"/>
      <c r="H106" s="755"/>
      <c r="I106" s="755"/>
      <c r="J106" s="755"/>
      <c r="K106" s="755"/>
      <c r="L106" s="755"/>
      <c r="M106" s="755"/>
      <c r="N106" s="755"/>
      <c r="O106" s="755"/>
      <c r="P106" s="755"/>
      <c r="Q106" s="755"/>
      <c r="R106" s="755"/>
      <c r="S106" s="755"/>
      <c r="T106" s="755"/>
      <c r="U106" s="755"/>
      <c r="V106" s="755"/>
      <c r="W106" s="755"/>
      <c r="X106" s="755"/>
      <c r="Y106" s="755"/>
      <c r="Z106" s="755"/>
      <c r="AA106" s="755"/>
      <c r="AB106" s="755"/>
      <c r="AC106" s="755"/>
      <c r="AD106" s="755"/>
      <c r="AE106" s="755"/>
    </row>
    <row r="107" spans="6:31" ht="16.5" customHeight="1">
      <c r="F107" s="755"/>
      <c r="G107" s="755"/>
      <c r="H107" s="755"/>
      <c r="I107" s="755"/>
      <c r="J107" s="755"/>
      <c r="K107" s="755"/>
      <c r="L107" s="755"/>
      <c r="M107" s="755"/>
      <c r="N107" s="755"/>
      <c r="O107" s="755"/>
      <c r="P107" s="755"/>
      <c r="Q107" s="755"/>
      <c r="R107" s="755"/>
      <c r="S107" s="755"/>
      <c r="T107" s="755"/>
      <c r="U107" s="755"/>
      <c r="V107" s="755"/>
      <c r="W107" s="755"/>
      <c r="X107" s="755"/>
      <c r="Y107" s="755"/>
      <c r="Z107" s="755"/>
      <c r="AA107" s="755"/>
      <c r="AB107" s="755"/>
      <c r="AC107" s="755"/>
      <c r="AD107" s="755"/>
      <c r="AE107" s="755"/>
    </row>
    <row r="108" spans="6:31" ht="16.5" customHeight="1">
      <c r="F108" s="755"/>
      <c r="G108" s="755"/>
      <c r="H108" s="755"/>
      <c r="I108" s="755"/>
      <c r="J108" s="755"/>
      <c r="K108" s="755"/>
      <c r="L108" s="755"/>
      <c r="M108" s="755"/>
      <c r="N108" s="755"/>
      <c r="O108" s="755"/>
      <c r="P108" s="755"/>
      <c r="Q108" s="755"/>
      <c r="R108" s="755"/>
      <c r="S108" s="755"/>
      <c r="T108" s="755"/>
      <c r="U108" s="755"/>
      <c r="V108" s="755"/>
      <c r="W108" s="755"/>
      <c r="X108" s="755"/>
      <c r="Y108" s="755"/>
      <c r="Z108" s="755"/>
      <c r="AA108" s="755"/>
      <c r="AB108" s="755"/>
      <c r="AC108" s="755"/>
      <c r="AD108" s="755"/>
      <c r="AE108" s="755"/>
    </row>
    <row r="109" spans="6:31" ht="16.5" customHeight="1">
      <c r="F109" s="755"/>
      <c r="G109" s="755"/>
      <c r="H109" s="755"/>
      <c r="I109" s="755"/>
      <c r="J109" s="755"/>
      <c r="K109" s="755"/>
      <c r="L109" s="755"/>
      <c r="M109" s="755"/>
      <c r="N109" s="755"/>
      <c r="O109" s="755"/>
      <c r="P109" s="755"/>
      <c r="Q109" s="755"/>
      <c r="R109" s="755"/>
      <c r="S109" s="755"/>
      <c r="T109" s="755"/>
      <c r="U109" s="755"/>
      <c r="V109" s="755"/>
      <c r="W109" s="755"/>
      <c r="X109" s="755"/>
      <c r="Y109" s="755"/>
      <c r="Z109" s="755"/>
      <c r="AA109" s="755"/>
      <c r="AB109" s="755"/>
      <c r="AC109" s="755"/>
      <c r="AD109" s="755"/>
      <c r="AE109" s="755"/>
    </row>
    <row r="110" spans="6:31" ht="16.5" customHeight="1">
      <c r="F110" s="755"/>
      <c r="G110" s="755"/>
      <c r="H110" s="755"/>
      <c r="I110" s="755"/>
      <c r="J110" s="755"/>
      <c r="K110" s="755"/>
      <c r="L110" s="755"/>
      <c r="M110" s="755"/>
      <c r="N110" s="755"/>
      <c r="O110" s="755"/>
      <c r="P110" s="755"/>
      <c r="Q110" s="755"/>
      <c r="R110" s="755"/>
      <c r="S110" s="755"/>
      <c r="T110" s="755"/>
      <c r="U110" s="755"/>
      <c r="V110" s="755"/>
      <c r="W110" s="755"/>
      <c r="X110" s="755"/>
      <c r="Y110" s="755"/>
      <c r="Z110" s="755"/>
      <c r="AA110" s="755"/>
      <c r="AB110" s="755"/>
      <c r="AC110" s="755"/>
      <c r="AD110" s="755"/>
      <c r="AE110" s="755"/>
    </row>
    <row r="111" spans="6:31" ht="16.5" customHeight="1">
      <c r="F111" s="755"/>
      <c r="G111" s="755"/>
      <c r="H111" s="755"/>
      <c r="I111" s="755"/>
      <c r="J111" s="755"/>
      <c r="K111" s="755"/>
      <c r="L111" s="755"/>
      <c r="M111" s="755"/>
      <c r="N111" s="755"/>
      <c r="O111" s="755"/>
      <c r="P111" s="755"/>
      <c r="Q111" s="755"/>
      <c r="R111" s="755"/>
      <c r="S111" s="755"/>
      <c r="T111" s="755"/>
      <c r="U111" s="755"/>
      <c r="V111" s="755"/>
      <c r="W111" s="755"/>
      <c r="X111" s="755"/>
      <c r="Y111" s="755"/>
      <c r="Z111" s="755"/>
      <c r="AA111" s="755"/>
      <c r="AB111" s="755"/>
      <c r="AC111" s="755"/>
      <c r="AD111" s="755"/>
      <c r="AE111" s="755"/>
    </row>
    <row r="112" spans="6:31" ht="16.5" customHeight="1">
      <c r="F112" s="755"/>
      <c r="G112" s="755"/>
      <c r="H112" s="755"/>
      <c r="I112" s="755"/>
      <c r="J112" s="755"/>
      <c r="K112" s="755"/>
      <c r="L112" s="755"/>
      <c r="M112" s="755"/>
      <c r="N112" s="755"/>
      <c r="O112" s="755"/>
      <c r="P112" s="755"/>
      <c r="Q112" s="755"/>
      <c r="R112" s="755"/>
      <c r="S112" s="755"/>
      <c r="T112" s="755"/>
      <c r="U112" s="755"/>
      <c r="V112" s="755"/>
      <c r="W112" s="755"/>
      <c r="X112" s="755"/>
      <c r="Y112" s="755"/>
      <c r="Z112" s="755"/>
      <c r="AA112" s="755"/>
      <c r="AB112" s="755"/>
      <c r="AC112" s="755"/>
      <c r="AD112" s="755"/>
      <c r="AE112" s="755"/>
    </row>
    <row r="113" spans="6:31" ht="16.5" customHeight="1">
      <c r="F113" s="755"/>
      <c r="G113" s="755"/>
      <c r="H113" s="755"/>
      <c r="I113" s="755"/>
      <c r="J113" s="755"/>
      <c r="K113" s="755"/>
      <c r="L113" s="755"/>
      <c r="M113" s="755"/>
      <c r="N113" s="755"/>
      <c r="O113" s="755"/>
      <c r="P113" s="755"/>
      <c r="Q113" s="755"/>
      <c r="R113" s="755"/>
      <c r="S113" s="755"/>
      <c r="T113" s="755"/>
      <c r="U113" s="755"/>
      <c r="V113" s="755"/>
      <c r="W113" s="755"/>
      <c r="X113" s="755"/>
      <c r="Y113" s="755"/>
      <c r="Z113" s="755"/>
      <c r="AA113" s="755"/>
      <c r="AB113" s="755"/>
      <c r="AC113" s="755"/>
      <c r="AD113" s="755"/>
      <c r="AE113" s="755"/>
    </row>
    <row r="114" spans="6:31" ht="16.5" customHeight="1">
      <c r="F114" s="755"/>
      <c r="G114" s="755"/>
      <c r="H114" s="755"/>
      <c r="I114" s="755"/>
      <c r="J114" s="755"/>
      <c r="K114" s="755"/>
      <c r="L114" s="755"/>
      <c r="M114" s="755"/>
      <c r="N114" s="755"/>
      <c r="O114" s="755"/>
      <c r="P114" s="755"/>
      <c r="Q114" s="755"/>
      <c r="R114" s="755"/>
      <c r="S114" s="755"/>
      <c r="T114" s="755"/>
      <c r="U114" s="755"/>
      <c r="V114" s="755"/>
      <c r="W114" s="755"/>
      <c r="X114" s="755"/>
      <c r="Y114" s="755"/>
      <c r="Z114" s="755"/>
      <c r="AA114" s="755"/>
      <c r="AB114" s="755"/>
      <c r="AC114" s="755"/>
      <c r="AD114" s="755"/>
      <c r="AE114" s="755"/>
    </row>
    <row r="115" spans="6:31" ht="16.5" customHeight="1">
      <c r="F115" s="755"/>
      <c r="G115" s="755"/>
      <c r="H115" s="755"/>
      <c r="I115" s="755"/>
      <c r="J115" s="755"/>
      <c r="K115" s="755"/>
      <c r="L115" s="755"/>
      <c r="M115" s="755"/>
      <c r="N115" s="755"/>
      <c r="O115" s="755"/>
      <c r="P115" s="755"/>
      <c r="Q115" s="755"/>
      <c r="R115" s="755"/>
      <c r="S115" s="755"/>
      <c r="T115" s="755"/>
      <c r="U115" s="755"/>
      <c r="V115" s="755"/>
      <c r="W115" s="755"/>
      <c r="X115" s="755"/>
      <c r="Y115" s="755"/>
      <c r="Z115" s="755"/>
      <c r="AA115" s="755"/>
      <c r="AB115" s="755"/>
      <c r="AC115" s="755"/>
      <c r="AD115" s="755"/>
      <c r="AE115" s="755"/>
    </row>
    <row r="116" spans="6:31" ht="16.5" customHeight="1">
      <c r="F116" s="755"/>
      <c r="G116" s="755"/>
      <c r="H116" s="755"/>
      <c r="I116" s="755"/>
      <c r="J116" s="755"/>
      <c r="K116" s="755"/>
      <c r="L116" s="755"/>
      <c r="M116" s="755"/>
      <c r="N116" s="755"/>
      <c r="O116" s="755"/>
      <c r="P116" s="755"/>
      <c r="Q116" s="755"/>
      <c r="R116" s="755"/>
      <c r="S116" s="755"/>
      <c r="T116" s="755"/>
      <c r="U116" s="755"/>
      <c r="V116" s="755"/>
      <c r="W116" s="755"/>
      <c r="X116" s="755"/>
      <c r="Y116" s="755"/>
      <c r="Z116" s="755"/>
      <c r="AA116" s="755"/>
      <c r="AB116" s="755"/>
      <c r="AC116" s="755"/>
      <c r="AD116" s="755"/>
      <c r="AE116" s="755"/>
    </row>
    <row r="117" spans="6:31" ht="16.5" customHeight="1">
      <c r="F117" s="755"/>
      <c r="G117" s="755"/>
      <c r="H117" s="755"/>
      <c r="I117" s="755"/>
      <c r="J117" s="755"/>
      <c r="K117" s="755"/>
      <c r="L117" s="755"/>
      <c r="M117" s="755"/>
      <c r="N117" s="755"/>
      <c r="O117" s="755"/>
      <c r="P117" s="755"/>
      <c r="Q117" s="755"/>
      <c r="R117" s="755"/>
      <c r="S117" s="755"/>
      <c r="T117" s="755"/>
      <c r="U117" s="755"/>
      <c r="V117" s="755"/>
      <c r="W117" s="755"/>
      <c r="X117" s="755"/>
      <c r="Y117" s="755"/>
      <c r="Z117" s="755"/>
      <c r="AA117" s="755"/>
      <c r="AB117" s="755"/>
      <c r="AC117" s="755"/>
      <c r="AD117" s="755"/>
      <c r="AE117" s="755"/>
    </row>
    <row r="118" spans="6:31" ht="16.5" customHeight="1">
      <c r="F118" s="755"/>
      <c r="G118" s="755"/>
      <c r="H118" s="755"/>
      <c r="I118" s="755"/>
      <c r="J118" s="755"/>
      <c r="K118" s="755"/>
      <c r="L118" s="755"/>
      <c r="M118" s="755"/>
      <c r="N118" s="755"/>
      <c r="O118" s="755"/>
      <c r="P118" s="755"/>
      <c r="Q118" s="755"/>
      <c r="R118" s="755"/>
      <c r="S118" s="755"/>
      <c r="T118" s="755"/>
      <c r="U118" s="755"/>
      <c r="V118" s="755"/>
      <c r="W118" s="755"/>
      <c r="X118" s="755"/>
      <c r="Y118" s="755"/>
      <c r="Z118" s="755"/>
      <c r="AA118" s="755"/>
      <c r="AB118" s="755"/>
      <c r="AC118" s="755"/>
      <c r="AD118" s="755"/>
      <c r="AE118" s="755"/>
    </row>
    <row r="119" spans="6:31" ht="16.5" customHeight="1">
      <c r="F119" s="755"/>
      <c r="G119" s="755"/>
      <c r="H119" s="755"/>
      <c r="I119" s="755"/>
      <c r="J119" s="755"/>
      <c r="K119" s="755"/>
      <c r="L119" s="755"/>
      <c r="M119" s="755"/>
      <c r="N119" s="755"/>
      <c r="O119" s="755"/>
      <c r="P119" s="755"/>
      <c r="Q119" s="755"/>
      <c r="R119" s="755"/>
      <c r="S119" s="755"/>
      <c r="T119" s="755"/>
      <c r="U119" s="755"/>
      <c r="V119" s="755"/>
      <c r="W119" s="755"/>
      <c r="X119" s="755"/>
      <c r="Y119" s="755"/>
      <c r="Z119" s="755"/>
      <c r="AA119" s="755"/>
      <c r="AB119" s="755"/>
      <c r="AC119" s="755"/>
      <c r="AD119" s="755"/>
      <c r="AE119" s="755"/>
    </row>
    <row r="120" spans="6:31" ht="16.5" customHeight="1">
      <c r="F120" s="755"/>
      <c r="G120" s="755"/>
      <c r="H120" s="755"/>
      <c r="I120" s="755"/>
      <c r="J120" s="755"/>
      <c r="K120" s="755"/>
      <c r="L120" s="755"/>
      <c r="M120" s="755"/>
      <c r="N120" s="755"/>
      <c r="O120" s="755"/>
      <c r="P120" s="755"/>
      <c r="Q120" s="755"/>
      <c r="R120" s="755"/>
      <c r="S120" s="755"/>
      <c r="T120" s="755"/>
      <c r="U120" s="755"/>
      <c r="V120" s="755"/>
      <c r="W120" s="755"/>
      <c r="X120" s="755"/>
      <c r="Y120" s="755"/>
      <c r="Z120" s="755"/>
      <c r="AA120" s="755"/>
      <c r="AB120" s="755"/>
      <c r="AC120" s="755"/>
      <c r="AD120" s="755"/>
      <c r="AE120" s="755"/>
    </row>
    <row r="121" spans="6:31" ht="16.5" customHeight="1">
      <c r="F121" s="755"/>
      <c r="G121" s="755"/>
      <c r="H121" s="755"/>
      <c r="I121" s="755"/>
      <c r="J121" s="755"/>
      <c r="K121" s="755"/>
      <c r="L121" s="755"/>
      <c r="M121" s="755"/>
      <c r="N121" s="755"/>
      <c r="O121" s="755"/>
      <c r="P121" s="755"/>
      <c r="Q121" s="755"/>
      <c r="R121" s="755"/>
      <c r="S121" s="755"/>
      <c r="T121" s="755"/>
      <c r="U121" s="755"/>
      <c r="V121" s="755"/>
      <c r="W121" s="755"/>
      <c r="X121" s="755"/>
      <c r="Y121" s="755"/>
      <c r="Z121" s="755"/>
      <c r="AA121" s="755"/>
      <c r="AB121" s="755"/>
      <c r="AC121" s="755"/>
      <c r="AD121" s="755"/>
      <c r="AE121" s="755"/>
    </row>
    <row r="122" spans="6:31" ht="16.5" customHeight="1">
      <c r="F122" s="755"/>
      <c r="G122" s="755"/>
      <c r="H122" s="755"/>
      <c r="I122" s="755"/>
      <c r="J122" s="755"/>
      <c r="K122" s="755"/>
      <c r="L122" s="755"/>
      <c r="M122" s="755"/>
      <c r="N122" s="755"/>
      <c r="O122" s="755"/>
      <c r="P122" s="755"/>
      <c r="Q122" s="755"/>
      <c r="R122" s="755"/>
      <c r="S122" s="755"/>
      <c r="T122" s="755"/>
      <c r="U122" s="755"/>
      <c r="V122" s="755"/>
      <c r="W122" s="755"/>
      <c r="X122" s="755"/>
      <c r="Y122" s="755"/>
      <c r="Z122" s="755"/>
      <c r="AA122" s="755"/>
      <c r="AB122" s="755"/>
      <c r="AC122" s="755"/>
      <c r="AD122" s="755"/>
      <c r="AE122" s="755"/>
    </row>
    <row r="123" spans="6:31" ht="16.5" customHeight="1">
      <c r="F123" s="755"/>
      <c r="G123" s="755"/>
      <c r="H123" s="755"/>
      <c r="I123" s="755"/>
      <c r="J123" s="755"/>
      <c r="K123" s="755"/>
      <c r="L123" s="755"/>
      <c r="M123" s="755"/>
      <c r="N123" s="755"/>
      <c r="O123" s="755"/>
      <c r="P123" s="755"/>
      <c r="Q123" s="755"/>
      <c r="R123" s="755"/>
      <c r="S123" s="755"/>
      <c r="T123" s="755"/>
      <c r="U123" s="755"/>
      <c r="V123" s="755"/>
      <c r="W123" s="755"/>
      <c r="X123" s="755"/>
      <c r="Y123" s="755"/>
      <c r="Z123" s="755"/>
      <c r="AA123" s="755"/>
      <c r="AB123" s="755"/>
      <c r="AC123" s="755"/>
      <c r="AD123" s="755"/>
      <c r="AE123" s="755"/>
    </row>
    <row r="124" spans="6:31" ht="16.5" customHeight="1">
      <c r="F124" s="755"/>
      <c r="G124" s="755"/>
      <c r="H124" s="755"/>
      <c r="I124" s="755"/>
      <c r="J124" s="755"/>
      <c r="K124" s="755"/>
      <c r="L124" s="755"/>
      <c r="M124" s="755"/>
      <c r="N124" s="755"/>
      <c r="O124" s="755"/>
      <c r="P124" s="755"/>
      <c r="Q124" s="755"/>
      <c r="R124" s="755"/>
      <c r="S124" s="755"/>
      <c r="T124" s="755"/>
      <c r="U124" s="755"/>
      <c r="V124" s="755"/>
      <c r="W124" s="755"/>
      <c r="X124" s="755"/>
      <c r="Y124" s="755"/>
      <c r="Z124" s="755"/>
      <c r="AA124" s="755"/>
      <c r="AB124" s="755"/>
      <c r="AC124" s="755"/>
      <c r="AD124" s="755"/>
      <c r="AE124" s="755"/>
    </row>
    <row r="125" spans="6:31" ht="16.5" customHeight="1">
      <c r="F125" s="755"/>
      <c r="G125" s="755"/>
      <c r="H125" s="755"/>
      <c r="I125" s="755"/>
      <c r="J125" s="755"/>
      <c r="K125" s="755"/>
      <c r="L125" s="755"/>
      <c r="M125" s="755"/>
      <c r="N125" s="755"/>
      <c r="O125" s="755"/>
      <c r="P125" s="755"/>
      <c r="Q125" s="755"/>
      <c r="R125" s="755"/>
      <c r="S125" s="755"/>
      <c r="T125" s="755"/>
      <c r="U125" s="755"/>
      <c r="V125" s="755"/>
      <c r="W125" s="755"/>
      <c r="X125" s="755"/>
      <c r="Y125" s="755"/>
      <c r="Z125" s="755"/>
      <c r="AA125" s="755"/>
      <c r="AB125" s="755"/>
      <c r="AC125" s="755"/>
      <c r="AD125" s="755"/>
      <c r="AE125" s="755"/>
    </row>
    <row r="126" spans="6:31" ht="16.5" customHeight="1">
      <c r="F126" s="755"/>
      <c r="G126" s="755"/>
      <c r="H126" s="755"/>
      <c r="I126" s="755"/>
      <c r="J126" s="755"/>
      <c r="K126" s="755"/>
      <c r="L126" s="755"/>
      <c r="M126" s="755"/>
      <c r="N126" s="755"/>
      <c r="O126" s="755"/>
      <c r="P126" s="755"/>
      <c r="Q126" s="755"/>
      <c r="R126" s="755"/>
      <c r="S126" s="755"/>
      <c r="T126" s="755"/>
      <c r="U126" s="755"/>
      <c r="V126" s="755"/>
      <c r="W126" s="755"/>
      <c r="X126" s="755"/>
      <c r="Y126" s="755"/>
      <c r="Z126" s="755"/>
      <c r="AA126" s="755"/>
      <c r="AB126" s="755"/>
      <c r="AC126" s="755"/>
      <c r="AD126" s="755"/>
      <c r="AE126" s="755"/>
    </row>
    <row r="127" spans="6:31" ht="16.5" customHeight="1">
      <c r="F127" s="755"/>
      <c r="G127" s="755"/>
      <c r="H127" s="755"/>
      <c r="I127" s="755"/>
      <c r="J127" s="755"/>
      <c r="K127" s="755"/>
      <c r="L127" s="755"/>
      <c r="M127" s="755"/>
      <c r="N127" s="755"/>
      <c r="O127" s="755"/>
      <c r="P127" s="755"/>
      <c r="Q127" s="755"/>
      <c r="R127" s="755"/>
      <c r="S127" s="755"/>
      <c r="T127" s="755"/>
      <c r="U127" s="755"/>
      <c r="V127" s="755"/>
      <c r="W127" s="755"/>
      <c r="X127" s="755"/>
      <c r="Y127" s="755"/>
      <c r="Z127" s="755"/>
      <c r="AA127" s="755"/>
      <c r="AB127" s="755"/>
      <c r="AC127" s="755"/>
      <c r="AD127" s="755"/>
      <c r="AE127" s="755"/>
    </row>
    <row r="128" spans="6:31" ht="16.5" customHeight="1">
      <c r="F128" s="755"/>
      <c r="G128" s="755"/>
      <c r="H128" s="755"/>
      <c r="I128" s="755"/>
      <c r="J128" s="755"/>
      <c r="K128" s="755"/>
      <c r="L128" s="755"/>
      <c r="M128" s="755"/>
      <c r="N128" s="755"/>
      <c r="O128" s="755"/>
      <c r="P128" s="755"/>
      <c r="Q128" s="755"/>
      <c r="R128" s="755"/>
      <c r="S128" s="755"/>
      <c r="T128" s="755"/>
      <c r="U128" s="755"/>
      <c r="V128" s="755"/>
      <c r="W128" s="755"/>
      <c r="X128" s="755"/>
      <c r="Y128" s="755"/>
      <c r="Z128" s="755"/>
      <c r="AA128" s="755"/>
      <c r="AB128" s="755"/>
      <c r="AC128" s="755"/>
      <c r="AD128" s="755"/>
      <c r="AE128" s="755"/>
    </row>
    <row r="129" spans="6:31" ht="16.5" customHeight="1">
      <c r="F129" s="755"/>
      <c r="G129" s="755"/>
      <c r="H129" s="755"/>
      <c r="I129" s="755"/>
      <c r="J129" s="755"/>
      <c r="K129" s="755"/>
      <c r="L129" s="755"/>
      <c r="M129" s="755"/>
      <c r="N129" s="755"/>
      <c r="O129" s="755"/>
      <c r="P129" s="755"/>
      <c r="Q129" s="755"/>
      <c r="R129" s="755"/>
      <c r="S129" s="755"/>
      <c r="T129" s="755"/>
      <c r="U129" s="755"/>
      <c r="V129" s="755"/>
      <c r="W129" s="755"/>
      <c r="X129" s="755"/>
      <c r="Y129" s="755"/>
      <c r="Z129" s="755"/>
      <c r="AA129" s="755"/>
      <c r="AB129" s="755"/>
      <c r="AC129" s="755"/>
      <c r="AD129" s="755"/>
      <c r="AE129" s="755"/>
    </row>
    <row r="130" spans="6:31" ht="16.5" customHeight="1">
      <c r="F130" s="755"/>
      <c r="G130" s="755"/>
      <c r="H130" s="755"/>
      <c r="I130" s="755"/>
      <c r="J130" s="755"/>
      <c r="K130" s="755"/>
      <c r="L130" s="755"/>
      <c r="M130" s="755"/>
      <c r="N130" s="755"/>
      <c r="O130" s="755"/>
      <c r="P130" s="755"/>
      <c r="Q130" s="755"/>
      <c r="R130" s="755"/>
      <c r="S130" s="755"/>
      <c r="T130" s="755"/>
      <c r="U130" s="755"/>
      <c r="V130" s="755"/>
      <c r="W130" s="755"/>
      <c r="X130" s="755"/>
      <c r="Y130" s="755"/>
      <c r="Z130" s="755"/>
      <c r="AA130" s="755"/>
      <c r="AB130" s="755"/>
      <c r="AC130" s="755"/>
      <c r="AD130" s="755"/>
      <c r="AE130" s="755"/>
    </row>
    <row r="131" spans="6:31" ht="16.5" customHeight="1">
      <c r="F131" s="755"/>
      <c r="G131" s="755"/>
      <c r="H131" s="755"/>
      <c r="I131" s="755"/>
      <c r="J131" s="755"/>
      <c r="K131" s="755"/>
      <c r="L131" s="755"/>
      <c r="M131" s="755"/>
      <c r="N131" s="755"/>
      <c r="O131" s="755"/>
      <c r="P131" s="755"/>
      <c r="Q131" s="755"/>
      <c r="R131" s="755"/>
      <c r="S131" s="755"/>
      <c r="T131" s="755"/>
      <c r="U131" s="755"/>
      <c r="V131" s="755"/>
      <c r="W131" s="755"/>
      <c r="X131" s="755"/>
      <c r="Y131" s="755"/>
      <c r="Z131" s="755"/>
      <c r="AA131" s="755"/>
      <c r="AB131" s="755"/>
      <c r="AC131" s="755"/>
      <c r="AD131" s="755"/>
      <c r="AE131" s="755"/>
    </row>
    <row r="132" spans="6:31" ht="16.5" customHeight="1">
      <c r="F132" s="755"/>
      <c r="G132" s="755"/>
      <c r="H132" s="755"/>
      <c r="I132" s="755"/>
      <c r="J132" s="755"/>
      <c r="K132" s="755"/>
      <c r="L132" s="755"/>
      <c r="M132" s="755"/>
      <c r="N132" s="755"/>
      <c r="O132" s="755"/>
      <c r="P132" s="755"/>
      <c r="Q132" s="755"/>
      <c r="R132" s="755"/>
      <c r="S132" s="755"/>
      <c r="T132" s="755"/>
      <c r="U132" s="755"/>
      <c r="V132" s="755"/>
      <c r="W132" s="755"/>
      <c r="X132" s="755"/>
      <c r="Y132" s="755"/>
      <c r="Z132" s="755"/>
      <c r="AA132" s="755"/>
      <c r="AB132" s="755"/>
      <c r="AC132" s="755"/>
      <c r="AD132" s="755"/>
      <c r="AE132" s="755"/>
    </row>
    <row r="133" spans="6:31" ht="16.5" customHeight="1"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5"/>
      <c r="T133" s="755"/>
      <c r="U133" s="755"/>
      <c r="V133" s="755"/>
      <c r="W133" s="755"/>
      <c r="X133" s="755"/>
      <c r="Y133" s="755"/>
      <c r="Z133" s="755"/>
      <c r="AA133" s="755"/>
      <c r="AB133" s="755"/>
      <c r="AC133" s="755"/>
      <c r="AD133" s="755"/>
      <c r="AE133" s="755"/>
    </row>
    <row r="134" spans="6:31" ht="16.5" customHeight="1">
      <c r="F134" s="755"/>
      <c r="G134" s="755"/>
      <c r="H134" s="755"/>
      <c r="I134" s="755"/>
      <c r="J134" s="755"/>
      <c r="K134" s="755"/>
      <c r="L134" s="755"/>
      <c r="M134" s="755"/>
      <c r="N134" s="755"/>
      <c r="O134" s="755"/>
      <c r="P134" s="755"/>
      <c r="Q134" s="755"/>
      <c r="R134" s="755"/>
      <c r="S134" s="755"/>
      <c r="T134" s="755"/>
      <c r="U134" s="755"/>
      <c r="V134" s="755"/>
      <c r="W134" s="755"/>
      <c r="X134" s="755"/>
      <c r="Y134" s="755"/>
      <c r="Z134" s="755"/>
      <c r="AA134" s="755"/>
      <c r="AB134" s="755"/>
      <c r="AC134" s="755"/>
      <c r="AD134" s="755"/>
      <c r="AE134" s="755"/>
    </row>
    <row r="135" spans="6:31" ht="16.5" customHeight="1">
      <c r="F135" s="755"/>
      <c r="G135" s="755"/>
      <c r="H135" s="755"/>
      <c r="I135" s="755"/>
      <c r="J135" s="755"/>
      <c r="K135" s="755"/>
      <c r="L135" s="755"/>
      <c r="M135" s="755"/>
      <c r="N135" s="755"/>
      <c r="O135" s="755"/>
      <c r="P135" s="755"/>
      <c r="Q135" s="755"/>
      <c r="R135" s="755"/>
      <c r="S135" s="755"/>
      <c r="T135" s="755"/>
      <c r="U135" s="755"/>
      <c r="V135" s="755"/>
      <c r="W135" s="755"/>
      <c r="X135" s="755"/>
      <c r="Y135" s="755"/>
      <c r="Z135" s="755"/>
      <c r="AA135" s="755"/>
      <c r="AB135" s="755"/>
      <c r="AC135" s="755"/>
      <c r="AD135" s="755"/>
      <c r="AE135" s="755"/>
    </row>
    <row r="136" spans="6:31" ht="16.5" customHeight="1">
      <c r="F136" s="755"/>
      <c r="G136" s="755"/>
      <c r="H136" s="755"/>
      <c r="I136" s="755"/>
      <c r="J136" s="755"/>
      <c r="K136" s="755"/>
      <c r="L136" s="755"/>
      <c r="M136" s="755"/>
      <c r="N136" s="755"/>
      <c r="O136" s="755"/>
      <c r="P136" s="755"/>
      <c r="Q136" s="755"/>
      <c r="R136" s="755"/>
      <c r="S136" s="755"/>
      <c r="T136" s="755"/>
      <c r="U136" s="755"/>
      <c r="V136" s="755"/>
      <c r="W136" s="755"/>
      <c r="X136" s="755"/>
      <c r="Y136" s="755"/>
      <c r="Z136" s="755"/>
      <c r="AA136" s="755"/>
      <c r="AB136" s="755"/>
      <c r="AC136" s="755"/>
      <c r="AD136" s="755"/>
      <c r="AE136" s="755"/>
    </row>
    <row r="137" spans="6:31" ht="16.5" customHeight="1">
      <c r="F137" s="755"/>
      <c r="G137" s="755"/>
      <c r="H137" s="755"/>
      <c r="I137" s="755"/>
      <c r="J137" s="755"/>
      <c r="K137" s="755"/>
      <c r="L137" s="755"/>
      <c r="M137" s="755"/>
      <c r="N137" s="755"/>
      <c r="O137" s="755"/>
      <c r="P137" s="755"/>
      <c r="Q137" s="755"/>
      <c r="R137" s="755"/>
      <c r="S137" s="755"/>
      <c r="T137" s="755"/>
      <c r="U137" s="755"/>
      <c r="V137" s="755"/>
      <c r="W137" s="755"/>
      <c r="X137" s="755"/>
      <c r="Y137" s="755"/>
      <c r="Z137" s="755"/>
      <c r="AA137" s="755"/>
      <c r="AB137" s="755"/>
      <c r="AC137" s="755"/>
      <c r="AD137" s="755"/>
      <c r="AE137" s="755"/>
    </row>
    <row r="138" spans="6:31" ht="16.5" customHeight="1">
      <c r="F138" s="755"/>
      <c r="G138" s="755"/>
      <c r="H138" s="755"/>
      <c r="I138" s="755"/>
      <c r="J138" s="755"/>
      <c r="K138" s="755"/>
      <c r="L138" s="755"/>
      <c r="M138" s="755"/>
      <c r="N138" s="755"/>
      <c r="O138" s="755"/>
      <c r="P138" s="755"/>
      <c r="Q138" s="755"/>
      <c r="R138" s="755"/>
      <c r="S138" s="755"/>
      <c r="T138" s="755"/>
      <c r="U138" s="755"/>
      <c r="V138" s="755"/>
      <c r="W138" s="755"/>
      <c r="X138" s="755"/>
      <c r="Y138" s="755"/>
      <c r="Z138" s="755"/>
      <c r="AA138" s="755"/>
      <c r="AB138" s="755"/>
      <c r="AC138" s="755"/>
      <c r="AD138" s="755"/>
      <c r="AE138" s="755"/>
    </row>
    <row r="139" spans="6:31" ht="16.5" customHeight="1"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</row>
    <row r="140" spans="6:31" ht="16.5" customHeight="1">
      <c r="F140" s="755"/>
      <c r="G140" s="755"/>
      <c r="H140" s="755"/>
      <c r="I140" s="755"/>
      <c r="J140" s="755"/>
      <c r="K140" s="755"/>
      <c r="L140" s="755"/>
      <c r="M140" s="755"/>
      <c r="N140" s="755"/>
      <c r="O140" s="755"/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  <c r="AC140" s="755"/>
      <c r="AD140" s="755"/>
      <c r="AE140" s="755"/>
    </row>
    <row r="141" spans="6:31" ht="16.5" customHeight="1">
      <c r="F141" s="755"/>
      <c r="G141" s="755"/>
      <c r="H141" s="755"/>
      <c r="I141" s="755"/>
      <c r="J141" s="755"/>
      <c r="K141" s="755"/>
      <c r="L141" s="755"/>
      <c r="M141" s="755"/>
      <c r="N141" s="755"/>
      <c r="O141" s="755"/>
      <c r="P141" s="755"/>
      <c r="Q141" s="755"/>
      <c r="R141" s="755"/>
      <c r="S141" s="755"/>
      <c r="T141" s="755"/>
      <c r="U141" s="755"/>
      <c r="V141" s="755"/>
      <c r="W141" s="755"/>
      <c r="X141" s="755"/>
      <c r="Y141" s="755"/>
      <c r="Z141" s="755"/>
      <c r="AA141" s="755"/>
      <c r="AB141" s="755"/>
      <c r="AC141" s="755"/>
      <c r="AD141" s="755"/>
      <c r="AE141" s="755"/>
    </row>
    <row r="142" spans="6:31" ht="16.5" customHeight="1">
      <c r="F142" s="755"/>
      <c r="G142" s="755"/>
      <c r="H142" s="755"/>
      <c r="I142" s="755"/>
      <c r="J142" s="755"/>
      <c r="K142" s="755"/>
      <c r="L142" s="755"/>
      <c r="M142" s="755"/>
      <c r="N142" s="755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  <c r="AC142" s="755"/>
      <c r="AD142" s="755"/>
      <c r="AE142" s="755"/>
    </row>
    <row r="143" spans="6:31" ht="16.5" customHeight="1">
      <c r="F143" s="755"/>
      <c r="G143" s="755"/>
      <c r="H143" s="755"/>
      <c r="I143" s="755"/>
      <c r="J143" s="755"/>
      <c r="K143" s="755"/>
      <c r="L143" s="755"/>
      <c r="M143" s="755"/>
      <c r="N143" s="755"/>
      <c r="O143" s="755"/>
      <c r="P143" s="755"/>
      <c r="Q143" s="755"/>
      <c r="R143" s="755"/>
      <c r="S143" s="755"/>
      <c r="T143" s="755"/>
      <c r="U143" s="755"/>
      <c r="V143" s="755"/>
      <c r="W143" s="755"/>
      <c r="X143" s="755"/>
      <c r="Y143" s="755"/>
      <c r="Z143" s="755"/>
      <c r="AA143" s="755"/>
      <c r="AB143" s="755"/>
      <c r="AC143" s="755"/>
      <c r="AD143" s="755"/>
      <c r="AE143" s="755"/>
    </row>
    <row r="144" spans="6:31" ht="16.5" customHeight="1">
      <c r="F144" s="755"/>
      <c r="G144" s="755"/>
      <c r="H144" s="755"/>
      <c r="I144" s="755"/>
      <c r="J144" s="755"/>
      <c r="K144" s="755"/>
      <c r="L144" s="755"/>
      <c r="M144" s="755"/>
      <c r="N144" s="755"/>
      <c r="O144" s="755"/>
      <c r="P144" s="755"/>
      <c r="Q144" s="755"/>
      <c r="R144" s="755"/>
      <c r="S144" s="755"/>
      <c r="T144" s="755"/>
      <c r="U144" s="755"/>
      <c r="V144" s="755"/>
      <c r="W144" s="755"/>
      <c r="X144" s="755"/>
      <c r="Y144" s="755"/>
      <c r="Z144" s="755"/>
      <c r="AA144" s="755"/>
      <c r="AB144" s="755"/>
      <c r="AC144" s="755"/>
      <c r="AD144" s="755"/>
      <c r="AE144" s="755"/>
    </row>
    <row r="145" spans="6:31" ht="16.5" customHeight="1">
      <c r="F145" s="755"/>
      <c r="G145" s="755"/>
      <c r="H145" s="755"/>
      <c r="I145" s="755"/>
      <c r="J145" s="755"/>
      <c r="K145" s="755"/>
      <c r="L145" s="755"/>
      <c r="M145" s="755"/>
      <c r="N145" s="755"/>
      <c r="O145" s="755"/>
      <c r="P145" s="755"/>
      <c r="Q145" s="755"/>
      <c r="R145" s="755"/>
      <c r="S145" s="755"/>
      <c r="T145" s="755"/>
      <c r="U145" s="755"/>
      <c r="V145" s="755"/>
      <c r="W145" s="755"/>
      <c r="X145" s="755"/>
      <c r="Y145" s="755"/>
      <c r="Z145" s="755"/>
      <c r="AA145" s="755"/>
      <c r="AB145" s="755"/>
      <c r="AC145" s="755"/>
      <c r="AD145" s="755"/>
      <c r="AE145" s="755"/>
    </row>
    <row r="146" spans="6:31" ht="16.5" customHeight="1">
      <c r="F146" s="755"/>
      <c r="G146" s="755"/>
      <c r="H146" s="755"/>
      <c r="I146" s="755"/>
      <c r="J146" s="755"/>
      <c r="K146" s="755"/>
      <c r="L146" s="755"/>
      <c r="M146" s="755"/>
      <c r="N146" s="755"/>
      <c r="O146" s="755"/>
      <c r="P146" s="755"/>
      <c r="Q146" s="755"/>
      <c r="R146" s="755"/>
      <c r="S146" s="755"/>
      <c r="T146" s="755"/>
      <c r="U146" s="755"/>
      <c r="V146" s="755"/>
      <c r="W146" s="755"/>
      <c r="X146" s="755"/>
      <c r="Y146" s="755"/>
      <c r="Z146" s="755"/>
      <c r="AA146" s="755"/>
      <c r="AB146" s="755"/>
      <c r="AC146" s="755"/>
      <c r="AD146" s="755"/>
      <c r="AE146" s="755"/>
    </row>
    <row r="147" spans="6:31" ht="16.5" customHeight="1">
      <c r="F147" s="755"/>
      <c r="G147" s="755"/>
      <c r="H147" s="755"/>
      <c r="I147" s="755"/>
      <c r="J147" s="755"/>
      <c r="K147" s="755"/>
      <c r="L147" s="755"/>
      <c r="M147" s="755"/>
      <c r="N147" s="755"/>
      <c r="O147" s="755"/>
      <c r="P147" s="755"/>
      <c r="Q147" s="755"/>
      <c r="R147" s="755"/>
      <c r="S147" s="755"/>
      <c r="T147" s="755"/>
      <c r="U147" s="755"/>
      <c r="V147" s="755"/>
      <c r="W147" s="755"/>
      <c r="X147" s="755"/>
      <c r="Y147" s="755"/>
      <c r="Z147" s="755"/>
      <c r="AA147" s="755"/>
      <c r="AB147" s="755"/>
      <c r="AC147" s="755"/>
      <c r="AD147" s="755"/>
      <c r="AE147" s="755"/>
    </row>
    <row r="148" spans="6:31" ht="16.5" customHeight="1">
      <c r="F148" s="755"/>
      <c r="G148" s="755"/>
      <c r="H148" s="755"/>
      <c r="I148" s="755"/>
      <c r="J148" s="755"/>
      <c r="K148" s="755"/>
      <c r="L148" s="755"/>
      <c r="M148" s="755"/>
      <c r="N148" s="755"/>
      <c r="O148" s="755"/>
      <c r="P148" s="755"/>
      <c r="Q148" s="755"/>
      <c r="R148" s="755"/>
      <c r="S148" s="755"/>
      <c r="T148" s="755"/>
      <c r="U148" s="755"/>
      <c r="V148" s="755"/>
      <c r="W148" s="755"/>
      <c r="X148" s="755"/>
      <c r="Y148" s="755"/>
      <c r="Z148" s="755"/>
      <c r="AA148" s="755"/>
      <c r="AB148" s="755"/>
      <c r="AC148" s="755"/>
      <c r="AD148" s="755"/>
      <c r="AE148" s="755"/>
    </row>
    <row r="149" spans="6:31" ht="16.5" customHeight="1">
      <c r="F149" s="755"/>
      <c r="G149" s="755"/>
      <c r="H149" s="755"/>
      <c r="I149" s="755"/>
      <c r="J149" s="755"/>
      <c r="K149" s="755"/>
      <c r="L149" s="755"/>
      <c r="M149" s="755"/>
      <c r="N149" s="755"/>
      <c r="O149" s="755"/>
      <c r="P149" s="755"/>
      <c r="Q149" s="755"/>
      <c r="R149" s="755"/>
      <c r="S149" s="755"/>
      <c r="T149" s="755"/>
      <c r="U149" s="755"/>
      <c r="V149" s="755"/>
      <c r="W149" s="755"/>
      <c r="X149" s="755"/>
      <c r="Y149" s="755"/>
      <c r="Z149" s="755"/>
      <c r="AA149" s="755"/>
      <c r="AB149" s="755"/>
      <c r="AC149" s="755"/>
      <c r="AD149" s="755"/>
      <c r="AE149" s="755"/>
    </row>
    <row r="150" spans="6:31" ht="16.5" customHeight="1">
      <c r="F150" s="755"/>
      <c r="G150" s="755"/>
      <c r="H150" s="755"/>
      <c r="I150" s="755"/>
      <c r="J150" s="755"/>
      <c r="K150" s="755"/>
      <c r="L150" s="755"/>
      <c r="M150" s="755"/>
      <c r="N150" s="755"/>
      <c r="O150" s="755"/>
      <c r="P150" s="755"/>
      <c r="Q150" s="755"/>
      <c r="R150" s="755"/>
      <c r="S150" s="755"/>
      <c r="T150" s="755"/>
      <c r="U150" s="755"/>
      <c r="V150" s="755"/>
      <c r="W150" s="755"/>
      <c r="X150" s="755"/>
      <c r="Y150" s="755"/>
      <c r="Z150" s="755"/>
      <c r="AA150" s="755"/>
      <c r="AB150" s="755"/>
      <c r="AC150" s="755"/>
      <c r="AD150" s="755"/>
      <c r="AE150" s="755"/>
    </row>
    <row r="151" spans="6:31" ht="16.5" customHeight="1">
      <c r="F151" s="755"/>
      <c r="G151" s="755"/>
      <c r="H151" s="755"/>
      <c r="I151" s="755"/>
      <c r="J151" s="755"/>
      <c r="K151" s="755"/>
      <c r="L151" s="755"/>
      <c r="M151" s="755"/>
      <c r="N151" s="755"/>
      <c r="O151" s="755"/>
      <c r="P151" s="755"/>
      <c r="Q151" s="755"/>
      <c r="R151" s="755"/>
      <c r="S151" s="755"/>
      <c r="T151" s="755"/>
      <c r="U151" s="755"/>
      <c r="V151" s="755"/>
      <c r="W151" s="755"/>
      <c r="X151" s="755"/>
      <c r="Y151" s="755"/>
      <c r="Z151" s="755"/>
      <c r="AA151" s="755"/>
      <c r="AB151" s="755"/>
      <c r="AC151" s="755"/>
      <c r="AD151" s="755"/>
      <c r="AE151" s="755"/>
    </row>
    <row r="152" spans="6:31" ht="16.5" customHeight="1">
      <c r="F152" s="755"/>
      <c r="G152" s="755"/>
      <c r="H152" s="755"/>
      <c r="I152" s="755"/>
      <c r="J152" s="755"/>
      <c r="K152" s="755"/>
      <c r="L152" s="755"/>
      <c r="M152" s="755"/>
      <c r="N152" s="755"/>
      <c r="O152" s="755"/>
      <c r="P152" s="755"/>
      <c r="Q152" s="755"/>
      <c r="R152" s="755"/>
      <c r="S152" s="755"/>
      <c r="T152" s="755"/>
      <c r="U152" s="755"/>
      <c r="V152" s="755"/>
      <c r="W152" s="755"/>
      <c r="X152" s="755"/>
      <c r="Y152" s="755"/>
      <c r="Z152" s="755"/>
      <c r="AA152" s="755"/>
      <c r="AB152" s="755"/>
      <c r="AC152" s="755"/>
      <c r="AD152" s="755"/>
      <c r="AE152" s="755"/>
    </row>
    <row r="153" ht="16.5" customHeight="1">
      <c r="AE153" s="755"/>
    </row>
    <row r="154" ht="16.5" customHeight="1">
      <c r="AE154" s="755"/>
    </row>
    <row r="155" ht="16.5" customHeight="1">
      <c r="AE155" s="755"/>
    </row>
    <row r="156" ht="16.5" customHeight="1">
      <c r="AE156" s="755"/>
    </row>
    <row r="157" ht="16.5" customHeight="1"/>
    <row r="158" ht="16.5" customHeight="1"/>
    <row r="159" ht="16.5" customHeight="1"/>
  </sheetData>
  <sheetProtection/>
  <printOptions horizontalCentered="1"/>
  <pageMargins left="0.32" right="0.47" top="0.7874015748031497" bottom="0.68" header="0.5118110236220472" footer="0.34"/>
  <pageSetup fitToHeight="1" fitToWidth="1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49"/>
  <sheetViews>
    <sheetView zoomScale="85" zoomScaleNormal="85" zoomScalePageLayoutView="0" workbookViewId="0" topLeftCell="E1">
      <selection activeCell="G17" sqref="G17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92" customFormat="1" ht="26.25">
      <c r="W1" s="371"/>
    </row>
    <row r="2" spans="2:23" s="92" customFormat="1" ht="26.25">
      <c r="B2" s="93" t="str">
        <f>+'TOT-1115'!B2</f>
        <v>ANEXO V al Memorándum  D.T.E.E.  N°  379 / 2016             .-</v>
      </c>
      <c r="C2" s="94"/>
      <c r="D2" s="94"/>
      <c r="E2" s="94"/>
      <c r="F2" s="94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="10" customFormat="1" ht="12.75"/>
    <row r="4" spans="1:4" s="95" customFormat="1" ht="11.25">
      <c r="A4" s="548" t="s">
        <v>21</v>
      </c>
      <c r="C4" s="547"/>
      <c r="D4" s="547"/>
    </row>
    <row r="5" spans="1:4" s="95" customFormat="1" ht="11.25">
      <c r="A5" s="548" t="s">
        <v>143</v>
      </c>
      <c r="C5" s="547"/>
      <c r="D5" s="547"/>
    </row>
    <row r="6" s="10" customFormat="1" ht="13.5" thickBot="1"/>
    <row r="7" spans="2:23" s="10" customFormat="1" ht="13.5" thickTop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2:23" s="97" customFormat="1" ht="20.25">
      <c r="B8" s="96"/>
      <c r="C8" s="44"/>
      <c r="D8" s="44"/>
      <c r="E8" s="44"/>
      <c r="F8" s="21" t="s">
        <v>44</v>
      </c>
      <c r="P8" s="44"/>
      <c r="Q8" s="44"/>
      <c r="R8" s="44"/>
      <c r="S8" s="44"/>
      <c r="T8" s="44"/>
      <c r="U8" s="44"/>
      <c r="V8" s="44"/>
      <c r="W8" s="98"/>
    </row>
    <row r="9" spans="2:23" s="10" customFormat="1" ht="12.75">
      <c r="B9" s="43"/>
      <c r="C9" s="8"/>
      <c r="D9" s="8"/>
      <c r="E9" s="8"/>
      <c r="F9" s="8"/>
      <c r="G9" s="8"/>
      <c r="H9" s="8"/>
      <c r="I9" s="106"/>
      <c r="J9" s="106"/>
      <c r="K9" s="106"/>
      <c r="L9" s="106"/>
      <c r="M9" s="106"/>
      <c r="P9" s="8"/>
      <c r="Q9" s="8"/>
      <c r="R9" s="8"/>
      <c r="S9" s="8"/>
      <c r="T9" s="8"/>
      <c r="U9" s="8"/>
      <c r="V9" s="8"/>
      <c r="W9" s="11"/>
    </row>
    <row r="10" spans="2:23" s="97" customFormat="1" ht="20.25">
      <c r="B10" s="96"/>
      <c r="C10" s="44"/>
      <c r="D10" s="44"/>
      <c r="E10" s="44"/>
      <c r="F10" s="21" t="s">
        <v>195</v>
      </c>
      <c r="G10" s="21"/>
      <c r="H10" s="44"/>
      <c r="I10" s="21"/>
      <c r="J10" s="21"/>
      <c r="K10" s="21"/>
      <c r="L10" s="21"/>
      <c r="M10" s="21"/>
      <c r="P10" s="44"/>
      <c r="Q10" s="44"/>
      <c r="R10" s="44"/>
      <c r="S10" s="44"/>
      <c r="T10" s="44"/>
      <c r="U10" s="44"/>
      <c r="V10" s="44"/>
      <c r="W10" s="98"/>
    </row>
    <row r="11" spans="2:23" s="10" customFormat="1" ht="12.75">
      <c r="B11" s="43"/>
      <c r="C11" s="8"/>
      <c r="D11" s="8"/>
      <c r="E11" s="8"/>
      <c r="F11" s="108"/>
      <c r="G11" s="106"/>
      <c r="H11" s="8"/>
      <c r="I11" s="106"/>
      <c r="J11" s="106"/>
      <c r="K11" s="106"/>
      <c r="L11" s="106"/>
      <c r="M11" s="106"/>
      <c r="P11" s="8"/>
      <c r="Q11" s="8"/>
      <c r="R11" s="8"/>
      <c r="S11" s="8"/>
      <c r="T11" s="8"/>
      <c r="U11" s="8"/>
      <c r="V11" s="8"/>
      <c r="W11" s="11"/>
    </row>
    <row r="12" spans="2:23" s="104" customFormat="1" ht="19.5">
      <c r="B12" s="70" t="str">
        <f>+'TOT-1115'!B14</f>
        <v>Desde el 01 al 30 de noviembre de 2015</v>
      </c>
      <c r="C12" s="100"/>
      <c r="D12" s="100"/>
      <c r="E12" s="100"/>
      <c r="F12" s="100"/>
      <c r="G12" s="100"/>
      <c r="H12" s="69"/>
      <c r="I12" s="100"/>
      <c r="J12" s="101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3"/>
    </row>
    <row r="13" spans="2:23" s="104" customFormat="1" ht="7.5" customHeight="1">
      <c r="B13" s="70"/>
      <c r="C13" s="100"/>
      <c r="D13" s="100"/>
      <c r="E13" s="100"/>
      <c r="F13" s="100"/>
      <c r="G13" s="100"/>
      <c r="H13" s="69"/>
      <c r="I13" s="100"/>
      <c r="J13" s="101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3"/>
    </row>
    <row r="14" spans="2:23" s="10" customFormat="1" ht="7.5" customHeight="1" thickBot="1">
      <c r="B14" s="43"/>
      <c r="C14" s="8"/>
      <c r="D14" s="8"/>
      <c r="E14" s="8"/>
      <c r="I14" s="105"/>
      <c r="K14" s="8"/>
      <c r="L14" s="8"/>
      <c r="M14" s="8"/>
      <c r="N14" s="105"/>
      <c r="O14" s="105"/>
      <c r="P14" s="105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3"/>
      <c r="C15" s="8"/>
      <c r="D15" s="8"/>
      <c r="E15" s="8"/>
      <c r="F15" s="204" t="s">
        <v>86</v>
      </c>
      <c r="G15" s="947" t="s">
        <v>169</v>
      </c>
      <c r="H15" s="76">
        <f>60*'TOT-1115'!B13</f>
        <v>60</v>
      </c>
      <c r="I15" s="105"/>
      <c r="J15" s="216" t="str">
        <f>IF(H15=60," ",IF(H15=120,"Coeficiente duplicado por tasa de falla &gt;4 Sal. x año/100 km.","REVISAR COEFICIENTE"))</f>
        <v> </v>
      </c>
      <c r="K15" s="8"/>
      <c r="L15" s="8"/>
      <c r="M15" s="8"/>
      <c r="N15" s="105"/>
      <c r="O15" s="105"/>
      <c r="P15" s="105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3"/>
      <c r="C16" s="8"/>
      <c r="D16" s="8"/>
      <c r="E16" s="8"/>
      <c r="F16" s="948" t="s">
        <v>174</v>
      </c>
      <c r="G16" s="205">
        <v>3.243</v>
      </c>
      <c r="H16" s="76">
        <f>50*'TOT-1115'!B13</f>
        <v>50</v>
      </c>
      <c r="J16" s="216" t="str">
        <f>IF(H16=50," ",IF(H16=100,"Coeficiente duplicado por tasa de falla &gt;4 Sal. x año/100 km.","REVISAR COEFICIENTE"))</f>
        <v> </v>
      </c>
      <c r="Q16" s="255"/>
      <c r="S16" s="8"/>
      <c r="T16" s="8"/>
      <c r="U16" s="8"/>
      <c r="V16" s="201"/>
      <c r="W16" s="11"/>
    </row>
    <row r="17" spans="2:23" s="10" customFormat="1" ht="16.5" customHeight="1" thickBot="1" thickTop="1">
      <c r="B17" s="43"/>
      <c r="C17" s="8"/>
      <c r="D17" s="8"/>
      <c r="E17" s="8"/>
      <c r="F17" s="206" t="s">
        <v>88</v>
      </c>
      <c r="G17" s="207">
        <v>2.433</v>
      </c>
      <c r="H17" s="208">
        <f>25*'TOT-1115'!B13</f>
        <v>25</v>
      </c>
      <c r="J17" s="216" t="str">
        <f>IF(H17=25," ",IF(H17=50,"Coeficiente duplicado por tasa de falla &gt;4 Sal. x año/100 km.","REVISAR COEFICIENTE"))</f>
        <v> </v>
      </c>
      <c r="K17" s="150"/>
      <c r="L17" s="150"/>
      <c r="M17" s="8"/>
      <c r="P17" s="202"/>
      <c r="Q17" s="203"/>
      <c r="R17" s="35"/>
      <c r="S17" s="8"/>
      <c r="T17" s="8"/>
      <c r="U17" s="8"/>
      <c r="V17" s="201"/>
      <c r="W17" s="11"/>
    </row>
    <row r="18" spans="2:23" s="10" customFormat="1" ht="16.5" customHeight="1" thickBot="1" thickTop="1">
      <c r="B18" s="43"/>
      <c r="C18" s="8"/>
      <c r="D18" s="8"/>
      <c r="E18" s="8"/>
      <c r="F18" s="209" t="s">
        <v>89</v>
      </c>
      <c r="G18" s="207">
        <v>2.433</v>
      </c>
      <c r="H18" s="210">
        <f>20*'TOT-1115'!B13</f>
        <v>20</v>
      </c>
      <c r="J18" s="216" t="str">
        <f>IF(H18=20," ",IF(H18=40,"Coeficiente duplicado por tasa de falla &gt;4 Sal. x año/100 km.","REVISAR COEFICIENTE"))</f>
        <v> </v>
      </c>
      <c r="K18" s="150"/>
      <c r="L18" s="150"/>
      <c r="M18" s="8"/>
      <c r="P18" s="202"/>
      <c r="Q18" s="203"/>
      <c r="R18" s="35"/>
      <c r="S18" s="8"/>
      <c r="T18" s="8"/>
      <c r="U18" s="8"/>
      <c r="V18" s="201"/>
      <c r="W18" s="11"/>
    </row>
    <row r="19" spans="2:23" s="10" customFormat="1" ht="7.5" customHeight="1" thickTop="1">
      <c r="B19" s="43"/>
      <c r="C19" s="8"/>
      <c r="D19" s="8"/>
      <c r="E19" s="8"/>
      <c r="F19" s="81"/>
      <c r="G19" s="541"/>
      <c r="H19" s="542"/>
      <c r="J19" s="216"/>
      <c r="K19" s="150"/>
      <c r="L19" s="150"/>
      <c r="M19" s="8"/>
      <c r="P19" s="202"/>
      <c r="Q19" s="203"/>
      <c r="R19" s="35"/>
      <c r="S19" s="8"/>
      <c r="T19" s="8"/>
      <c r="U19" s="8"/>
      <c r="V19" s="201"/>
      <c r="W19" s="11"/>
    </row>
    <row r="20" spans="2:23" s="571" customFormat="1" ht="15" customHeight="1" thickBot="1">
      <c r="B20" s="568"/>
      <c r="C20" s="567">
        <v>3</v>
      </c>
      <c r="D20" s="567">
        <v>4</v>
      </c>
      <c r="E20" s="567">
        <v>5</v>
      </c>
      <c r="F20" s="567">
        <v>6</v>
      </c>
      <c r="G20" s="567">
        <v>7</v>
      </c>
      <c r="H20" s="567">
        <v>8</v>
      </c>
      <c r="I20" s="567">
        <v>9</v>
      </c>
      <c r="J20" s="567">
        <v>10</v>
      </c>
      <c r="K20" s="567">
        <v>11</v>
      </c>
      <c r="L20" s="567">
        <v>12</v>
      </c>
      <c r="M20" s="567">
        <v>13</v>
      </c>
      <c r="N20" s="567">
        <v>14</v>
      </c>
      <c r="O20" s="567">
        <v>15</v>
      </c>
      <c r="P20" s="567">
        <v>16</v>
      </c>
      <c r="Q20" s="567">
        <v>17</v>
      </c>
      <c r="R20" s="567">
        <v>18</v>
      </c>
      <c r="S20" s="567">
        <v>19</v>
      </c>
      <c r="T20" s="567">
        <v>20</v>
      </c>
      <c r="U20" s="567">
        <v>21</v>
      </c>
      <c r="V20" s="567">
        <v>22</v>
      </c>
      <c r="W20" s="570"/>
    </row>
    <row r="21" spans="2:23" s="10" customFormat="1" ht="33.75" customHeight="1" thickBot="1" thickTop="1">
      <c r="B21" s="43"/>
      <c r="C21" s="197" t="s">
        <v>50</v>
      </c>
      <c r="D21" s="84" t="s">
        <v>142</v>
      </c>
      <c r="E21" s="84" t="s">
        <v>141</v>
      </c>
      <c r="F21" s="195" t="s">
        <v>74</v>
      </c>
      <c r="G21" s="211" t="s">
        <v>19</v>
      </c>
      <c r="H21" s="214" t="s">
        <v>51</v>
      </c>
      <c r="I21" s="246" t="s">
        <v>53</v>
      </c>
      <c r="J21" s="191" t="s">
        <v>54</v>
      </c>
      <c r="K21" s="211" t="s">
        <v>55</v>
      </c>
      <c r="L21" s="213" t="s">
        <v>78</v>
      </c>
      <c r="M21" s="213" t="s">
        <v>79</v>
      </c>
      <c r="N21" s="88" t="s">
        <v>58</v>
      </c>
      <c r="O21" s="196" t="s">
        <v>80</v>
      </c>
      <c r="P21" s="348" t="s">
        <v>90</v>
      </c>
      <c r="Q21" s="282" t="s">
        <v>60</v>
      </c>
      <c r="R21" s="322" t="s">
        <v>84</v>
      </c>
      <c r="S21" s="323"/>
      <c r="T21" s="358" t="s">
        <v>64</v>
      </c>
      <c r="U21" s="193" t="s">
        <v>66</v>
      </c>
      <c r="V21" s="193" t="s">
        <v>67</v>
      </c>
      <c r="W21" s="37"/>
    </row>
    <row r="22" spans="2:23" s="10" customFormat="1" ht="16.5" customHeight="1" thickTop="1">
      <c r="B22" s="43"/>
      <c r="C22" s="20"/>
      <c r="D22" s="18"/>
      <c r="E22" s="18"/>
      <c r="F22" s="31"/>
      <c r="G22" s="31"/>
      <c r="H22" s="12"/>
      <c r="I22" s="254"/>
      <c r="J22" s="32"/>
      <c r="K22" s="33"/>
      <c r="L22" s="34"/>
      <c r="M22" s="63"/>
      <c r="N22" s="350"/>
      <c r="O22" s="350"/>
      <c r="P22" s="351"/>
      <c r="Q22" s="353"/>
      <c r="R22" s="355"/>
      <c r="S22" s="356"/>
      <c r="T22" s="359"/>
      <c r="U22" s="357"/>
      <c r="V22" s="352"/>
      <c r="W22" s="37"/>
    </row>
    <row r="23" spans="2:23" s="10" customFormat="1" ht="16.5" customHeight="1">
      <c r="B23" s="43"/>
      <c r="C23" s="20"/>
      <c r="D23" s="18"/>
      <c r="E23" s="18"/>
      <c r="F23" s="31"/>
      <c r="G23" s="31"/>
      <c r="H23" s="12"/>
      <c r="I23" s="254"/>
      <c r="J23" s="32"/>
      <c r="K23" s="33"/>
      <c r="L23" s="34"/>
      <c r="M23" s="63"/>
      <c r="N23" s="27"/>
      <c r="O23" s="27"/>
      <c r="P23" s="349"/>
      <c r="Q23" s="354"/>
      <c r="R23" s="328"/>
      <c r="S23" s="329"/>
      <c r="T23" s="360"/>
      <c r="U23" s="24"/>
      <c r="V23" s="212"/>
      <c r="W23" s="37"/>
    </row>
    <row r="24" spans="2:23" s="10" customFormat="1" ht="16.5" customHeight="1">
      <c r="B24" s="43"/>
      <c r="C24" s="528">
        <v>15</v>
      </c>
      <c r="D24" s="513">
        <v>294995</v>
      </c>
      <c r="E24" s="513">
        <v>1759</v>
      </c>
      <c r="F24" s="529" t="s">
        <v>189</v>
      </c>
      <c r="G24" s="529" t="s">
        <v>190</v>
      </c>
      <c r="H24" s="535">
        <v>33</v>
      </c>
      <c r="I24" s="254">
        <f aca="true" t="shared" si="0" ref="I24:I43">IF(H24=330,$G$15,IF(AND(H24&lt;=132,H24&gt;=66),$G$16,IF(AND(H24&lt;66,H24&gt;=33),$G$17,$G$18)))</f>
        <v>2.433</v>
      </c>
      <c r="J24" s="530">
        <v>42325.39375</v>
      </c>
      <c r="K24" s="531">
        <v>42325.802083333336</v>
      </c>
      <c r="L24" s="34">
        <f aca="true" t="shared" si="1" ref="L24:L43">IF(F24="","",(K24-J24)*24)</f>
        <v>9.799999999988358</v>
      </c>
      <c r="M24" s="63">
        <f aca="true" t="shared" si="2" ref="M24:M43">IF(F24="","",ROUND((K24-J24)*24*60,0))</f>
        <v>588</v>
      </c>
      <c r="N24" s="532" t="s">
        <v>151</v>
      </c>
      <c r="O24" s="27" t="str">
        <f aca="true" t="shared" si="3" ref="O24:O43">IF(F24="","",IF(N24="P","--","NO"))</f>
        <v>NO</v>
      </c>
      <c r="P24" s="349">
        <f aca="true" t="shared" si="4" ref="P24:P43">IF(H24=330,$H$15,IF(AND(H24&lt;=132,H24&gt;=66),$H$16,IF(AND(H24&lt;66,H24&gt;13.2),$H$17,$H$18)))</f>
        <v>25</v>
      </c>
      <c r="Q24" s="565" t="str">
        <f aca="true" t="shared" si="5" ref="Q24:Q43">IF(N24="P",I24*P24*ROUND(M24/60,2)*0.1,"--")</f>
        <v>--</v>
      </c>
      <c r="R24" s="328">
        <f aca="true" t="shared" si="6" ref="R24:R43">IF(AND(N24="F",O24="NO"),I24*P24,"--")</f>
        <v>60.824999999999996</v>
      </c>
      <c r="S24" s="329">
        <f aca="true" t="shared" si="7" ref="S24:S43">IF(N24="F",I24*P24*ROUND(M24/60,2),"--")</f>
        <v>596.085</v>
      </c>
      <c r="T24" s="360" t="str">
        <f>IF(N24="RF",I24*P24*ROUND(M24/60,2),"--")</f>
        <v>--</v>
      </c>
      <c r="U24" s="24" t="str">
        <f aca="true" t="shared" si="8" ref="U24:U43">IF(F24="","","SI")</f>
        <v>SI</v>
      </c>
      <c r="V24" s="64">
        <f aca="true" t="shared" si="9" ref="V24:V43">IF(F24="","",SUM(Q24:T24)*IF(U24="SI",1,2)*IF(H24="500/220",0,1))</f>
        <v>656.9100000000001</v>
      </c>
      <c r="W24" s="37"/>
    </row>
    <row r="25" spans="2:23" s="10" customFormat="1" ht="16.5" customHeight="1">
      <c r="B25" s="43"/>
      <c r="C25" s="528">
        <v>16</v>
      </c>
      <c r="D25" s="513">
        <v>295421</v>
      </c>
      <c r="E25" s="513">
        <v>1759</v>
      </c>
      <c r="F25" s="529" t="s">
        <v>189</v>
      </c>
      <c r="G25" s="529" t="s">
        <v>190</v>
      </c>
      <c r="H25" s="535">
        <v>33</v>
      </c>
      <c r="I25" s="254">
        <f t="shared" si="0"/>
        <v>2.433</v>
      </c>
      <c r="J25" s="530">
        <v>42333.333333333336</v>
      </c>
      <c r="K25" s="531">
        <v>42333.5875</v>
      </c>
      <c r="L25" s="34">
        <f t="shared" si="1"/>
        <v>6.099999999976717</v>
      </c>
      <c r="M25" s="63">
        <f t="shared" si="2"/>
        <v>366</v>
      </c>
      <c r="N25" s="532" t="s">
        <v>147</v>
      </c>
      <c r="O25" s="27" t="str">
        <f t="shared" si="3"/>
        <v>--</v>
      </c>
      <c r="P25" s="349">
        <f t="shared" si="4"/>
        <v>25</v>
      </c>
      <c r="Q25" s="565">
        <f t="shared" si="5"/>
        <v>37.103249999999996</v>
      </c>
      <c r="R25" s="328" t="str">
        <f t="shared" si="6"/>
        <v>--</v>
      </c>
      <c r="S25" s="329" t="str">
        <f t="shared" si="7"/>
        <v>--</v>
      </c>
      <c r="T25" s="360" t="str">
        <f aca="true" t="shared" si="10" ref="T25:T40">IF(N25="RF",I25*P25*ROUND(M25/60,2),"--")</f>
        <v>--</v>
      </c>
      <c r="U25" s="24" t="str">
        <f t="shared" si="8"/>
        <v>SI</v>
      </c>
      <c r="V25" s="64">
        <f t="shared" si="9"/>
        <v>37.103249999999996</v>
      </c>
      <c r="W25" s="37"/>
    </row>
    <row r="26" spans="2:23" s="10" customFormat="1" ht="16.5" customHeight="1">
      <c r="B26" s="43"/>
      <c r="C26" s="528"/>
      <c r="D26" s="513"/>
      <c r="E26" s="513"/>
      <c r="F26" s="529"/>
      <c r="G26" s="529"/>
      <c r="H26" s="535"/>
      <c r="I26" s="254">
        <f t="shared" si="0"/>
        <v>2.433</v>
      </c>
      <c r="J26" s="530"/>
      <c r="K26" s="531"/>
      <c r="L26" s="34">
        <f t="shared" si="1"/>
      </c>
      <c r="M26" s="63">
        <f t="shared" si="2"/>
      </c>
      <c r="N26" s="532"/>
      <c r="O26" s="27">
        <f t="shared" si="3"/>
      </c>
      <c r="P26" s="349">
        <f t="shared" si="4"/>
        <v>20</v>
      </c>
      <c r="Q26" s="565" t="str">
        <f t="shared" si="5"/>
        <v>--</v>
      </c>
      <c r="R26" s="328" t="str">
        <f t="shared" si="6"/>
        <v>--</v>
      </c>
      <c r="S26" s="329" t="str">
        <f t="shared" si="7"/>
        <v>--</v>
      </c>
      <c r="T26" s="360" t="str">
        <f t="shared" si="10"/>
        <v>--</v>
      </c>
      <c r="U26" s="24">
        <f t="shared" si="8"/>
      </c>
      <c r="V26" s="64">
        <f t="shared" si="9"/>
      </c>
      <c r="W26" s="37"/>
    </row>
    <row r="27" spans="2:23" s="10" customFormat="1" ht="16.5" customHeight="1">
      <c r="B27" s="43"/>
      <c r="C27" s="528"/>
      <c r="D27" s="513"/>
      <c r="E27" s="513"/>
      <c r="F27" s="529"/>
      <c r="G27" s="529"/>
      <c r="H27" s="535"/>
      <c r="I27" s="254">
        <f t="shared" si="0"/>
        <v>2.433</v>
      </c>
      <c r="J27" s="530"/>
      <c r="K27" s="531"/>
      <c r="L27" s="34">
        <f t="shared" si="1"/>
      </c>
      <c r="M27" s="63">
        <f t="shared" si="2"/>
      </c>
      <c r="N27" s="532"/>
      <c r="O27" s="27">
        <f t="shared" si="3"/>
      </c>
      <c r="P27" s="349">
        <f t="shared" si="4"/>
        <v>20</v>
      </c>
      <c r="Q27" s="565" t="str">
        <f t="shared" si="5"/>
        <v>--</v>
      </c>
      <c r="R27" s="328" t="str">
        <f t="shared" si="6"/>
        <v>--</v>
      </c>
      <c r="S27" s="329" t="str">
        <f t="shared" si="7"/>
        <v>--</v>
      </c>
      <c r="T27" s="360" t="str">
        <f t="shared" si="10"/>
        <v>--</v>
      </c>
      <c r="U27" s="24">
        <f t="shared" si="8"/>
      </c>
      <c r="V27" s="64">
        <f t="shared" si="9"/>
      </c>
      <c r="W27" s="37"/>
    </row>
    <row r="28" spans="2:23" s="10" customFormat="1" ht="16.5" customHeight="1">
      <c r="B28" s="43"/>
      <c r="C28" s="528"/>
      <c r="D28" s="513"/>
      <c r="E28" s="513"/>
      <c r="F28" s="529"/>
      <c r="G28" s="529"/>
      <c r="H28" s="535"/>
      <c r="I28" s="254">
        <f t="shared" si="0"/>
        <v>2.433</v>
      </c>
      <c r="J28" s="530"/>
      <c r="K28" s="531"/>
      <c r="L28" s="34">
        <f t="shared" si="1"/>
      </c>
      <c r="M28" s="63">
        <f t="shared" si="2"/>
      </c>
      <c r="N28" s="532"/>
      <c r="O28" s="27">
        <f t="shared" si="3"/>
      </c>
      <c r="P28" s="349">
        <f t="shared" si="4"/>
        <v>20</v>
      </c>
      <c r="Q28" s="565" t="str">
        <f t="shared" si="5"/>
        <v>--</v>
      </c>
      <c r="R28" s="328" t="str">
        <f t="shared" si="6"/>
        <v>--</v>
      </c>
      <c r="S28" s="329" t="str">
        <f t="shared" si="7"/>
        <v>--</v>
      </c>
      <c r="T28" s="360" t="str">
        <f t="shared" si="10"/>
        <v>--</v>
      </c>
      <c r="U28" s="24">
        <f t="shared" si="8"/>
      </c>
      <c r="V28" s="64">
        <f t="shared" si="9"/>
      </c>
      <c r="W28" s="37"/>
    </row>
    <row r="29" spans="2:23" s="10" customFormat="1" ht="16.5" customHeight="1">
      <c r="B29" s="43"/>
      <c r="C29" s="528"/>
      <c r="D29" s="513"/>
      <c r="E29" s="513"/>
      <c r="F29" s="529"/>
      <c r="G29" s="529"/>
      <c r="H29" s="535"/>
      <c r="I29" s="254">
        <f t="shared" si="0"/>
        <v>2.433</v>
      </c>
      <c r="J29" s="530"/>
      <c r="K29" s="531"/>
      <c r="L29" s="34">
        <f t="shared" si="1"/>
      </c>
      <c r="M29" s="63">
        <f t="shared" si="2"/>
      </c>
      <c r="N29" s="532"/>
      <c r="O29" s="27">
        <f t="shared" si="3"/>
      </c>
      <c r="P29" s="349">
        <f t="shared" si="4"/>
        <v>20</v>
      </c>
      <c r="Q29" s="565" t="str">
        <f t="shared" si="5"/>
        <v>--</v>
      </c>
      <c r="R29" s="328" t="str">
        <f t="shared" si="6"/>
        <v>--</v>
      </c>
      <c r="S29" s="329" t="str">
        <f t="shared" si="7"/>
        <v>--</v>
      </c>
      <c r="T29" s="360" t="str">
        <f t="shared" si="10"/>
        <v>--</v>
      </c>
      <c r="U29" s="24">
        <f t="shared" si="8"/>
      </c>
      <c r="V29" s="64">
        <f t="shared" si="9"/>
      </c>
      <c r="W29" s="37"/>
    </row>
    <row r="30" spans="2:23" s="10" customFormat="1" ht="16.5" customHeight="1">
      <c r="B30" s="43"/>
      <c r="C30" s="528"/>
      <c r="D30" s="513"/>
      <c r="E30" s="513"/>
      <c r="F30" s="529"/>
      <c r="G30" s="529"/>
      <c r="H30" s="535"/>
      <c r="I30" s="254">
        <f t="shared" si="0"/>
        <v>2.433</v>
      </c>
      <c r="J30" s="530"/>
      <c r="K30" s="531"/>
      <c r="L30" s="34">
        <f t="shared" si="1"/>
      </c>
      <c r="M30" s="63">
        <f t="shared" si="2"/>
      </c>
      <c r="N30" s="532"/>
      <c r="O30" s="27">
        <f t="shared" si="3"/>
      </c>
      <c r="P30" s="349">
        <f t="shared" si="4"/>
        <v>20</v>
      </c>
      <c r="Q30" s="565" t="str">
        <f t="shared" si="5"/>
        <v>--</v>
      </c>
      <c r="R30" s="328" t="str">
        <f t="shared" si="6"/>
        <v>--</v>
      </c>
      <c r="S30" s="329" t="str">
        <f t="shared" si="7"/>
        <v>--</v>
      </c>
      <c r="T30" s="360" t="str">
        <f t="shared" si="10"/>
        <v>--</v>
      </c>
      <c r="U30" s="24">
        <f t="shared" si="8"/>
      </c>
      <c r="V30" s="64">
        <f t="shared" si="9"/>
      </c>
      <c r="W30" s="37"/>
    </row>
    <row r="31" spans="2:23" s="10" customFormat="1" ht="16.5" customHeight="1">
      <c r="B31" s="43"/>
      <c r="C31" s="528"/>
      <c r="D31" s="513"/>
      <c r="E31" s="513"/>
      <c r="F31" s="529"/>
      <c r="G31" s="529"/>
      <c r="H31" s="535"/>
      <c r="I31" s="254">
        <f t="shared" si="0"/>
        <v>2.433</v>
      </c>
      <c r="J31" s="530"/>
      <c r="K31" s="531"/>
      <c r="L31" s="34">
        <f t="shared" si="1"/>
      </c>
      <c r="M31" s="63">
        <f t="shared" si="2"/>
      </c>
      <c r="N31" s="532"/>
      <c r="O31" s="27">
        <f t="shared" si="3"/>
      </c>
      <c r="P31" s="349">
        <f t="shared" si="4"/>
        <v>20</v>
      </c>
      <c r="Q31" s="565" t="str">
        <f t="shared" si="5"/>
        <v>--</v>
      </c>
      <c r="R31" s="328" t="str">
        <f t="shared" si="6"/>
        <v>--</v>
      </c>
      <c r="S31" s="329" t="str">
        <f t="shared" si="7"/>
        <v>--</v>
      </c>
      <c r="T31" s="360" t="str">
        <f t="shared" si="10"/>
        <v>--</v>
      </c>
      <c r="U31" s="24">
        <f t="shared" si="8"/>
      </c>
      <c r="V31" s="64">
        <f t="shared" si="9"/>
      </c>
      <c r="W31" s="37"/>
    </row>
    <row r="32" spans="2:23" s="10" customFormat="1" ht="16.5" customHeight="1">
      <c r="B32" s="43"/>
      <c r="C32" s="528"/>
      <c r="D32" s="513"/>
      <c r="E32" s="513"/>
      <c r="F32" s="529"/>
      <c r="G32" s="529"/>
      <c r="H32" s="535"/>
      <c r="I32" s="254">
        <f t="shared" si="0"/>
        <v>2.433</v>
      </c>
      <c r="J32" s="530"/>
      <c r="K32" s="531"/>
      <c r="L32" s="34">
        <f t="shared" si="1"/>
      </c>
      <c r="M32" s="63">
        <f t="shared" si="2"/>
      </c>
      <c r="N32" s="532"/>
      <c r="O32" s="27">
        <f t="shared" si="3"/>
      </c>
      <c r="P32" s="349">
        <f t="shared" si="4"/>
        <v>20</v>
      </c>
      <c r="Q32" s="565" t="str">
        <f t="shared" si="5"/>
        <v>--</v>
      </c>
      <c r="R32" s="328" t="str">
        <f t="shared" si="6"/>
        <v>--</v>
      </c>
      <c r="S32" s="329" t="str">
        <f t="shared" si="7"/>
        <v>--</v>
      </c>
      <c r="T32" s="360" t="str">
        <f t="shared" si="10"/>
        <v>--</v>
      </c>
      <c r="U32" s="24">
        <f t="shared" si="8"/>
      </c>
      <c r="V32" s="64">
        <f t="shared" si="9"/>
      </c>
      <c r="W32" s="37"/>
    </row>
    <row r="33" spans="2:23" s="10" customFormat="1" ht="16.5" customHeight="1">
      <c r="B33" s="43"/>
      <c r="C33" s="528"/>
      <c r="D33" s="513"/>
      <c r="E33" s="513"/>
      <c r="F33" s="529"/>
      <c r="G33" s="529"/>
      <c r="H33" s="535"/>
      <c r="I33" s="254">
        <f t="shared" si="0"/>
        <v>2.433</v>
      </c>
      <c r="J33" s="530"/>
      <c r="K33" s="531"/>
      <c r="L33" s="34">
        <f t="shared" si="1"/>
      </c>
      <c r="M33" s="63">
        <f t="shared" si="2"/>
      </c>
      <c r="N33" s="532"/>
      <c r="O33" s="27">
        <f t="shared" si="3"/>
      </c>
      <c r="P33" s="349">
        <f t="shared" si="4"/>
        <v>20</v>
      </c>
      <c r="Q33" s="565" t="str">
        <f t="shared" si="5"/>
        <v>--</v>
      </c>
      <c r="R33" s="328" t="str">
        <f t="shared" si="6"/>
        <v>--</v>
      </c>
      <c r="S33" s="329" t="str">
        <f t="shared" si="7"/>
        <v>--</v>
      </c>
      <c r="T33" s="360" t="str">
        <f t="shared" si="10"/>
        <v>--</v>
      </c>
      <c r="U33" s="24">
        <f t="shared" si="8"/>
      </c>
      <c r="V33" s="64">
        <f t="shared" si="9"/>
      </c>
      <c r="W33" s="37"/>
    </row>
    <row r="34" spans="2:23" s="10" customFormat="1" ht="16.5" customHeight="1">
      <c r="B34" s="43"/>
      <c r="C34" s="528"/>
      <c r="D34" s="513"/>
      <c r="E34" s="513"/>
      <c r="F34" s="529"/>
      <c r="G34" s="529"/>
      <c r="H34" s="535"/>
      <c r="I34" s="254">
        <f t="shared" si="0"/>
        <v>2.433</v>
      </c>
      <c r="J34" s="530"/>
      <c r="K34" s="531"/>
      <c r="L34" s="34">
        <f t="shared" si="1"/>
      </c>
      <c r="M34" s="63">
        <f t="shared" si="2"/>
      </c>
      <c r="N34" s="532"/>
      <c r="O34" s="27">
        <f t="shared" si="3"/>
      </c>
      <c r="P34" s="349">
        <f t="shared" si="4"/>
        <v>20</v>
      </c>
      <c r="Q34" s="565" t="str">
        <f t="shared" si="5"/>
        <v>--</v>
      </c>
      <c r="R34" s="328" t="str">
        <f t="shared" si="6"/>
        <v>--</v>
      </c>
      <c r="S34" s="329" t="str">
        <f t="shared" si="7"/>
        <v>--</v>
      </c>
      <c r="T34" s="360" t="str">
        <f t="shared" si="10"/>
        <v>--</v>
      </c>
      <c r="U34" s="24">
        <f t="shared" si="8"/>
      </c>
      <c r="V34" s="64">
        <f t="shared" si="9"/>
      </c>
      <c r="W34" s="37"/>
    </row>
    <row r="35" spans="2:23" s="10" customFormat="1" ht="16.5" customHeight="1">
      <c r="B35" s="43"/>
      <c r="C35" s="528"/>
      <c r="D35" s="513"/>
      <c r="E35" s="513"/>
      <c r="F35" s="529"/>
      <c r="G35" s="529"/>
      <c r="H35" s="535"/>
      <c r="I35" s="254">
        <f t="shared" si="0"/>
        <v>2.433</v>
      </c>
      <c r="J35" s="530"/>
      <c r="K35" s="531"/>
      <c r="L35" s="34">
        <f t="shared" si="1"/>
      </c>
      <c r="M35" s="63">
        <f t="shared" si="2"/>
      </c>
      <c r="N35" s="532"/>
      <c r="O35" s="27">
        <f t="shared" si="3"/>
      </c>
      <c r="P35" s="349">
        <f t="shared" si="4"/>
        <v>20</v>
      </c>
      <c r="Q35" s="565" t="str">
        <f t="shared" si="5"/>
        <v>--</v>
      </c>
      <c r="R35" s="328" t="str">
        <f t="shared" si="6"/>
        <v>--</v>
      </c>
      <c r="S35" s="329" t="str">
        <f t="shared" si="7"/>
        <v>--</v>
      </c>
      <c r="T35" s="360" t="str">
        <f t="shared" si="10"/>
        <v>--</v>
      </c>
      <c r="U35" s="24">
        <f t="shared" si="8"/>
      </c>
      <c r="V35" s="64">
        <f t="shared" si="9"/>
      </c>
      <c r="W35" s="37"/>
    </row>
    <row r="36" spans="2:23" s="10" customFormat="1" ht="16.5" customHeight="1">
      <c r="B36" s="43"/>
      <c r="C36" s="528"/>
      <c r="D36" s="513"/>
      <c r="E36" s="513"/>
      <c r="F36" s="529"/>
      <c r="G36" s="529"/>
      <c r="H36" s="535"/>
      <c r="I36" s="254">
        <f t="shared" si="0"/>
        <v>2.433</v>
      </c>
      <c r="J36" s="530"/>
      <c r="K36" s="531"/>
      <c r="L36" s="34">
        <f t="shared" si="1"/>
      </c>
      <c r="M36" s="63">
        <f t="shared" si="2"/>
      </c>
      <c r="N36" s="532"/>
      <c r="O36" s="27">
        <f t="shared" si="3"/>
      </c>
      <c r="P36" s="349">
        <f t="shared" si="4"/>
        <v>20</v>
      </c>
      <c r="Q36" s="565" t="str">
        <f t="shared" si="5"/>
        <v>--</v>
      </c>
      <c r="R36" s="328" t="str">
        <f t="shared" si="6"/>
        <v>--</v>
      </c>
      <c r="S36" s="329" t="str">
        <f t="shared" si="7"/>
        <v>--</v>
      </c>
      <c r="T36" s="360" t="str">
        <f t="shared" si="10"/>
        <v>--</v>
      </c>
      <c r="U36" s="24">
        <f t="shared" si="8"/>
      </c>
      <c r="V36" s="64">
        <f t="shared" si="9"/>
      </c>
      <c r="W36" s="37"/>
    </row>
    <row r="37" spans="2:23" s="10" customFormat="1" ht="16.5" customHeight="1">
      <c r="B37" s="43"/>
      <c r="C37" s="528"/>
      <c r="D37" s="513"/>
      <c r="E37" s="513"/>
      <c r="F37" s="529"/>
      <c r="G37" s="529"/>
      <c r="H37" s="535"/>
      <c r="I37" s="254">
        <f t="shared" si="0"/>
        <v>2.433</v>
      </c>
      <c r="J37" s="530"/>
      <c r="K37" s="531"/>
      <c r="L37" s="34">
        <f t="shared" si="1"/>
      </c>
      <c r="M37" s="63">
        <f t="shared" si="2"/>
      </c>
      <c r="N37" s="532"/>
      <c r="O37" s="27">
        <f t="shared" si="3"/>
      </c>
      <c r="P37" s="349">
        <f t="shared" si="4"/>
        <v>20</v>
      </c>
      <c r="Q37" s="565" t="str">
        <f t="shared" si="5"/>
        <v>--</v>
      </c>
      <c r="R37" s="328" t="str">
        <f t="shared" si="6"/>
        <v>--</v>
      </c>
      <c r="S37" s="329" t="str">
        <f t="shared" si="7"/>
        <v>--</v>
      </c>
      <c r="T37" s="360" t="str">
        <f t="shared" si="10"/>
        <v>--</v>
      </c>
      <c r="U37" s="24">
        <f t="shared" si="8"/>
      </c>
      <c r="V37" s="64">
        <f t="shared" si="9"/>
      </c>
      <c r="W37" s="37"/>
    </row>
    <row r="38" spans="2:23" s="10" customFormat="1" ht="16.5" customHeight="1">
      <c r="B38" s="43"/>
      <c r="C38" s="528"/>
      <c r="D38" s="513"/>
      <c r="E38" s="513"/>
      <c r="F38" s="529"/>
      <c r="G38" s="529"/>
      <c r="H38" s="535"/>
      <c r="I38" s="254">
        <f t="shared" si="0"/>
        <v>2.433</v>
      </c>
      <c r="J38" s="530"/>
      <c r="K38" s="531"/>
      <c r="L38" s="34">
        <f t="shared" si="1"/>
      </c>
      <c r="M38" s="63">
        <f t="shared" si="2"/>
      </c>
      <c r="N38" s="532"/>
      <c r="O38" s="27">
        <f t="shared" si="3"/>
      </c>
      <c r="P38" s="349">
        <f t="shared" si="4"/>
        <v>20</v>
      </c>
      <c r="Q38" s="565" t="str">
        <f t="shared" si="5"/>
        <v>--</v>
      </c>
      <c r="R38" s="328" t="str">
        <f t="shared" si="6"/>
        <v>--</v>
      </c>
      <c r="S38" s="329" t="str">
        <f t="shared" si="7"/>
        <v>--</v>
      </c>
      <c r="T38" s="360" t="str">
        <f t="shared" si="10"/>
        <v>--</v>
      </c>
      <c r="U38" s="24">
        <f t="shared" si="8"/>
      </c>
      <c r="V38" s="64">
        <f t="shared" si="9"/>
      </c>
      <c r="W38" s="37"/>
    </row>
    <row r="39" spans="2:23" s="10" customFormat="1" ht="16.5" customHeight="1">
      <c r="B39" s="43"/>
      <c r="C39" s="528"/>
      <c r="D39" s="513"/>
      <c r="E39" s="513"/>
      <c r="F39" s="529"/>
      <c r="G39" s="529"/>
      <c r="H39" s="535"/>
      <c r="I39" s="254">
        <f t="shared" si="0"/>
        <v>2.433</v>
      </c>
      <c r="J39" s="530"/>
      <c r="K39" s="531"/>
      <c r="L39" s="34">
        <f t="shared" si="1"/>
      </c>
      <c r="M39" s="63">
        <f t="shared" si="2"/>
      </c>
      <c r="N39" s="532"/>
      <c r="O39" s="27">
        <f t="shared" si="3"/>
      </c>
      <c r="P39" s="349">
        <f t="shared" si="4"/>
        <v>20</v>
      </c>
      <c r="Q39" s="565" t="str">
        <f t="shared" si="5"/>
        <v>--</v>
      </c>
      <c r="R39" s="328" t="str">
        <f t="shared" si="6"/>
        <v>--</v>
      </c>
      <c r="S39" s="329" t="str">
        <f t="shared" si="7"/>
        <v>--</v>
      </c>
      <c r="T39" s="360" t="str">
        <f t="shared" si="10"/>
        <v>--</v>
      </c>
      <c r="U39" s="24">
        <f t="shared" si="8"/>
      </c>
      <c r="V39" s="64">
        <f t="shared" si="9"/>
      </c>
      <c r="W39" s="37"/>
    </row>
    <row r="40" spans="2:23" s="10" customFormat="1" ht="16.5" customHeight="1">
      <c r="B40" s="43"/>
      <c r="C40" s="528"/>
      <c r="D40" s="513"/>
      <c r="E40" s="513"/>
      <c r="F40" s="529"/>
      <c r="G40" s="529"/>
      <c r="H40" s="535"/>
      <c r="I40" s="254">
        <f t="shared" si="0"/>
        <v>2.433</v>
      </c>
      <c r="J40" s="530"/>
      <c r="K40" s="531"/>
      <c r="L40" s="34">
        <f t="shared" si="1"/>
      </c>
      <c r="M40" s="63">
        <f t="shared" si="2"/>
      </c>
      <c r="N40" s="532"/>
      <c r="O40" s="27">
        <f t="shared" si="3"/>
      </c>
      <c r="P40" s="349">
        <f t="shared" si="4"/>
        <v>20</v>
      </c>
      <c r="Q40" s="565" t="str">
        <f t="shared" si="5"/>
        <v>--</v>
      </c>
      <c r="R40" s="328" t="str">
        <f t="shared" si="6"/>
        <v>--</v>
      </c>
      <c r="S40" s="329" t="str">
        <f t="shared" si="7"/>
        <v>--</v>
      </c>
      <c r="T40" s="360" t="str">
        <f t="shared" si="10"/>
        <v>--</v>
      </c>
      <c r="U40" s="24">
        <f t="shared" si="8"/>
      </c>
      <c r="V40" s="64">
        <f t="shared" si="9"/>
      </c>
      <c r="W40" s="37"/>
    </row>
    <row r="41" spans="2:23" s="10" customFormat="1" ht="16.5" customHeight="1">
      <c r="B41" s="43"/>
      <c r="C41" s="528"/>
      <c r="D41" s="513"/>
      <c r="E41" s="513"/>
      <c r="F41" s="529"/>
      <c r="G41" s="529"/>
      <c r="H41" s="535"/>
      <c r="I41" s="254">
        <f t="shared" si="0"/>
        <v>2.433</v>
      </c>
      <c r="J41" s="530"/>
      <c r="K41" s="531"/>
      <c r="L41" s="34">
        <f t="shared" si="1"/>
      </c>
      <c r="M41" s="63">
        <f t="shared" si="2"/>
      </c>
      <c r="N41" s="532"/>
      <c r="O41" s="27">
        <f t="shared" si="3"/>
      </c>
      <c r="P41" s="349">
        <f t="shared" si="4"/>
        <v>20</v>
      </c>
      <c r="Q41" s="565" t="str">
        <f t="shared" si="5"/>
        <v>--</v>
      </c>
      <c r="R41" s="328" t="str">
        <f t="shared" si="6"/>
        <v>--</v>
      </c>
      <c r="S41" s="329" t="str">
        <f t="shared" si="7"/>
        <v>--</v>
      </c>
      <c r="T41" s="360" t="str">
        <f>IF(N41="RF",I41*P41*ROUND(M41/60,2),"--")</f>
        <v>--</v>
      </c>
      <c r="U41" s="24">
        <f t="shared" si="8"/>
      </c>
      <c r="V41" s="64">
        <f t="shared" si="9"/>
      </c>
      <c r="W41" s="37"/>
    </row>
    <row r="42" spans="2:23" s="10" customFormat="1" ht="16.5" customHeight="1">
      <c r="B42" s="43"/>
      <c r="C42" s="528"/>
      <c r="D42" s="513"/>
      <c r="E42" s="513"/>
      <c r="F42" s="529"/>
      <c r="G42" s="529"/>
      <c r="H42" s="535"/>
      <c r="I42" s="254">
        <f t="shared" si="0"/>
        <v>2.433</v>
      </c>
      <c r="J42" s="530"/>
      <c r="K42" s="531"/>
      <c r="L42" s="34">
        <f t="shared" si="1"/>
      </c>
      <c r="M42" s="63">
        <f t="shared" si="2"/>
      </c>
      <c r="N42" s="532"/>
      <c r="O42" s="27">
        <f t="shared" si="3"/>
      </c>
      <c r="P42" s="349">
        <f t="shared" si="4"/>
        <v>20</v>
      </c>
      <c r="Q42" s="565" t="str">
        <f t="shared" si="5"/>
        <v>--</v>
      </c>
      <c r="R42" s="328" t="str">
        <f t="shared" si="6"/>
        <v>--</v>
      </c>
      <c r="S42" s="329" t="str">
        <f t="shared" si="7"/>
        <v>--</v>
      </c>
      <c r="T42" s="360" t="str">
        <f>IF(N42="RF",I42*P42*ROUND(M42/60,2),"--")</f>
        <v>--</v>
      </c>
      <c r="U42" s="24">
        <f t="shared" si="8"/>
      </c>
      <c r="V42" s="64">
        <f t="shared" si="9"/>
      </c>
      <c r="W42" s="37"/>
    </row>
    <row r="43" spans="2:23" s="10" customFormat="1" ht="16.5" customHeight="1">
      <c r="B43" s="43"/>
      <c r="C43" s="528"/>
      <c r="D43" s="513"/>
      <c r="E43" s="513"/>
      <c r="F43" s="529"/>
      <c r="G43" s="529"/>
      <c r="H43" s="535"/>
      <c r="I43" s="254">
        <f t="shared" si="0"/>
        <v>2.433</v>
      </c>
      <c r="J43" s="530"/>
      <c r="K43" s="531"/>
      <c r="L43" s="34">
        <f t="shared" si="1"/>
      </c>
      <c r="M43" s="63">
        <f t="shared" si="2"/>
      </c>
      <c r="N43" s="532"/>
      <c r="O43" s="27">
        <f t="shared" si="3"/>
      </c>
      <c r="P43" s="349">
        <f t="shared" si="4"/>
        <v>20</v>
      </c>
      <c r="Q43" s="565" t="str">
        <f t="shared" si="5"/>
        <v>--</v>
      </c>
      <c r="R43" s="328" t="str">
        <f t="shared" si="6"/>
        <v>--</v>
      </c>
      <c r="S43" s="329" t="str">
        <f t="shared" si="7"/>
        <v>--</v>
      </c>
      <c r="T43" s="360" t="str">
        <f>IF(N43="RF",I43*P43*ROUND(M43/60,2),"--")</f>
        <v>--</v>
      </c>
      <c r="U43" s="24">
        <f t="shared" si="8"/>
      </c>
      <c r="V43" s="64">
        <f t="shared" si="9"/>
      </c>
      <c r="W43" s="37"/>
    </row>
    <row r="44" spans="2:23" s="10" customFormat="1" ht="16.5" customHeight="1" thickBot="1">
      <c r="B44" s="43"/>
      <c r="C44" s="516"/>
      <c r="D44" s="516"/>
      <c r="E44" s="516"/>
      <c r="F44" s="516"/>
      <c r="G44" s="516"/>
      <c r="H44" s="516"/>
      <c r="I44" s="253"/>
      <c r="J44" s="516"/>
      <c r="K44" s="516"/>
      <c r="L44" s="28"/>
      <c r="M44" s="28"/>
      <c r="N44" s="516"/>
      <c r="O44" s="516"/>
      <c r="P44" s="533"/>
      <c r="Q44" s="534"/>
      <c r="R44" s="524"/>
      <c r="S44" s="525"/>
      <c r="T44" s="519"/>
      <c r="U44" s="516"/>
      <c r="V44" s="199"/>
      <c r="W44" s="37"/>
    </row>
    <row r="45" spans="2:23" s="10" customFormat="1" ht="16.5" customHeight="1" thickBot="1" thickTop="1">
      <c r="B45" s="43"/>
      <c r="C45" s="221" t="s">
        <v>68</v>
      </c>
      <c r="D45" s="949" t="s">
        <v>191</v>
      </c>
      <c r="E45" s="545"/>
      <c r="F45" s="222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61">
        <f>ROUND(SUM(Q22:Q44),2)</f>
        <v>37.1</v>
      </c>
      <c r="R45" s="289">
        <f>SUM(R22:R44)</f>
        <v>60.824999999999996</v>
      </c>
      <c r="S45" s="289">
        <f>SUM(S22:S44)</f>
        <v>596.085</v>
      </c>
      <c r="T45" s="362">
        <f>SUM(T22:T44)</f>
        <v>0</v>
      </c>
      <c r="U45" s="65"/>
      <c r="V45" s="237">
        <f>SUM(V22:V44)</f>
        <v>694.0132500000001</v>
      </c>
      <c r="W45" s="37"/>
    </row>
    <row r="46" spans="2:23" s="239" customFormat="1" ht="9.75" thickTop="1">
      <c r="B46" s="238"/>
      <c r="C46" s="223"/>
      <c r="D46" s="223"/>
      <c r="E46" s="223"/>
      <c r="F46" s="224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3"/>
      <c r="V46" s="244"/>
      <c r="W46" s="245"/>
    </row>
    <row r="47" spans="1:23" s="10" customFormat="1" ht="16.5" customHeight="1" thickBot="1">
      <c r="A47" s="1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6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 horizontalCentered="1"/>
  <pageMargins left="0.23" right="0.31" top="0.7874015748031497" bottom="0.65" header="0.5118110236220472" footer="0.32"/>
  <pageSetup fitToHeight="1" fitToWidth="1" horizontalDpi="300" verticalDpi="300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S110"/>
  <sheetViews>
    <sheetView zoomScalePageLayoutView="0" workbookViewId="0" topLeftCell="E1">
      <selection activeCell="H16" sqref="H16:N18"/>
    </sheetView>
  </sheetViews>
  <sheetFormatPr defaultColWidth="13.421875" defaultRowHeight="12.75"/>
  <cols>
    <col min="1" max="2" width="13.8515625" style="780" customWidth="1"/>
    <col min="3" max="3" width="4.7109375" style="780" customWidth="1"/>
    <col min="4" max="4" width="41.7109375" style="780" customWidth="1"/>
    <col min="5" max="5" width="13.57421875" style="780" customWidth="1"/>
    <col min="6" max="6" width="11.8515625" style="780" customWidth="1"/>
    <col min="7" max="7" width="6.7109375" style="780" customWidth="1"/>
    <col min="8" max="8" width="24.8515625" style="780" bestFit="1" customWidth="1"/>
    <col min="9" max="9" width="19.140625" style="780" customWidth="1"/>
    <col min="10" max="10" width="13.8515625" style="780" customWidth="1"/>
    <col min="11" max="11" width="17.7109375" style="780" customWidth="1"/>
    <col min="12" max="12" width="33.28125" style="780" customWidth="1"/>
    <col min="13" max="13" width="8.421875" style="780" customWidth="1"/>
    <col min="14" max="14" width="9.28125" style="780" customWidth="1"/>
    <col min="15" max="15" width="9.8515625" style="780" customWidth="1"/>
    <col min="16" max="16" width="13.8515625" style="780" customWidth="1"/>
    <col min="17" max="16384" width="13.421875" style="780" customWidth="1"/>
  </cols>
  <sheetData>
    <row r="1" s="757" customFormat="1" ht="39.75" customHeight="1">
      <c r="P1" s="758"/>
    </row>
    <row r="2" spans="1:16" s="757" customFormat="1" ht="30" customHeight="1">
      <c r="A2" s="759"/>
      <c r="B2" s="760" t="str">
        <f>'TOT-1115'!B2</f>
        <v>ANEXO V al Memorándum  D.T.E.E.  N°  379 / 2016             .-</v>
      </c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</row>
    <row r="3" spans="1:4" s="763" customFormat="1" ht="12.75">
      <c r="A3" s="761" t="s">
        <v>144</v>
      </c>
      <c r="B3" s="762"/>
      <c r="C3" s="762"/>
      <c r="D3" s="762"/>
    </row>
    <row r="4" spans="1:4" s="763" customFormat="1" ht="11.25">
      <c r="A4" s="761" t="s">
        <v>173</v>
      </c>
      <c r="B4" s="764"/>
      <c r="C4" s="764"/>
      <c r="D4" s="764"/>
    </row>
    <row r="5" spans="1:4" s="762" customFormat="1" ht="13.5" thickBot="1">
      <c r="A5" s="761"/>
      <c r="B5" s="764"/>
      <c r="C5" s="764"/>
      <c r="D5" s="764"/>
    </row>
    <row r="6" spans="1:16" s="762" customFormat="1" ht="13.5" thickTop="1">
      <c r="A6" s="765"/>
      <c r="B6" s="766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8"/>
    </row>
    <row r="7" spans="1:16" s="772" customFormat="1" ht="20.25">
      <c r="A7" s="769"/>
      <c r="B7" s="770"/>
      <c r="C7" s="769"/>
      <c r="D7" s="771" t="s">
        <v>44</v>
      </c>
      <c r="G7" s="769"/>
      <c r="H7" s="769"/>
      <c r="I7" s="769"/>
      <c r="J7" s="769"/>
      <c r="K7" s="769"/>
      <c r="L7" s="769"/>
      <c r="M7" s="769"/>
      <c r="N7" s="769"/>
      <c r="O7" s="769"/>
      <c r="P7" s="773"/>
    </row>
    <row r="8" spans="1:16" ht="15">
      <c r="A8" s="774"/>
      <c r="B8" s="775"/>
      <c r="C8" s="776"/>
      <c r="D8" s="777"/>
      <c r="E8" s="776"/>
      <c r="F8" s="778"/>
      <c r="G8" s="776"/>
      <c r="H8" s="776"/>
      <c r="I8" s="776"/>
      <c r="J8" s="776"/>
      <c r="K8" s="776"/>
      <c r="L8" s="776"/>
      <c r="M8" s="776"/>
      <c r="N8" s="776"/>
      <c r="O8" s="776"/>
      <c r="P8" s="779"/>
    </row>
    <row r="9" spans="1:19" s="772" customFormat="1" ht="20.25">
      <c r="A9" s="769"/>
      <c r="B9" s="781"/>
      <c r="C9" s="780"/>
      <c r="D9" s="782" t="s">
        <v>196</v>
      </c>
      <c r="E9" s="783"/>
      <c r="F9" s="783"/>
      <c r="G9" s="783"/>
      <c r="H9" s="784"/>
      <c r="I9" s="783"/>
      <c r="J9" s="783"/>
      <c r="K9" s="783"/>
      <c r="L9" s="783"/>
      <c r="M9" s="783"/>
      <c r="N9" s="783"/>
      <c r="O9" s="783"/>
      <c r="P9" s="785"/>
      <c r="Q9" s="786"/>
      <c r="R9" s="787"/>
      <c r="S9" s="787"/>
    </row>
    <row r="10" spans="1:19" s="762" customFormat="1" ht="12.75">
      <c r="A10" s="765"/>
      <c r="B10" s="788"/>
      <c r="C10" s="765"/>
      <c r="D10" s="789"/>
      <c r="E10" s="790"/>
      <c r="F10" s="790"/>
      <c r="G10" s="790"/>
      <c r="H10" s="791"/>
      <c r="I10" s="790"/>
      <c r="J10" s="790"/>
      <c r="K10" s="790"/>
      <c r="L10" s="790"/>
      <c r="M10" s="790"/>
      <c r="N10" s="790"/>
      <c r="O10" s="790"/>
      <c r="P10" s="792"/>
      <c r="Q10" s="790"/>
      <c r="R10" s="790"/>
      <c r="S10" s="793"/>
    </row>
    <row r="11" spans="1:19" s="800" customFormat="1" ht="19.5">
      <c r="A11" s="794"/>
      <c r="B11" s="795" t="str">
        <f>'TOT-1115'!B14</f>
        <v>Desde el 01 al 30 de noviembre de 2015</v>
      </c>
      <c r="C11" s="796"/>
      <c r="D11" s="797"/>
      <c r="E11" s="797"/>
      <c r="F11" s="797"/>
      <c r="G11" s="797"/>
      <c r="H11" s="797"/>
      <c r="I11" s="796"/>
      <c r="J11" s="797"/>
      <c r="K11" s="797"/>
      <c r="L11" s="797"/>
      <c r="M11" s="797"/>
      <c r="N11" s="797"/>
      <c r="O11" s="797"/>
      <c r="P11" s="798"/>
      <c r="Q11" s="799"/>
      <c r="R11" s="799"/>
      <c r="S11" s="799"/>
    </row>
    <row r="12" spans="1:19" ht="15">
      <c r="A12" s="774"/>
      <c r="B12" s="775"/>
      <c r="C12" s="776"/>
      <c r="D12" s="801"/>
      <c r="E12" s="801"/>
      <c r="F12" s="801"/>
      <c r="G12" s="801"/>
      <c r="H12" s="802"/>
      <c r="I12" s="776"/>
      <c r="J12" s="801"/>
      <c r="K12" s="801"/>
      <c r="L12" s="801"/>
      <c r="M12" s="801"/>
      <c r="N12" s="801"/>
      <c r="O12" s="801"/>
      <c r="P12" s="803"/>
      <c r="Q12" s="804"/>
      <c r="R12" s="804"/>
      <c r="S12" s="805"/>
    </row>
    <row r="13" spans="1:19" ht="18" customHeight="1">
      <c r="A13" s="774"/>
      <c r="B13" s="775"/>
      <c r="C13" s="776"/>
      <c r="D13" s="801"/>
      <c r="E13" s="801"/>
      <c r="F13" s="801"/>
      <c r="G13" s="801"/>
      <c r="H13" s="806"/>
      <c r="I13" s="806"/>
      <c r="J13" s="801"/>
      <c r="K13" s="801"/>
      <c r="P13" s="803"/>
      <c r="Q13" s="804"/>
      <c r="R13" s="804"/>
      <c r="S13" s="805"/>
    </row>
    <row r="14" spans="1:19" ht="18" customHeight="1">
      <c r="A14" s="774"/>
      <c r="B14" s="775"/>
      <c r="C14" s="776"/>
      <c r="D14" s="807"/>
      <c r="E14" s="808"/>
      <c r="F14" s="801"/>
      <c r="G14" s="801"/>
      <c r="H14" s="806"/>
      <c r="I14" s="806"/>
      <c r="J14" s="801"/>
      <c r="K14" s="801"/>
      <c r="P14" s="803"/>
      <c r="Q14" s="804"/>
      <c r="R14" s="804"/>
      <c r="S14" s="805"/>
    </row>
    <row r="15" spans="1:16" ht="16.5" thickBot="1">
      <c r="A15" s="774"/>
      <c r="B15" s="775"/>
      <c r="C15" s="809" t="s">
        <v>92</v>
      </c>
      <c r="D15" s="778"/>
      <c r="E15" s="810"/>
      <c r="F15" s="811"/>
      <c r="G15" s="776"/>
      <c r="H15" s="776"/>
      <c r="I15" s="776"/>
      <c r="J15" s="812"/>
      <c r="K15" s="812"/>
      <c r="L15" s="813"/>
      <c r="M15" s="776"/>
      <c r="N15" s="776"/>
      <c r="O15" s="776"/>
      <c r="P15" s="779"/>
    </row>
    <row r="16" spans="1:16" ht="16.5" thickBot="1">
      <c r="A16" s="774"/>
      <c r="B16" s="775"/>
      <c r="C16" s="814"/>
      <c r="D16" s="778"/>
      <c r="E16" s="810"/>
      <c r="F16" s="811"/>
      <c r="G16" s="776"/>
      <c r="H16" s="776"/>
      <c r="L16" s="951" t="s">
        <v>87</v>
      </c>
      <c r="M16" s="952">
        <v>12.14</v>
      </c>
      <c r="N16" s="815"/>
      <c r="O16" s="776"/>
      <c r="P16" s="779"/>
    </row>
    <row r="17" spans="1:16" ht="15.75">
      <c r="A17" s="774"/>
      <c r="B17" s="775"/>
      <c r="C17" s="814"/>
      <c r="D17" s="812" t="s">
        <v>93</v>
      </c>
      <c r="E17" s="816">
        <f>MID(B11,16,2)*24</f>
        <v>720</v>
      </c>
      <c r="F17" s="776" t="s">
        <v>94</v>
      </c>
      <c r="G17" s="801"/>
      <c r="H17" s="817"/>
      <c r="I17" s="818" t="s">
        <v>95</v>
      </c>
      <c r="J17" s="819">
        <v>261.099</v>
      </c>
      <c r="K17" s="820"/>
      <c r="L17" s="953" t="s">
        <v>88</v>
      </c>
      <c r="M17" s="954">
        <v>9.111</v>
      </c>
      <c r="N17" s="821"/>
      <c r="O17" s="776"/>
      <c r="P17" s="779"/>
    </row>
    <row r="18" spans="1:16" ht="16.5" thickBot="1">
      <c r="A18" s="774"/>
      <c r="B18" s="775"/>
      <c r="C18" s="814"/>
      <c r="D18" s="812" t="s">
        <v>96</v>
      </c>
      <c r="E18" s="822">
        <v>0.025</v>
      </c>
      <c r="F18" s="801"/>
      <c r="G18" s="801"/>
      <c r="H18" s="823"/>
      <c r="I18" s="824" t="s">
        <v>97</v>
      </c>
      <c r="J18" s="825">
        <v>0.909</v>
      </c>
      <c r="K18" s="826"/>
      <c r="L18" s="955" t="s">
        <v>89</v>
      </c>
      <c r="M18" s="956">
        <v>9.111</v>
      </c>
      <c r="N18" s="827"/>
      <c r="O18" s="776"/>
      <c r="P18" s="779"/>
    </row>
    <row r="19" spans="1:16" ht="15.75">
      <c r="A19" s="774"/>
      <c r="B19" s="775"/>
      <c r="C19" s="814"/>
      <c r="D19" s="812"/>
      <c r="E19" s="822"/>
      <c r="F19" s="801"/>
      <c r="G19" s="801"/>
      <c r="H19" s="801"/>
      <c r="I19" s="801"/>
      <c r="L19" s="813"/>
      <c r="M19" s="776"/>
      <c r="N19" s="776"/>
      <c r="O19" s="776"/>
      <c r="P19" s="779"/>
    </row>
    <row r="20" spans="1:16" ht="15">
      <c r="A20" s="774"/>
      <c r="B20" s="775"/>
      <c r="C20" s="807" t="s">
        <v>98</v>
      </c>
      <c r="D20" s="828"/>
      <c r="E20" s="810"/>
      <c r="F20" s="811"/>
      <c r="G20" s="776"/>
      <c r="H20" s="776"/>
      <c r="I20" s="776"/>
      <c r="J20" s="812"/>
      <c r="K20" s="812"/>
      <c r="L20" s="813"/>
      <c r="M20" s="776"/>
      <c r="N20" s="776"/>
      <c r="O20" s="776"/>
      <c r="P20" s="779"/>
    </row>
    <row r="21" spans="1:16" ht="15">
      <c r="A21" s="774"/>
      <c r="B21" s="775"/>
      <c r="C21" s="776"/>
      <c r="D21" s="776"/>
      <c r="E21" s="776"/>
      <c r="F21" s="776"/>
      <c r="G21" s="776"/>
      <c r="H21" s="829"/>
      <c r="I21" s="776"/>
      <c r="J21" s="776"/>
      <c r="K21" s="776"/>
      <c r="L21" s="776"/>
      <c r="M21" s="776"/>
      <c r="N21" s="776"/>
      <c r="O21" s="776"/>
      <c r="P21" s="779"/>
    </row>
    <row r="22" spans="1:16" ht="15">
      <c r="A22" s="774"/>
      <c r="B22" s="775"/>
      <c r="C22" s="776"/>
      <c r="D22" s="812" t="s">
        <v>99</v>
      </c>
      <c r="E22" s="776"/>
      <c r="F22" s="829" t="s">
        <v>24</v>
      </c>
      <c r="G22" s="776"/>
      <c r="H22" s="778"/>
      <c r="I22" s="830">
        <v>0</v>
      </c>
      <c r="J22" s="776"/>
      <c r="K22" s="776"/>
      <c r="L22" s="831"/>
      <c r="M22" s="776"/>
      <c r="N22" s="776"/>
      <c r="O22" s="776"/>
      <c r="P22" s="779"/>
    </row>
    <row r="23" spans="1:16" ht="15">
      <c r="A23" s="774"/>
      <c r="B23" s="775"/>
      <c r="C23" s="776"/>
      <c r="D23" s="776"/>
      <c r="E23" s="776"/>
      <c r="F23" s="829" t="s">
        <v>100</v>
      </c>
      <c r="G23" s="776"/>
      <c r="H23" s="778"/>
      <c r="I23" s="830">
        <v>1185.14</v>
      </c>
      <c r="J23" s="776"/>
      <c r="K23" s="776"/>
      <c r="L23" s="831"/>
      <c r="M23" s="776"/>
      <c r="N23" s="776"/>
      <c r="O23" s="776"/>
      <c r="P23" s="779"/>
    </row>
    <row r="24" spans="1:16" ht="15">
      <c r="A24" s="774"/>
      <c r="B24" s="775"/>
      <c r="C24" s="776"/>
      <c r="D24" s="776"/>
      <c r="E24" s="776"/>
      <c r="F24" s="829" t="s">
        <v>3</v>
      </c>
      <c r="G24" s="776"/>
      <c r="H24" s="778"/>
      <c r="I24" s="832">
        <v>2598.91</v>
      </c>
      <c r="J24" s="776"/>
      <c r="K24" s="776"/>
      <c r="L24" s="831"/>
      <c r="M24" s="776"/>
      <c r="N24" s="776"/>
      <c r="O24" s="776"/>
      <c r="P24" s="779"/>
    </row>
    <row r="25" spans="1:16" ht="15.75" thickBot="1">
      <c r="A25" s="774"/>
      <c r="B25" s="775"/>
      <c r="C25" s="776"/>
      <c r="D25" s="776"/>
      <c r="E25" s="776"/>
      <c r="F25" s="776"/>
      <c r="G25" s="776"/>
      <c r="H25" s="829"/>
      <c r="I25" s="776"/>
      <c r="J25" s="776"/>
      <c r="K25" s="776"/>
      <c r="L25" s="776"/>
      <c r="M25" s="776"/>
      <c r="N25" s="776"/>
      <c r="O25" s="776"/>
      <c r="P25" s="779"/>
    </row>
    <row r="26" spans="2:16" ht="20.25" thickBot="1" thickTop="1">
      <c r="B26" s="775"/>
      <c r="C26" s="833"/>
      <c r="H26" s="834" t="s">
        <v>101</v>
      </c>
      <c r="I26" s="835">
        <f>SUM(I22:I25)</f>
        <v>3784.05</v>
      </c>
      <c r="L26" s="836"/>
      <c r="M26" s="836"/>
      <c r="N26" s="837"/>
      <c r="O26" s="838"/>
      <c r="P26" s="839"/>
    </row>
    <row r="27" spans="2:16" ht="15.75" thickTop="1">
      <c r="B27" s="775"/>
      <c r="C27" s="833"/>
      <c r="D27" s="828"/>
      <c r="E27" s="828"/>
      <c r="F27" s="840"/>
      <c r="G27" s="836"/>
      <c r="H27" s="836"/>
      <c r="I27" s="836"/>
      <c r="J27" s="836"/>
      <c r="K27" s="836"/>
      <c r="L27" s="836"/>
      <c r="M27" s="836"/>
      <c r="N27" s="837"/>
      <c r="O27" s="838"/>
      <c r="P27" s="839"/>
    </row>
    <row r="28" spans="2:16" ht="15">
      <c r="B28" s="775"/>
      <c r="C28" s="807" t="s">
        <v>102</v>
      </c>
      <c r="D28" s="828"/>
      <c r="E28" s="828"/>
      <c r="F28" s="840"/>
      <c r="G28" s="836"/>
      <c r="H28" s="836"/>
      <c r="I28" s="836"/>
      <c r="J28" s="836"/>
      <c r="K28" s="836"/>
      <c r="L28" s="836"/>
      <c r="M28" s="836"/>
      <c r="N28" s="837"/>
      <c r="O28" s="838"/>
      <c r="P28" s="839"/>
    </row>
    <row r="29" spans="2:16" ht="15">
      <c r="B29" s="775"/>
      <c r="C29" s="833"/>
      <c r="D29" s="828"/>
      <c r="E29" s="828"/>
      <c r="F29" s="840"/>
      <c r="G29" s="836"/>
      <c r="H29" s="836"/>
      <c r="I29" s="836"/>
      <c r="J29" s="836"/>
      <c r="K29" s="836"/>
      <c r="L29" s="836"/>
      <c r="M29" s="836"/>
      <c r="N29" s="837"/>
      <c r="O29" s="838"/>
      <c r="P29" s="839"/>
    </row>
    <row r="30" spans="2:16" ht="15.75">
      <c r="B30" s="775"/>
      <c r="C30" s="833"/>
      <c r="D30" s="841" t="s">
        <v>103</v>
      </c>
      <c r="E30" s="842" t="s">
        <v>20</v>
      </c>
      <c r="F30" s="843" t="s">
        <v>104</v>
      </c>
      <c r="G30" s="844"/>
      <c r="H30" s="845" t="s">
        <v>138</v>
      </c>
      <c r="I30" s="846" t="s">
        <v>137</v>
      </c>
      <c r="J30" s="847"/>
      <c r="K30" s="848"/>
      <c r="L30" s="849" t="s">
        <v>2</v>
      </c>
      <c r="N30" s="837"/>
      <c r="O30" s="838"/>
      <c r="P30" s="839"/>
    </row>
    <row r="31" spans="2:16" ht="15.75">
      <c r="B31" s="775"/>
      <c r="C31" s="833"/>
      <c r="D31" s="850" t="s">
        <v>5</v>
      </c>
      <c r="E31" s="851">
        <v>132</v>
      </c>
      <c r="F31" s="852">
        <v>31</v>
      </c>
      <c r="G31" s="853"/>
      <c r="H31" s="854">
        <f>F31*$J$17*$E$17/100</f>
        <v>58277.2968</v>
      </c>
      <c r="I31" s="855">
        <v>0</v>
      </c>
      <c r="J31" s="856" t="s">
        <v>172</v>
      </c>
      <c r="K31" s="857"/>
      <c r="L31" s="858">
        <f>SUM(H31:K31)</f>
        <v>58277.2968</v>
      </c>
      <c r="M31" s="836"/>
      <c r="N31" s="837"/>
      <c r="O31" s="838"/>
      <c r="P31" s="839"/>
    </row>
    <row r="32" spans="2:16" ht="15.75">
      <c r="B32" s="775"/>
      <c r="C32" s="833"/>
      <c r="D32" s="859" t="s">
        <v>6</v>
      </c>
      <c r="E32" s="828">
        <v>132</v>
      </c>
      <c r="F32" s="840">
        <v>110.3</v>
      </c>
      <c r="G32" s="836"/>
      <c r="H32" s="860">
        <f>F32*$J$17*$E$17/100</f>
        <v>207354.38183999996</v>
      </c>
      <c r="I32" s="861">
        <v>12989</v>
      </c>
      <c r="J32" s="862" t="s">
        <v>172</v>
      </c>
      <c r="K32" s="863"/>
      <c r="L32" s="864">
        <f>SUM(H32:K32)</f>
        <v>220343.38183999996</v>
      </c>
      <c r="M32" s="836"/>
      <c r="N32" s="837"/>
      <c r="O32" s="838"/>
      <c r="P32" s="839"/>
    </row>
    <row r="33" spans="2:16" ht="15.75">
      <c r="B33" s="775"/>
      <c r="C33" s="833"/>
      <c r="D33" s="859" t="s">
        <v>7</v>
      </c>
      <c r="E33" s="828">
        <v>132</v>
      </c>
      <c r="F33" s="840">
        <v>185.6</v>
      </c>
      <c r="G33" s="836"/>
      <c r="H33" s="860">
        <f>F33*$J$17*$E$17/100</f>
        <v>348911.81567999994</v>
      </c>
      <c r="I33" s="861">
        <v>10626</v>
      </c>
      <c r="J33" s="862" t="s">
        <v>172</v>
      </c>
      <c r="K33" s="863"/>
      <c r="L33" s="864">
        <f>SUM(H33:K33)</f>
        <v>359537.81567999994</v>
      </c>
      <c r="M33" s="836"/>
      <c r="N33" s="837"/>
      <c r="O33" s="838"/>
      <c r="P33" s="839"/>
    </row>
    <row r="34" spans="2:16" ht="15.75">
      <c r="B34" s="775"/>
      <c r="C34" s="833"/>
      <c r="D34" s="865" t="s">
        <v>8</v>
      </c>
      <c r="E34" s="866">
        <v>132</v>
      </c>
      <c r="F34" s="867">
        <v>7</v>
      </c>
      <c r="G34" s="868"/>
      <c r="H34" s="869">
        <f>F34*$J$17*$E$17/100</f>
        <v>13159.3896</v>
      </c>
      <c r="I34" s="870">
        <v>0</v>
      </c>
      <c r="J34" s="871" t="s">
        <v>172</v>
      </c>
      <c r="K34" s="872"/>
      <c r="L34" s="873">
        <f>SUM(H34:K34)</f>
        <v>13159.3896</v>
      </c>
      <c r="M34" s="836"/>
      <c r="N34" s="837"/>
      <c r="O34" s="838"/>
      <c r="P34" s="839"/>
    </row>
    <row r="35" spans="2:16" ht="15">
      <c r="B35" s="775"/>
      <c r="C35" s="833"/>
      <c r="D35" s="828"/>
      <c r="E35" s="828"/>
      <c r="F35" s="874"/>
      <c r="G35" s="836"/>
      <c r="I35" s="875"/>
      <c r="J35" s="863"/>
      <c r="K35" s="863"/>
      <c r="L35" s="876">
        <f>SUM(L31:L34)</f>
        <v>651317.8839199998</v>
      </c>
      <c r="M35" s="836"/>
      <c r="N35" s="837"/>
      <c r="O35" s="838"/>
      <c r="P35" s="839"/>
    </row>
    <row r="36" spans="2:16" ht="15">
      <c r="B36" s="775"/>
      <c r="C36" s="833"/>
      <c r="D36" s="828"/>
      <c r="E36" s="828"/>
      <c r="F36" s="874"/>
      <c r="G36" s="836"/>
      <c r="I36" s="875"/>
      <c r="J36" s="863"/>
      <c r="K36" s="863"/>
      <c r="L36" s="877"/>
      <c r="M36" s="836"/>
      <c r="N36" s="837"/>
      <c r="O36" s="838"/>
      <c r="P36" s="839"/>
    </row>
    <row r="37" spans="2:16" ht="15.75">
      <c r="B37" s="775"/>
      <c r="C37" s="833"/>
      <c r="D37" s="841" t="s">
        <v>105</v>
      </c>
      <c r="E37" s="842" t="s">
        <v>106</v>
      </c>
      <c r="F37" s="878" t="s">
        <v>118</v>
      </c>
      <c r="G37" s="879"/>
      <c r="H37" s="880" t="s">
        <v>139</v>
      </c>
      <c r="J37" s="881" t="s">
        <v>108</v>
      </c>
      <c r="K37" s="882"/>
      <c r="L37" s="848" t="s">
        <v>54</v>
      </c>
      <c r="M37" s="842" t="s">
        <v>20</v>
      </c>
      <c r="N37" s="883" t="s">
        <v>109</v>
      </c>
      <c r="O37" s="884"/>
      <c r="P37" s="839"/>
    </row>
    <row r="38" spans="2:16" ht="15">
      <c r="B38" s="775"/>
      <c r="C38" s="833"/>
      <c r="D38" s="850" t="s">
        <v>12</v>
      </c>
      <c r="E38" s="851" t="s">
        <v>119</v>
      </c>
      <c r="F38" s="885">
        <v>30</v>
      </c>
      <c r="G38" s="886"/>
      <c r="H38" s="858">
        <f>+F38*$J$18*$E$17</f>
        <v>19634.4</v>
      </c>
      <c r="J38" s="887" t="s">
        <v>120</v>
      </c>
      <c r="K38" s="888"/>
      <c r="L38" s="853" t="s">
        <v>121</v>
      </c>
      <c r="M38" s="889">
        <v>132</v>
      </c>
      <c r="N38" s="890">
        <f>M16*E17</f>
        <v>8740.800000000001</v>
      </c>
      <c r="O38" s="891"/>
      <c r="P38" s="839"/>
    </row>
    <row r="39" spans="2:16" ht="15">
      <c r="B39" s="775"/>
      <c r="C39" s="833"/>
      <c r="D39" s="859" t="s">
        <v>15</v>
      </c>
      <c r="E39" s="828" t="s">
        <v>122</v>
      </c>
      <c r="F39" s="892">
        <v>88</v>
      </c>
      <c r="G39" s="893"/>
      <c r="H39" s="864">
        <f>+F39*$J$18*$E$17</f>
        <v>57594.240000000005</v>
      </c>
      <c r="J39" s="894" t="s">
        <v>13</v>
      </c>
      <c r="K39" s="895"/>
      <c r="L39" s="836" t="s">
        <v>123</v>
      </c>
      <c r="M39" s="837">
        <v>33</v>
      </c>
      <c r="N39" s="896">
        <f>+M17*E17*2</f>
        <v>13119.84</v>
      </c>
      <c r="O39" s="897"/>
      <c r="P39" s="839"/>
    </row>
    <row r="40" spans="2:16" ht="15">
      <c r="B40" s="775"/>
      <c r="C40" s="833"/>
      <c r="D40" s="859" t="s">
        <v>13</v>
      </c>
      <c r="E40" s="828" t="s">
        <v>10</v>
      </c>
      <c r="F40" s="892">
        <v>7.5</v>
      </c>
      <c r="G40" s="893"/>
      <c r="H40" s="864">
        <f>+F40*$J$18*$E$17</f>
        <v>4908.6</v>
      </c>
      <c r="J40" s="894" t="s">
        <v>14</v>
      </c>
      <c r="K40" s="895"/>
      <c r="L40" s="836" t="s">
        <v>124</v>
      </c>
      <c r="M40" s="837">
        <v>33</v>
      </c>
      <c r="N40" s="896">
        <f>3*M17*E17</f>
        <v>19679.760000000002</v>
      </c>
      <c r="O40" s="897"/>
      <c r="P40" s="839"/>
    </row>
    <row r="41" spans="2:16" ht="15">
      <c r="B41" s="775"/>
      <c r="C41" s="833"/>
      <c r="D41" s="859" t="s">
        <v>14</v>
      </c>
      <c r="E41" s="828" t="s">
        <v>10</v>
      </c>
      <c r="F41" s="892">
        <v>15</v>
      </c>
      <c r="G41" s="893"/>
      <c r="H41" s="864">
        <f>+F41*$J$18*$E$17</f>
        <v>9817.2</v>
      </c>
      <c r="J41" s="894" t="s">
        <v>16</v>
      </c>
      <c r="K41" s="895"/>
      <c r="L41" s="836" t="s">
        <v>125</v>
      </c>
      <c r="M41" s="837">
        <v>13.2</v>
      </c>
      <c r="N41" s="896">
        <f>+M18*E17*6</f>
        <v>39359.520000000004</v>
      </c>
      <c r="O41" s="897"/>
      <c r="P41" s="839"/>
    </row>
    <row r="42" spans="2:16" ht="15">
      <c r="B42" s="775"/>
      <c r="C42" s="833"/>
      <c r="D42" s="865" t="s">
        <v>16</v>
      </c>
      <c r="E42" s="866" t="s">
        <v>126</v>
      </c>
      <c r="F42" s="898">
        <v>30</v>
      </c>
      <c r="G42" s="899"/>
      <c r="H42" s="864">
        <f>+F42*$J$18*$E$17</f>
        <v>19634.4</v>
      </c>
      <c r="J42" s="894" t="s">
        <v>12</v>
      </c>
      <c r="K42" s="895"/>
      <c r="L42" s="836" t="s">
        <v>127</v>
      </c>
      <c r="M42" s="837"/>
      <c r="N42" s="896">
        <f>+M17*E17+M18*E17*2</f>
        <v>19679.760000000002</v>
      </c>
      <c r="O42" s="897"/>
      <c r="P42" s="839"/>
    </row>
    <row r="43" spans="2:16" ht="15">
      <c r="B43" s="775"/>
      <c r="C43" s="833"/>
      <c r="D43" s="828"/>
      <c r="E43" s="828"/>
      <c r="F43" s="874"/>
      <c r="G43" s="836"/>
      <c r="H43" s="876">
        <f>SUM(H38:H42)</f>
        <v>111588.84000000003</v>
      </c>
      <c r="J43" s="900" t="s">
        <v>15</v>
      </c>
      <c r="K43" s="901"/>
      <c r="L43" s="868" t="s">
        <v>128</v>
      </c>
      <c r="M43" s="902"/>
      <c r="N43" s="903">
        <f>(M16+M17+M18*5)*E17</f>
        <v>48100.32000000001</v>
      </c>
      <c r="O43" s="904"/>
      <c r="P43" s="839"/>
    </row>
    <row r="44" spans="2:16" ht="15">
      <c r="B44" s="775"/>
      <c r="C44" s="833"/>
      <c r="D44" s="828"/>
      <c r="E44" s="828"/>
      <c r="F44" s="874"/>
      <c r="G44" s="836"/>
      <c r="I44" s="875"/>
      <c r="J44" s="863"/>
      <c r="K44" s="863"/>
      <c r="L44" s="877"/>
      <c r="M44" s="836"/>
      <c r="N44" s="905">
        <f>SUM(N38:N43)</f>
        <v>148680.00000000003</v>
      </c>
      <c r="O44" s="884"/>
      <c r="P44" s="839"/>
    </row>
    <row r="45" spans="2:16" ht="12.75" customHeight="1" thickBot="1">
      <c r="B45" s="775"/>
      <c r="C45" s="833"/>
      <c r="D45" s="828"/>
      <c r="E45" s="828"/>
      <c r="F45" s="840"/>
      <c r="G45" s="836"/>
      <c r="H45" s="875"/>
      <c r="I45" s="828"/>
      <c r="J45" s="828"/>
      <c r="K45" s="828"/>
      <c r="L45" s="836"/>
      <c r="M45" s="836"/>
      <c r="N45" s="837"/>
      <c r="O45" s="838"/>
      <c r="P45" s="839"/>
    </row>
    <row r="46" spans="2:16" ht="20.25" thickBot="1" thickTop="1">
      <c r="B46" s="775"/>
      <c r="C46" s="833"/>
      <c r="D46" s="828"/>
      <c r="E46" s="828"/>
      <c r="F46" s="840"/>
      <c r="G46" s="836"/>
      <c r="H46" s="906" t="s">
        <v>110</v>
      </c>
      <c r="I46" s="907">
        <f>+H43+N44+L35</f>
        <v>911586.7239199999</v>
      </c>
      <c r="J46" s="828"/>
      <c r="K46" s="906" t="s">
        <v>175</v>
      </c>
      <c r="L46" s="907">
        <v>260768.06575999997</v>
      </c>
      <c r="M46" s="836"/>
      <c r="N46" s="837"/>
      <c r="O46" s="838"/>
      <c r="P46" s="839"/>
    </row>
    <row r="47" spans="2:16" ht="15.75" thickTop="1">
      <c r="B47" s="775"/>
      <c r="C47" s="833"/>
      <c r="D47" s="828"/>
      <c r="E47" s="828"/>
      <c r="F47" s="840"/>
      <c r="G47" s="836"/>
      <c r="H47" s="875"/>
      <c r="I47" s="828"/>
      <c r="J47" s="828"/>
      <c r="K47" s="828"/>
      <c r="L47" s="836"/>
      <c r="M47" s="836"/>
      <c r="N47" s="837"/>
      <c r="O47" s="838"/>
      <c r="P47" s="839"/>
    </row>
    <row r="48" spans="2:16" ht="15.75">
      <c r="B48" s="775"/>
      <c r="C48" s="908" t="s">
        <v>111</v>
      </c>
      <c r="D48" s="828"/>
      <c r="E48" s="828"/>
      <c r="F48" s="840"/>
      <c r="G48" s="836"/>
      <c r="H48" s="875"/>
      <c r="I48" s="828"/>
      <c r="J48" s="828"/>
      <c r="K48" s="828"/>
      <c r="L48" s="836"/>
      <c r="M48" s="836"/>
      <c r="N48" s="837"/>
      <c r="O48" s="838"/>
      <c r="P48" s="839"/>
    </row>
    <row r="49" spans="2:16" ht="15.75" thickBot="1">
      <c r="B49" s="775"/>
      <c r="C49" s="833"/>
      <c r="D49" s="828"/>
      <c r="E49" s="828"/>
      <c r="F49" s="840"/>
      <c r="G49" s="836"/>
      <c r="H49" s="875"/>
      <c r="I49" s="828"/>
      <c r="J49" s="828"/>
      <c r="K49" s="828"/>
      <c r="L49" s="836"/>
      <c r="M49" s="836"/>
      <c r="N49" s="837"/>
      <c r="O49" s="838"/>
      <c r="P49" s="839"/>
    </row>
    <row r="50" spans="2:16" ht="20.25" thickBot="1" thickTop="1">
      <c r="B50" s="775"/>
      <c r="C50" s="833"/>
      <c r="D50" s="909" t="s">
        <v>112</v>
      </c>
      <c r="F50" s="910"/>
      <c r="G50" s="776"/>
      <c r="H50" s="911" t="s">
        <v>113</v>
      </c>
      <c r="I50" s="912">
        <f>E18*L46</f>
        <v>6519.201644</v>
      </c>
      <c r="J50" s="801"/>
      <c r="K50" s="801" t="s">
        <v>176</v>
      </c>
      <c r="O50" s="801"/>
      <c r="P50" s="839"/>
    </row>
    <row r="51" spans="2:16" ht="21.75" thickTop="1">
      <c r="B51" s="775"/>
      <c r="C51" s="833"/>
      <c r="F51" s="913"/>
      <c r="G51" s="769"/>
      <c r="I51" s="801"/>
      <c r="J51" s="801"/>
      <c r="O51" s="801"/>
      <c r="P51" s="839"/>
    </row>
    <row r="52" spans="2:16" ht="15">
      <c r="B52" s="775"/>
      <c r="C52" s="807" t="s">
        <v>114</v>
      </c>
      <c r="E52" s="801"/>
      <c r="F52" s="801"/>
      <c r="G52" s="801"/>
      <c r="H52" s="801"/>
      <c r="I52" s="836"/>
      <c r="J52" s="836"/>
      <c r="K52" s="836"/>
      <c r="L52" s="836"/>
      <c r="M52" s="836"/>
      <c r="N52" s="837"/>
      <c r="O52" s="838"/>
      <c r="P52" s="839"/>
    </row>
    <row r="53" spans="2:16" ht="15">
      <c r="B53" s="775"/>
      <c r="C53" s="833"/>
      <c r="D53" s="914" t="s">
        <v>115</v>
      </c>
      <c r="E53" s="860">
        <f>10*I26*I50/I46</f>
        <v>270.6158869328063</v>
      </c>
      <c r="F53" s="915"/>
      <c r="H53" s="801"/>
      <c r="I53" s="836"/>
      <c r="J53" s="836"/>
      <c r="K53" s="836"/>
      <c r="L53" s="836"/>
      <c r="M53" s="836"/>
      <c r="N53" s="837"/>
      <c r="O53" s="838"/>
      <c r="P53" s="839"/>
    </row>
    <row r="54" spans="2:16" ht="15">
      <c r="B54" s="775"/>
      <c r="C54" s="833"/>
      <c r="D54" s="801"/>
      <c r="E54" s="801"/>
      <c r="J54" s="836"/>
      <c r="K54" s="836"/>
      <c r="L54" s="836"/>
      <c r="M54" s="836"/>
      <c r="N54" s="837"/>
      <c r="O54" s="838"/>
      <c r="P54" s="839"/>
    </row>
    <row r="55" spans="2:16" ht="15">
      <c r="B55" s="775"/>
      <c r="C55" s="833"/>
      <c r="D55" s="801" t="s">
        <v>129</v>
      </c>
      <c r="E55" s="801"/>
      <c r="F55" s="801"/>
      <c r="G55" s="801"/>
      <c r="H55" s="801"/>
      <c r="M55" s="836"/>
      <c r="N55" s="837"/>
      <c r="O55" s="838"/>
      <c r="P55" s="839"/>
    </row>
    <row r="56" spans="2:16" ht="15.75" thickBot="1">
      <c r="B56" s="775"/>
      <c r="C56" s="833"/>
      <c r="D56" s="801"/>
      <c r="E56" s="801"/>
      <c r="F56" s="801"/>
      <c r="G56" s="801"/>
      <c r="H56" s="801"/>
      <c r="M56" s="836"/>
      <c r="N56" s="837"/>
      <c r="O56" s="838"/>
      <c r="P56" s="839"/>
    </row>
    <row r="57" spans="2:16" ht="20.25" thickBot="1" thickTop="1">
      <c r="B57" s="775"/>
      <c r="C57" s="833"/>
      <c r="D57" s="828"/>
      <c r="E57" s="828"/>
      <c r="F57" s="840"/>
      <c r="G57" s="836"/>
      <c r="H57" s="916" t="s">
        <v>117</v>
      </c>
      <c r="I57" s="917">
        <f>IF($E$53&gt;3*I50,3*I50,$E$53)</f>
        <v>270.6158869328063</v>
      </c>
      <c r="J57" s="836"/>
      <c r="K57" s="836"/>
      <c r="L57" s="836"/>
      <c r="M57" s="836"/>
      <c r="N57" s="837"/>
      <c r="O57" s="838"/>
      <c r="P57" s="839"/>
    </row>
    <row r="58" spans="2:16" ht="16.5" thickBot="1" thickTop="1">
      <c r="B58" s="918"/>
      <c r="C58" s="919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20"/>
    </row>
    <row r="59" spans="2:16" ht="13.5" thickTop="1">
      <c r="B59" s="774"/>
      <c r="P59" s="774"/>
    </row>
    <row r="61" ht="12.75">
      <c r="A61" s="774"/>
    </row>
    <row r="62" ht="12.75">
      <c r="A62" s="774"/>
    </row>
    <row r="63" ht="12.75">
      <c r="A63" s="774"/>
    </row>
    <row r="64" ht="12.75">
      <c r="A64" s="774"/>
    </row>
    <row r="65" ht="12.75">
      <c r="A65" s="774"/>
    </row>
    <row r="68" ht="12" customHeight="1"/>
    <row r="104" ht="12.75">
      <c r="B104" s="774"/>
    </row>
    <row r="110" ht="12.75">
      <c r="A110" s="774"/>
    </row>
  </sheetData>
  <sheetProtection/>
  <printOptions horizontalCentered="1"/>
  <pageMargins left="0.28" right="0.1968503937007874" top="0.5118110236220472" bottom="0.39" header="0.35433070866141736" footer="0.19"/>
  <pageSetup fitToHeight="1" fitToWidth="1" orientation="landscape" paperSize="9" scale="56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2016-07-14T14:11:15Z</cp:lastPrinted>
  <dcterms:created xsi:type="dcterms:W3CDTF">2000-10-04T20:14:32Z</dcterms:created>
  <dcterms:modified xsi:type="dcterms:W3CDTF">2016-09-20T18:53:55Z</dcterms:modified>
  <cp:category/>
  <cp:version/>
  <cp:contentType/>
  <cp:contentStatus/>
</cp:coreProperties>
</file>