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515" sheetId="1" r:id="rId1"/>
    <sheet name="LI-05 (1)" sheetId="2" r:id="rId2"/>
    <sheet name="T-05 (1)" sheetId="3" r:id="rId3"/>
    <sheet name="SA-05 (1)" sheetId="4" r:id="rId4"/>
    <sheet name="TASA FALLA" sheetId="5" r:id="rId5"/>
    <sheet name="DATO" sheetId="6" r:id="rId6"/>
  </sheets>
  <externalReferences>
    <externalReference r:id="rId9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<sst xmlns="http://schemas.openxmlformats.org/spreadsheetml/2006/main" count="318" uniqueCount="181">
  <si>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</si>
  <si>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</si>
  <si>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</si>
  <si>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</si>
  <si>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</si>
  <si>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</si>
  <si>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</si>
  <si>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</si>
  <si>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</si>
  <si>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</si>
  <si>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</si>
  <si>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</si>
  <si>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</si>
  <si>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</si>
  <si>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</si>
  <si>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</si>
  <si>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</si>
  <si>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</si>
  <si>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</si>
  <si>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</si>
  <si>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</si>
  <si>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</si>
  <si>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</si>
  <si>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</si>
  <si>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</si>
  <si>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</si>
  <si>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</si>
  <si>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</si>
  <si>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</si>
  <si>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</si>
  <si>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</si>
  <si>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</si>
  <si>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</si>
  <si>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</si>
  <si>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</si>
  <si>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</si>
  <si>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</si>
  <si>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</si>
  <si>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</si>
  <si>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</si>
  <si>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</si>
  <si>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</si>
  <si>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</si>
  <si>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</si>
  <si>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</si>
  <si>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</si>
  <si>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</si>
  <si>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</si>
  <si>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</si>
  <si>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</si>
  <si>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</si>
  <si>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</si>
  <si>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</si>
  <si>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</si>
  <si>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</si>
  <si>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</si>
  <si>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</si>
  <si>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</si>
  <si>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</si>
  <si>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</si>
  <si>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</si>
  <si>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</si>
  <si>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</si>
  <si>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</si>
  <si>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</si>
  <si>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</si>
  <si>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</si>
  <si>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</si>
  <si>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</si>
  <si>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</si>
  <si>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</si>
  <si>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</si>
  <si>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</si>
  <si>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</si>
  <si>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</si>
  <si>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</si>
  <si>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</si>
  <si>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</si>
  <si>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</si>
  <si>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</si>
  <si>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</si>
  <si>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</si>
  <si>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</si>
  <si>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</si>
  <si>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</si>
  <si>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</si>
  <si>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</si>
  <si>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</si>
  <si>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</si>
  <si>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</si>
  <si>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</si>
  <si>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</si>
  <si>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</si>
  <si>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</si>
  <si>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</si>
  <si>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</si>
  <si>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</si>
  <si>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</si>
  <si>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</si>
  <si>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</si>
  <si>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</si>
  <si>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</si>
  <si>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</si>
  <si>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</si>
  <si>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</si>
  <si>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</si>
  <si>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</si>
  <si>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</si>
  <si>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</si>
  <si>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</si>
  <si>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</si>
  <si>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</si>
  <si>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</si>
  <si>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</si>
  <si>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</si>
  <si>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</si>
  <si>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</si>
  <si>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</si>
  <si>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</si>
  <si>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</si>
  <si>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</si>
  <si>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</si>
  <si>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</si>
  <si>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</si>
  <si>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</si>
  <si>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</si>
  <si>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</si>
  <si>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</si>
  <si>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</si>
  <si>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</si>
  <si>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mayo de 2015</t>
  </si>
  <si>
    <t>P</t>
  </si>
  <si>
    <t>0,000</t>
  </si>
  <si>
    <t>C.H. NIHUIL 1 - PEDRO VARGAS</t>
  </si>
  <si>
    <t>CAPIZ - PEDRO VARGAS</t>
  </si>
  <si>
    <t>PEDRO VARGAS - SAN RAFAEL</t>
  </si>
  <si>
    <t>SI</t>
  </si>
  <si>
    <t>CAÑADA HONDA</t>
  </si>
  <si>
    <t>AUTOTRAFO 1</t>
  </si>
  <si>
    <t>220/132/13,2</t>
  </si>
  <si>
    <t>CAPIZ</t>
  </si>
  <si>
    <t>TRAFO 2</t>
  </si>
  <si>
    <t>132/66/13,2</t>
  </si>
  <si>
    <t>RP</t>
  </si>
  <si>
    <t>CRUZ DE PIEDRA</t>
  </si>
  <si>
    <t>SAN JUAN</t>
  </si>
  <si>
    <t>TRAFO 1</t>
  </si>
  <si>
    <t>132/33/13,2</t>
  </si>
  <si>
    <t xml:space="preserve">MONTE CASEROS </t>
  </si>
  <si>
    <t>ALIMENT. CHACON</t>
  </si>
  <si>
    <t>ALIMENT. CAPIZ</t>
  </si>
  <si>
    <t>ALIMENT. VILLA KRAUSE</t>
  </si>
  <si>
    <t>ALIMENT. ROSARIO</t>
  </si>
  <si>
    <t>ALIMENT. LOS MANANTIALES</t>
  </si>
  <si>
    <t>ALIMENT. POCITOS II</t>
  </si>
  <si>
    <t>LINEA CESPEDES</t>
  </si>
  <si>
    <t>LINEA BARRANCAS</t>
  </si>
  <si>
    <t>LINEA AGRELO</t>
  </si>
  <si>
    <t>LOS REYUNOS</t>
  </si>
  <si>
    <t>LINEA A C.H. EL TIGRE</t>
  </si>
  <si>
    <t>LINEA A C.H. LOS REYUNOS</t>
  </si>
  <si>
    <t>SAN JUAN - CAÑADA HONDA</t>
  </si>
  <si>
    <t>P - PROGRAMADA</t>
  </si>
  <si>
    <t>13,2/13,2</t>
  </si>
  <si>
    <t>TRAFO 3</t>
  </si>
  <si>
    <t>TRAFO 4</t>
  </si>
  <si>
    <t>SALIDA VILLA KRAUSE</t>
  </si>
  <si>
    <t>P - PROGRAMADA  ; RP - REDUCCIÓN PROGRAMADA</t>
  </si>
  <si>
    <t>RES S.E. 1/03</t>
  </si>
  <si>
    <t>TOTAL DE PENALIZACIONES A APLICAR</t>
  </si>
  <si>
    <t>Valores remuneratorios según Nota ENRE N° 115639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</si>
  <si>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</si>
  <si>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</si>
  <si>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</si>
  <si>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</si>
  <si>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</si>
  <si>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</si>
  <si>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</si>
  <si>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AÑO/ 100 km</t>
  </si>
  <si>
    <t>Tasa de falla correspondiente al mes de Mayo de 2015</t>
  </si>
  <si>
    <t xml:space="preserve">ANEXO VI al Memorándum D.T.E.E. N°  784 /2015           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</si>
</sst>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5"/>
      <color indexed="56"/>
      <name val="Calibri"/>
      <family val="2"/>
    </font>
    <font>
      <sz val="8"/>
      <name val="Arial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3" fillId="29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6" fillId="21" borderId="6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110" fillId="0" borderId="8" applyNumberFormat="0" applyFill="0" applyAlignment="0" applyProtection="0"/>
    <xf numFmtId="0" fontId="102" fillId="0" borderId="9" applyNumberFormat="0" applyFill="0" applyAlignment="0" applyProtection="0"/>
    <xf numFmtId="0" fontId="111" fillId="0" borderId="10" applyNumberFormat="0" applyFill="0" applyAlignment="0" applyProtection="0"/>
  </cellStyleXfs>
  <cellXfs count="505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 applyBorder="1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6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3" fillId="0" borderId="0" xfId="55" applyFont="1" applyBorder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1" xfId="55" applyFont="1" applyBorder="1">
      <alignment/>
      <protection/>
    </xf>
    <xf numFmtId="0" fontId="19" fillId="0" borderId="12" xfId="55" applyFont="1" applyBorder="1">
      <alignment/>
      <protection/>
    </xf>
    <xf numFmtId="0" fontId="17" fillId="0" borderId="12" xfId="55" applyFont="1" applyBorder="1">
      <alignment/>
      <protection/>
    </xf>
    <xf numFmtId="0" fontId="17" fillId="0" borderId="13" xfId="55" applyFont="1" applyBorder="1">
      <alignment/>
      <protection/>
    </xf>
    <xf numFmtId="0" fontId="20" fillId="0" borderId="14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3" fillId="0" borderId="0" xfId="55" applyNumberFormat="1" applyFont="1" applyAlignment="1">
      <alignment horizontal="centerContinuous"/>
      <protection/>
    </xf>
    <xf numFmtId="0" fontId="20" fillId="0" borderId="0" xfId="55" applyFont="1" applyBorder="1" applyAlignment="1">
      <alignment horizontal="centerContinuous"/>
      <protection/>
    </xf>
    <xf numFmtId="0" fontId="13" fillId="0" borderId="15" xfId="55" applyFont="1" applyBorder="1" applyAlignment="1">
      <alignment horizontal="centerContinuous"/>
      <protection/>
    </xf>
    <xf numFmtId="0" fontId="13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3" fillId="0" borderId="15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6" fillId="0" borderId="14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22" fillId="0" borderId="0" xfId="55" applyFont="1" applyBorder="1">
      <alignment/>
      <protection/>
    </xf>
    <xf numFmtId="7" fontId="3" fillId="0" borderId="0" xfId="55" applyNumberFormat="1" applyFont="1" applyBorder="1" applyAlignment="1">
      <alignment horizontal="right"/>
      <protection/>
    </xf>
    <xf numFmtId="0" fontId="6" fillId="0" borderId="15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13" fillId="0" borderId="0" xfId="55" applyFont="1" applyBorder="1" applyAlignment="1">
      <alignment horizontal="right"/>
      <protection/>
    </xf>
    <xf numFmtId="0" fontId="21" fillId="0" borderId="16" xfId="55" applyFont="1" applyBorder="1" applyAlignment="1">
      <alignment horizontal="center"/>
      <protection/>
    </xf>
    <xf numFmtId="7" fontId="21" fillId="0" borderId="17" xfId="55" applyNumberFormat="1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17" fillId="0" borderId="18" xfId="55" applyFont="1" applyBorder="1">
      <alignment/>
      <protection/>
    </xf>
    <xf numFmtId="0" fontId="17" fillId="0" borderId="19" xfId="55" applyNumberFormat="1" applyFont="1" applyBorder="1">
      <alignment/>
      <protection/>
    </xf>
    <xf numFmtId="0" fontId="17" fillId="0" borderId="19" xfId="55" applyFont="1" applyBorder="1">
      <alignment/>
      <protection/>
    </xf>
    <xf numFmtId="0" fontId="17" fillId="0" borderId="20" xfId="55" applyFont="1" applyBorder="1">
      <alignment/>
      <protection/>
    </xf>
    <xf numFmtId="0" fontId="17" fillId="0" borderId="0" xfId="55" applyFont="1" applyFill="1" applyBorder="1">
      <alignment/>
      <protection/>
    </xf>
    <xf numFmtId="4" fontId="17" fillId="0" borderId="0" xfId="55" applyNumberFormat="1" applyFont="1" applyFill="1" applyBorder="1">
      <alignment/>
      <protection/>
    </xf>
    <xf numFmtId="7" fontId="17" fillId="0" borderId="0" xfId="55" applyNumberFormat="1" applyFont="1" applyBorder="1">
      <alignment/>
      <protection/>
    </xf>
    <xf numFmtId="172" fontId="17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 applyAlignment="1">
      <alignment horizontal="center"/>
      <protection/>
    </xf>
    <xf numFmtId="0" fontId="9" fillId="0" borderId="0" xfId="55" applyFont="1" applyAlignment="1" applyProtection="1">
      <alignment horizontal="centerContinuous"/>
      <protection locked="0"/>
    </xf>
    <xf numFmtId="0" fontId="16" fillId="0" borderId="0" xfId="55" applyFont="1" applyAlignment="1" applyProtection="1">
      <alignment horizontal="centerContinuous"/>
      <protection locked="0"/>
    </xf>
    <xf numFmtId="0" fontId="4" fillId="0" borderId="0" xfId="55" applyFont="1" applyBorder="1" applyAlignment="1" applyProtection="1">
      <alignment horizontal="centerContinuous"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6" fillId="0" borderId="13" xfId="55" applyFont="1" applyBorder="1">
      <alignment/>
      <protection/>
    </xf>
    <xf numFmtId="0" fontId="23" fillId="0" borderId="0" xfId="55" applyFont="1">
      <alignment/>
      <protection/>
    </xf>
    <xf numFmtId="0" fontId="23" fillId="0" borderId="14" xfId="55" applyFont="1" applyBorder="1">
      <alignment/>
      <protection/>
    </xf>
    <xf numFmtId="0" fontId="24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5" xfId="55" applyFont="1" applyBorder="1">
      <alignment/>
      <protection/>
    </xf>
    <xf numFmtId="0" fontId="3" fillId="0" borderId="0" xfId="55" applyFont="1" applyBorder="1">
      <alignment/>
      <protection/>
    </xf>
    <xf numFmtId="0" fontId="20" fillId="0" borderId="0" xfId="55" applyFont="1" applyFill="1" applyBorder="1" applyAlignment="1" applyProtection="1">
      <alignment horizontal="centerContinuous"/>
      <protection locked="0"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 applyAlignment="1" applyProtection="1">
      <alignment horizontal="centerContinuous"/>
      <protection/>
    </xf>
    <xf numFmtId="0" fontId="20" fillId="0" borderId="15" xfId="55" applyFont="1" applyBorder="1" applyAlignment="1">
      <alignment horizontal="centerContinuous"/>
      <protection/>
    </xf>
    <xf numFmtId="0" fontId="16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1" fillId="0" borderId="16" xfId="55" applyFont="1" applyBorder="1" applyAlignment="1" applyProtection="1">
      <alignment horizontal="center"/>
      <protection/>
    </xf>
    <xf numFmtId="176" fontId="1" fillId="0" borderId="16" xfId="55" applyNumberFormat="1" applyFont="1" applyBorder="1" applyAlignment="1">
      <alignment horizontal="centerContinuous"/>
      <protection/>
    </xf>
    <xf numFmtId="0" fontId="3" fillId="0" borderId="17" xfId="55" applyFont="1" applyBorder="1" applyAlignment="1" applyProtection="1">
      <alignment horizontal="centerContinuous"/>
      <protection/>
    </xf>
    <xf numFmtId="171" fontId="6" fillId="0" borderId="17" xfId="55" applyNumberFormat="1" applyFont="1" applyBorder="1" applyAlignment="1">
      <alignment horizontal="centerContinuous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 applyProtection="1">
      <alignment horizontal="left"/>
      <protection locked="0"/>
    </xf>
    <xf numFmtId="0" fontId="1" fillId="0" borderId="0" xfId="55" applyFont="1" applyAlignment="1" applyProtection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25" fillId="0" borderId="21" xfId="55" applyFont="1" applyBorder="1" applyAlignment="1" applyProtection="1">
      <alignment horizontal="center" vertical="center"/>
      <protection/>
    </xf>
    <xf numFmtId="0" fontId="25" fillId="0" borderId="21" xfId="55" applyFont="1" applyBorder="1" applyAlignment="1" applyProtection="1">
      <alignment horizontal="center" vertical="center" wrapText="1"/>
      <protection/>
    </xf>
    <xf numFmtId="0" fontId="26" fillId="33" borderId="21" xfId="55" applyFont="1" applyFill="1" applyBorder="1" applyAlignment="1" applyProtection="1">
      <alignment horizontal="center" vertical="center"/>
      <protection/>
    </xf>
    <xf numFmtId="0" fontId="28" fillId="34" borderId="21" xfId="55" applyFont="1" applyFill="1" applyBorder="1" applyAlignment="1">
      <alignment horizontal="center" vertical="center" wrapText="1"/>
      <protection/>
    </xf>
    <xf numFmtId="0" fontId="29" fillId="35" borderId="21" xfId="55" applyFont="1" applyFill="1" applyBorder="1" applyAlignment="1">
      <alignment horizontal="center" vertical="center" wrapText="1"/>
      <protection/>
    </xf>
    <xf numFmtId="0" fontId="30" fillId="33" borderId="16" xfId="55" applyFont="1" applyFill="1" applyBorder="1" applyAlignment="1" applyProtection="1">
      <alignment horizontal="centerContinuous" vertical="center" wrapText="1"/>
      <protection/>
    </xf>
    <xf numFmtId="0" fontId="7" fillId="33" borderId="22" xfId="55" applyFont="1" applyFill="1" applyBorder="1" applyAlignment="1">
      <alignment horizontal="centerContinuous"/>
      <protection/>
    </xf>
    <xf numFmtId="0" fontId="30" fillId="33" borderId="17" xfId="55" applyFont="1" applyFill="1" applyBorder="1" applyAlignment="1">
      <alignment horizontal="centerContinuous" vertical="center"/>
      <protection/>
    </xf>
    <xf numFmtId="0" fontId="28" fillId="36" borderId="16" xfId="55" applyFont="1" applyFill="1" applyBorder="1" applyAlignment="1" applyProtection="1">
      <alignment horizontal="centerContinuous" vertical="center" wrapText="1"/>
      <protection/>
    </xf>
    <xf numFmtId="0" fontId="28" fillId="36" borderId="22" xfId="55" applyFont="1" applyFill="1" applyBorder="1" applyAlignment="1">
      <alignment horizontal="centerContinuous" vertical="center"/>
      <protection/>
    </xf>
    <xf numFmtId="0" fontId="28" fillId="36" borderId="17" xfId="55" applyFont="1" applyFill="1" applyBorder="1" applyAlignment="1">
      <alignment horizontal="centerContinuous" vertical="center"/>
      <protection/>
    </xf>
    <xf numFmtId="0" fontId="31" fillId="37" borderId="21" xfId="55" applyFont="1" applyFill="1" applyBorder="1" applyAlignment="1">
      <alignment horizontal="center" vertical="center" wrapText="1"/>
      <protection/>
    </xf>
    <xf numFmtId="0" fontId="32" fillId="38" borderId="21" xfId="55" applyFont="1" applyFill="1" applyBorder="1" applyAlignment="1">
      <alignment horizontal="center" vertical="center" wrapText="1"/>
      <protection/>
    </xf>
    <xf numFmtId="0" fontId="25" fillId="0" borderId="21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23" xfId="55" applyFont="1" applyBorder="1" applyProtection="1">
      <alignment/>
      <protection locked="0"/>
    </xf>
    <xf numFmtId="0" fontId="6" fillId="0" borderId="23" xfId="55" applyFont="1" applyBorder="1" applyAlignment="1" applyProtection="1">
      <alignment horizontal="center"/>
      <protection locked="0"/>
    </xf>
    <xf numFmtId="0" fontId="33" fillId="33" borderId="23" xfId="55" applyFont="1" applyFill="1" applyBorder="1" applyProtection="1">
      <alignment/>
      <protection locked="0"/>
    </xf>
    <xf numFmtId="0" fontId="6" fillId="0" borderId="23" xfId="55" applyFont="1" applyBorder="1" applyAlignment="1">
      <alignment horizontal="center"/>
      <protection/>
    </xf>
    <xf numFmtId="0" fontId="34" fillId="34" borderId="23" xfId="55" applyFont="1" applyFill="1" applyBorder="1" applyProtection="1">
      <alignment/>
      <protection locked="0"/>
    </xf>
    <xf numFmtId="0" fontId="35" fillId="35" borderId="23" xfId="55" applyFont="1" applyFill="1" applyBorder="1" applyProtection="1">
      <alignment/>
      <protection locked="0"/>
    </xf>
    <xf numFmtId="0" fontId="36" fillId="33" borderId="23" xfId="55" applyFont="1" applyFill="1" applyBorder="1" applyAlignment="1" applyProtection="1">
      <alignment horizontal="center"/>
      <protection locked="0"/>
    </xf>
    <xf numFmtId="0" fontId="36" fillId="33" borderId="23" xfId="55" applyFont="1" applyFill="1" applyBorder="1" applyProtection="1">
      <alignment/>
      <protection locked="0"/>
    </xf>
    <xf numFmtId="0" fontId="34" fillId="36" borderId="23" xfId="55" applyFont="1" applyFill="1" applyBorder="1" applyProtection="1">
      <alignment/>
      <protection locked="0"/>
    </xf>
    <xf numFmtId="0" fontId="37" fillId="37" borderId="23" xfId="55" applyFont="1" applyFill="1" applyBorder="1" applyProtection="1">
      <alignment/>
      <protection locked="0"/>
    </xf>
    <xf numFmtId="0" fontId="38" fillId="38" borderId="23" xfId="55" applyFont="1" applyFill="1" applyBorder="1" applyProtection="1">
      <alignment/>
      <protection locked="0"/>
    </xf>
    <xf numFmtId="0" fontId="39" fillId="0" borderId="23" xfId="55" applyFont="1" applyBorder="1" applyAlignment="1">
      <alignment horizontal="center"/>
      <protection/>
    </xf>
    <xf numFmtId="0" fontId="6" fillId="0" borderId="24" xfId="55" applyFont="1" applyBorder="1" applyProtection="1">
      <alignment/>
      <protection locked="0"/>
    </xf>
    <xf numFmtId="0" fontId="6" fillId="0" borderId="25" xfId="55" applyFont="1" applyBorder="1" applyAlignment="1" applyProtection="1">
      <alignment horizontal="center"/>
      <protection locked="0"/>
    </xf>
    <xf numFmtId="0" fontId="33" fillId="33" borderId="24" xfId="55" applyFont="1" applyFill="1" applyBorder="1" applyProtection="1">
      <alignment/>
      <protection locked="0"/>
    </xf>
    <xf numFmtId="0" fontId="6" fillId="0" borderId="24" xfId="55" applyFont="1" applyBorder="1" applyAlignment="1" applyProtection="1">
      <alignment horizontal="center"/>
      <protection locked="0"/>
    </xf>
    <xf numFmtId="0" fontId="6" fillId="0" borderId="24" xfId="55" applyFont="1" applyBorder="1" applyAlignment="1">
      <alignment horizontal="center"/>
      <protection/>
    </xf>
    <xf numFmtId="0" fontId="34" fillId="34" borderId="24" xfId="55" applyFont="1" applyFill="1" applyBorder="1" applyProtection="1">
      <alignment/>
      <protection locked="0"/>
    </xf>
    <xf numFmtId="0" fontId="35" fillId="35" borderId="24" xfId="55" applyFont="1" applyFill="1" applyBorder="1" applyProtection="1">
      <alignment/>
      <protection locked="0"/>
    </xf>
    <xf numFmtId="0" fontId="36" fillId="33" borderId="24" xfId="55" applyFont="1" applyFill="1" applyBorder="1" applyAlignment="1" applyProtection="1">
      <alignment horizontal="center"/>
      <protection locked="0"/>
    </xf>
    <xf numFmtId="0" fontId="36" fillId="33" borderId="24" xfId="55" applyFont="1" applyFill="1" applyBorder="1" applyProtection="1">
      <alignment/>
      <protection locked="0"/>
    </xf>
    <xf numFmtId="0" fontId="34" fillId="36" borderId="24" xfId="55" applyFont="1" applyFill="1" applyBorder="1" applyProtection="1">
      <alignment/>
      <protection locked="0"/>
    </xf>
    <xf numFmtId="0" fontId="37" fillId="37" borderId="24" xfId="55" applyFont="1" applyFill="1" applyBorder="1" applyProtection="1">
      <alignment/>
      <protection locked="0"/>
    </xf>
    <xf numFmtId="0" fontId="38" fillId="38" borderId="24" xfId="55" applyFont="1" applyFill="1" applyBorder="1" applyProtection="1">
      <alignment/>
      <protection locked="0"/>
    </xf>
    <xf numFmtId="0" fontId="39" fillId="0" borderId="24" xfId="55" applyFont="1" applyBorder="1" applyAlignment="1">
      <alignment horizontal="center"/>
      <protection/>
    </xf>
    <xf numFmtId="2" fontId="6" fillId="0" borderId="25" xfId="55" applyNumberFormat="1" applyFont="1" applyBorder="1" applyAlignment="1" applyProtection="1">
      <alignment horizontal="center"/>
      <protection locked="0"/>
    </xf>
    <xf numFmtId="172" fontId="33" fillId="33" borderId="24" xfId="55" applyNumberFormat="1" applyFont="1" applyFill="1" applyBorder="1" applyAlignment="1" applyProtection="1">
      <alignment horizontal="center"/>
      <protection locked="0"/>
    </xf>
    <xf numFmtId="22" fontId="6" fillId="0" borderId="24" xfId="55" applyNumberFormat="1" applyFont="1" applyBorder="1" applyAlignment="1" applyProtection="1">
      <alignment horizontal="center"/>
      <protection locked="0"/>
    </xf>
    <xf numFmtId="2" fontId="6" fillId="0" borderId="24" xfId="55" applyNumberFormat="1" applyFont="1" applyBorder="1" applyAlignment="1" applyProtection="1">
      <alignment horizontal="center"/>
      <protection/>
    </xf>
    <xf numFmtId="1" fontId="6" fillId="0" borderId="24" xfId="55" applyNumberFormat="1" applyFont="1" applyBorder="1" applyAlignment="1" applyProtection="1">
      <alignment horizontal="center"/>
      <protection/>
    </xf>
    <xf numFmtId="172" fontId="6" fillId="0" borderId="24" xfId="55" applyNumberFormat="1" applyFont="1" applyBorder="1" applyAlignment="1" applyProtection="1">
      <alignment horizontal="center"/>
      <protection locked="0"/>
    </xf>
    <xf numFmtId="172" fontId="6" fillId="0" borderId="24" xfId="55" applyNumberFormat="1" applyFont="1" applyBorder="1" applyAlignment="1" applyProtection="1" quotePrefix="1">
      <alignment horizontal="center"/>
      <protection locked="0"/>
    </xf>
    <xf numFmtId="2" fontId="34" fillId="34" borderId="24" xfId="55" applyNumberFormat="1" applyFont="1" applyFill="1" applyBorder="1" applyAlignment="1" applyProtection="1">
      <alignment horizontal="center"/>
      <protection locked="0"/>
    </xf>
    <xf numFmtId="2" fontId="35" fillId="35" borderId="24" xfId="55" applyNumberFormat="1" applyFont="1" applyFill="1" applyBorder="1" applyAlignment="1" applyProtection="1">
      <alignment horizontal="center"/>
      <protection locked="0"/>
    </xf>
    <xf numFmtId="172" fontId="36" fillId="33" borderId="24" xfId="55" applyNumberFormat="1" applyFont="1" applyFill="1" applyBorder="1" applyAlignment="1" applyProtection="1" quotePrefix="1">
      <alignment horizontal="center"/>
      <protection locked="0"/>
    </xf>
    <xf numFmtId="4" fontId="36" fillId="33" borderId="24" xfId="55" applyNumberFormat="1" applyFont="1" applyFill="1" applyBorder="1" applyAlignment="1" applyProtection="1">
      <alignment horizontal="center"/>
      <protection locked="0"/>
    </xf>
    <xf numFmtId="172" fontId="34" fillId="36" borderId="24" xfId="55" applyNumberFormat="1" applyFont="1" applyFill="1" applyBorder="1" applyAlignment="1" applyProtection="1" quotePrefix="1">
      <alignment horizontal="center"/>
      <protection locked="0"/>
    </xf>
    <xf numFmtId="4" fontId="34" fillId="36" borderId="24" xfId="55" applyNumberFormat="1" applyFont="1" applyFill="1" applyBorder="1" applyAlignment="1" applyProtection="1">
      <alignment horizontal="center"/>
      <protection locked="0"/>
    </xf>
    <xf numFmtId="4" fontId="37" fillId="37" borderId="24" xfId="55" applyNumberFormat="1" applyFont="1" applyFill="1" applyBorder="1" applyAlignment="1" applyProtection="1">
      <alignment horizontal="center"/>
      <protection locked="0"/>
    </xf>
    <xf numFmtId="4" fontId="38" fillId="38" borderId="24" xfId="55" applyNumberFormat="1" applyFont="1" applyFill="1" applyBorder="1" applyAlignment="1" applyProtection="1">
      <alignment horizontal="center"/>
      <protection locked="0"/>
    </xf>
    <xf numFmtId="4" fontId="6" fillId="0" borderId="24" xfId="55" applyNumberFormat="1" applyFont="1" applyBorder="1" applyAlignment="1" applyProtection="1">
      <alignment horizontal="center"/>
      <protection locked="0"/>
    </xf>
    <xf numFmtId="4" fontId="39" fillId="0" borderId="24" xfId="55" applyNumberFormat="1" applyFont="1" applyBorder="1" applyAlignment="1">
      <alignment horizontal="right"/>
      <protection/>
    </xf>
    <xf numFmtId="2" fontId="6" fillId="0" borderId="15" xfId="55" applyNumberFormat="1" applyFont="1" applyBorder="1">
      <alignment/>
      <protection/>
    </xf>
    <xf numFmtId="0" fontId="6" fillId="0" borderId="14" xfId="55" applyFont="1" applyBorder="1" applyAlignment="1">
      <alignment horizontal="center"/>
      <protection/>
    </xf>
    <xf numFmtId="0" fontId="6" fillId="0" borderId="26" xfId="55" applyFont="1" applyBorder="1" applyAlignment="1" applyProtection="1">
      <alignment horizontal="center"/>
      <protection locked="0"/>
    </xf>
    <xf numFmtId="0" fontId="6" fillId="0" borderId="27" xfId="55" applyFont="1" applyBorder="1" applyAlignment="1" applyProtection="1">
      <alignment horizontal="center"/>
      <protection/>
    </xf>
    <xf numFmtId="2" fontId="6" fillId="0" borderId="27" xfId="55" applyNumberFormat="1" applyFont="1" applyBorder="1" applyAlignment="1" applyProtection="1">
      <alignment horizontal="center"/>
      <protection/>
    </xf>
    <xf numFmtId="172" fontId="6" fillId="0" borderId="26" xfId="55" applyNumberFormat="1" applyFont="1" applyBorder="1" applyAlignment="1" applyProtection="1">
      <alignment horizontal="center"/>
      <protection/>
    </xf>
    <xf numFmtId="172" fontId="33" fillId="33" borderId="26" xfId="55" applyNumberFormat="1" applyFont="1" applyFill="1" applyBorder="1" applyAlignment="1" applyProtection="1">
      <alignment horizontal="center"/>
      <protection/>
    </xf>
    <xf numFmtId="22" fontId="6" fillId="0" borderId="26" xfId="55" applyNumberFormat="1" applyFont="1" applyBorder="1" applyAlignment="1">
      <alignment horizontal="center"/>
      <protection/>
    </xf>
    <xf numFmtId="172" fontId="34" fillId="34" borderId="26" xfId="55" applyNumberFormat="1" applyFont="1" applyFill="1" applyBorder="1" applyAlignment="1" applyProtection="1" quotePrefix="1">
      <alignment horizontal="center"/>
      <protection/>
    </xf>
    <xf numFmtId="172" fontId="35" fillId="35" borderId="26" xfId="55" applyNumberFormat="1" applyFont="1" applyFill="1" applyBorder="1" applyAlignment="1" applyProtection="1" quotePrefix="1">
      <alignment horizontal="center"/>
      <protection/>
    </xf>
    <xf numFmtId="172" fontId="36" fillId="33" borderId="26" xfId="55" applyNumberFormat="1" applyFont="1" applyFill="1" applyBorder="1" applyAlignment="1" applyProtection="1" quotePrefix="1">
      <alignment horizontal="center"/>
      <protection/>
    </xf>
    <xf numFmtId="4" fontId="36" fillId="33" borderId="26" xfId="55" applyNumberFormat="1" applyFont="1" applyFill="1" applyBorder="1" applyAlignment="1">
      <alignment horizontal="center"/>
      <protection/>
    </xf>
    <xf numFmtId="4" fontId="34" fillId="36" borderId="26" xfId="55" applyNumberFormat="1" applyFont="1" applyFill="1" applyBorder="1" applyAlignment="1">
      <alignment horizontal="center"/>
      <protection/>
    </xf>
    <xf numFmtId="4" fontId="37" fillId="37" borderId="26" xfId="55" applyNumberFormat="1" applyFont="1" applyFill="1" applyBorder="1" applyAlignment="1">
      <alignment horizontal="center"/>
      <protection/>
    </xf>
    <xf numFmtId="4" fontId="38" fillId="38" borderId="26" xfId="55" applyNumberFormat="1" applyFont="1" applyFill="1" applyBorder="1" applyAlignment="1">
      <alignment horizontal="center"/>
      <protection/>
    </xf>
    <xf numFmtId="4" fontId="6" fillId="0" borderId="26" xfId="55" applyNumberFormat="1" applyFont="1" applyBorder="1" applyAlignment="1">
      <alignment horizontal="center"/>
      <protection/>
    </xf>
    <xf numFmtId="7" fontId="39" fillId="0" borderId="28" xfId="55" applyNumberFormat="1" applyFont="1" applyBorder="1" applyAlignment="1">
      <alignment horizontal="center"/>
      <protection/>
    </xf>
    <xf numFmtId="0" fontId="41" fillId="0" borderId="29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/>
      <protection/>
    </xf>
    <xf numFmtId="172" fontId="6" fillId="0" borderId="0" xfId="55" applyNumberFormat="1" applyFont="1" applyBorder="1" applyAlignment="1" applyProtection="1">
      <alignment horizontal="center"/>
      <protection/>
    </xf>
    <xf numFmtId="172" fontId="6" fillId="0" borderId="0" xfId="55" applyNumberFormat="1" applyFont="1" applyBorder="1" applyAlignment="1" applyProtection="1" quotePrefix="1">
      <alignment horizontal="center"/>
      <protection/>
    </xf>
    <xf numFmtId="2" fontId="34" fillId="34" borderId="21" xfId="55" applyNumberFormat="1" applyFont="1" applyFill="1" applyBorder="1" applyAlignment="1">
      <alignment horizontal="center"/>
      <protection/>
    </xf>
    <xf numFmtId="2" fontId="35" fillId="35" borderId="21" xfId="55" applyNumberFormat="1" applyFont="1" applyFill="1" applyBorder="1" applyAlignment="1">
      <alignment horizontal="center"/>
      <protection/>
    </xf>
    <xf numFmtId="172" fontId="36" fillId="33" borderId="21" xfId="55" applyNumberFormat="1" applyFont="1" applyFill="1" applyBorder="1" applyAlignment="1" applyProtection="1" quotePrefix="1">
      <alignment horizontal="center"/>
      <protection/>
    </xf>
    <xf numFmtId="172" fontId="34" fillId="36" borderId="21" xfId="55" applyNumberFormat="1" applyFont="1" applyFill="1" applyBorder="1" applyAlignment="1" applyProtection="1" quotePrefix="1">
      <alignment horizontal="center"/>
      <protection/>
    </xf>
    <xf numFmtId="172" fontId="37" fillId="37" borderId="21" xfId="55" applyNumberFormat="1" applyFont="1" applyFill="1" applyBorder="1" applyAlignment="1" applyProtection="1" quotePrefix="1">
      <alignment horizontal="center"/>
      <protection/>
    </xf>
    <xf numFmtId="172" fontId="38" fillId="38" borderId="21" xfId="55" applyNumberFormat="1" applyFont="1" applyFill="1" applyBorder="1" applyAlignment="1" applyProtection="1" quotePrefix="1">
      <alignment horizontal="center"/>
      <protection/>
    </xf>
    <xf numFmtId="4" fontId="5" fillId="0" borderId="0" xfId="55" applyNumberFormat="1" applyFont="1" applyBorder="1" applyAlignment="1">
      <alignment horizontal="center"/>
      <protection/>
    </xf>
    <xf numFmtId="8" fontId="2" fillId="0" borderId="21" xfId="55" applyNumberFormat="1" applyFont="1" applyBorder="1" applyAlignment="1" applyProtection="1">
      <alignment horizontal="right"/>
      <protection locked="0"/>
    </xf>
    <xf numFmtId="2" fontId="6" fillId="0" borderId="15" xfId="55" applyNumberFormat="1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1" fillId="0" borderId="14" xfId="55" applyFont="1" applyBorder="1">
      <alignment/>
      <protection/>
    </xf>
    <xf numFmtId="0" fontId="41" fillId="0" borderId="0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 vertical="top"/>
      <protection/>
    </xf>
    <xf numFmtId="0" fontId="41" fillId="0" borderId="0" xfId="55" applyFont="1" applyBorder="1" applyAlignment="1" applyProtection="1">
      <alignment horizontal="center"/>
      <protection/>
    </xf>
    <xf numFmtId="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 quotePrefix="1">
      <alignment horizontal="center"/>
      <protection/>
    </xf>
    <xf numFmtId="2" fontId="43" fillId="0" borderId="0" xfId="55" applyNumberFormat="1" applyFont="1" applyBorder="1" applyAlignment="1">
      <alignment horizontal="center"/>
      <protection/>
    </xf>
    <xf numFmtId="172" fontId="44" fillId="0" borderId="0" xfId="55" applyNumberFormat="1" applyFont="1" applyBorder="1" applyAlignment="1" applyProtection="1" quotePrefix="1">
      <alignment horizontal="center"/>
      <protection/>
    </xf>
    <xf numFmtId="4" fontId="44" fillId="0" borderId="0" xfId="55" applyNumberFormat="1" applyFont="1" applyBorder="1" applyAlignment="1">
      <alignment horizontal="center"/>
      <protection/>
    </xf>
    <xf numFmtId="8" fontId="45" fillId="0" borderId="0" xfId="55" applyNumberFormat="1" applyFont="1" applyBorder="1" applyAlignment="1" applyProtection="1">
      <alignment horizontal="right"/>
      <protection locked="0"/>
    </xf>
    <xf numFmtId="2" fontId="41" fillId="0" borderId="15" xfId="55" applyNumberFormat="1" applyFont="1" applyBorder="1" applyAlignment="1">
      <alignment horizontal="center"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20" xfId="55" applyFont="1" applyBorder="1">
      <alignment/>
      <protection/>
    </xf>
    <xf numFmtId="0" fontId="1" fillId="0" borderId="0" xfId="55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Continuous"/>
      <protection/>
    </xf>
    <xf numFmtId="0" fontId="6" fillId="0" borderId="0" xfId="55" applyFont="1" applyFill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1" fillId="0" borderId="0" xfId="55" applyFont="1" applyFill="1" applyAlignment="1">
      <alignment horizontal="centerContinuous"/>
      <protection/>
    </xf>
    <xf numFmtId="0" fontId="11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11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23" fillId="0" borderId="14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5" xfId="55" applyFont="1" applyFill="1" applyBorder="1">
      <alignment/>
      <protection/>
    </xf>
    <xf numFmtId="0" fontId="6" fillId="0" borderId="14" xfId="55" applyFont="1" applyFill="1" applyBorder="1">
      <alignment/>
      <protection/>
    </xf>
    <xf numFmtId="0" fontId="6" fillId="0" borderId="15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4" fillId="0" borderId="0" xfId="55" applyFont="1" applyFill="1">
      <alignment/>
      <protection/>
    </xf>
    <xf numFmtId="0" fontId="23" fillId="0" borderId="0" xfId="55" applyFont="1" applyFill="1" applyBorder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168" fontId="6" fillId="0" borderId="0" xfId="55" applyNumberFormat="1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20" fillId="0" borderId="14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20" fillId="0" borderId="15" xfId="55" applyFont="1" applyFill="1" applyBorder="1" applyAlignment="1">
      <alignment horizontal="centerContinuous"/>
      <protection/>
    </xf>
    <xf numFmtId="0" fontId="6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left"/>
      <protection/>
    </xf>
    <xf numFmtId="0" fontId="1" fillId="0" borderId="16" xfId="55" applyFont="1" applyFill="1" applyBorder="1" applyAlignment="1" applyProtection="1">
      <alignment horizontal="left"/>
      <protection/>
    </xf>
    <xf numFmtId="0" fontId="1" fillId="0" borderId="29" xfId="55" applyFont="1" applyFill="1" applyBorder="1" applyAlignment="1" applyProtection="1">
      <alignment horizontal="center"/>
      <protection/>
    </xf>
    <xf numFmtId="0" fontId="1" fillId="0" borderId="29" xfId="55" applyFont="1" applyFill="1" applyBorder="1">
      <alignment/>
      <protection/>
    </xf>
    <xf numFmtId="0" fontId="1" fillId="0" borderId="21" xfId="55" applyFont="1" applyFill="1" applyBorder="1" applyAlignment="1">
      <alignment horizontal="center"/>
      <protection/>
    </xf>
    <xf numFmtId="0" fontId="1" fillId="0" borderId="16" xfId="55" applyFont="1" applyFill="1" applyBorder="1" applyAlignment="1" applyProtection="1" quotePrefix="1">
      <alignment horizontal="left"/>
      <protection/>
    </xf>
    <xf numFmtId="0" fontId="1" fillId="0" borderId="22" xfId="55" applyFont="1" applyFill="1" applyBorder="1" applyAlignment="1" applyProtection="1">
      <alignment horizontal="center"/>
      <protection/>
    </xf>
    <xf numFmtId="168" fontId="1" fillId="0" borderId="21" xfId="55" applyNumberFormat="1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22" fontId="6" fillId="0" borderId="0" xfId="55" applyNumberFormat="1" applyFont="1" applyFill="1" applyBorder="1">
      <alignment/>
      <protection/>
    </xf>
    <xf numFmtId="0" fontId="6" fillId="0" borderId="0" xfId="55" applyFont="1" applyAlignment="1">
      <alignment vertical="center"/>
      <protection/>
    </xf>
    <xf numFmtId="0" fontId="6" fillId="0" borderId="14" xfId="55" applyFont="1" applyFill="1" applyBorder="1" applyAlignment="1">
      <alignment vertical="center"/>
      <protection/>
    </xf>
    <xf numFmtId="0" fontId="25" fillId="0" borderId="21" xfId="55" applyFont="1" applyFill="1" applyBorder="1" applyAlignment="1" applyProtection="1">
      <alignment horizontal="center" vertical="center" wrapText="1"/>
      <protection/>
    </xf>
    <xf numFmtId="0" fontId="25" fillId="0" borderId="21" xfId="55" applyFont="1" applyFill="1" applyBorder="1" applyAlignment="1" applyProtection="1">
      <alignment horizontal="center" vertical="center"/>
      <protection/>
    </xf>
    <xf numFmtId="0" fontId="25" fillId="0" borderId="21" xfId="55" applyFont="1" applyFill="1" applyBorder="1" applyAlignment="1" applyProtection="1" quotePrefix="1">
      <alignment horizontal="center" vertical="center" wrapText="1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0" fontId="26" fillId="33" borderId="21" xfId="55" applyFont="1" applyFill="1" applyBorder="1" applyAlignment="1" applyProtection="1">
      <alignment horizontal="center" vertical="center"/>
      <protection/>
    </xf>
    <xf numFmtId="0" fontId="32" fillId="38" borderId="21" xfId="55" applyFont="1" applyFill="1" applyBorder="1" applyAlignment="1" applyProtection="1">
      <alignment horizontal="center" vertical="center"/>
      <protection/>
    </xf>
    <xf numFmtId="0" fontId="28" fillId="36" borderId="21" xfId="55" applyFont="1" applyFill="1" applyBorder="1" applyAlignment="1">
      <alignment horizontal="center" vertical="center" wrapText="1"/>
      <protection/>
    </xf>
    <xf numFmtId="0" fontId="46" fillId="39" borderId="21" xfId="55" applyFont="1" applyFill="1" applyBorder="1" applyAlignment="1">
      <alignment horizontal="center" vertical="center" wrapText="1"/>
      <protection/>
    </xf>
    <xf numFmtId="0" fontId="46" fillId="40" borderId="16" xfId="55" applyFont="1" applyFill="1" applyBorder="1" applyAlignment="1" applyProtection="1">
      <alignment horizontal="centerContinuous" vertical="center" wrapText="1"/>
      <protection/>
    </xf>
    <xf numFmtId="0" fontId="46" fillId="40" borderId="17" xfId="55" applyFont="1" applyFill="1" applyBorder="1" applyAlignment="1">
      <alignment horizontal="centerContinuous" vertical="center"/>
      <protection/>
    </xf>
    <xf numFmtId="0" fontId="47" fillId="41" borderId="16" xfId="55" applyFont="1" applyFill="1" applyBorder="1" applyAlignment="1" applyProtection="1">
      <alignment horizontal="centerContinuous" vertical="center" wrapText="1"/>
      <protection/>
    </xf>
    <xf numFmtId="0" fontId="47" fillId="41" borderId="17" xfId="55" applyFont="1" applyFill="1" applyBorder="1" applyAlignment="1">
      <alignment horizontal="centerContinuous" vertical="center"/>
      <protection/>
    </xf>
    <xf numFmtId="0" fontId="31" fillId="42" borderId="21" xfId="55" applyFont="1" applyFill="1" applyBorder="1" applyAlignment="1">
      <alignment horizontal="center" vertical="center" wrapText="1"/>
      <protection/>
    </xf>
    <xf numFmtId="0" fontId="46" fillId="43" borderId="21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vertical="center"/>
      <protection/>
    </xf>
    <xf numFmtId="0" fontId="6" fillId="0" borderId="30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Protection="1">
      <alignment/>
      <protection locked="0"/>
    </xf>
    <xf numFmtId="0" fontId="48" fillId="33" borderId="23" xfId="55" applyFont="1" applyFill="1" applyBorder="1" applyProtection="1">
      <alignment/>
      <protection locked="0"/>
    </xf>
    <xf numFmtId="0" fontId="6" fillId="0" borderId="23" xfId="55" applyFont="1" applyFill="1" applyBorder="1" applyAlignment="1">
      <alignment horizontal="center"/>
      <protection/>
    </xf>
    <xf numFmtId="0" fontId="49" fillId="39" borderId="23" xfId="55" applyFont="1" applyFill="1" applyBorder="1" applyProtection="1">
      <alignment/>
      <protection locked="0"/>
    </xf>
    <xf numFmtId="0" fontId="49" fillId="40" borderId="31" xfId="55" applyFont="1" applyFill="1" applyBorder="1" applyAlignment="1" applyProtection="1">
      <alignment horizontal="center"/>
      <protection locked="0"/>
    </xf>
    <xf numFmtId="0" fontId="49" fillId="40" borderId="32" xfId="55" applyFont="1" applyFill="1" applyBorder="1" applyProtection="1">
      <alignment/>
      <protection locked="0"/>
    </xf>
    <xf numFmtId="0" fontId="50" fillId="41" borderId="31" xfId="55" applyFont="1" applyFill="1" applyBorder="1" applyAlignment="1" applyProtection="1">
      <alignment horizontal="center"/>
      <protection locked="0"/>
    </xf>
    <xf numFmtId="0" fontId="50" fillId="41" borderId="32" xfId="55" applyFont="1" applyFill="1" applyBorder="1" applyProtection="1">
      <alignment/>
      <protection locked="0"/>
    </xf>
    <xf numFmtId="0" fontId="37" fillId="42" borderId="23" xfId="55" applyFont="1" applyFill="1" applyBorder="1" applyProtection="1">
      <alignment/>
      <protection locked="0"/>
    </xf>
    <xf numFmtId="0" fontId="49" fillId="43" borderId="23" xfId="55" applyFont="1" applyFill="1" applyBorder="1" applyProtection="1">
      <alignment/>
      <protection locked="0"/>
    </xf>
    <xf numFmtId="0" fontId="39" fillId="0" borderId="23" xfId="55" applyFont="1" applyFill="1" applyBorder="1" applyAlignment="1">
      <alignment horizontal="right"/>
      <protection/>
    </xf>
    <xf numFmtId="0" fontId="6" fillId="0" borderId="33" xfId="55" applyFont="1" applyFill="1" applyBorder="1" applyAlignment="1" applyProtection="1">
      <alignment horizontal="center"/>
      <protection locked="0"/>
    </xf>
    <xf numFmtId="0" fontId="6" fillId="0" borderId="24" xfId="55" applyFont="1" applyFill="1" applyBorder="1" applyProtection="1">
      <alignment/>
      <protection locked="0"/>
    </xf>
    <xf numFmtId="0" fontId="48" fillId="33" borderId="24" xfId="55" applyFont="1" applyFill="1" applyBorder="1" applyProtection="1">
      <alignment/>
      <protection locked="0"/>
    </xf>
    <xf numFmtId="0" fontId="6" fillId="0" borderId="24" xfId="55" applyFont="1" applyFill="1" applyBorder="1" applyAlignment="1" applyProtection="1">
      <alignment horizontal="center"/>
      <protection locked="0"/>
    </xf>
    <xf numFmtId="0" fontId="6" fillId="0" borderId="24" xfId="55" applyFont="1" applyFill="1" applyBorder="1" applyAlignment="1">
      <alignment horizontal="center"/>
      <protection/>
    </xf>
    <xf numFmtId="0" fontId="49" fillId="39" borderId="24" xfId="55" applyFont="1" applyFill="1" applyBorder="1" applyProtection="1">
      <alignment/>
      <protection locked="0"/>
    </xf>
    <xf numFmtId="0" fontId="49" fillId="40" borderId="34" xfId="55" applyFont="1" applyFill="1" applyBorder="1" applyAlignment="1" applyProtection="1">
      <alignment horizontal="center"/>
      <protection locked="0"/>
    </xf>
    <xf numFmtId="0" fontId="49" fillId="40" borderId="35" xfId="55" applyFont="1" applyFill="1" applyBorder="1" applyProtection="1">
      <alignment/>
      <protection locked="0"/>
    </xf>
    <xf numFmtId="0" fontId="50" fillId="41" borderId="34" xfId="55" applyFont="1" applyFill="1" applyBorder="1" applyAlignment="1" applyProtection="1">
      <alignment horizontal="center"/>
      <protection locked="0"/>
    </xf>
    <xf numFmtId="0" fontId="50" fillId="41" borderId="35" xfId="55" applyFont="1" applyFill="1" applyBorder="1" applyProtection="1">
      <alignment/>
      <protection locked="0"/>
    </xf>
    <xf numFmtId="0" fontId="37" fillId="42" borderId="24" xfId="55" applyFont="1" applyFill="1" applyBorder="1" applyProtection="1">
      <alignment/>
      <protection locked="0"/>
    </xf>
    <xf numFmtId="0" fontId="49" fillId="43" borderId="24" xfId="55" applyFont="1" applyFill="1" applyBorder="1" applyProtection="1">
      <alignment/>
      <protection locked="0"/>
    </xf>
    <xf numFmtId="0" fontId="39" fillId="0" borderId="35" xfId="55" applyFont="1" applyFill="1" applyBorder="1" applyAlignment="1">
      <alignment horizontal="right"/>
      <protection/>
    </xf>
    <xf numFmtId="169" fontId="6" fillId="0" borderId="25" xfId="55" applyNumberFormat="1" applyFont="1" applyBorder="1" applyAlignment="1" applyProtection="1" quotePrefix="1">
      <alignment horizontal="center"/>
      <protection locked="0"/>
    </xf>
    <xf numFmtId="2" fontId="6" fillId="0" borderId="25" xfId="55" applyNumberFormat="1" applyFont="1" applyBorder="1" applyAlignment="1" applyProtection="1" quotePrefix="1">
      <alignment horizontal="center"/>
      <protection locked="0"/>
    </xf>
    <xf numFmtId="172" fontId="48" fillId="33" borderId="24" xfId="55" applyNumberFormat="1" applyFont="1" applyFill="1" applyBorder="1" applyAlignment="1" applyProtection="1">
      <alignment horizontal="center"/>
      <protection locked="0"/>
    </xf>
    <xf numFmtId="22" fontId="6" fillId="0" borderId="24" xfId="55" applyNumberFormat="1" applyFont="1" applyFill="1" applyBorder="1" applyAlignment="1" applyProtection="1">
      <alignment horizontal="center"/>
      <protection locked="0"/>
    </xf>
    <xf numFmtId="2" fontId="6" fillId="0" borderId="24" xfId="55" applyNumberFormat="1" applyFont="1" applyFill="1" applyBorder="1" applyAlignment="1" applyProtection="1">
      <alignment horizontal="center"/>
      <protection/>
    </xf>
    <xf numFmtId="3" fontId="6" fillId="0" borderId="24" xfId="55" applyNumberFormat="1" applyFont="1" applyFill="1" applyBorder="1" applyAlignment="1" applyProtection="1">
      <alignment horizontal="center"/>
      <protection/>
    </xf>
    <xf numFmtId="172" fontId="6" fillId="0" borderId="24" xfId="55" applyNumberFormat="1" applyFont="1" applyFill="1" applyBorder="1" applyAlignment="1" applyProtection="1">
      <alignment horizontal="center"/>
      <protection locked="0"/>
    </xf>
    <xf numFmtId="172" fontId="6" fillId="0" borderId="24" xfId="55" applyNumberFormat="1" applyFont="1" applyFill="1" applyBorder="1" applyAlignment="1" applyProtection="1" quotePrefix="1">
      <alignment horizontal="center"/>
      <protection locked="0"/>
    </xf>
    <xf numFmtId="2" fontId="34" fillId="36" borderId="24" xfId="55" applyNumberFormat="1" applyFont="1" applyFill="1" applyBorder="1" applyAlignment="1" applyProtection="1">
      <alignment horizontal="center"/>
      <protection locked="0"/>
    </xf>
    <xf numFmtId="2" fontId="49" fillId="39" borderId="24" xfId="55" applyNumberFormat="1" applyFont="1" applyFill="1" applyBorder="1" applyAlignment="1" applyProtection="1">
      <alignment horizontal="center"/>
      <protection locked="0"/>
    </xf>
    <xf numFmtId="172" fontId="49" fillId="40" borderId="34" xfId="55" applyNumberFormat="1" applyFont="1" applyFill="1" applyBorder="1" applyAlignment="1" applyProtection="1" quotePrefix="1">
      <alignment horizontal="center"/>
      <protection locked="0"/>
    </xf>
    <xf numFmtId="172" fontId="49" fillId="40" borderId="36" xfId="55" applyNumberFormat="1" applyFont="1" applyFill="1" applyBorder="1" applyAlignment="1" applyProtection="1" quotePrefix="1">
      <alignment horizontal="center"/>
      <protection locked="0"/>
    </xf>
    <xf numFmtId="172" fontId="50" fillId="41" borderId="34" xfId="55" applyNumberFormat="1" applyFont="1" applyFill="1" applyBorder="1" applyAlignment="1" applyProtection="1" quotePrefix="1">
      <alignment horizontal="center"/>
      <protection locked="0"/>
    </xf>
    <xf numFmtId="172" fontId="50" fillId="41" borderId="36" xfId="55" applyNumberFormat="1" applyFont="1" applyFill="1" applyBorder="1" applyAlignment="1" applyProtection="1" quotePrefix="1">
      <alignment horizontal="center"/>
      <protection locked="0"/>
    </xf>
    <xf numFmtId="172" fontId="37" fillId="42" borderId="24" xfId="55" applyNumberFormat="1" applyFont="1" applyFill="1" applyBorder="1" applyAlignment="1" applyProtection="1" quotePrefix="1">
      <alignment horizontal="center"/>
      <protection locked="0"/>
    </xf>
    <xf numFmtId="172" fontId="49" fillId="43" borderId="25" xfId="55" applyNumberFormat="1" applyFont="1" applyFill="1" applyBorder="1" applyAlignment="1" applyProtection="1" quotePrefix="1">
      <alignment horizontal="center"/>
      <protection locked="0"/>
    </xf>
    <xf numFmtId="172" fontId="39" fillId="0" borderId="35" xfId="55" applyNumberFormat="1" applyFont="1" applyFill="1" applyBorder="1" applyAlignment="1">
      <alignment horizontal="right"/>
      <protection/>
    </xf>
    <xf numFmtId="2" fontId="6" fillId="0" borderId="15" xfId="55" applyNumberFormat="1" applyFont="1" applyFill="1" applyBorder="1">
      <alignment/>
      <protection/>
    </xf>
    <xf numFmtId="0" fontId="6" fillId="0" borderId="26" xfId="55" applyFont="1" applyFill="1" applyBorder="1">
      <alignment/>
      <protection/>
    </xf>
    <xf numFmtId="0" fontId="48" fillId="33" borderId="26" xfId="55" applyFont="1" applyFill="1" applyBorder="1">
      <alignment/>
      <protection/>
    </xf>
    <xf numFmtId="0" fontId="38" fillId="38" borderId="26" xfId="55" applyFont="1" applyFill="1" applyBorder="1">
      <alignment/>
      <protection/>
    </xf>
    <xf numFmtId="0" fontId="34" fillId="36" borderId="26" xfId="55" applyFont="1" applyFill="1" applyBorder="1">
      <alignment/>
      <protection/>
    </xf>
    <xf numFmtId="0" fontId="49" fillId="39" borderId="26" xfId="55" applyFont="1" applyFill="1" applyBorder="1">
      <alignment/>
      <protection/>
    </xf>
    <xf numFmtId="0" fontId="49" fillId="40" borderId="37" xfId="55" applyFont="1" applyFill="1" applyBorder="1">
      <alignment/>
      <protection/>
    </xf>
    <xf numFmtId="0" fontId="49" fillId="40" borderId="38" xfId="55" applyFont="1" applyFill="1" applyBorder="1">
      <alignment/>
      <protection/>
    </xf>
    <xf numFmtId="0" fontId="50" fillId="41" borderId="37" xfId="55" applyFont="1" applyFill="1" applyBorder="1">
      <alignment/>
      <protection/>
    </xf>
    <xf numFmtId="0" fontId="50" fillId="41" borderId="38" xfId="55" applyFont="1" applyFill="1" applyBorder="1">
      <alignment/>
      <protection/>
    </xf>
    <xf numFmtId="0" fontId="37" fillId="42" borderId="26" xfId="55" applyFont="1" applyFill="1" applyBorder="1">
      <alignment/>
      <protection/>
    </xf>
    <xf numFmtId="0" fontId="49" fillId="43" borderId="26" xfId="55" applyFont="1" applyFill="1" applyBorder="1">
      <alignment/>
      <protection/>
    </xf>
    <xf numFmtId="0" fontId="39" fillId="0" borderId="28" xfId="55" applyFont="1" applyFill="1" applyBorder="1" applyAlignment="1">
      <alignment horizontal="right"/>
      <protection/>
    </xf>
    <xf numFmtId="7" fontId="34" fillId="36" borderId="21" xfId="55" applyNumberFormat="1" applyFont="1" applyFill="1" applyBorder="1" applyAlignment="1">
      <alignment horizontal="center"/>
      <protection/>
    </xf>
    <xf numFmtId="7" fontId="49" fillId="39" borderId="21" xfId="55" applyNumberFormat="1" applyFont="1" applyFill="1" applyBorder="1" applyAlignment="1">
      <alignment horizontal="center"/>
      <protection/>
    </xf>
    <xf numFmtId="7" fontId="49" fillId="40" borderId="21" xfId="55" applyNumberFormat="1" applyFont="1" applyFill="1" applyBorder="1" applyAlignment="1">
      <alignment horizontal="center"/>
      <protection/>
    </xf>
    <xf numFmtId="7" fontId="49" fillId="40" borderId="39" xfId="55" applyNumberFormat="1" applyFont="1" applyFill="1" applyBorder="1" applyAlignment="1">
      <alignment horizontal="center"/>
      <protection/>
    </xf>
    <xf numFmtId="7" fontId="50" fillId="41" borderId="21" xfId="55" applyNumberFormat="1" applyFont="1" applyFill="1" applyBorder="1" applyAlignment="1">
      <alignment horizontal="center"/>
      <protection/>
    </xf>
    <xf numFmtId="7" fontId="37" fillId="42" borderId="21" xfId="55" applyNumberFormat="1" applyFont="1" applyFill="1" applyBorder="1" applyAlignment="1">
      <alignment horizontal="center"/>
      <protection/>
    </xf>
    <xf numFmtId="7" fontId="49" fillId="43" borderId="21" xfId="55" applyNumberFormat="1" applyFont="1" applyFill="1" applyBorder="1" applyAlignment="1">
      <alignment horizontal="center"/>
      <protection/>
    </xf>
    <xf numFmtId="0" fontId="6" fillId="0" borderId="40" xfId="55" applyFont="1" applyFill="1" applyBorder="1">
      <alignment/>
      <protection/>
    </xf>
    <xf numFmtId="7" fontId="2" fillId="0" borderId="21" xfId="55" applyNumberFormat="1" applyFont="1" applyFill="1" applyBorder="1" applyAlignment="1" applyProtection="1">
      <alignment horizontal="right"/>
      <protection locked="0"/>
    </xf>
    <xf numFmtId="0" fontId="41" fillId="0" borderId="14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7" fontId="41" fillId="0" borderId="0" xfId="55" applyNumberFormat="1" applyFont="1" applyFill="1" applyBorder="1" applyAlignment="1">
      <alignment horizontal="center"/>
      <protection/>
    </xf>
    <xf numFmtId="7" fontId="41" fillId="0" borderId="0" xfId="55" applyNumberFormat="1" applyFont="1" applyFill="1" applyBorder="1" applyAlignment="1" applyProtection="1">
      <alignment horizontal="right"/>
      <protection locked="0"/>
    </xf>
    <xf numFmtId="0" fontId="41" fillId="0" borderId="15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0" fontId="6" fillId="0" borderId="19" xfId="55" applyFont="1" applyFill="1" applyBorder="1">
      <alignment/>
      <protection/>
    </xf>
    <xf numFmtId="0" fontId="6" fillId="0" borderId="2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8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11" fillId="0" borderId="0" xfId="55" applyFont="1" applyAlignment="1">
      <alignment horizontal="centerContinuous"/>
      <protection/>
    </xf>
    <xf numFmtId="0" fontId="51" fillId="0" borderId="0" xfId="55" applyFont="1" applyBorder="1">
      <alignment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" fillId="0" borderId="16" xfId="55" applyFont="1" applyBorder="1" applyAlignment="1" applyProtection="1">
      <alignment horizontal="left"/>
      <protection/>
    </xf>
    <xf numFmtId="174" fontId="1" fillId="0" borderId="39" xfId="55" applyNumberFormat="1" applyFont="1" applyBorder="1" applyAlignment="1" applyProtection="1">
      <alignment horizontal="center"/>
      <protection/>
    </xf>
    <xf numFmtId="0" fontId="1" fillId="0" borderId="21" xfId="55" applyFont="1" applyBorder="1" applyAlignment="1">
      <alignment horizontal="center"/>
      <protection/>
    </xf>
    <xf numFmtId="22" fontId="6" fillId="0" borderId="0" xfId="55" applyNumberFormat="1" applyFont="1" applyBorder="1">
      <alignment/>
      <protection/>
    </xf>
    <xf numFmtId="0" fontId="1" fillId="0" borderId="16" xfId="55" applyFont="1" applyBorder="1">
      <alignment/>
      <protection/>
    </xf>
    <xf numFmtId="174" fontId="52" fillId="0" borderId="39" xfId="55" applyNumberFormat="1" applyFont="1" applyBorder="1" applyAlignment="1">
      <alignment horizontal="center"/>
      <protection/>
    </xf>
    <xf numFmtId="0" fontId="1" fillId="0" borderId="26" xfId="55" applyFont="1" applyBorder="1" applyAlignment="1">
      <alignment horizontal="center"/>
      <protection/>
    </xf>
    <xf numFmtId="174" fontId="6" fillId="0" borderId="0" xfId="55" applyNumberFormat="1" applyFont="1" applyBorder="1">
      <alignment/>
      <protection/>
    </xf>
    <xf numFmtId="0" fontId="6" fillId="0" borderId="0" xfId="55" applyFont="1" applyBorder="1" applyAlignment="1" quotePrefix="1">
      <alignment horizontal="center"/>
      <protection/>
    </xf>
    <xf numFmtId="0" fontId="1" fillId="0" borderId="16" xfId="55" applyFont="1" applyBorder="1" applyAlignment="1">
      <alignment horizontal="left"/>
      <protection/>
    </xf>
    <xf numFmtId="1" fontId="1" fillId="0" borderId="26" xfId="55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5" fillId="0" borderId="14" xfId="55" applyFont="1" applyBorder="1">
      <alignment/>
      <protection/>
    </xf>
    <xf numFmtId="0" fontId="25" fillId="0" borderId="17" xfId="55" applyFont="1" applyFill="1" applyBorder="1" applyAlignment="1" applyProtection="1">
      <alignment horizontal="center" vertical="center"/>
      <protection/>
    </xf>
    <xf numFmtId="0" fontId="25" fillId="0" borderId="22" xfId="55" applyFont="1" applyFill="1" applyBorder="1" applyAlignment="1">
      <alignment horizontal="center" vertical="center" wrapText="1"/>
      <protection/>
    </xf>
    <xf numFmtId="0" fontId="46" fillId="43" borderId="21" xfId="55" applyFont="1" applyFill="1" applyBorder="1" applyAlignment="1" applyProtection="1">
      <alignment horizontal="center" vertical="center"/>
      <protection/>
    </xf>
    <xf numFmtId="0" fontId="53" fillId="42" borderId="21" xfId="55" applyFont="1" applyFill="1" applyBorder="1" applyAlignment="1">
      <alignment horizontal="center" vertical="center" wrapText="1"/>
      <protection/>
    </xf>
    <xf numFmtId="0" fontId="46" fillId="41" borderId="16" xfId="55" applyFont="1" applyFill="1" applyBorder="1" applyAlignment="1" applyProtection="1">
      <alignment horizontal="centerContinuous" vertical="center" wrapText="1"/>
      <protection/>
    </xf>
    <xf numFmtId="0" fontId="46" fillId="41" borderId="17" xfId="55" applyFont="1" applyFill="1" applyBorder="1" applyAlignment="1">
      <alignment horizontal="centerContinuous" vertical="center"/>
      <protection/>
    </xf>
    <xf numFmtId="0" fontId="28" fillId="44" borderId="21" xfId="55" applyFont="1" applyFill="1" applyBorder="1" applyAlignment="1">
      <alignment horizontal="center" vertical="center" wrapText="1"/>
      <protection/>
    </xf>
    <xf numFmtId="0" fontId="25" fillId="0" borderId="15" xfId="55" applyFont="1" applyFill="1" applyBorder="1">
      <alignment/>
      <protection/>
    </xf>
    <xf numFmtId="168" fontId="6" fillId="0" borderId="24" xfId="55" applyNumberFormat="1" applyFont="1" applyFill="1" applyBorder="1" applyAlignment="1" applyProtection="1">
      <alignment horizontal="center"/>
      <protection locked="0"/>
    </xf>
    <xf numFmtId="0" fontId="33" fillId="33" borderId="23" xfId="55" applyFont="1" applyFill="1" applyBorder="1" applyAlignment="1" applyProtection="1">
      <alignment horizontal="center"/>
      <protection locked="0"/>
    </xf>
    <xf numFmtId="0" fontId="6" fillId="0" borderId="35" xfId="55" applyFont="1" applyFill="1" applyBorder="1" applyAlignment="1" applyProtection="1">
      <alignment horizontal="center"/>
      <protection locked="0"/>
    </xf>
    <xf numFmtId="0" fontId="54" fillId="43" borderId="23" xfId="55" applyFont="1" applyFill="1" applyBorder="1" applyAlignment="1" applyProtection="1">
      <alignment horizontal="center"/>
      <protection locked="0"/>
    </xf>
    <xf numFmtId="0" fontId="55" fillId="42" borderId="23" xfId="55" applyFont="1" applyFill="1" applyBorder="1" applyAlignment="1" applyProtection="1">
      <alignment horizontal="center"/>
      <protection locked="0"/>
    </xf>
    <xf numFmtId="172" fontId="49" fillId="41" borderId="31" xfId="55" applyNumberFormat="1" applyFont="1" applyFill="1" applyBorder="1" applyAlignment="1" applyProtection="1" quotePrefix="1">
      <alignment horizontal="center"/>
      <protection locked="0"/>
    </xf>
    <xf numFmtId="172" fontId="49" fillId="41" borderId="41" xfId="55" applyNumberFormat="1" applyFont="1" applyFill="1" applyBorder="1" applyAlignment="1" applyProtection="1" quotePrefix="1">
      <alignment horizontal="center"/>
      <protection locked="0"/>
    </xf>
    <xf numFmtId="172" fontId="34" fillId="44" borderId="23" xfId="55" applyNumberFormat="1" applyFont="1" applyFill="1" applyBorder="1" applyAlignment="1" applyProtection="1" quotePrefix="1">
      <alignment horizontal="center"/>
      <protection locked="0"/>
    </xf>
    <xf numFmtId="0" fontId="6" fillId="0" borderId="33" xfId="55" applyFont="1" applyFill="1" applyBorder="1" applyAlignment="1" applyProtection="1">
      <alignment horizontal="left"/>
      <protection locked="0"/>
    </xf>
    <xf numFmtId="0" fontId="39" fillId="0" borderId="24" xfId="55" applyFont="1" applyFill="1" applyBorder="1" applyAlignment="1">
      <alignment horizontal="center"/>
      <protection/>
    </xf>
    <xf numFmtId="0" fontId="56" fillId="0" borderId="33" xfId="55" applyFont="1" applyFill="1" applyBorder="1" applyAlignment="1" applyProtection="1">
      <alignment horizontal="center"/>
      <protection locked="0"/>
    </xf>
    <xf numFmtId="175" fontId="5" fillId="0" borderId="24" xfId="55" applyNumberFormat="1" applyFont="1" applyFill="1" applyBorder="1" applyAlignment="1" applyProtection="1">
      <alignment horizontal="center"/>
      <protection locked="0"/>
    </xf>
    <xf numFmtId="174" fontId="33" fillId="33" borderId="24" xfId="55" applyNumberFormat="1" applyFont="1" applyFill="1" applyBorder="1" applyAlignment="1" applyProtection="1">
      <alignment horizontal="center"/>
      <protection locked="0"/>
    </xf>
    <xf numFmtId="22" fontId="6" fillId="0" borderId="25" xfId="55" applyNumberFormat="1" applyFont="1" applyFill="1" applyBorder="1" applyAlignment="1" applyProtection="1">
      <alignment horizontal="center"/>
      <protection locked="0"/>
    </xf>
    <xf numFmtId="22" fontId="6" fillId="0" borderId="36" xfId="55" applyNumberFormat="1" applyFont="1" applyFill="1" applyBorder="1" applyAlignment="1" applyProtection="1">
      <alignment horizontal="center"/>
      <protection locked="0"/>
    </xf>
    <xf numFmtId="168" fontId="6" fillId="0" borderId="24" xfId="55" applyNumberFormat="1" applyFont="1" applyFill="1" applyBorder="1" applyAlignment="1" applyProtection="1" quotePrefix="1">
      <alignment horizontal="center"/>
      <protection/>
    </xf>
    <xf numFmtId="168" fontId="54" fillId="43" borderId="24" xfId="55" applyNumberFormat="1" applyFont="1" applyFill="1" applyBorder="1" applyAlignment="1" applyProtection="1">
      <alignment horizontal="center"/>
      <protection locked="0"/>
    </xf>
    <xf numFmtId="2" fontId="55" fillId="42" borderId="24" xfId="55" applyNumberFormat="1" applyFont="1" applyFill="1" applyBorder="1" applyAlignment="1" applyProtection="1">
      <alignment horizontal="center"/>
      <protection locked="0"/>
    </xf>
    <xf numFmtId="172" fontId="49" fillId="41" borderId="34" xfId="55" applyNumberFormat="1" applyFont="1" applyFill="1" applyBorder="1" applyAlignment="1" applyProtection="1" quotePrefix="1">
      <alignment horizontal="center"/>
      <protection locked="0"/>
    </xf>
    <xf numFmtId="172" fontId="49" fillId="41" borderId="36" xfId="55" applyNumberFormat="1" applyFont="1" applyFill="1" applyBorder="1" applyAlignment="1" applyProtection="1" quotePrefix="1">
      <alignment horizontal="center"/>
      <protection locked="0"/>
    </xf>
    <xf numFmtId="172" fontId="34" fillId="44" borderId="24" xfId="55" applyNumberFormat="1" applyFont="1" applyFill="1" applyBorder="1" applyAlignment="1" applyProtection="1" quotePrefix="1">
      <alignment horizontal="center"/>
      <protection locked="0"/>
    </xf>
    <xf numFmtId="172" fontId="6" fillId="0" borderId="33" xfId="55" applyNumberFormat="1" applyFont="1" applyFill="1" applyBorder="1" applyAlignment="1" applyProtection="1">
      <alignment horizontal="center"/>
      <protection locked="0"/>
    </xf>
    <xf numFmtId="172" fontId="39" fillId="0" borderId="24" xfId="55" applyNumberFormat="1" applyFont="1" applyFill="1" applyBorder="1" applyAlignment="1">
      <alignment horizontal="center"/>
      <protection/>
    </xf>
    <xf numFmtId="175" fontId="5" fillId="0" borderId="24" xfId="55" applyNumberFormat="1" applyFont="1" applyFill="1" applyBorder="1" applyAlignment="1" applyProtection="1" quotePrefix="1">
      <alignment horizontal="center"/>
      <protection locked="0"/>
    </xf>
    <xf numFmtId="172" fontId="39" fillId="0" borderId="24" xfId="55" applyNumberFormat="1" applyFont="1" applyFill="1" applyBorder="1" applyAlignment="1">
      <alignment horizontal="right"/>
      <protection/>
    </xf>
    <xf numFmtId="0" fontId="33" fillId="33" borderId="26" xfId="55" applyFont="1" applyFill="1" applyBorder="1">
      <alignment/>
      <protection/>
    </xf>
    <xf numFmtId="0" fontId="54" fillId="43" borderId="26" xfId="55" applyFont="1" applyFill="1" applyBorder="1">
      <alignment/>
      <protection/>
    </xf>
    <xf numFmtId="0" fontId="55" fillId="42" borderId="26" xfId="55" applyFont="1" applyFill="1" applyBorder="1">
      <alignment/>
      <protection/>
    </xf>
    <xf numFmtId="0" fontId="49" fillId="41" borderId="37" xfId="55" applyFont="1" applyFill="1" applyBorder="1">
      <alignment/>
      <protection/>
    </xf>
    <xf numFmtId="0" fontId="49" fillId="41" borderId="38" xfId="55" applyFont="1" applyFill="1" applyBorder="1">
      <alignment/>
      <protection/>
    </xf>
    <xf numFmtId="0" fontId="34" fillId="44" borderId="26" xfId="55" applyFont="1" applyFill="1" applyBorder="1">
      <alignment/>
      <protection/>
    </xf>
    <xf numFmtId="0" fontId="39" fillId="0" borderId="28" xfId="55" applyFont="1" applyFill="1" applyBorder="1">
      <alignment/>
      <protection/>
    </xf>
    <xf numFmtId="2" fontId="55" fillId="42" borderId="21" xfId="55" applyNumberFormat="1" applyFont="1" applyFill="1" applyBorder="1" applyAlignment="1">
      <alignment horizontal="center"/>
      <protection/>
    </xf>
    <xf numFmtId="2" fontId="49" fillId="41" borderId="21" xfId="55" applyNumberFormat="1" applyFont="1" applyFill="1" applyBorder="1" applyAlignment="1">
      <alignment horizontal="center"/>
      <protection/>
    </xf>
    <xf numFmtId="2" fontId="34" fillId="44" borderId="21" xfId="55" applyNumberFormat="1" applyFont="1" applyFill="1" applyBorder="1" applyAlignment="1">
      <alignment horizontal="center"/>
      <protection/>
    </xf>
    <xf numFmtId="7" fontId="6" fillId="0" borderId="0" xfId="55" applyNumberFormat="1" applyFont="1" applyFill="1" applyBorder="1" applyAlignment="1">
      <alignment horizontal="center"/>
      <protection/>
    </xf>
    <xf numFmtId="7" fontId="2" fillId="0" borderId="21" xfId="55" applyNumberFormat="1" applyFont="1" applyFill="1" applyBorder="1" applyAlignment="1" applyProtection="1">
      <alignment horizontal="right"/>
      <protection locked="0"/>
    </xf>
    <xf numFmtId="7" fontId="45" fillId="0" borderId="0" xfId="55" applyNumberFormat="1" applyFont="1" applyFill="1" applyBorder="1" applyAlignment="1" applyProtection="1">
      <alignment horizontal="center"/>
      <protection locked="0"/>
    </xf>
    <xf numFmtId="0" fontId="1" fillId="0" borderId="0" xfId="55" applyFont="1">
      <alignment/>
      <protection/>
    </xf>
    <xf numFmtId="0" fontId="57" fillId="0" borderId="0" xfId="55" applyFont="1" applyAlignment="1">
      <alignment horizontal="right" vertical="top"/>
      <protection/>
    </xf>
    <xf numFmtId="0" fontId="57" fillId="0" borderId="0" xfId="55" applyFont="1" applyFill="1" applyAlignment="1">
      <alignment horizontal="right" vertical="top"/>
      <protection/>
    </xf>
    <xf numFmtId="0" fontId="21" fillId="0" borderId="0" xfId="55" applyFont="1" applyBorder="1" applyAlignment="1">
      <alignment horizontal="center"/>
      <protection/>
    </xf>
    <xf numFmtId="0" fontId="58" fillId="0" borderId="0" xfId="55" applyNumberFormat="1" applyFont="1" applyBorder="1" applyAlignment="1">
      <alignment horizontal="left"/>
      <protection/>
    </xf>
    <xf numFmtId="0" fontId="6" fillId="0" borderId="33" xfId="55" applyFont="1" applyFill="1" applyBorder="1" applyProtection="1">
      <alignment/>
      <protection locked="0"/>
    </xf>
    <xf numFmtId="0" fontId="25" fillId="0" borderId="21" xfId="0" applyFont="1" applyBorder="1" applyAlignment="1">
      <alignment horizontal="center" vertical="center"/>
    </xf>
    <xf numFmtId="0" fontId="1" fillId="33" borderId="4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Border="1" applyAlignment="1" quotePrefix="1">
      <alignment/>
    </xf>
    <xf numFmtId="0" fontId="60" fillId="33" borderId="42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0" fillId="0" borderId="42" xfId="0" applyFont="1" applyFill="1" applyBorder="1" applyAlignment="1">
      <alignment horizontal="center"/>
    </xf>
    <xf numFmtId="0" fontId="1" fillId="45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Border="1" applyAlignment="1">
      <alignment/>
    </xf>
    <xf numFmtId="0" fontId="61" fillId="0" borderId="42" xfId="0" applyFont="1" applyFill="1" applyBorder="1" applyAlignment="1">
      <alignment/>
    </xf>
    <xf numFmtId="0" fontId="61" fillId="0" borderId="43" xfId="0" applyFont="1" applyFill="1" applyBorder="1" applyAlignment="1">
      <alignment/>
    </xf>
    <xf numFmtId="174" fontId="1" fillId="0" borderId="39" xfId="55" applyNumberFormat="1" applyFont="1" applyBorder="1" applyAlignment="1">
      <alignment horizontal="center"/>
      <protection/>
    </xf>
    <xf numFmtId="0" fontId="54" fillId="0" borderId="0" xfId="55" applyFont="1" applyBorder="1">
      <alignment/>
      <protection/>
    </xf>
    <xf numFmtId="0" fontId="54" fillId="0" borderId="0" xfId="55" applyFont="1" applyFill="1" applyBorder="1">
      <alignment/>
      <protection/>
    </xf>
    <xf numFmtId="169" fontId="6" fillId="0" borderId="25" xfId="55" applyNumberFormat="1" applyFont="1" applyBorder="1" applyAlignment="1" applyProtection="1">
      <alignment horizontal="center"/>
      <protection locked="0"/>
    </xf>
    <xf numFmtId="0" fontId="63" fillId="0" borderId="0" xfId="55" applyFont="1" applyBorder="1" applyAlignment="1">
      <alignment horizontal="left"/>
      <protection/>
    </xf>
    <xf numFmtId="0" fontId="6" fillId="0" borderId="25" xfId="55" applyNumberFormat="1" applyFont="1" applyBorder="1" applyAlignment="1" applyProtection="1">
      <alignment horizontal="center"/>
      <protection locked="0"/>
    </xf>
    <xf numFmtId="0" fontId="1" fillId="0" borderId="0" xfId="56">
      <alignment/>
      <protection/>
    </xf>
    <xf numFmtId="0" fontId="57" fillId="0" borderId="0" xfId="56" applyFont="1" applyAlignment="1">
      <alignment horizontal="right" vertical="top"/>
      <protection/>
    </xf>
    <xf numFmtId="0" fontId="66" fillId="0" borderId="0" xfId="56" applyFont="1">
      <alignment/>
      <protection/>
    </xf>
    <xf numFmtId="0" fontId="67" fillId="0" borderId="0" xfId="56" applyFont="1" applyAlignment="1">
      <alignment horizontal="centerContinuous"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60" fillId="0" borderId="0" xfId="56" applyFont="1" applyAlignment="1">
      <alignment horizontal="centerContinuous" vertical="center"/>
      <protection/>
    </xf>
    <xf numFmtId="0" fontId="60" fillId="0" borderId="0" xfId="56" applyFont="1">
      <alignment/>
      <protection/>
    </xf>
    <xf numFmtId="0" fontId="68" fillId="0" borderId="0" xfId="56" applyFont="1" applyBorder="1" applyAlignment="1">
      <alignment horizontal="centerContinuous"/>
      <protection/>
    </xf>
    <xf numFmtId="0" fontId="69" fillId="0" borderId="0" xfId="56" applyFont="1" applyBorder="1" applyAlignment="1" applyProtection="1">
      <alignment horizontal="left"/>
      <protection/>
    </xf>
    <xf numFmtId="0" fontId="70" fillId="0" borderId="0" xfId="56" applyFont="1" applyBorder="1" applyAlignment="1">
      <alignment horizontal="centerContinuous"/>
      <protection/>
    </xf>
    <xf numFmtId="0" fontId="71" fillId="0" borderId="0" xfId="56" applyFont="1" applyBorder="1" applyAlignment="1" applyProtection="1">
      <alignment horizontal="centerContinuous"/>
      <protection/>
    </xf>
    <xf numFmtId="0" fontId="1" fillId="0" borderId="0" xfId="56" applyAlignment="1">
      <alignment horizontal="centerContinuous"/>
      <protection/>
    </xf>
    <xf numFmtId="0" fontId="71" fillId="0" borderId="0" xfId="56" applyFont="1" applyAlignment="1">
      <alignment horizontal="centerContinuous"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72" fillId="0" borderId="12" xfId="56" applyFont="1" applyBorder="1">
      <alignment/>
      <protection/>
    </xf>
    <xf numFmtId="0" fontId="1" fillId="0" borderId="13" xfId="56" applyBorder="1">
      <alignment/>
      <protection/>
    </xf>
    <xf numFmtId="0" fontId="20" fillId="0" borderId="14" xfId="56" applyFont="1" applyBorder="1" applyAlignment="1">
      <alignment horizontal="centerContinuous"/>
      <protection/>
    </xf>
    <xf numFmtId="0" fontId="72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5" xfId="56" applyBorder="1" applyAlignment="1">
      <alignment horizontal="centerContinuous"/>
      <protection/>
    </xf>
    <xf numFmtId="0" fontId="1" fillId="0" borderId="14" xfId="56" applyBorder="1">
      <alignment/>
      <protection/>
    </xf>
    <xf numFmtId="0" fontId="1" fillId="0" borderId="44" xfId="56" applyBorder="1">
      <alignment/>
      <protection/>
    </xf>
    <xf numFmtId="0" fontId="72" fillId="0" borderId="0" xfId="56" applyFont="1" applyBorder="1" applyAlignment="1" applyProtection="1">
      <alignment horizontal="center"/>
      <protection/>
    </xf>
    <xf numFmtId="0" fontId="72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5" xfId="56" applyBorder="1">
      <alignment/>
      <protection/>
    </xf>
    <xf numFmtId="0" fontId="73" fillId="0" borderId="0" xfId="56" applyFont="1" applyAlignment="1">
      <alignment horizontal="centerContinuous" vertical="center"/>
      <protection/>
    </xf>
    <xf numFmtId="0" fontId="73" fillId="0" borderId="14" xfId="56" applyFont="1" applyBorder="1" applyAlignment="1">
      <alignment horizontal="centerContinuous" vertical="center"/>
      <protection/>
    </xf>
    <xf numFmtId="0" fontId="73" fillId="46" borderId="45" xfId="56" applyFont="1" applyFill="1" applyBorder="1" applyAlignment="1" applyProtection="1">
      <alignment horizontal="centerContinuous" vertical="center"/>
      <protection/>
    </xf>
    <xf numFmtId="0" fontId="73" fillId="46" borderId="45" xfId="56" applyFont="1" applyFill="1" applyBorder="1" applyAlignment="1" applyProtection="1">
      <alignment horizontal="centerContinuous" vertical="center" wrapText="1"/>
      <protection/>
    </xf>
    <xf numFmtId="172" fontId="73" fillId="46" borderId="21" xfId="56" applyNumberFormat="1" applyFont="1" applyFill="1" applyBorder="1" applyAlignment="1" applyProtection="1">
      <alignment horizontal="centerContinuous" vertical="center" wrapText="1"/>
      <protection/>
    </xf>
    <xf numFmtId="17" fontId="73" fillId="46" borderId="17" xfId="56" applyNumberFormat="1" applyFont="1" applyFill="1" applyBorder="1" applyAlignment="1">
      <alignment horizontal="center" vertical="center"/>
      <protection/>
    </xf>
    <xf numFmtId="0" fontId="73" fillId="0" borderId="15" xfId="56" applyFont="1" applyBorder="1" applyAlignment="1">
      <alignment vertical="center"/>
      <protection/>
    </xf>
    <xf numFmtId="0" fontId="73" fillId="0" borderId="0" xfId="56" applyFont="1" applyAlignment="1">
      <alignment vertical="center"/>
      <protection/>
    </xf>
    <xf numFmtId="0" fontId="73" fillId="0" borderId="14" xfId="56" applyFont="1" applyBorder="1" applyAlignment="1">
      <alignment vertical="center"/>
      <protection/>
    </xf>
    <xf numFmtId="0" fontId="73" fillId="0" borderId="33" xfId="56" applyFont="1" applyBorder="1" applyAlignment="1">
      <alignment vertical="center"/>
      <protection/>
    </xf>
    <xf numFmtId="0" fontId="73" fillId="0" borderId="46" xfId="56" applyFont="1" applyBorder="1" applyAlignment="1">
      <alignment vertical="center"/>
      <protection/>
    </xf>
    <xf numFmtId="0" fontId="73" fillId="0" borderId="28" xfId="56" applyFont="1" applyBorder="1" applyAlignment="1">
      <alignment vertical="center"/>
      <protection/>
    </xf>
    <xf numFmtId="0" fontId="73" fillId="0" borderId="47" xfId="56" applyFont="1" applyBorder="1" applyAlignment="1">
      <alignment vertical="center"/>
      <protection/>
    </xf>
    <xf numFmtId="0" fontId="73" fillId="47" borderId="33" xfId="56" applyFont="1" applyFill="1" applyBorder="1" applyAlignment="1">
      <alignment horizontal="center" vertical="center"/>
      <protection/>
    </xf>
    <xf numFmtId="0" fontId="73" fillId="47" borderId="48" xfId="56" applyFont="1" applyFill="1" applyBorder="1" applyAlignment="1" applyProtection="1">
      <alignment horizontal="center" vertical="center"/>
      <protection/>
    </xf>
    <xf numFmtId="2" fontId="73" fillId="47" borderId="25" xfId="56" applyNumberFormat="1" applyFont="1" applyFill="1" applyBorder="1" applyAlignment="1" applyProtection="1">
      <alignment horizontal="center" vertical="center"/>
      <protection/>
    </xf>
    <xf numFmtId="0" fontId="73" fillId="48" borderId="33" xfId="56" applyFont="1" applyFill="1" applyBorder="1" applyAlignment="1">
      <alignment horizontal="center" vertical="center"/>
      <protection/>
    </xf>
    <xf numFmtId="0" fontId="73" fillId="48" borderId="48" xfId="56" applyFont="1" applyFill="1" applyBorder="1" applyAlignment="1" applyProtection="1">
      <alignment horizontal="center" vertical="center"/>
      <protection/>
    </xf>
    <xf numFmtId="2" fontId="73" fillId="48" borderId="25" xfId="56" applyNumberFormat="1" applyFont="1" applyFill="1" applyBorder="1" applyAlignment="1" applyProtection="1">
      <alignment horizontal="center" vertical="center"/>
      <protection/>
    </xf>
    <xf numFmtId="0" fontId="73" fillId="48" borderId="25" xfId="56" applyFont="1" applyFill="1" applyBorder="1" applyAlignment="1">
      <alignment horizontal="center" vertical="center"/>
      <protection/>
    </xf>
    <xf numFmtId="0" fontId="73" fillId="48" borderId="49" xfId="56" applyFont="1" applyFill="1" applyBorder="1" applyAlignment="1" applyProtection="1">
      <alignment horizontal="center" vertical="center"/>
      <protection/>
    </xf>
    <xf numFmtId="2" fontId="73" fillId="48" borderId="50" xfId="56" applyNumberFormat="1" applyFont="1" applyFill="1" applyBorder="1" applyAlignment="1" applyProtection="1">
      <alignment horizontal="center" vertical="center"/>
      <protection/>
    </xf>
    <xf numFmtId="0" fontId="73" fillId="48" borderId="25" xfId="56" applyFont="1" applyFill="1" applyBorder="1" applyAlignment="1" applyProtection="1">
      <alignment horizontal="center" vertical="center"/>
      <protection/>
    </xf>
    <xf numFmtId="0" fontId="73" fillId="0" borderId="0" xfId="56" applyFont="1" applyBorder="1" applyAlignment="1">
      <alignment horizontal="center" vertical="center"/>
      <protection/>
    </xf>
    <xf numFmtId="0" fontId="73" fillId="0" borderId="0" xfId="56" applyFont="1" applyBorder="1" applyAlignment="1" applyProtection="1">
      <alignment horizontal="left" vertical="center"/>
      <protection/>
    </xf>
    <xf numFmtId="0" fontId="74" fillId="0" borderId="29" xfId="56" applyFont="1" applyBorder="1" applyAlignment="1" applyProtection="1">
      <alignment horizontal="right" vertical="center"/>
      <protection/>
    </xf>
    <xf numFmtId="172" fontId="74" fillId="0" borderId="27" xfId="56" applyNumberFormat="1" applyFont="1" applyBorder="1" applyAlignment="1" applyProtection="1">
      <alignment horizontal="center" vertical="center"/>
      <protection/>
    </xf>
    <xf numFmtId="1" fontId="73" fillId="0" borderId="21" xfId="56" applyNumberFormat="1" applyFont="1" applyFill="1" applyBorder="1" applyAlignment="1">
      <alignment horizontal="center" vertical="center"/>
      <protection/>
    </xf>
    <xf numFmtId="1" fontId="73" fillId="0" borderId="21" xfId="56" applyNumberFormat="1" applyFont="1" applyBorder="1" applyAlignment="1">
      <alignment horizontal="center" vertical="center"/>
      <protection/>
    </xf>
    <xf numFmtId="0" fontId="73" fillId="0" borderId="0" xfId="56" applyFont="1" applyBorder="1" applyAlignment="1">
      <alignment vertical="center"/>
      <protection/>
    </xf>
    <xf numFmtId="0" fontId="73" fillId="0" borderId="0" xfId="56" applyFont="1" applyBorder="1" applyAlignment="1" applyProtection="1">
      <alignment horizontal="center" vertical="center"/>
      <protection/>
    </xf>
    <xf numFmtId="0" fontId="74" fillId="0" borderId="0" xfId="56" applyFont="1" applyAlignment="1">
      <alignment horizontal="right" vertical="center"/>
      <protection/>
    </xf>
    <xf numFmtId="1" fontId="73" fillId="0" borderId="21" xfId="56" applyNumberFormat="1" applyFont="1" applyBorder="1" applyAlignment="1" applyProtection="1">
      <alignment horizontal="center" vertical="center"/>
      <protection/>
    </xf>
    <xf numFmtId="17" fontId="74" fillId="0" borderId="0" xfId="56" applyNumberFormat="1" applyFont="1" applyBorder="1" applyAlignment="1">
      <alignment horizontal="right" vertical="center"/>
      <protection/>
    </xf>
    <xf numFmtId="2" fontId="74" fillId="49" borderId="27" xfId="57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5" xfId="56" applyNumberFormat="1" applyBorder="1" applyAlignment="1">
      <alignment horizontal="center"/>
      <protection/>
    </xf>
    <xf numFmtId="0" fontId="75" fillId="0" borderId="14" xfId="56" applyFont="1" applyBorder="1">
      <alignment/>
      <protection/>
    </xf>
    <xf numFmtId="0" fontId="1" fillId="0" borderId="16" xfId="56" applyFont="1" applyBorder="1">
      <alignment/>
      <protection/>
    </xf>
    <xf numFmtId="0" fontId="76" fillId="0" borderId="22" xfId="56" applyFont="1" applyBorder="1" applyAlignment="1">
      <alignment horizontal="center"/>
      <protection/>
    </xf>
    <xf numFmtId="2" fontId="77" fillId="0" borderId="22" xfId="56" applyNumberFormat="1" applyFont="1" applyBorder="1" applyAlignment="1">
      <alignment horizontal="center"/>
      <protection/>
    </xf>
    <xf numFmtId="0" fontId="78" fillId="0" borderId="22" xfId="56" applyFont="1" applyBorder="1">
      <alignment/>
      <protection/>
    </xf>
    <xf numFmtId="0" fontId="1" fillId="0" borderId="22" xfId="56" applyBorder="1">
      <alignment/>
      <protection/>
    </xf>
    <xf numFmtId="0" fontId="1" fillId="0" borderId="17" xfId="56" applyBorder="1">
      <alignment/>
      <protection/>
    </xf>
    <xf numFmtId="1" fontId="1" fillId="0" borderId="0" xfId="56" applyNumberFormat="1" applyBorder="1" applyAlignment="1">
      <alignment horizontal="center"/>
      <protection/>
    </xf>
    <xf numFmtId="0" fontId="75" fillId="0" borderId="18" xfId="56" applyFont="1" applyBorder="1">
      <alignment/>
      <protection/>
    </xf>
    <xf numFmtId="0" fontId="3" fillId="0" borderId="19" xfId="56" applyFont="1" applyBorder="1" applyAlignment="1" applyProtection="1">
      <alignment horizontal="left"/>
      <protection/>
    </xf>
    <xf numFmtId="0" fontId="6" fillId="0" borderId="19" xfId="56" applyFont="1" applyBorder="1">
      <alignment/>
      <protection/>
    </xf>
    <xf numFmtId="0" fontId="3" fillId="0" borderId="19" xfId="56" applyFont="1" applyBorder="1" applyAlignment="1">
      <alignment horizontal="center"/>
      <protection/>
    </xf>
    <xf numFmtId="0" fontId="1" fillId="0" borderId="19" xfId="56" applyBorder="1">
      <alignment/>
      <protection/>
    </xf>
    <xf numFmtId="0" fontId="1" fillId="0" borderId="20" xfId="56" applyBorder="1">
      <alignment/>
      <protection/>
    </xf>
    <xf numFmtId="2" fontId="1" fillId="0" borderId="0" xfId="56" applyNumberFormat="1">
      <alignment/>
      <protection/>
    </xf>
    <xf numFmtId="0" fontId="4" fillId="0" borderId="0" xfId="55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Cuyo" xfId="55"/>
    <cellStyle name="Normal_T0002CUY" xfId="56"/>
    <cellStyle name="Normal_T9904CUY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19050</xdr:rowOff>
    </xdr:from>
    <xdr:to>
      <xdr:col>0</xdr:col>
      <xdr:colOff>1181100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19050</xdr:rowOff>
    </xdr:from>
    <xdr:to>
      <xdr:col>0</xdr:col>
      <xdr:colOff>1162050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1057275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28575</xdr:rowOff>
    </xdr:from>
    <xdr:to>
      <xdr:col>1</xdr:col>
      <xdr:colOff>76200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5">
          <cell r="HY15">
            <v>41760</v>
          </cell>
          <cell r="HZ15">
            <v>41791</v>
          </cell>
          <cell r="IA15">
            <v>41821</v>
          </cell>
          <cell r="IB15">
            <v>41852</v>
          </cell>
          <cell r="IC15">
            <v>41883</v>
          </cell>
          <cell r="ID15">
            <v>41913</v>
          </cell>
          <cell r="IE15">
            <v>41944</v>
          </cell>
          <cell r="IF15">
            <v>41974</v>
          </cell>
          <cell r="IG15">
            <v>42005</v>
          </cell>
          <cell r="IH15">
            <v>42036</v>
          </cell>
          <cell r="II15">
            <v>42064</v>
          </cell>
          <cell r="IJ15">
            <v>42095</v>
          </cell>
          <cell r="IK15">
            <v>42125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IB17">
            <v>3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IB20">
            <v>1</v>
          </cell>
          <cell r="IH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IH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  <cell r="IC23">
            <v>1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  <cell r="IC24">
            <v>1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I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  <cell r="IF30">
            <v>1</v>
          </cell>
          <cell r="IH30">
            <v>1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  <cell r="IH31">
            <v>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Y32" t="str">
            <v>XXXX</v>
          </cell>
          <cell r="HZ32" t="str">
            <v>XXXX</v>
          </cell>
          <cell r="IA32" t="str">
            <v>XXXX</v>
          </cell>
          <cell r="IB32" t="str">
            <v>XXXX</v>
          </cell>
          <cell r="IC32" t="str">
            <v>XXXX</v>
          </cell>
          <cell r="ID32" t="str">
            <v>XXXX</v>
          </cell>
          <cell r="IE32" t="str">
            <v>XXXX</v>
          </cell>
          <cell r="IF32" t="str">
            <v>XXXX</v>
          </cell>
          <cell r="IG32" t="str">
            <v>XXXX</v>
          </cell>
          <cell r="IH32" t="str">
            <v>XXXX</v>
          </cell>
          <cell r="II32" t="str">
            <v>XXXX</v>
          </cell>
          <cell r="IJ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  <cell r="IC34">
            <v>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</row>
        <row r="38">
          <cell r="C38">
            <v>22</v>
          </cell>
          <cell r="D38" t="str">
            <v>CACHEUTA - LUJAN DE CUYO</v>
          </cell>
          <cell r="E38">
            <v>132</v>
          </cell>
          <cell r="F38">
            <v>14</v>
          </cell>
          <cell r="II38">
            <v>1</v>
          </cell>
        </row>
        <row r="42">
          <cell r="HY42">
            <v>1.19</v>
          </cell>
          <cell r="HZ42">
            <v>1.03</v>
          </cell>
          <cell r="IA42">
            <v>0.95</v>
          </cell>
          <cell r="IB42">
            <v>1.03</v>
          </cell>
          <cell r="IC42">
            <v>1.27</v>
          </cell>
          <cell r="ID42">
            <v>1.5</v>
          </cell>
          <cell r="IE42">
            <v>1.34</v>
          </cell>
          <cell r="IF42">
            <v>1.19</v>
          </cell>
          <cell r="IG42">
            <v>1.19</v>
          </cell>
          <cell r="IH42">
            <v>1.19</v>
          </cell>
          <cell r="II42">
            <v>1.27</v>
          </cell>
          <cell r="IJ42">
            <v>1.19</v>
          </cell>
          <cell r="IK42">
            <v>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5"/>
    </row>
    <row r="2" spans="2:10" s="6" customFormat="1" ht="26.25">
      <c r="B2" s="7" t="s">
        <v>180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04" t="s">
        <v>3</v>
      </c>
      <c r="B4" s="50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04" t="s">
        <v>4</v>
      </c>
      <c r="B5" s="50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169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'LI-05 (1)'!AA42</f>
        <v>5022.49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'T-05 (1)'!AC43</f>
        <v>7488.41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'SA-05 (1)'!V43</f>
        <v>3757.31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16268.21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7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8" t="s">
        <v>170</v>
      </c>
      <c r="D30" s="41"/>
      <c r="F30" s="397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5" zoomScaleNormal="75" zoomScalePageLayoutView="0" workbookViewId="0" topLeftCell="A1">
      <selection activeCell="G31" sqref="G31"/>
    </sheetView>
  </sheetViews>
  <sheetFormatPr defaultColWidth="11.421875" defaultRowHeight="12.75"/>
  <cols>
    <col min="1" max="1" width="21.710937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6.4218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tr">
        <f>+'TOT-0515'!B2</f>
        <v>ANEXO VI al Memorándum D.T.E.E. N°  784 /2015            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+'TOT-0515'!B14</f>
        <v>Desde el 01 al 31 de mayo de 2015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535.246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511.46</v>
      </c>
      <c r="H15" s="90"/>
      <c r="I15" s="12"/>
      <c r="J15" s="91"/>
      <c r="K15" s="92" t="s">
        <v>18</v>
      </c>
      <c r="L15" s="93">
        <f>30*'TOT-0515'!B13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>
        <v>511.46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9"/>
    </row>
    <row r="18" spans="2:28" s="96" customFormat="1" ht="34.5" customHeight="1" thickBot="1" thickTop="1">
      <c r="B18" s="97"/>
      <c r="C18" s="400" t="s">
        <v>20</v>
      </c>
      <c r="D18" s="400" t="s">
        <v>74</v>
      </c>
      <c r="E18" s="400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288236</v>
      </c>
      <c r="E21" s="128">
        <v>4662</v>
      </c>
      <c r="F21" s="126" t="s">
        <v>161</v>
      </c>
      <c r="G21" s="126">
        <v>132</v>
      </c>
      <c r="H21" s="138">
        <v>54.4</v>
      </c>
      <c r="I21" s="139">
        <f aca="true" t="shared" si="0" ref="I21:I40">IF(G21=220,$G$14*IF(H21&gt;25,H21,25),IF(G21=132,$G$15*IF(H21&gt;25,+H21,25),$G$16*IF(H21&gt;25,H21,25)))/100</f>
        <v>278.23424</v>
      </c>
      <c r="J21" s="140">
        <v>42133.31875</v>
      </c>
      <c r="K21" s="140">
        <v>42133.770833333336</v>
      </c>
      <c r="L21" s="141">
        <f aca="true" t="shared" si="1" ref="L21:L40">IF(F21="","",(K21-J21)*24)</f>
        <v>10.850000000093132</v>
      </c>
      <c r="M21" s="142">
        <f aca="true" t="shared" si="2" ref="M21:M40">IF(F21="","",ROUND((K21-J21)*24*60,0))</f>
        <v>651</v>
      </c>
      <c r="N21" s="143" t="s">
        <v>131</v>
      </c>
      <c r="O21" s="143" t="s">
        <v>132</v>
      </c>
      <c r="P21" s="145">
        <f aca="true" t="shared" si="3" ref="P21:P40">IF(N21="P",ROUND(M21/60,2)*I21*$L$15*0.01,"--")</f>
        <v>905.6524512000001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905.6524512000001</v>
      </c>
      <c r="AB21" s="155"/>
    </row>
    <row r="22" spans="2:28" s="10" customFormat="1" ht="16.5" customHeight="1">
      <c r="B22" s="44"/>
      <c r="C22" s="128">
        <v>2</v>
      </c>
      <c r="D22" s="128">
        <v>288237</v>
      </c>
      <c r="E22" s="128">
        <v>716</v>
      </c>
      <c r="F22" s="126" t="s">
        <v>133</v>
      </c>
      <c r="G22" s="126">
        <v>132</v>
      </c>
      <c r="H22" s="138">
        <v>46.45000076293945</v>
      </c>
      <c r="I22" s="139">
        <f t="shared" si="0"/>
        <v>237.57317390213012</v>
      </c>
      <c r="J22" s="140">
        <v>42134.339583333334</v>
      </c>
      <c r="K22" s="140">
        <v>42134.774305555555</v>
      </c>
      <c r="L22" s="141">
        <f t="shared" si="1"/>
        <v>10.433333333290648</v>
      </c>
      <c r="M22" s="142">
        <f t="shared" si="2"/>
        <v>626</v>
      </c>
      <c r="N22" s="143" t="s">
        <v>131</v>
      </c>
      <c r="O22" s="143" t="s">
        <v>132</v>
      </c>
      <c r="P22" s="145">
        <f t="shared" si="3"/>
        <v>743.3664611397652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743.3664611397652</v>
      </c>
      <c r="AB22" s="155"/>
    </row>
    <row r="23" spans="2:28" s="10" customFormat="1" ht="16.5" customHeight="1">
      <c r="B23" s="44"/>
      <c r="C23" s="128">
        <v>3</v>
      </c>
      <c r="D23" s="128">
        <v>288486</v>
      </c>
      <c r="E23" s="128">
        <v>714</v>
      </c>
      <c r="F23" s="126" t="s">
        <v>134</v>
      </c>
      <c r="G23" s="126">
        <v>132</v>
      </c>
      <c r="H23" s="138">
        <v>122.12999725341797</v>
      </c>
      <c r="I23" s="139">
        <f t="shared" si="0"/>
        <v>624.6460839523315</v>
      </c>
      <c r="J23" s="140">
        <v>42136.39166666667</v>
      </c>
      <c r="K23" s="140">
        <v>42136.745833333334</v>
      </c>
      <c r="L23" s="141">
        <f t="shared" si="1"/>
        <v>8.499999999941792</v>
      </c>
      <c r="M23" s="142">
        <f t="shared" si="2"/>
        <v>510</v>
      </c>
      <c r="N23" s="143" t="s">
        <v>131</v>
      </c>
      <c r="O23" s="143" t="s">
        <v>132</v>
      </c>
      <c r="P23" s="145">
        <f t="shared" si="3"/>
        <v>1592.8475140784453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1592.8475140784453</v>
      </c>
      <c r="AB23" s="155"/>
    </row>
    <row r="24" spans="2:28" s="10" customFormat="1" ht="16.5" customHeight="1">
      <c r="B24" s="44"/>
      <c r="C24" s="128">
        <v>4</v>
      </c>
      <c r="D24" s="128">
        <v>288487</v>
      </c>
      <c r="E24" s="128">
        <v>714</v>
      </c>
      <c r="F24" s="126" t="s">
        <v>134</v>
      </c>
      <c r="G24" s="126">
        <v>132</v>
      </c>
      <c r="H24" s="138">
        <v>122.12999725341797</v>
      </c>
      <c r="I24" s="139">
        <f t="shared" si="0"/>
        <v>624.6460839523315</v>
      </c>
      <c r="J24" s="140">
        <v>42137.41180555556</v>
      </c>
      <c r="K24" s="140">
        <v>42137.73125</v>
      </c>
      <c r="L24" s="141">
        <f t="shared" si="1"/>
        <v>7.666666666511446</v>
      </c>
      <c r="M24" s="142">
        <f t="shared" si="2"/>
        <v>460</v>
      </c>
      <c r="N24" s="143" t="s">
        <v>131</v>
      </c>
      <c r="O24" s="143" t="s">
        <v>132</v>
      </c>
      <c r="P24" s="145">
        <f t="shared" si="3"/>
        <v>1437.310639174315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1437.310639174315</v>
      </c>
      <c r="AB24" s="155"/>
    </row>
    <row r="25" spans="2:28" s="10" customFormat="1" ht="16.5" customHeight="1">
      <c r="B25" s="44"/>
      <c r="C25" s="128">
        <v>5</v>
      </c>
      <c r="D25" s="128">
        <v>288488</v>
      </c>
      <c r="E25" s="128">
        <v>715</v>
      </c>
      <c r="F25" s="126" t="s">
        <v>135</v>
      </c>
      <c r="G25" s="126">
        <v>132</v>
      </c>
      <c r="H25" s="138">
        <v>15.59000015258789</v>
      </c>
      <c r="I25" s="139">
        <f t="shared" si="0"/>
        <v>127.865</v>
      </c>
      <c r="J25" s="140">
        <v>42141.3875</v>
      </c>
      <c r="K25" s="140">
        <v>42141.6125</v>
      </c>
      <c r="L25" s="141">
        <f t="shared" si="1"/>
        <v>5.400000000139698</v>
      </c>
      <c r="M25" s="142">
        <f t="shared" si="2"/>
        <v>324</v>
      </c>
      <c r="N25" s="143" t="s">
        <v>131</v>
      </c>
      <c r="O25" s="143" t="s">
        <v>132</v>
      </c>
      <c r="P25" s="145">
        <f t="shared" si="3"/>
        <v>207.1413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207.1413</v>
      </c>
      <c r="AB25" s="155"/>
    </row>
    <row r="26" spans="2:28" s="10" customFormat="1" ht="16.5" customHeight="1">
      <c r="B26" s="44"/>
      <c r="C26" s="128">
        <v>6</v>
      </c>
      <c r="D26" s="128">
        <v>288659</v>
      </c>
      <c r="E26" s="128">
        <v>715</v>
      </c>
      <c r="F26" s="126" t="s">
        <v>135</v>
      </c>
      <c r="G26" s="126">
        <v>132</v>
      </c>
      <c r="H26" s="138">
        <v>15.59000015258789</v>
      </c>
      <c r="I26" s="139">
        <f t="shared" si="0"/>
        <v>127.865</v>
      </c>
      <c r="J26" s="140">
        <v>42144.104166666664</v>
      </c>
      <c r="K26" s="140">
        <v>42144.25208333333</v>
      </c>
      <c r="L26" s="141">
        <f t="shared" si="1"/>
        <v>3.550000000046566</v>
      </c>
      <c r="M26" s="142">
        <f t="shared" si="2"/>
        <v>213</v>
      </c>
      <c r="N26" s="140" t="s">
        <v>131</v>
      </c>
      <c r="O26" s="143" t="s">
        <v>132</v>
      </c>
      <c r="P26" s="145">
        <f t="shared" si="3"/>
        <v>136.176225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136.176225</v>
      </c>
      <c r="AB26" s="155"/>
    </row>
    <row r="27" spans="2:28" s="10" customFormat="1" ht="16.5" customHeight="1">
      <c r="B27" s="44"/>
      <c r="C27" s="128"/>
      <c r="D27" s="128"/>
      <c r="E27" s="128"/>
      <c r="F27" s="126"/>
      <c r="G27" s="126"/>
      <c r="H27" s="138"/>
      <c r="I27" s="139">
        <f t="shared" si="0"/>
        <v>127.865</v>
      </c>
      <c r="J27" s="140"/>
      <c r="K27" s="140"/>
      <c r="L27" s="141">
        <f t="shared" si="1"/>
      </c>
      <c r="M27" s="142">
        <f t="shared" si="2"/>
      </c>
      <c r="N27" s="140"/>
      <c r="O27" s="144">
        <f aca="true" t="shared" si="15" ref="O27:O40">IF(F27="","","--")</f>
      </c>
      <c r="P27" s="145" t="str">
        <f t="shared" si="3"/>
        <v>--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>
        <f t="shared" si="13"/>
      </c>
      <c r="AA27" s="154">
        <f t="shared" si="14"/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>
        <f t="shared" si="0"/>
        <v>127.865</v>
      </c>
      <c r="J28" s="140"/>
      <c r="K28" s="140"/>
      <c r="L28" s="141">
        <f t="shared" si="1"/>
      </c>
      <c r="M28" s="142">
        <f t="shared" si="2"/>
      </c>
      <c r="N28" s="140"/>
      <c r="O28" s="144">
        <f t="shared" si="15"/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>
        <f t="shared" si="13"/>
      </c>
      <c r="AA28" s="154">
        <f t="shared" si="14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>
        <f t="shared" si="0"/>
        <v>127.865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5"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>
        <f t="shared" si="0"/>
        <v>127.865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>
        <f t="shared" si="0"/>
        <v>127.865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>
        <f t="shared" si="0"/>
        <v>127.865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>
        <f t="shared" si="0"/>
        <v>127.865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>
        <f t="shared" si="0"/>
        <v>127.865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>
        <f t="shared" si="0"/>
        <v>127.865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>
        <f t="shared" si="0"/>
        <v>127.865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>
        <f t="shared" si="0"/>
        <v>127.865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>
        <f t="shared" si="0"/>
        <v>127.865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>
        <f t="shared" si="0"/>
        <v>127.865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>
        <f t="shared" si="0"/>
        <v>127.865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73</v>
      </c>
      <c r="D42" s="420" t="s">
        <v>162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5022.494590592526</v>
      </c>
      <c r="Q42" s="177">
        <f t="shared" si="16"/>
        <v>0</v>
      </c>
      <c r="R42" s="178">
        <f t="shared" si="16"/>
        <v>0</v>
      </c>
      <c r="S42" s="178">
        <f t="shared" si="16"/>
        <v>0</v>
      </c>
      <c r="T42" s="178">
        <f t="shared" si="16"/>
        <v>0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5022.49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6"/>
  <sheetViews>
    <sheetView zoomScale="75" zoomScaleNormal="75" zoomScalePageLayoutView="0" workbookViewId="0" topLeftCell="A1">
      <selection activeCell="D18" sqref="D18"/>
    </sheetView>
  </sheetViews>
  <sheetFormatPr defaultColWidth="11.421875" defaultRowHeight="12.75"/>
  <cols>
    <col min="1" max="1" width="21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8.57421875" style="1" hidden="1" customWidth="1"/>
    <col min="11" max="12" width="16.4218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6"/>
    </row>
    <row r="2" spans="2:30" s="6" customFormat="1" ht="26.25">
      <c r="B2" s="68" t="str">
        <f>+'TOT-0515'!B2</f>
        <v>ANEXO VI al Memorándum D.T.E.E. N°  784 /2015            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+'TOT-0515'!B14</f>
        <v>Desde el 01 al 31 de mayo de 2015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1.787</v>
      </c>
      <c r="J16" s="208"/>
      <c r="K16" s="233">
        <v>0.2325</v>
      </c>
      <c r="L16" s="64" t="s">
        <v>168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30*'TOT-0515'!B13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418">
        <v>23</v>
      </c>
      <c r="X18" s="418">
        <v>24</v>
      </c>
      <c r="Y18" s="418">
        <v>25</v>
      </c>
      <c r="Z18" s="418">
        <v>26</v>
      </c>
      <c r="AA18" s="418">
        <v>27</v>
      </c>
      <c r="AB18" s="418">
        <v>28</v>
      </c>
      <c r="AC18" s="418">
        <v>29</v>
      </c>
      <c r="AD18" s="218"/>
    </row>
    <row r="19" spans="2:30" s="239" customFormat="1" ht="34.5" customHeight="1" thickBot="1" thickTop="1">
      <c r="B19" s="240"/>
      <c r="C19" s="400" t="s">
        <v>20</v>
      </c>
      <c r="D19" s="400" t="s">
        <v>74</v>
      </c>
      <c r="E19" s="400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6.5" customHeight="1">
      <c r="B22" s="217"/>
      <c r="C22" s="269"/>
      <c r="D22" s="269"/>
      <c r="E22" s="269"/>
      <c r="F22" s="126"/>
      <c r="G22" s="128"/>
      <c r="H22" s="419"/>
      <c r="I22" s="138"/>
      <c r="J22" s="284"/>
      <c r="K22" s="285"/>
      <c r="L22" s="285"/>
      <c r="M22" s="286"/>
      <c r="N22" s="287"/>
      <c r="O22" s="288"/>
      <c r="P22" s="289"/>
      <c r="Q22" s="288"/>
      <c r="R22" s="288"/>
      <c r="S22" s="152"/>
      <c r="T22" s="290"/>
      <c r="U22" s="291"/>
      <c r="V22" s="292"/>
      <c r="W22" s="293"/>
      <c r="X22" s="294"/>
      <c r="Y22" s="295"/>
      <c r="Z22" s="296"/>
      <c r="AA22" s="297"/>
      <c r="AB22" s="288"/>
      <c r="AC22" s="298"/>
      <c r="AD22" s="299"/>
    </row>
    <row r="23" spans="2:30" s="10" customFormat="1" ht="16.5" customHeight="1">
      <c r="B23" s="217"/>
      <c r="C23" s="269">
        <v>8</v>
      </c>
      <c r="D23" s="269">
        <v>288238</v>
      </c>
      <c r="E23" s="269">
        <v>1013</v>
      </c>
      <c r="F23" s="126" t="s">
        <v>137</v>
      </c>
      <c r="G23" s="128" t="s">
        <v>138</v>
      </c>
      <c r="H23" s="282">
        <v>150</v>
      </c>
      <c r="I23" s="138" t="s">
        <v>139</v>
      </c>
      <c r="J23" s="284">
        <f aca="true" t="shared" si="0" ref="J23:J41">H23*$I$16</f>
        <v>268.05</v>
      </c>
      <c r="K23" s="285">
        <v>42131.39722222222</v>
      </c>
      <c r="L23" s="285">
        <v>42131.73055555556</v>
      </c>
      <c r="M23" s="286">
        <f aca="true" t="shared" si="1" ref="M23:M41">IF(F23="","",(L23-K23)*24)</f>
        <v>8.000000000058208</v>
      </c>
      <c r="N23" s="287">
        <f aca="true" t="shared" si="2" ref="N23:N41">IF(F23="","",ROUND((L23-K23)*24*60,0))</f>
        <v>480</v>
      </c>
      <c r="O23" s="288" t="s">
        <v>131</v>
      </c>
      <c r="P23" s="289" t="str">
        <f aca="true" t="shared" si="3" ref="P23:P41">IF(F23="","",IF(OR(O23="P",O23="RP"),"--","NO"))</f>
        <v>--</v>
      </c>
      <c r="Q23" s="288" t="s">
        <v>132</v>
      </c>
      <c r="R23" s="288" t="str">
        <f aca="true" t="shared" si="4" ref="R23:R41">IF(F23="","","NO")</f>
        <v>NO</v>
      </c>
      <c r="S23" s="152">
        <f aca="true" t="shared" si="5" ref="S23:S41">$I$17*IF(OR(O23="P",O23="RP"),0.1,1)*IF(R23="SI",1,0.1)</f>
        <v>0.30000000000000004</v>
      </c>
      <c r="T23" s="290">
        <f aca="true" t="shared" si="6" ref="T23:T41">IF(O23="P",J23*S23*ROUND(N23/60,2),"--")</f>
        <v>643.3200000000002</v>
      </c>
      <c r="U23" s="291" t="str">
        <f aca="true" t="shared" si="7" ref="U23:U41">IF(O23="RP",J23*S23*ROUND(N23/60,2)*Q23/100,"--")</f>
        <v>--</v>
      </c>
      <c r="V23" s="292" t="str">
        <f aca="true" t="shared" si="8" ref="V23:V41">IF(AND(O23="F",P23="NO"),J23*S23,"--")</f>
        <v>--</v>
      </c>
      <c r="W23" s="293" t="str">
        <f aca="true" t="shared" si="9" ref="W23:W41">IF(O23="F",J23*S23*ROUND(N23/60,2),"--")</f>
        <v>--</v>
      </c>
      <c r="X23" s="294" t="str">
        <f aca="true" t="shared" si="10" ref="X23:X41">IF(AND(O23="R",P23="NO"),J23*S23*Q23/100,"--")</f>
        <v>--</v>
      </c>
      <c r="Y23" s="295" t="str">
        <f aca="true" t="shared" si="11" ref="Y23:Y41">IF(O23="R",J23*S23*ROUND(N23/60,2)*Q23/100,"--")</f>
        <v>--</v>
      </c>
      <c r="Z23" s="296" t="str">
        <f aca="true" t="shared" si="12" ref="Z23:Z41">IF(O23="RF",J23*S23*ROUND(N23/60,2),"--")</f>
        <v>--</v>
      </c>
      <c r="AA23" s="297" t="str">
        <f aca="true" t="shared" si="13" ref="AA23:AA41">IF(O23="RR",J23*S23*ROUND(N23/60,2)*Q23/100,"--")</f>
        <v>--</v>
      </c>
      <c r="AB23" s="288" t="s">
        <v>136</v>
      </c>
      <c r="AC23" s="298">
        <f aca="true" t="shared" si="14" ref="AC23:AC41">IF(F23="","",SUM(T23:AA23)*IF(AB23="SI",1,2))</f>
        <v>643.3200000000002</v>
      </c>
      <c r="AD23" s="299"/>
    </row>
    <row r="24" spans="2:30" s="10" customFormat="1" ht="16.5" customHeight="1">
      <c r="B24" s="217"/>
      <c r="C24" s="269">
        <v>9</v>
      </c>
      <c r="D24" s="269">
        <v>288239</v>
      </c>
      <c r="E24" s="269">
        <v>861</v>
      </c>
      <c r="F24" s="126" t="s">
        <v>140</v>
      </c>
      <c r="G24" s="128" t="s">
        <v>141</v>
      </c>
      <c r="H24" s="282">
        <v>20</v>
      </c>
      <c r="I24" s="138" t="s">
        <v>142</v>
      </c>
      <c r="J24" s="284">
        <f t="shared" si="0"/>
        <v>35.739999999999995</v>
      </c>
      <c r="K24" s="285">
        <v>42131.40833333333</v>
      </c>
      <c r="L24" s="285">
        <v>42131.48888888889</v>
      </c>
      <c r="M24" s="286">
        <f t="shared" si="1"/>
        <v>1.9333333333488554</v>
      </c>
      <c r="N24" s="287">
        <f t="shared" si="2"/>
        <v>116</v>
      </c>
      <c r="O24" s="288" t="s">
        <v>143</v>
      </c>
      <c r="P24" s="289" t="str">
        <f t="shared" si="3"/>
        <v>--</v>
      </c>
      <c r="Q24" s="289">
        <v>25</v>
      </c>
      <c r="R24" s="288" t="str">
        <f t="shared" si="4"/>
        <v>NO</v>
      </c>
      <c r="S24" s="152">
        <f t="shared" si="5"/>
        <v>0.30000000000000004</v>
      </c>
      <c r="T24" s="290" t="str">
        <f t="shared" si="6"/>
        <v>--</v>
      </c>
      <c r="U24" s="291">
        <f t="shared" si="7"/>
        <v>5.173365</v>
      </c>
      <c r="V24" s="292" t="str">
        <f t="shared" si="8"/>
        <v>--</v>
      </c>
      <c r="W24" s="293" t="str">
        <f t="shared" si="9"/>
        <v>--</v>
      </c>
      <c r="X24" s="294" t="str">
        <f t="shared" si="10"/>
        <v>--</v>
      </c>
      <c r="Y24" s="295" t="str">
        <f t="shared" si="11"/>
        <v>--</v>
      </c>
      <c r="Z24" s="296" t="str">
        <f t="shared" si="12"/>
        <v>--</v>
      </c>
      <c r="AA24" s="297" t="str">
        <f t="shared" si="13"/>
        <v>--</v>
      </c>
      <c r="AB24" s="288" t="s">
        <v>136</v>
      </c>
      <c r="AC24" s="298">
        <f t="shared" si="14"/>
        <v>5.173365</v>
      </c>
      <c r="AD24" s="218"/>
    </row>
    <row r="25" spans="2:30" s="10" customFormat="1" ht="16.5" customHeight="1">
      <c r="B25" s="217"/>
      <c r="C25" s="269">
        <v>10</v>
      </c>
      <c r="D25" s="269">
        <v>288240</v>
      </c>
      <c r="E25" s="269">
        <v>4477</v>
      </c>
      <c r="F25" s="126" t="s">
        <v>140</v>
      </c>
      <c r="G25" s="128" t="s">
        <v>146</v>
      </c>
      <c r="H25" s="419">
        <v>20</v>
      </c>
      <c r="I25" s="138" t="s">
        <v>142</v>
      </c>
      <c r="J25" s="284">
        <f t="shared" si="0"/>
        <v>35.739999999999995</v>
      </c>
      <c r="K25" s="285">
        <v>42131.490277777775</v>
      </c>
      <c r="L25" s="285">
        <v>42131.529861111114</v>
      </c>
      <c r="M25" s="286">
        <f t="shared" si="1"/>
        <v>0.9500000001280569</v>
      </c>
      <c r="N25" s="287">
        <f t="shared" si="2"/>
        <v>57</v>
      </c>
      <c r="O25" s="288" t="s">
        <v>143</v>
      </c>
      <c r="P25" s="289" t="str">
        <f t="shared" si="3"/>
        <v>--</v>
      </c>
      <c r="Q25" s="289">
        <v>25</v>
      </c>
      <c r="R25" s="288" t="str">
        <f t="shared" si="4"/>
        <v>NO</v>
      </c>
      <c r="S25" s="152">
        <f t="shared" si="5"/>
        <v>0.30000000000000004</v>
      </c>
      <c r="T25" s="290" t="str">
        <f t="shared" si="6"/>
        <v>--</v>
      </c>
      <c r="U25" s="291">
        <f t="shared" si="7"/>
        <v>2.5464749999999996</v>
      </c>
      <c r="V25" s="292" t="str">
        <f t="shared" si="8"/>
        <v>--</v>
      </c>
      <c r="W25" s="293" t="str">
        <f t="shared" si="9"/>
        <v>--</v>
      </c>
      <c r="X25" s="294" t="str">
        <f t="shared" si="10"/>
        <v>--</v>
      </c>
      <c r="Y25" s="295" t="str">
        <f t="shared" si="11"/>
        <v>--</v>
      </c>
      <c r="Z25" s="296" t="str">
        <f t="shared" si="12"/>
        <v>--</v>
      </c>
      <c r="AA25" s="297" t="str">
        <f t="shared" si="13"/>
        <v>--</v>
      </c>
      <c r="AB25" s="288" t="s">
        <v>136</v>
      </c>
      <c r="AC25" s="298">
        <f t="shared" si="14"/>
        <v>2.5464749999999996</v>
      </c>
      <c r="AD25" s="218"/>
    </row>
    <row r="26" spans="2:30" s="10" customFormat="1" ht="16.5" customHeight="1">
      <c r="B26" s="217"/>
      <c r="C26" s="269">
        <v>11</v>
      </c>
      <c r="D26" s="269">
        <v>288241</v>
      </c>
      <c r="E26" s="269">
        <v>1014</v>
      </c>
      <c r="F26" s="126" t="s">
        <v>144</v>
      </c>
      <c r="G26" s="128" t="s">
        <v>141</v>
      </c>
      <c r="H26" s="282">
        <v>150</v>
      </c>
      <c r="I26" s="421" t="s">
        <v>139</v>
      </c>
      <c r="J26" s="284">
        <f t="shared" si="0"/>
        <v>268.05</v>
      </c>
      <c r="K26" s="285">
        <v>42132.384722222225</v>
      </c>
      <c r="L26" s="285">
        <v>42132.65138888889</v>
      </c>
      <c r="M26" s="286">
        <f t="shared" si="1"/>
        <v>6.399999999906868</v>
      </c>
      <c r="N26" s="287">
        <f t="shared" si="2"/>
        <v>384</v>
      </c>
      <c r="O26" s="288" t="s">
        <v>131</v>
      </c>
      <c r="P26" s="289" t="str">
        <f t="shared" si="3"/>
        <v>--</v>
      </c>
      <c r="Q26" s="288" t="s">
        <v>132</v>
      </c>
      <c r="R26" s="288" t="str">
        <f t="shared" si="4"/>
        <v>NO</v>
      </c>
      <c r="S26" s="152">
        <f t="shared" si="5"/>
        <v>0.30000000000000004</v>
      </c>
      <c r="T26" s="290">
        <f t="shared" si="6"/>
        <v>514.6560000000002</v>
      </c>
      <c r="U26" s="291" t="str">
        <f t="shared" si="7"/>
        <v>--</v>
      </c>
      <c r="V26" s="292" t="str">
        <f t="shared" si="8"/>
        <v>--</v>
      </c>
      <c r="W26" s="293" t="str">
        <f t="shared" si="9"/>
        <v>--</v>
      </c>
      <c r="X26" s="294" t="str">
        <f t="shared" si="10"/>
        <v>--</v>
      </c>
      <c r="Y26" s="295" t="str">
        <f t="shared" si="11"/>
        <v>--</v>
      </c>
      <c r="Z26" s="296" t="str">
        <f t="shared" si="12"/>
        <v>--</v>
      </c>
      <c r="AA26" s="297" t="str">
        <f t="shared" si="13"/>
        <v>--</v>
      </c>
      <c r="AB26" s="288" t="s">
        <v>136</v>
      </c>
      <c r="AC26" s="298">
        <f t="shared" si="14"/>
        <v>514.6560000000002</v>
      </c>
      <c r="AD26" s="218"/>
    </row>
    <row r="27" spans="2:30" s="10" customFormat="1" ht="16.5" customHeight="1">
      <c r="B27" s="217"/>
      <c r="C27" s="269">
        <v>12</v>
      </c>
      <c r="D27" s="269">
        <v>288242</v>
      </c>
      <c r="E27" s="269">
        <v>873</v>
      </c>
      <c r="F27" s="126" t="s">
        <v>145</v>
      </c>
      <c r="G27" s="128" t="s">
        <v>146</v>
      </c>
      <c r="H27" s="282">
        <v>30</v>
      </c>
      <c r="I27" s="138" t="s">
        <v>147</v>
      </c>
      <c r="J27" s="284">
        <f t="shared" si="0"/>
        <v>53.61</v>
      </c>
      <c r="K27" s="285">
        <v>42133.30486111111</v>
      </c>
      <c r="L27" s="285">
        <v>42133.771527777775</v>
      </c>
      <c r="M27" s="286">
        <f t="shared" si="1"/>
        <v>11.200000000011642</v>
      </c>
      <c r="N27" s="287">
        <f t="shared" si="2"/>
        <v>672</v>
      </c>
      <c r="O27" s="288" t="s">
        <v>131</v>
      </c>
      <c r="P27" s="289" t="str">
        <f t="shared" si="3"/>
        <v>--</v>
      </c>
      <c r="Q27" s="288" t="s">
        <v>132</v>
      </c>
      <c r="R27" s="288" t="str">
        <f t="shared" si="4"/>
        <v>NO</v>
      </c>
      <c r="S27" s="152">
        <f t="shared" si="5"/>
        <v>0.30000000000000004</v>
      </c>
      <c r="T27" s="290">
        <f t="shared" si="6"/>
        <v>180.1296</v>
      </c>
      <c r="U27" s="291" t="str">
        <f t="shared" si="7"/>
        <v>--</v>
      </c>
      <c r="V27" s="292" t="str">
        <f t="shared" si="8"/>
        <v>--</v>
      </c>
      <c r="W27" s="293" t="str">
        <f t="shared" si="9"/>
        <v>--</v>
      </c>
      <c r="X27" s="294" t="str">
        <f t="shared" si="10"/>
        <v>--</v>
      </c>
      <c r="Y27" s="295" t="str">
        <f t="shared" si="11"/>
        <v>--</v>
      </c>
      <c r="Z27" s="296" t="str">
        <f t="shared" si="12"/>
        <v>--</v>
      </c>
      <c r="AA27" s="297" t="str">
        <f t="shared" si="13"/>
        <v>--</v>
      </c>
      <c r="AB27" s="288" t="s">
        <v>136</v>
      </c>
      <c r="AC27" s="298">
        <f t="shared" si="14"/>
        <v>180.1296</v>
      </c>
      <c r="AD27" s="218"/>
    </row>
    <row r="28" spans="2:30" s="10" customFormat="1" ht="16.5" customHeight="1">
      <c r="B28" s="217"/>
      <c r="C28" s="269">
        <v>13</v>
      </c>
      <c r="D28" s="269">
        <v>288243</v>
      </c>
      <c r="E28" s="269">
        <v>4437</v>
      </c>
      <c r="F28" s="126" t="s">
        <v>144</v>
      </c>
      <c r="G28" s="128" t="s">
        <v>146</v>
      </c>
      <c r="H28" s="419">
        <v>15</v>
      </c>
      <c r="I28" s="138" t="s">
        <v>163</v>
      </c>
      <c r="J28" s="284">
        <f t="shared" si="0"/>
        <v>26.805</v>
      </c>
      <c r="K28" s="285">
        <v>42134.34305555555</v>
      </c>
      <c r="L28" s="285">
        <v>42134.60902777778</v>
      </c>
      <c r="M28" s="286">
        <f t="shared" si="1"/>
        <v>6.383333333360497</v>
      </c>
      <c r="N28" s="287">
        <f t="shared" si="2"/>
        <v>383</v>
      </c>
      <c r="O28" s="288" t="s">
        <v>131</v>
      </c>
      <c r="P28" s="289" t="str">
        <f t="shared" si="3"/>
        <v>--</v>
      </c>
      <c r="Q28" s="288" t="s">
        <v>132</v>
      </c>
      <c r="R28" s="288" t="str">
        <f t="shared" si="4"/>
        <v>NO</v>
      </c>
      <c r="S28" s="152">
        <f t="shared" si="5"/>
        <v>0.30000000000000004</v>
      </c>
      <c r="T28" s="290">
        <f t="shared" si="6"/>
        <v>51.304770000000005</v>
      </c>
      <c r="U28" s="291" t="str">
        <f t="shared" si="7"/>
        <v>--</v>
      </c>
      <c r="V28" s="292" t="str">
        <f t="shared" si="8"/>
        <v>--</v>
      </c>
      <c r="W28" s="293" t="str">
        <f t="shared" si="9"/>
        <v>--</v>
      </c>
      <c r="X28" s="294" t="str">
        <f t="shared" si="10"/>
        <v>--</v>
      </c>
      <c r="Y28" s="295" t="str">
        <f t="shared" si="11"/>
        <v>--</v>
      </c>
      <c r="Z28" s="296" t="str">
        <f t="shared" si="12"/>
        <v>--</v>
      </c>
      <c r="AA28" s="297" t="str">
        <f t="shared" si="13"/>
        <v>--</v>
      </c>
      <c r="AB28" s="288" t="s">
        <v>136</v>
      </c>
      <c r="AC28" s="298">
        <f t="shared" si="14"/>
        <v>51.304770000000005</v>
      </c>
      <c r="AD28" s="218"/>
    </row>
    <row r="29" spans="2:30" s="10" customFormat="1" ht="16.5" customHeight="1">
      <c r="B29" s="217"/>
      <c r="C29" s="269">
        <v>14</v>
      </c>
      <c r="D29" s="269">
        <v>288489</v>
      </c>
      <c r="E29" s="269">
        <v>1013</v>
      </c>
      <c r="F29" s="126" t="s">
        <v>144</v>
      </c>
      <c r="G29" s="128" t="s">
        <v>138</v>
      </c>
      <c r="H29" s="282">
        <v>150</v>
      </c>
      <c r="I29" s="138" t="s">
        <v>139</v>
      </c>
      <c r="J29" s="284">
        <f t="shared" si="0"/>
        <v>268.05</v>
      </c>
      <c r="K29" s="285">
        <v>42136.38888888889</v>
      </c>
      <c r="L29" s="285">
        <v>42136.561111111114</v>
      </c>
      <c r="M29" s="286">
        <f t="shared" si="1"/>
        <v>4.133333333360497</v>
      </c>
      <c r="N29" s="287">
        <f t="shared" si="2"/>
        <v>248</v>
      </c>
      <c r="O29" s="288" t="s">
        <v>131</v>
      </c>
      <c r="P29" s="289" t="str">
        <f t="shared" si="3"/>
        <v>--</v>
      </c>
      <c r="Q29" s="288" t="s">
        <v>132</v>
      </c>
      <c r="R29" s="288" t="str">
        <f t="shared" si="4"/>
        <v>NO</v>
      </c>
      <c r="S29" s="152">
        <f t="shared" si="5"/>
        <v>0.30000000000000004</v>
      </c>
      <c r="T29" s="290">
        <f t="shared" si="6"/>
        <v>332.1139500000001</v>
      </c>
      <c r="U29" s="291" t="str">
        <f t="shared" si="7"/>
        <v>--</v>
      </c>
      <c r="V29" s="292" t="str">
        <f t="shared" si="8"/>
        <v>--</v>
      </c>
      <c r="W29" s="293" t="str">
        <f t="shared" si="9"/>
        <v>--</v>
      </c>
      <c r="X29" s="294" t="str">
        <f t="shared" si="10"/>
        <v>--</v>
      </c>
      <c r="Y29" s="295" t="str">
        <f t="shared" si="11"/>
        <v>--</v>
      </c>
      <c r="Z29" s="296" t="str">
        <f t="shared" si="12"/>
        <v>--</v>
      </c>
      <c r="AA29" s="297" t="str">
        <f t="shared" si="13"/>
        <v>--</v>
      </c>
      <c r="AB29" s="288" t="s">
        <v>136</v>
      </c>
      <c r="AC29" s="298">
        <f t="shared" si="14"/>
        <v>332.1139500000001</v>
      </c>
      <c r="AD29" s="218"/>
    </row>
    <row r="30" spans="2:30" s="10" customFormat="1" ht="16.5" customHeight="1">
      <c r="B30" s="217"/>
      <c r="C30" s="269">
        <v>15</v>
      </c>
      <c r="D30" s="269">
        <v>288490</v>
      </c>
      <c r="E30" s="269">
        <v>863</v>
      </c>
      <c r="F30" s="126" t="s">
        <v>144</v>
      </c>
      <c r="G30" s="128" t="s">
        <v>164</v>
      </c>
      <c r="H30" s="282">
        <v>60</v>
      </c>
      <c r="I30" s="138" t="s">
        <v>142</v>
      </c>
      <c r="J30" s="284">
        <f t="shared" si="0"/>
        <v>107.22</v>
      </c>
      <c r="K30" s="285">
        <v>42138.3375</v>
      </c>
      <c r="L30" s="285">
        <v>42143.558333333334</v>
      </c>
      <c r="M30" s="286">
        <f t="shared" si="1"/>
        <v>125.29999999998836</v>
      </c>
      <c r="N30" s="287">
        <f t="shared" si="2"/>
        <v>7518</v>
      </c>
      <c r="O30" s="288" t="s">
        <v>131</v>
      </c>
      <c r="P30" s="289" t="str">
        <f t="shared" si="3"/>
        <v>--</v>
      </c>
      <c r="Q30" s="288" t="s">
        <v>132</v>
      </c>
      <c r="R30" s="288" t="str">
        <f t="shared" si="4"/>
        <v>NO</v>
      </c>
      <c r="S30" s="152">
        <f t="shared" si="5"/>
        <v>0.30000000000000004</v>
      </c>
      <c r="T30" s="290">
        <f t="shared" si="6"/>
        <v>4030.3998000000006</v>
      </c>
      <c r="U30" s="291" t="str">
        <f t="shared" si="7"/>
        <v>--</v>
      </c>
      <c r="V30" s="292" t="str">
        <f t="shared" si="8"/>
        <v>--</v>
      </c>
      <c r="W30" s="293" t="str">
        <f t="shared" si="9"/>
        <v>--</v>
      </c>
      <c r="X30" s="294" t="str">
        <f t="shared" si="10"/>
        <v>--</v>
      </c>
      <c r="Y30" s="295" t="str">
        <f t="shared" si="11"/>
        <v>--</v>
      </c>
      <c r="Z30" s="296" t="str">
        <f t="shared" si="12"/>
        <v>--</v>
      </c>
      <c r="AA30" s="297" t="str">
        <f t="shared" si="13"/>
        <v>--</v>
      </c>
      <c r="AB30" s="288" t="s">
        <v>136</v>
      </c>
      <c r="AC30" s="298">
        <f t="shared" si="14"/>
        <v>4030.3998000000006</v>
      </c>
      <c r="AD30" s="218"/>
    </row>
    <row r="31" spans="2:30" s="10" customFormat="1" ht="16.5" customHeight="1">
      <c r="B31" s="217"/>
      <c r="C31" s="269">
        <v>16</v>
      </c>
      <c r="D31" s="269">
        <v>288660</v>
      </c>
      <c r="E31" s="269">
        <v>872</v>
      </c>
      <c r="F31" s="126" t="s">
        <v>145</v>
      </c>
      <c r="G31" s="128" t="s">
        <v>165</v>
      </c>
      <c r="H31" s="282">
        <v>30</v>
      </c>
      <c r="I31" s="138" t="s">
        <v>147</v>
      </c>
      <c r="J31" s="284">
        <f t="shared" si="0"/>
        <v>53.61</v>
      </c>
      <c r="K31" s="285">
        <v>42147.28680555556</v>
      </c>
      <c r="L31" s="285">
        <v>42150.38125</v>
      </c>
      <c r="M31" s="286">
        <f t="shared" si="1"/>
        <v>74.26666666654637</v>
      </c>
      <c r="N31" s="287">
        <f t="shared" si="2"/>
        <v>4456</v>
      </c>
      <c r="O31" s="288" t="s">
        <v>131</v>
      </c>
      <c r="P31" s="289" t="str">
        <f t="shared" si="3"/>
        <v>--</v>
      </c>
      <c r="Q31" s="288" t="s">
        <v>132</v>
      </c>
      <c r="R31" s="288" t="str">
        <f t="shared" si="4"/>
        <v>NO</v>
      </c>
      <c r="S31" s="152">
        <f t="shared" si="5"/>
        <v>0.30000000000000004</v>
      </c>
      <c r="T31" s="290">
        <f t="shared" si="6"/>
        <v>1194.48441</v>
      </c>
      <c r="U31" s="291" t="str">
        <f t="shared" si="7"/>
        <v>--</v>
      </c>
      <c r="V31" s="292" t="str">
        <f t="shared" si="8"/>
        <v>--</v>
      </c>
      <c r="W31" s="293" t="str">
        <f t="shared" si="9"/>
        <v>--</v>
      </c>
      <c r="X31" s="294" t="str">
        <f t="shared" si="10"/>
        <v>--</v>
      </c>
      <c r="Y31" s="295" t="str">
        <f t="shared" si="11"/>
        <v>--</v>
      </c>
      <c r="Z31" s="296" t="str">
        <f t="shared" si="12"/>
        <v>--</v>
      </c>
      <c r="AA31" s="297" t="str">
        <f t="shared" si="13"/>
        <v>--</v>
      </c>
      <c r="AB31" s="288" t="s">
        <v>136</v>
      </c>
      <c r="AC31" s="298">
        <f t="shared" si="14"/>
        <v>1194.48441</v>
      </c>
      <c r="AD31" s="218"/>
    </row>
    <row r="32" spans="2:30" s="10" customFormat="1" ht="16.5" customHeight="1">
      <c r="B32" s="217"/>
      <c r="C32" s="269">
        <v>17</v>
      </c>
      <c r="D32" s="269">
        <v>288926</v>
      </c>
      <c r="E32" s="269">
        <v>869</v>
      </c>
      <c r="F32" s="126" t="s">
        <v>148</v>
      </c>
      <c r="G32" s="128" t="s">
        <v>146</v>
      </c>
      <c r="H32" s="282">
        <v>30</v>
      </c>
      <c r="I32" s="138" t="s">
        <v>142</v>
      </c>
      <c r="J32" s="284">
        <f t="shared" si="0"/>
        <v>53.61</v>
      </c>
      <c r="K32" s="285">
        <v>42150.40833333333</v>
      </c>
      <c r="L32" s="285">
        <v>42151.79236111111</v>
      </c>
      <c r="M32" s="286">
        <f t="shared" si="1"/>
        <v>33.21666666667443</v>
      </c>
      <c r="N32" s="287">
        <f t="shared" si="2"/>
        <v>1993</v>
      </c>
      <c r="O32" s="288" t="s">
        <v>131</v>
      </c>
      <c r="P32" s="289" t="str">
        <f t="shared" si="3"/>
        <v>--</v>
      </c>
      <c r="Q32" s="288" t="s">
        <v>132</v>
      </c>
      <c r="R32" s="288" t="str">
        <f t="shared" si="4"/>
        <v>NO</v>
      </c>
      <c r="S32" s="152">
        <f t="shared" si="5"/>
        <v>0.30000000000000004</v>
      </c>
      <c r="T32" s="290">
        <f t="shared" si="6"/>
        <v>534.2772600000001</v>
      </c>
      <c r="U32" s="291" t="str">
        <f t="shared" si="7"/>
        <v>--</v>
      </c>
      <c r="V32" s="292" t="str">
        <f t="shared" si="8"/>
        <v>--</v>
      </c>
      <c r="W32" s="293" t="str">
        <f t="shared" si="9"/>
        <v>--</v>
      </c>
      <c r="X32" s="294" t="str">
        <f t="shared" si="10"/>
        <v>--</v>
      </c>
      <c r="Y32" s="295" t="str">
        <f t="shared" si="11"/>
        <v>--</v>
      </c>
      <c r="Z32" s="296" t="str">
        <f t="shared" si="12"/>
        <v>--</v>
      </c>
      <c r="AA32" s="297" t="str">
        <f t="shared" si="13"/>
        <v>--</v>
      </c>
      <c r="AB32" s="288" t="s">
        <v>136</v>
      </c>
      <c r="AC32" s="298">
        <f t="shared" si="14"/>
        <v>534.2772600000001</v>
      </c>
      <c r="AD32" s="218"/>
    </row>
    <row r="33" spans="2:30" s="10" customFormat="1" ht="16.5" customHeight="1">
      <c r="B33" s="217"/>
      <c r="C33" s="269"/>
      <c r="D33" s="269"/>
      <c r="E33" s="269"/>
      <c r="F33" s="126"/>
      <c r="G33" s="128"/>
      <c r="H33" s="282"/>
      <c r="I33" s="283"/>
      <c r="J33" s="284">
        <f t="shared" si="0"/>
        <v>0</v>
      </c>
      <c r="K33" s="285"/>
      <c r="L33" s="285"/>
      <c r="M33" s="286">
        <f t="shared" si="1"/>
      </c>
      <c r="N33" s="287">
        <f t="shared" si="2"/>
      </c>
      <c r="O33" s="288"/>
      <c r="P33" s="289">
        <f t="shared" si="3"/>
      </c>
      <c r="Q33" s="289">
        <f aca="true" t="shared" si="15" ref="Q33:Q41">IF(F33="","","--")</f>
      </c>
      <c r="R33" s="288">
        <f t="shared" si="4"/>
      </c>
      <c r="S33" s="152">
        <f t="shared" si="5"/>
        <v>3</v>
      </c>
      <c r="T33" s="290" t="str">
        <f t="shared" si="6"/>
        <v>--</v>
      </c>
      <c r="U33" s="291" t="str">
        <f t="shared" si="7"/>
        <v>--</v>
      </c>
      <c r="V33" s="292" t="str">
        <f t="shared" si="8"/>
        <v>--</v>
      </c>
      <c r="W33" s="293" t="str">
        <f t="shared" si="9"/>
        <v>--</v>
      </c>
      <c r="X33" s="294" t="str">
        <f t="shared" si="10"/>
        <v>--</v>
      </c>
      <c r="Y33" s="295" t="str">
        <f t="shared" si="11"/>
        <v>--</v>
      </c>
      <c r="Z33" s="296" t="str">
        <f t="shared" si="12"/>
        <v>--</v>
      </c>
      <c r="AA33" s="297" t="str">
        <f t="shared" si="13"/>
        <v>--</v>
      </c>
      <c r="AB33" s="288">
        <f aca="true" t="shared" si="16" ref="AB33:AB41">IF(F33="","","SI")</f>
      </c>
      <c r="AC33" s="298">
        <f t="shared" si="14"/>
      </c>
      <c r="AD33" s="218"/>
    </row>
    <row r="34" spans="2:30" s="10" customFormat="1" ht="16.5" customHeight="1">
      <c r="B34" s="217"/>
      <c r="C34" s="269"/>
      <c r="D34" s="269"/>
      <c r="E34" s="269"/>
      <c r="F34" s="126"/>
      <c r="G34" s="128"/>
      <c r="H34" s="282"/>
      <c r="I34" s="283"/>
      <c r="J34" s="284">
        <f t="shared" si="0"/>
        <v>0</v>
      </c>
      <c r="K34" s="285"/>
      <c r="L34" s="285"/>
      <c r="M34" s="286">
        <f t="shared" si="1"/>
      </c>
      <c r="N34" s="287">
        <f t="shared" si="2"/>
      </c>
      <c r="O34" s="288"/>
      <c r="P34" s="289">
        <f t="shared" si="3"/>
      </c>
      <c r="Q34" s="289">
        <f t="shared" si="15"/>
      </c>
      <c r="R34" s="288">
        <f t="shared" si="4"/>
      </c>
      <c r="S34" s="152">
        <f t="shared" si="5"/>
        <v>3</v>
      </c>
      <c r="T34" s="290" t="str">
        <f t="shared" si="6"/>
        <v>--</v>
      </c>
      <c r="U34" s="291" t="str">
        <f t="shared" si="7"/>
        <v>--</v>
      </c>
      <c r="V34" s="292" t="str">
        <f t="shared" si="8"/>
        <v>--</v>
      </c>
      <c r="W34" s="293" t="str">
        <f t="shared" si="9"/>
        <v>--</v>
      </c>
      <c r="X34" s="294" t="str">
        <f t="shared" si="10"/>
        <v>--</v>
      </c>
      <c r="Y34" s="295" t="str">
        <f t="shared" si="11"/>
        <v>--</v>
      </c>
      <c r="Z34" s="296" t="str">
        <f t="shared" si="12"/>
        <v>--</v>
      </c>
      <c r="AA34" s="297" t="str">
        <f t="shared" si="13"/>
        <v>--</v>
      </c>
      <c r="AB34" s="288">
        <f t="shared" si="16"/>
      </c>
      <c r="AC34" s="298">
        <f t="shared" si="14"/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>
        <f t="shared" si="1"/>
      </c>
      <c r="N35" s="287">
        <f t="shared" si="2"/>
      </c>
      <c r="O35" s="288"/>
      <c r="P35" s="289">
        <f t="shared" si="3"/>
      </c>
      <c r="Q35" s="289">
        <f t="shared" si="15"/>
      </c>
      <c r="R35" s="288">
        <f t="shared" si="4"/>
      </c>
      <c r="S35" s="152">
        <f t="shared" si="5"/>
        <v>3</v>
      </c>
      <c r="T35" s="290" t="str">
        <f t="shared" si="6"/>
        <v>--</v>
      </c>
      <c r="U35" s="291" t="str">
        <f t="shared" si="7"/>
        <v>--</v>
      </c>
      <c r="V35" s="292" t="str">
        <f t="shared" si="8"/>
        <v>--</v>
      </c>
      <c r="W35" s="293" t="str">
        <f t="shared" si="9"/>
        <v>--</v>
      </c>
      <c r="X35" s="294" t="str">
        <f t="shared" si="10"/>
        <v>--</v>
      </c>
      <c r="Y35" s="295" t="str">
        <f t="shared" si="11"/>
        <v>--</v>
      </c>
      <c r="Z35" s="296" t="str">
        <f t="shared" si="12"/>
        <v>--</v>
      </c>
      <c r="AA35" s="297" t="str">
        <f t="shared" si="13"/>
        <v>--</v>
      </c>
      <c r="AB35" s="288">
        <f t="shared" si="16"/>
      </c>
      <c r="AC35" s="298">
        <f t="shared" si="14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>
        <f t="shared" si="1"/>
      </c>
      <c r="N36" s="287">
        <f t="shared" si="2"/>
      </c>
      <c r="O36" s="288"/>
      <c r="P36" s="289">
        <f t="shared" si="3"/>
      </c>
      <c r="Q36" s="289">
        <f t="shared" si="15"/>
      </c>
      <c r="R36" s="288">
        <f t="shared" si="4"/>
      </c>
      <c r="S36" s="152">
        <f t="shared" si="5"/>
        <v>3</v>
      </c>
      <c r="T36" s="290" t="str">
        <f t="shared" si="6"/>
        <v>--</v>
      </c>
      <c r="U36" s="291" t="str">
        <f t="shared" si="7"/>
        <v>--</v>
      </c>
      <c r="V36" s="292" t="str">
        <f t="shared" si="8"/>
        <v>--</v>
      </c>
      <c r="W36" s="293" t="str">
        <f t="shared" si="9"/>
        <v>--</v>
      </c>
      <c r="X36" s="294" t="str">
        <f t="shared" si="10"/>
        <v>--</v>
      </c>
      <c r="Y36" s="295" t="str">
        <f t="shared" si="11"/>
        <v>--</v>
      </c>
      <c r="Z36" s="296" t="str">
        <f t="shared" si="12"/>
        <v>--</v>
      </c>
      <c r="AA36" s="297" t="str">
        <f t="shared" si="13"/>
        <v>--</v>
      </c>
      <c r="AB36" s="288">
        <f t="shared" si="16"/>
      </c>
      <c r="AC36" s="298">
        <f t="shared" si="14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>
        <f t="shared" si="1"/>
      </c>
      <c r="N37" s="287">
        <f t="shared" si="2"/>
      </c>
      <c r="O37" s="288"/>
      <c r="P37" s="289">
        <f t="shared" si="3"/>
      </c>
      <c r="Q37" s="289">
        <f t="shared" si="15"/>
      </c>
      <c r="R37" s="288">
        <f t="shared" si="4"/>
      </c>
      <c r="S37" s="152">
        <f t="shared" si="5"/>
        <v>3</v>
      </c>
      <c r="T37" s="290" t="str">
        <f t="shared" si="6"/>
        <v>--</v>
      </c>
      <c r="U37" s="291" t="str">
        <f t="shared" si="7"/>
        <v>--</v>
      </c>
      <c r="V37" s="292" t="str">
        <f t="shared" si="8"/>
        <v>--</v>
      </c>
      <c r="W37" s="293" t="str">
        <f t="shared" si="9"/>
        <v>--</v>
      </c>
      <c r="X37" s="294" t="str">
        <f t="shared" si="10"/>
        <v>--</v>
      </c>
      <c r="Y37" s="295" t="str">
        <f t="shared" si="11"/>
        <v>--</v>
      </c>
      <c r="Z37" s="296" t="str">
        <f t="shared" si="12"/>
        <v>--</v>
      </c>
      <c r="AA37" s="297" t="str">
        <f t="shared" si="13"/>
        <v>--</v>
      </c>
      <c r="AB37" s="288">
        <f t="shared" si="16"/>
      </c>
      <c r="AC37" s="298">
        <f t="shared" si="14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>
        <f t="shared" si="1"/>
      </c>
      <c r="N38" s="287">
        <f t="shared" si="2"/>
      </c>
      <c r="O38" s="288"/>
      <c r="P38" s="289">
        <f t="shared" si="3"/>
      </c>
      <c r="Q38" s="289">
        <f t="shared" si="15"/>
      </c>
      <c r="R38" s="288">
        <f t="shared" si="4"/>
      </c>
      <c r="S38" s="152">
        <f t="shared" si="5"/>
        <v>3</v>
      </c>
      <c r="T38" s="290" t="str">
        <f t="shared" si="6"/>
        <v>--</v>
      </c>
      <c r="U38" s="291" t="str">
        <f t="shared" si="7"/>
        <v>--</v>
      </c>
      <c r="V38" s="292" t="str">
        <f t="shared" si="8"/>
        <v>--</v>
      </c>
      <c r="W38" s="293" t="str">
        <f t="shared" si="9"/>
        <v>--</v>
      </c>
      <c r="X38" s="294" t="str">
        <f t="shared" si="10"/>
        <v>--</v>
      </c>
      <c r="Y38" s="295" t="str">
        <f t="shared" si="11"/>
        <v>--</v>
      </c>
      <c r="Z38" s="296" t="str">
        <f t="shared" si="12"/>
        <v>--</v>
      </c>
      <c r="AA38" s="297" t="str">
        <f t="shared" si="13"/>
        <v>--</v>
      </c>
      <c r="AB38" s="288">
        <f t="shared" si="16"/>
      </c>
      <c r="AC38" s="298">
        <f t="shared" si="14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>
        <f t="shared" si="1"/>
      </c>
      <c r="N39" s="287">
        <f t="shared" si="2"/>
      </c>
      <c r="O39" s="288"/>
      <c r="P39" s="289">
        <f t="shared" si="3"/>
      </c>
      <c r="Q39" s="289">
        <f t="shared" si="15"/>
      </c>
      <c r="R39" s="288">
        <f t="shared" si="4"/>
      </c>
      <c r="S39" s="152">
        <f t="shared" si="5"/>
        <v>3</v>
      </c>
      <c r="T39" s="290" t="str">
        <f t="shared" si="6"/>
        <v>--</v>
      </c>
      <c r="U39" s="291" t="str">
        <f t="shared" si="7"/>
        <v>--</v>
      </c>
      <c r="V39" s="292" t="str">
        <f t="shared" si="8"/>
        <v>--</v>
      </c>
      <c r="W39" s="293" t="str">
        <f t="shared" si="9"/>
        <v>--</v>
      </c>
      <c r="X39" s="294" t="str">
        <f t="shared" si="10"/>
        <v>--</v>
      </c>
      <c r="Y39" s="295" t="str">
        <f t="shared" si="11"/>
        <v>--</v>
      </c>
      <c r="Z39" s="296" t="str">
        <f t="shared" si="12"/>
        <v>--</v>
      </c>
      <c r="AA39" s="297" t="str">
        <f t="shared" si="13"/>
        <v>--</v>
      </c>
      <c r="AB39" s="288">
        <f t="shared" si="16"/>
      </c>
      <c r="AC39" s="298">
        <f t="shared" si="14"/>
      </c>
      <c r="AD39" s="218"/>
    </row>
    <row r="40" spans="2:30" s="10" customFormat="1" ht="16.5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>
        <f t="shared" si="1"/>
      </c>
      <c r="N40" s="287">
        <f t="shared" si="2"/>
      </c>
      <c r="O40" s="288"/>
      <c r="P40" s="289">
        <f t="shared" si="3"/>
      </c>
      <c r="Q40" s="289">
        <f t="shared" si="15"/>
      </c>
      <c r="R40" s="288">
        <f t="shared" si="4"/>
      </c>
      <c r="S40" s="152">
        <f t="shared" si="5"/>
        <v>3</v>
      </c>
      <c r="T40" s="290" t="str">
        <f t="shared" si="6"/>
        <v>--</v>
      </c>
      <c r="U40" s="291" t="str">
        <f t="shared" si="7"/>
        <v>--</v>
      </c>
      <c r="V40" s="292" t="str">
        <f t="shared" si="8"/>
        <v>--</v>
      </c>
      <c r="W40" s="293" t="str">
        <f t="shared" si="9"/>
        <v>--</v>
      </c>
      <c r="X40" s="294" t="str">
        <f t="shared" si="10"/>
        <v>--</v>
      </c>
      <c r="Y40" s="295" t="str">
        <f t="shared" si="11"/>
        <v>--</v>
      </c>
      <c r="Z40" s="296" t="str">
        <f t="shared" si="12"/>
        <v>--</v>
      </c>
      <c r="AA40" s="297" t="str">
        <f t="shared" si="13"/>
        <v>--</v>
      </c>
      <c r="AB40" s="288">
        <f t="shared" si="16"/>
      </c>
      <c r="AC40" s="298">
        <f t="shared" si="14"/>
      </c>
      <c r="AD40" s="218"/>
    </row>
    <row r="41" spans="2:30" s="10" customFormat="1" ht="16.5" customHeight="1">
      <c r="B41" s="217"/>
      <c r="C41" s="269"/>
      <c r="D41" s="269"/>
      <c r="E41" s="269"/>
      <c r="F41" s="126"/>
      <c r="G41" s="128"/>
      <c r="H41" s="282"/>
      <c r="I41" s="283"/>
      <c r="J41" s="284">
        <f t="shared" si="0"/>
        <v>0</v>
      </c>
      <c r="K41" s="285"/>
      <c r="L41" s="285"/>
      <c r="M41" s="286">
        <f t="shared" si="1"/>
      </c>
      <c r="N41" s="287">
        <f t="shared" si="2"/>
      </c>
      <c r="O41" s="288"/>
      <c r="P41" s="289">
        <f t="shared" si="3"/>
      </c>
      <c r="Q41" s="289">
        <f t="shared" si="15"/>
      </c>
      <c r="R41" s="288">
        <f t="shared" si="4"/>
      </c>
      <c r="S41" s="152">
        <f t="shared" si="5"/>
        <v>3</v>
      </c>
      <c r="T41" s="290" t="str">
        <f t="shared" si="6"/>
        <v>--</v>
      </c>
      <c r="U41" s="291" t="str">
        <f t="shared" si="7"/>
        <v>--</v>
      </c>
      <c r="V41" s="292" t="str">
        <f t="shared" si="8"/>
        <v>--</v>
      </c>
      <c r="W41" s="293" t="str">
        <f t="shared" si="9"/>
        <v>--</v>
      </c>
      <c r="X41" s="294" t="str">
        <f t="shared" si="10"/>
        <v>--</v>
      </c>
      <c r="Y41" s="295" t="str">
        <f t="shared" si="11"/>
        <v>--</v>
      </c>
      <c r="Z41" s="296" t="str">
        <f t="shared" si="12"/>
        <v>--</v>
      </c>
      <c r="AA41" s="297" t="str">
        <f t="shared" si="13"/>
        <v>--</v>
      </c>
      <c r="AB41" s="288">
        <f t="shared" si="16"/>
      </c>
      <c r="AC41" s="298">
        <f t="shared" si="14"/>
      </c>
      <c r="AD41" s="218"/>
    </row>
    <row r="42" spans="2:30" s="10" customFormat="1" ht="16.5" customHeight="1" thickBot="1">
      <c r="B42" s="217"/>
      <c r="C42" s="300"/>
      <c r="D42" s="300"/>
      <c r="E42" s="300"/>
      <c r="F42" s="300"/>
      <c r="G42" s="300"/>
      <c r="H42" s="300"/>
      <c r="I42" s="300"/>
      <c r="J42" s="301"/>
      <c r="K42" s="300"/>
      <c r="L42" s="300"/>
      <c r="M42" s="300"/>
      <c r="N42" s="300"/>
      <c r="O42" s="300"/>
      <c r="P42" s="300"/>
      <c r="Q42" s="300"/>
      <c r="R42" s="300"/>
      <c r="S42" s="302"/>
      <c r="T42" s="303"/>
      <c r="U42" s="304"/>
      <c r="V42" s="305"/>
      <c r="W42" s="306"/>
      <c r="X42" s="307"/>
      <c r="Y42" s="308"/>
      <c r="Z42" s="309"/>
      <c r="AA42" s="310"/>
      <c r="AB42" s="300"/>
      <c r="AC42" s="311"/>
      <c r="AD42" s="218"/>
    </row>
    <row r="43" spans="2:30" s="10" customFormat="1" ht="16.5" customHeight="1" thickBot="1" thickTop="1">
      <c r="B43" s="217"/>
      <c r="C43" s="172" t="s">
        <v>73</v>
      </c>
      <c r="D43" s="420" t="s">
        <v>167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12">
        <f>SUM(T20:T42)</f>
        <v>7480.685790000001</v>
      </c>
      <c r="U43" s="313">
        <f>SUM(U20:U42)</f>
        <v>7.71984</v>
      </c>
      <c r="V43" s="314">
        <f>SUM(V20:V42)</f>
        <v>0</v>
      </c>
      <c r="W43" s="315">
        <f>SUM(W22:W42)</f>
        <v>0</v>
      </c>
      <c r="X43" s="316">
        <f>SUM(X20:X42)</f>
        <v>0</v>
      </c>
      <c r="Y43" s="316">
        <f>SUM(Y22:Y42)</f>
        <v>0</v>
      </c>
      <c r="Z43" s="317">
        <f>SUM(Z20:Z42)</f>
        <v>0</v>
      </c>
      <c r="AA43" s="318">
        <f>SUM(AA22:AA42)</f>
        <v>0</v>
      </c>
      <c r="AB43" s="319"/>
      <c r="AC43" s="320">
        <f>ROUND(SUM(AC20:AC42),2)</f>
        <v>7488.41</v>
      </c>
      <c r="AD43" s="218"/>
    </row>
    <row r="44" spans="2:30" s="185" customFormat="1" ht="9.75" thickTop="1">
      <c r="B44" s="321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3"/>
      <c r="U44" s="323"/>
      <c r="V44" s="323"/>
      <c r="W44" s="323"/>
      <c r="X44" s="323"/>
      <c r="Y44" s="323"/>
      <c r="Z44" s="323"/>
      <c r="AA44" s="323"/>
      <c r="AB44" s="322"/>
      <c r="AC44" s="324"/>
      <c r="AD44" s="325"/>
    </row>
    <row r="45" spans="2:30" s="10" customFormat="1" ht="16.5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spans="2:30" ht="16.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2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5" zoomScaleNormal="75" zoomScalePageLayoutView="0" workbookViewId="0" topLeftCell="A1">
      <selection activeCell="G54" sqref="G54"/>
    </sheetView>
  </sheetViews>
  <sheetFormatPr defaultColWidth="11.421875" defaultRowHeight="12.75"/>
  <cols>
    <col min="1" max="1" width="19.1406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0" width="16.421875" style="1" customWidth="1"/>
    <col min="11" max="11" width="16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5"/>
    </row>
    <row r="2" spans="1:23" s="6" customFormat="1" ht="26.25">
      <c r="A2" s="330"/>
      <c r="B2" s="68" t="str">
        <f>+'TOT-0515'!B2</f>
        <v>ANEXO VI al Memorándum D.T.E.E. N°  784 /2015            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+'TOT-0515'!B14</f>
        <v>Desde el 01 al 31 de mayo de 2015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5" t="s">
        <v>54</v>
      </c>
      <c r="G14" s="336">
        <v>47.575</v>
      </c>
      <c r="H14" s="337">
        <f>60*'TOT-0515'!B13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5" t="s">
        <v>55</v>
      </c>
      <c r="G15" s="336">
        <v>23.817</v>
      </c>
      <c r="H15" s="337">
        <f>50*'TOT-0515'!B13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38"/>
      <c r="W15" s="49"/>
    </row>
    <row r="16" spans="2:23" s="10" customFormat="1" ht="16.5" customHeight="1" thickBot="1" thickTop="1">
      <c r="B16" s="44"/>
      <c r="C16" s="12"/>
      <c r="D16" s="12"/>
      <c r="E16" s="12"/>
      <c r="F16" s="339" t="s">
        <v>56</v>
      </c>
      <c r="G16" s="340">
        <v>17.847</v>
      </c>
      <c r="H16" s="341">
        <f>25*'TOT-0515'!B13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6.5" customHeight="1" thickBot="1" thickTop="1">
      <c r="B17" s="44"/>
      <c r="C17" s="12"/>
      <c r="D17" s="12"/>
      <c r="E17" s="12"/>
      <c r="F17" s="344" t="s">
        <v>57</v>
      </c>
      <c r="G17" s="416">
        <v>17.847</v>
      </c>
      <c r="H17" s="345">
        <f>20*'TOT-0515'!B13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6.5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9"/>
    </row>
    <row r="19" spans="2:23" s="346" customFormat="1" ht="34.5" customHeight="1" thickBot="1" thickTop="1">
      <c r="B19" s="347"/>
      <c r="C19" s="400" t="s">
        <v>20</v>
      </c>
      <c r="D19" s="400" t="s">
        <v>74</v>
      </c>
      <c r="E19" s="400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6.5" customHeight="1" thickTop="1">
      <c r="B20" s="44"/>
      <c r="C20" s="270"/>
      <c r="D20" s="399"/>
      <c r="E20" s="399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6.5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6.5" customHeight="1">
      <c r="B22" s="44"/>
      <c r="C22" s="272">
        <v>18</v>
      </c>
      <c r="D22" s="269">
        <v>288244</v>
      </c>
      <c r="E22" s="269">
        <v>888</v>
      </c>
      <c r="F22" s="366" t="s">
        <v>140</v>
      </c>
      <c r="G22" s="366" t="s">
        <v>149</v>
      </c>
      <c r="H22" s="379">
        <v>13.199999809265137</v>
      </c>
      <c r="I22" s="368">
        <f aca="true" t="shared" si="0" ref="I22:I41">IF(H22=220,$G$14,IF(AND(H22&lt;=132,H22&gt;=66),$G$15,IF(AND(H22&lt;66,H22&gt;=33),$G$16,$G$17)))</f>
        <v>17.847</v>
      </c>
      <c r="J22" s="369">
        <v>42129.36875</v>
      </c>
      <c r="K22" s="370">
        <v>42129.552777777775</v>
      </c>
      <c r="L22" s="286">
        <f aca="true" t="shared" si="1" ref="L22:L41">IF(F22="","",(K22-J22)*24)</f>
        <v>4.416666666569654</v>
      </c>
      <c r="M22" s="371">
        <f aca="true" t="shared" si="2" ref="M22:M41">IF(F22="","",ROUND((K22-J22)*24*60,0))</f>
        <v>265</v>
      </c>
      <c r="N22" s="288" t="s">
        <v>131</v>
      </c>
      <c r="O22" s="288" t="str">
        <f>IF(F22="","",IF(OR(N22="P",N22="RP"),"--","NO"))</f>
        <v>--</v>
      </c>
      <c r="P22" s="372">
        <f aca="true" t="shared" si="3" ref="P22:P41">IF(H22=220,$H$14,IF(AND(H22&lt;=132,H22&gt;=66),$H$15,IF(AND(H22&lt;66,H22&gt;13.2),$H$16,$H$17)))</f>
        <v>20</v>
      </c>
      <c r="Q22" s="373">
        <f aca="true" t="shared" si="4" ref="Q22:Q41">IF(N22="P",I22*P22*ROUND(M22/60,2)*0.1,"--")</f>
        <v>157.76748000000003</v>
      </c>
      <c r="R22" s="374" t="str">
        <f aca="true" t="shared" si="5" ref="R22:R41">IF(AND(N22="F",O22="NO"),I22*P22,"--")</f>
        <v>--</v>
      </c>
      <c r="S22" s="375" t="str">
        <f aca="true" t="shared" si="6" ref="S22:S41">IF(N22="F",I22*P22*ROUND(M22/60,2),"--")</f>
        <v>--</v>
      </c>
      <c r="T22" s="376" t="str">
        <f aca="true" t="shared" si="7" ref="T22:T41">IF(N22="RF",I22*P22*ROUND(M22/60,2),"--")</f>
        <v>--</v>
      </c>
      <c r="U22" s="377" t="s">
        <v>136</v>
      </c>
      <c r="V22" s="380">
        <f aca="true" t="shared" si="8" ref="V22:V41">IF(F22="","",SUM(Q22:T22)*IF(U22="SI",1,2)*IF(H22="500/220",0,1))</f>
        <v>157.76748000000003</v>
      </c>
      <c r="W22" s="299"/>
    </row>
    <row r="23" spans="2:23" s="10" customFormat="1" ht="16.5" customHeight="1">
      <c r="B23" s="44"/>
      <c r="C23" s="272">
        <v>19</v>
      </c>
      <c r="D23" s="269">
        <v>288245</v>
      </c>
      <c r="E23" s="269">
        <v>889</v>
      </c>
      <c r="F23" s="366" t="s">
        <v>140</v>
      </c>
      <c r="G23" s="366" t="s">
        <v>150</v>
      </c>
      <c r="H23" s="367">
        <v>13.199999809265137</v>
      </c>
      <c r="I23" s="368">
        <f t="shared" si="0"/>
        <v>17.847</v>
      </c>
      <c r="J23" s="369">
        <v>42129.55347222222</v>
      </c>
      <c r="K23" s="370">
        <v>42129.592361111114</v>
      </c>
      <c r="L23" s="286">
        <f t="shared" si="1"/>
        <v>0.933333333407063</v>
      </c>
      <c r="M23" s="371">
        <f t="shared" si="2"/>
        <v>56</v>
      </c>
      <c r="N23" s="288" t="s">
        <v>131</v>
      </c>
      <c r="O23" s="288" t="str">
        <f aca="true" t="shared" si="9" ref="O23:O41">IF(F23="","",IF(OR(N23="P",N23="RP"),"--","NO"))</f>
        <v>--</v>
      </c>
      <c r="P23" s="372">
        <f t="shared" si="3"/>
        <v>20</v>
      </c>
      <c r="Q23" s="373">
        <f t="shared" si="4"/>
        <v>33.195420000000006</v>
      </c>
      <c r="R23" s="374" t="str">
        <f t="shared" si="5"/>
        <v>--</v>
      </c>
      <c r="S23" s="375" t="str">
        <f t="shared" si="6"/>
        <v>--</v>
      </c>
      <c r="T23" s="376" t="str">
        <f t="shared" si="7"/>
        <v>--</v>
      </c>
      <c r="U23" s="377" t="s">
        <v>136</v>
      </c>
      <c r="V23" s="380">
        <f t="shared" si="8"/>
        <v>33.195420000000006</v>
      </c>
      <c r="W23" s="299"/>
    </row>
    <row r="24" spans="2:23" s="10" customFormat="1" ht="16.5" customHeight="1">
      <c r="B24" s="44"/>
      <c r="C24" s="272">
        <v>20</v>
      </c>
      <c r="D24" s="269">
        <v>288246</v>
      </c>
      <c r="E24" s="269">
        <v>923</v>
      </c>
      <c r="F24" s="366" t="s">
        <v>145</v>
      </c>
      <c r="G24" s="366" t="s">
        <v>151</v>
      </c>
      <c r="H24" s="367">
        <v>33</v>
      </c>
      <c r="I24" s="368">
        <f t="shared" si="0"/>
        <v>17.847</v>
      </c>
      <c r="J24" s="369">
        <v>42130.3375</v>
      </c>
      <c r="K24" s="370">
        <v>42130.66805555556</v>
      </c>
      <c r="L24" s="286">
        <f t="shared" si="1"/>
        <v>7.933333333348855</v>
      </c>
      <c r="M24" s="371">
        <f t="shared" si="2"/>
        <v>476</v>
      </c>
      <c r="N24" s="288" t="s">
        <v>131</v>
      </c>
      <c r="O24" s="288" t="str">
        <f t="shared" si="9"/>
        <v>--</v>
      </c>
      <c r="P24" s="372">
        <f t="shared" si="3"/>
        <v>25</v>
      </c>
      <c r="Q24" s="373">
        <f t="shared" si="4"/>
        <v>353.816775</v>
      </c>
      <c r="R24" s="374" t="str">
        <f t="shared" si="5"/>
        <v>--</v>
      </c>
      <c r="S24" s="375" t="str">
        <f t="shared" si="6"/>
        <v>--</v>
      </c>
      <c r="T24" s="376" t="str">
        <f t="shared" si="7"/>
        <v>--</v>
      </c>
      <c r="U24" s="377" t="s">
        <v>136</v>
      </c>
      <c r="V24" s="380">
        <f t="shared" si="8"/>
        <v>353.816775</v>
      </c>
      <c r="W24" s="299"/>
    </row>
    <row r="25" spans="2:23" s="10" customFormat="1" ht="16.5" customHeight="1">
      <c r="B25" s="44"/>
      <c r="C25" s="272">
        <v>21</v>
      </c>
      <c r="D25" s="269">
        <v>288247</v>
      </c>
      <c r="E25" s="269">
        <v>4021</v>
      </c>
      <c r="F25" s="366" t="s">
        <v>140</v>
      </c>
      <c r="G25" s="366" t="s">
        <v>152</v>
      </c>
      <c r="H25" s="367">
        <v>13.199999809265137</v>
      </c>
      <c r="I25" s="368">
        <f t="shared" si="0"/>
        <v>17.847</v>
      </c>
      <c r="J25" s="369">
        <v>42130.38055555556</v>
      </c>
      <c r="K25" s="370">
        <v>42130.50902777778</v>
      </c>
      <c r="L25" s="286">
        <f t="shared" si="1"/>
        <v>3.083333333255723</v>
      </c>
      <c r="M25" s="371">
        <f t="shared" si="2"/>
        <v>185</v>
      </c>
      <c r="N25" s="288" t="s">
        <v>131</v>
      </c>
      <c r="O25" s="288" t="str">
        <f t="shared" si="9"/>
        <v>--</v>
      </c>
      <c r="P25" s="372">
        <f t="shared" si="3"/>
        <v>20</v>
      </c>
      <c r="Q25" s="373">
        <f t="shared" si="4"/>
        <v>109.93752000000002</v>
      </c>
      <c r="R25" s="374" t="str">
        <f t="shared" si="5"/>
        <v>--</v>
      </c>
      <c r="S25" s="375" t="str">
        <f t="shared" si="6"/>
        <v>--</v>
      </c>
      <c r="T25" s="376" t="str">
        <f t="shared" si="7"/>
        <v>--</v>
      </c>
      <c r="U25" s="377" t="s">
        <v>136</v>
      </c>
      <c r="V25" s="380">
        <f t="shared" si="8"/>
        <v>109.93752000000002</v>
      </c>
      <c r="W25" s="299"/>
    </row>
    <row r="26" spans="2:23" s="10" customFormat="1" ht="16.5" customHeight="1">
      <c r="B26" s="44"/>
      <c r="C26" s="272">
        <v>22</v>
      </c>
      <c r="D26" s="269">
        <v>288248</v>
      </c>
      <c r="E26" s="269">
        <v>890</v>
      </c>
      <c r="F26" s="366" t="s">
        <v>140</v>
      </c>
      <c r="G26" s="366" t="s">
        <v>153</v>
      </c>
      <c r="H26" s="367">
        <v>13.199999809265137</v>
      </c>
      <c r="I26" s="368">
        <f t="shared" si="0"/>
        <v>17.847</v>
      </c>
      <c r="J26" s="369">
        <v>42130.5125</v>
      </c>
      <c r="K26" s="370">
        <v>42130.56041666667</v>
      </c>
      <c r="L26" s="286">
        <f t="shared" si="1"/>
        <v>1.1500000000814907</v>
      </c>
      <c r="M26" s="371">
        <f t="shared" si="2"/>
        <v>69</v>
      </c>
      <c r="N26" s="288" t="s">
        <v>131</v>
      </c>
      <c r="O26" s="288" t="str">
        <f t="shared" si="9"/>
        <v>--</v>
      </c>
      <c r="P26" s="372">
        <f t="shared" si="3"/>
        <v>20</v>
      </c>
      <c r="Q26" s="373">
        <f t="shared" si="4"/>
        <v>41.048100000000005</v>
      </c>
      <c r="R26" s="374" t="str">
        <f t="shared" si="5"/>
        <v>--</v>
      </c>
      <c r="S26" s="375" t="str">
        <f t="shared" si="6"/>
        <v>--</v>
      </c>
      <c r="T26" s="376" t="str">
        <f t="shared" si="7"/>
        <v>--</v>
      </c>
      <c r="U26" s="377" t="s">
        <v>136</v>
      </c>
      <c r="V26" s="380">
        <f t="shared" si="8"/>
        <v>41.048100000000005</v>
      </c>
      <c r="W26" s="299"/>
    </row>
    <row r="27" spans="2:23" s="10" customFormat="1" ht="16.5" customHeight="1">
      <c r="B27" s="44"/>
      <c r="C27" s="272">
        <v>23</v>
      </c>
      <c r="D27" s="269">
        <v>288249</v>
      </c>
      <c r="E27" s="269">
        <v>925</v>
      </c>
      <c r="F27" s="366" t="s">
        <v>145</v>
      </c>
      <c r="G27" s="366" t="s">
        <v>154</v>
      </c>
      <c r="H27" s="367">
        <v>33</v>
      </c>
      <c r="I27" s="368">
        <f t="shared" si="0"/>
        <v>17.847</v>
      </c>
      <c r="J27" s="369">
        <v>42130.540972222225</v>
      </c>
      <c r="K27" s="370">
        <v>42130.73263888889</v>
      </c>
      <c r="L27" s="286">
        <f t="shared" si="1"/>
        <v>4.599999999976717</v>
      </c>
      <c r="M27" s="371">
        <f t="shared" si="2"/>
        <v>276</v>
      </c>
      <c r="N27" s="288" t="s">
        <v>131</v>
      </c>
      <c r="O27" s="288" t="str">
        <f t="shared" si="9"/>
        <v>--</v>
      </c>
      <c r="P27" s="372">
        <f t="shared" si="3"/>
        <v>25</v>
      </c>
      <c r="Q27" s="373">
        <f t="shared" si="4"/>
        <v>205.2405</v>
      </c>
      <c r="R27" s="374" t="str">
        <f t="shared" si="5"/>
        <v>--</v>
      </c>
      <c r="S27" s="375" t="str">
        <f t="shared" si="6"/>
        <v>--</v>
      </c>
      <c r="T27" s="376" t="str">
        <f t="shared" si="7"/>
        <v>--</v>
      </c>
      <c r="U27" s="377" t="s">
        <v>136</v>
      </c>
      <c r="V27" s="380">
        <f t="shared" si="8"/>
        <v>205.2405</v>
      </c>
      <c r="W27" s="299"/>
    </row>
    <row r="28" spans="2:23" s="10" customFormat="1" ht="16.5" customHeight="1">
      <c r="B28" s="44"/>
      <c r="C28" s="272">
        <v>24</v>
      </c>
      <c r="D28" s="269">
        <v>288250</v>
      </c>
      <c r="E28" s="269">
        <v>902</v>
      </c>
      <c r="F28" s="366" t="s">
        <v>144</v>
      </c>
      <c r="G28" s="366" t="s">
        <v>155</v>
      </c>
      <c r="H28" s="367">
        <v>13.199999809265137</v>
      </c>
      <c r="I28" s="368">
        <f t="shared" si="0"/>
        <v>17.847</v>
      </c>
      <c r="J28" s="369">
        <v>42134.29583333333</v>
      </c>
      <c r="K28" s="370">
        <v>42134.652083333334</v>
      </c>
      <c r="L28" s="286">
        <f t="shared" si="1"/>
        <v>8.550000000104774</v>
      </c>
      <c r="M28" s="371">
        <f t="shared" si="2"/>
        <v>513</v>
      </c>
      <c r="N28" s="288" t="s">
        <v>131</v>
      </c>
      <c r="O28" s="288" t="str">
        <f t="shared" si="9"/>
        <v>--</v>
      </c>
      <c r="P28" s="372">
        <f t="shared" si="3"/>
        <v>20</v>
      </c>
      <c r="Q28" s="373">
        <f t="shared" si="4"/>
        <v>305.1837000000001</v>
      </c>
      <c r="R28" s="374" t="str">
        <f t="shared" si="5"/>
        <v>--</v>
      </c>
      <c r="S28" s="375" t="str">
        <f t="shared" si="6"/>
        <v>--</v>
      </c>
      <c r="T28" s="376" t="str">
        <f t="shared" si="7"/>
        <v>--</v>
      </c>
      <c r="U28" s="377" t="s">
        <v>136</v>
      </c>
      <c r="V28" s="380">
        <f t="shared" si="8"/>
        <v>305.1837000000001</v>
      </c>
      <c r="W28" s="299"/>
    </row>
    <row r="29" spans="2:23" s="10" customFormat="1" ht="16.5" customHeight="1">
      <c r="B29" s="44"/>
      <c r="C29" s="272">
        <v>25</v>
      </c>
      <c r="D29" s="269">
        <v>288251</v>
      </c>
      <c r="E29" s="269">
        <v>901</v>
      </c>
      <c r="F29" s="366" t="s">
        <v>144</v>
      </c>
      <c r="G29" s="366" t="s">
        <v>156</v>
      </c>
      <c r="H29" s="367">
        <v>13.199999809265137</v>
      </c>
      <c r="I29" s="368">
        <f t="shared" si="0"/>
        <v>17.847</v>
      </c>
      <c r="J29" s="369">
        <v>42134.32430555556</v>
      </c>
      <c r="K29" s="370">
        <v>42134.660416666666</v>
      </c>
      <c r="L29" s="286">
        <f t="shared" si="1"/>
        <v>8.066666666592937</v>
      </c>
      <c r="M29" s="371">
        <f t="shared" si="2"/>
        <v>484</v>
      </c>
      <c r="N29" s="288" t="s">
        <v>131</v>
      </c>
      <c r="O29" s="288" t="str">
        <f t="shared" si="9"/>
        <v>--</v>
      </c>
      <c r="P29" s="372">
        <f t="shared" si="3"/>
        <v>20</v>
      </c>
      <c r="Q29" s="373">
        <f t="shared" si="4"/>
        <v>288.05058</v>
      </c>
      <c r="R29" s="374" t="str">
        <f t="shared" si="5"/>
        <v>--</v>
      </c>
      <c r="S29" s="375" t="str">
        <f t="shared" si="6"/>
        <v>--</v>
      </c>
      <c r="T29" s="376" t="str">
        <f t="shared" si="7"/>
        <v>--</v>
      </c>
      <c r="U29" s="377" t="s">
        <v>136</v>
      </c>
      <c r="V29" s="380">
        <f t="shared" si="8"/>
        <v>288.05058</v>
      </c>
      <c r="W29" s="299"/>
    </row>
    <row r="30" spans="2:23" s="10" customFormat="1" ht="16.5" customHeight="1">
      <c r="B30" s="44"/>
      <c r="C30" s="272">
        <v>26</v>
      </c>
      <c r="D30" s="269">
        <v>288491</v>
      </c>
      <c r="E30" s="269">
        <v>897</v>
      </c>
      <c r="F30" s="366" t="s">
        <v>144</v>
      </c>
      <c r="G30" s="366" t="s">
        <v>157</v>
      </c>
      <c r="H30" s="367">
        <v>66</v>
      </c>
      <c r="I30" s="368">
        <f t="shared" si="0"/>
        <v>23.817</v>
      </c>
      <c r="J30" s="369">
        <v>42136.353472222225</v>
      </c>
      <c r="K30" s="370">
        <v>42136.5625</v>
      </c>
      <c r="L30" s="286">
        <f t="shared" si="1"/>
        <v>5.0166666666045785</v>
      </c>
      <c r="M30" s="371">
        <f t="shared" si="2"/>
        <v>301</v>
      </c>
      <c r="N30" s="288" t="s">
        <v>131</v>
      </c>
      <c r="O30" s="288" t="str">
        <f t="shared" si="9"/>
        <v>--</v>
      </c>
      <c r="P30" s="372">
        <f t="shared" si="3"/>
        <v>50</v>
      </c>
      <c r="Q30" s="373">
        <f t="shared" si="4"/>
        <v>597.8067</v>
      </c>
      <c r="R30" s="374" t="str">
        <f t="shared" si="5"/>
        <v>--</v>
      </c>
      <c r="S30" s="375" t="str">
        <f t="shared" si="6"/>
        <v>--</v>
      </c>
      <c r="T30" s="376" t="str">
        <f t="shared" si="7"/>
        <v>--</v>
      </c>
      <c r="U30" s="377" t="s">
        <v>136</v>
      </c>
      <c r="V30" s="380">
        <f t="shared" si="8"/>
        <v>597.8067</v>
      </c>
      <c r="W30" s="299"/>
    </row>
    <row r="31" spans="2:23" s="10" customFormat="1" ht="16.5" customHeight="1">
      <c r="B31" s="44"/>
      <c r="C31" s="272">
        <v>27</v>
      </c>
      <c r="D31" s="269">
        <v>288492</v>
      </c>
      <c r="E31" s="269">
        <v>920</v>
      </c>
      <c r="F31" s="366" t="s">
        <v>145</v>
      </c>
      <c r="G31" s="366" t="s">
        <v>166</v>
      </c>
      <c r="H31" s="367">
        <v>132</v>
      </c>
      <c r="I31" s="368">
        <f t="shared" si="0"/>
        <v>23.817</v>
      </c>
      <c r="J31" s="369">
        <v>42141.270833333336</v>
      </c>
      <c r="K31" s="370">
        <v>42141.79652777778</v>
      </c>
      <c r="L31" s="286">
        <f t="shared" si="1"/>
        <v>12.616666666581295</v>
      </c>
      <c r="M31" s="371">
        <f t="shared" si="2"/>
        <v>757</v>
      </c>
      <c r="N31" s="288" t="s">
        <v>131</v>
      </c>
      <c r="O31" s="288" t="str">
        <f t="shared" si="9"/>
        <v>--</v>
      </c>
      <c r="P31" s="372">
        <f t="shared" si="3"/>
        <v>50</v>
      </c>
      <c r="Q31" s="373">
        <f t="shared" si="4"/>
        <v>1502.8527</v>
      </c>
      <c r="R31" s="374" t="str">
        <f t="shared" si="5"/>
        <v>--</v>
      </c>
      <c r="S31" s="375" t="str">
        <f t="shared" si="6"/>
        <v>--</v>
      </c>
      <c r="T31" s="376" t="str">
        <f t="shared" si="7"/>
        <v>--</v>
      </c>
      <c r="U31" s="377" t="s">
        <v>136</v>
      </c>
      <c r="V31" s="380">
        <f t="shared" si="8"/>
        <v>1502.8527</v>
      </c>
      <c r="W31" s="299"/>
    </row>
    <row r="32" spans="2:23" s="10" customFormat="1" ht="16.5" customHeight="1">
      <c r="B32" s="44"/>
      <c r="C32" s="272">
        <v>28</v>
      </c>
      <c r="D32" s="269">
        <v>288927</v>
      </c>
      <c r="E32" s="269">
        <v>1022</v>
      </c>
      <c r="F32" s="366" t="s">
        <v>158</v>
      </c>
      <c r="G32" s="366" t="s">
        <v>159</v>
      </c>
      <c r="H32" s="367">
        <v>13.199999809265137</v>
      </c>
      <c r="I32" s="368">
        <f t="shared" si="0"/>
        <v>17.847</v>
      </c>
      <c r="J32" s="369">
        <v>42152.41875</v>
      </c>
      <c r="K32" s="370">
        <v>42152.538194444445</v>
      </c>
      <c r="L32" s="286">
        <f t="shared" si="1"/>
        <v>2.8666666667559184</v>
      </c>
      <c r="M32" s="371">
        <f t="shared" si="2"/>
        <v>172</v>
      </c>
      <c r="N32" s="288" t="s">
        <v>131</v>
      </c>
      <c r="O32" s="288" t="str">
        <f t="shared" si="9"/>
        <v>--</v>
      </c>
      <c r="P32" s="372">
        <f t="shared" si="3"/>
        <v>20</v>
      </c>
      <c r="Q32" s="373">
        <f t="shared" si="4"/>
        <v>102.44178000000002</v>
      </c>
      <c r="R32" s="374" t="str">
        <f t="shared" si="5"/>
        <v>--</v>
      </c>
      <c r="S32" s="375" t="str">
        <f t="shared" si="6"/>
        <v>--</v>
      </c>
      <c r="T32" s="376" t="str">
        <f t="shared" si="7"/>
        <v>--</v>
      </c>
      <c r="U32" s="377" t="s">
        <v>136</v>
      </c>
      <c r="V32" s="380">
        <f t="shared" si="8"/>
        <v>102.44178000000002</v>
      </c>
      <c r="W32" s="299"/>
    </row>
    <row r="33" spans="2:23" s="10" customFormat="1" ht="16.5" customHeight="1">
      <c r="B33" s="44"/>
      <c r="C33" s="272">
        <v>29</v>
      </c>
      <c r="D33" s="269">
        <v>288928</v>
      </c>
      <c r="E33" s="269">
        <v>1020</v>
      </c>
      <c r="F33" s="366" t="s">
        <v>158</v>
      </c>
      <c r="G33" s="366" t="s">
        <v>160</v>
      </c>
      <c r="H33" s="367">
        <v>13.199999809265137</v>
      </c>
      <c r="I33" s="368">
        <f t="shared" si="0"/>
        <v>17.847</v>
      </c>
      <c r="J33" s="369">
        <v>42152.53472222222</v>
      </c>
      <c r="K33" s="370">
        <v>42152.60486111111</v>
      </c>
      <c r="L33" s="286">
        <f t="shared" si="1"/>
        <v>1.683333333407063</v>
      </c>
      <c r="M33" s="371">
        <f t="shared" si="2"/>
        <v>101</v>
      </c>
      <c r="N33" s="288" t="s">
        <v>131</v>
      </c>
      <c r="O33" s="288" t="str">
        <f t="shared" si="9"/>
        <v>--</v>
      </c>
      <c r="P33" s="372">
        <f t="shared" si="3"/>
        <v>20</v>
      </c>
      <c r="Q33" s="373">
        <f t="shared" si="4"/>
        <v>59.96592000000001</v>
      </c>
      <c r="R33" s="374" t="str">
        <f t="shared" si="5"/>
        <v>--</v>
      </c>
      <c r="S33" s="375" t="str">
        <f t="shared" si="6"/>
        <v>--</v>
      </c>
      <c r="T33" s="376" t="str">
        <f t="shared" si="7"/>
        <v>--</v>
      </c>
      <c r="U33" s="377" t="s">
        <v>136</v>
      </c>
      <c r="V33" s="380">
        <f t="shared" si="8"/>
        <v>59.96592000000001</v>
      </c>
      <c r="W33" s="299"/>
    </row>
    <row r="34" spans="2:23" s="10" customFormat="1" ht="16.5" customHeight="1">
      <c r="B34" s="44"/>
      <c r="C34" s="272"/>
      <c r="D34" s="269"/>
      <c r="E34" s="269"/>
      <c r="F34" s="366"/>
      <c r="G34" s="366"/>
      <c r="H34" s="367"/>
      <c r="I34" s="368">
        <f t="shared" si="0"/>
        <v>17.847</v>
      </c>
      <c r="J34" s="369"/>
      <c r="K34" s="370"/>
      <c r="L34" s="286">
        <f t="shared" si="1"/>
      </c>
      <c r="M34" s="371">
        <f t="shared" si="2"/>
      </c>
      <c r="N34" s="288"/>
      <c r="O34" s="288">
        <f t="shared" si="9"/>
      </c>
      <c r="P34" s="372">
        <f t="shared" si="3"/>
        <v>20</v>
      </c>
      <c r="Q34" s="373" t="str">
        <f t="shared" si="4"/>
        <v>--</v>
      </c>
      <c r="R34" s="374" t="str">
        <f t="shared" si="5"/>
        <v>--</v>
      </c>
      <c r="S34" s="375" t="str">
        <f t="shared" si="6"/>
        <v>--</v>
      </c>
      <c r="T34" s="376" t="str">
        <f t="shared" si="7"/>
        <v>--</v>
      </c>
      <c r="U34" s="377">
        <f aca="true" t="shared" si="10" ref="U34:U41">IF(F34="","","SI")</f>
      </c>
      <c r="V34" s="380">
        <f t="shared" si="8"/>
      </c>
      <c r="W34" s="299"/>
    </row>
    <row r="35" spans="2:23" s="10" customFormat="1" ht="16.5" customHeight="1">
      <c r="B35" s="44"/>
      <c r="C35" s="272"/>
      <c r="D35" s="269"/>
      <c r="E35" s="269"/>
      <c r="F35" s="366"/>
      <c r="G35" s="366"/>
      <c r="H35" s="367"/>
      <c r="I35" s="368">
        <f t="shared" si="0"/>
        <v>17.847</v>
      </c>
      <c r="J35" s="369"/>
      <c r="K35" s="370"/>
      <c r="L35" s="286">
        <f t="shared" si="1"/>
      </c>
      <c r="M35" s="371">
        <f t="shared" si="2"/>
      </c>
      <c r="N35" s="288"/>
      <c r="O35" s="288">
        <f t="shared" si="9"/>
      </c>
      <c r="P35" s="372">
        <f t="shared" si="3"/>
        <v>20</v>
      </c>
      <c r="Q35" s="373" t="str">
        <f t="shared" si="4"/>
        <v>--</v>
      </c>
      <c r="R35" s="374" t="str">
        <f t="shared" si="5"/>
        <v>--</v>
      </c>
      <c r="S35" s="375" t="str">
        <f t="shared" si="6"/>
        <v>--</v>
      </c>
      <c r="T35" s="376" t="str">
        <f t="shared" si="7"/>
        <v>--</v>
      </c>
      <c r="U35" s="377">
        <f t="shared" si="10"/>
      </c>
      <c r="V35" s="380">
        <f t="shared" si="8"/>
      </c>
      <c r="W35" s="299"/>
    </row>
    <row r="36" spans="2:23" s="10" customFormat="1" ht="16.5" customHeight="1">
      <c r="B36" s="44"/>
      <c r="C36" s="272"/>
      <c r="D36" s="269"/>
      <c r="E36" s="269"/>
      <c r="F36" s="366"/>
      <c r="G36" s="366"/>
      <c r="H36" s="367"/>
      <c r="I36" s="368">
        <f t="shared" si="0"/>
        <v>17.847</v>
      </c>
      <c r="J36" s="369"/>
      <c r="K36" s="370"/>
      <c r="L36" s="286">
        <f t="shared" si="1"/>
      </c>
      <c r="M36" s="371">
        <f t="shared" si="2"/>
      </c>
      <c r="N36" s="288"/>
      <c r="O36" s="288">
        <f t="shared" si="9"/>
      </c>
      <c r="P36" s="372">
        <f t="shared" si="3"/>
        <v>20</v>
      </c>
      <c r="Q36" s="373" t="str">
        <f t="shared" si="4"/>
        <v>--</v>
      </c>
      <c r="R36" s="374" t="str">
        <f t="shared" si="5"/>
        <v>--</v>
      </c>
      <c r="S36" s="375" t="str">
        <f t="shared" si="6"/>
        <v>--</v>
      </c>
      <c r="T36" s="376" t="str">
        <f t="shared" si="7"/>
        <v>--</v>
      </c>
      <c r="U36" s="377">
        <f t="shared" si="10"/>
      </c>
      <c r="V36" s="380">
        <f t="shared" si="8"/>
      </c>
      <c r="W36" s="299"/>
    </row>
    <row r="37" spans="2:23" s="10" customFormat="1" ht="16.5" customHeight="1">
      <c r="B37" s="44"/>
      <c r="C37" s="272"/>
      <c r="D37" s="269"/>
      <c r="E37" s="269"/>
      <c r="F37" s="366"/>
      <c r="G37" s="366"/>
      <c r="H37" s="367"/>
      <c r="I37" s="368">
        <f t="shared" si="0"/>
        <v>17.847</v>
      </c>
      <c r="J37" s="369"/>
      <c r="K37" s="370"/>
      <c r="L37" s="286">
        <f t="shared" si="1"/>
      </c>
      <c r="M37" s="371">
        <f t="shared" si="2"/>
      </c>
      <c r="N37" s="288"/>
      <c r="O37" s="288">
        <f t="shared" si="9"/>
      </c>
      <c r="P37" s="372">
        <f t="shared" si="3"/>
        <v>20</v>
      </c>
      <c r="Q37" s="373" t="str">
        <f t="shared" si="4"/>
        <v>--</v>
      </c>
      <c r="R37" s="374" t="str">
        <f t="shared" si="5"/>
        <v>--</v>
      </c>
      <c r="S37" s="375" t="str">
        <f t="shared" si="6"/>
        <v>--</v>
      </c>
      <c r="T37" s="376" t="str">
        <f t="shared" si="7"/>
        <v>--</v>
      </c>
      <c r="U37" s="377">
        <f t="shared" si="10"/>
      </c>
      <c r="V37" s="380">
        <f t="shared" si="8"/>
      </c>
      <c r="W37" s="299"/>
    </row>
    <row r="38" spans="2:23" s="10" customFormat="1" ht="16.5" customHeight="1">
      <c r="B38" s="44"/>
      <c r="C38" s="272"/>
      <c r="D38" s="269"/>
      <c r="E38" s="269"/>
      <c r="F38" s="366"/>
      <c r="G38" s="366"/>
      <c r="H38" s="367"/>
      <c r="I38" s="368">
        <f t="shared" si="0"/>
        <v>17.847</v>
      </c>
      <c r="J38" s="369"/>
      <c r="K38" s="370"/>
      <c r="L38" s="286">
        <f t="shared" si="1"/>
      </c>
      <c r="M38" s="371">
        <f t="shared" si="2"/>
      </c>
      <c r="N38" s="288"/>
      <c r="O38" s="288">
        <f t="shared" si="9"/>
      </c>
      <c r="P38" s="372">
        <f t="shared" si="3"/>
        <v>20</v>
      </c>
      <c r="Q38" s="373" t="str">
        <f t="shared" si="4"/>
        <v>--</v>
      </c>
      <c r="R38" s="374" t="str">
        <f t="shared" si="5"/>
        <v>--</v>
      </c>
      <c r="S38" s="375" t="str">
        <f t="shared" si="6"/>
        <v>--</v>
      </c>
      <c r="T38" s="376" t="str">
        <f t="shared" si="7"/>
        <v>--</v>
      </c>
      <c r="U38" s="377">
        <f t="shared" si="10"/>
      </c>
      <c r="V38" s="380">
        <f t="shared" si="8"/>
      </c>
      <c r="W38" s="299"/>
    </row>
    <row r="39" spans="2:23" s="10" customFormat="1" ht="16.5" customHeight="1">
      <c r="B39" s="44"/>
      <c r="C39" s="272"/>
      <c r="D39" s="269"/>
      <c r="E39" s="269"/>
      <c r="F39" s="366"/>
      <c r="G39" s="366"/>
      <c r="H39" s="367"/>
      <c r="I39" s="368">
        <f t="shared" si="0"/>
        <v>17.847</v>
      </c>
      <c r="J39" s="369"/>
      <c r="K39" s="370"/>
      <c r="L39" s="286">
        <f t="shared" si="1"/>
      </c>
      <c r="M39" s="371">
        <f t="shared" si="2"/>
      </c>
      <c r="N39" s="288"/>
      <c r="O39" s="288">
        <f t="shared" si="9"/>
      </c>
      <c r="P39" s="372">
        <f t="shared" si="3"/>
        <v>20</v>
      </c>
      <c r="Q39" s="373" t="str">
        <f t="shared" si="4"/>
        <v>--</v>
      </c>
      <c r="R39" s="374" t="str">
        <f t="shared" si="5"/>
        <v>--</v>
      </c>
      <c r="S39" s="375" t="str">
        <f t="shared" si="6"/>
        <v>--</v>
      </c>
      <c r="T39" s="376" t="str">
        <f t="shared" si="7"/>
        <v>--</v>
      </c>
      <c r="U39" s="377">
        <f t="shared" si="10"/>
      </c>
      <c r="V39" s="380">
        <f t="shared" si="8"/>
      </c>
      <c r="W39" s="299"/>
    </row>
    <row r="40" spans="2:23" s="10" customFormat="1" ht="16.5" customHeight="1">
      <c r="B40" s="44"/>
      <c r="C40" s="272"/>
      <c r="D40" s="269"/>
      <c r="E40" s="269"/>
      <c r="F40" s="366"/>
      <c r="G40" s="366"/>
      <c r="H40" s="367"/>
      <c r="I40" s="368">
        <f t="shared" si="0"/>
        <v>17.847</v>
      </c>
      <c r="J40" s="369"/>
      <c r="K40" s="370"/>
      <c r="L40" s="286">
        <f t="shared" si="1"/>
      </c>
      <c r="M40" s="371">
        <f t="shared" si="2"/>
      </c>
      <c r="N40" s="288"/>
      <c r="O40" s="288">
        <f t="shared" si="9"/>
      </c>
      <c r="P40" s="372">
        <f t="shared" si="3"/>
        <v>20</v>
      </c>
      <c r="Q40" s="373" t="str">
        <f t="shared" si="4"/>
        <v>--</v>
      </c>
      <c r="R40" s="374" t="str">
        <f t="shared" si="5"/>
        <v>--</v>
      </c>
      <c r="S40" s="375" t="str">
        <f t="shared" si="6"/>
        <v>--</v>
      </c>
      <c r="T40" s="376" t="str">
        <f t="shared" si="7"/>
        <v>--</v>
      </c>
      <c r="U40" s="377">
        <f t="shared" si="10"/>
      </c>
      <c r="V40" s="380">
        <f t="shared" si="8"/>
      </c>
      <c r="W40" s="299"/>
    </row>
    <row r="41" spans="2:23" s="10" customFormat="1" ht="16.5" customHeight="1">
      <c r="B41" s="44"/>
      <c r="C41" s="272"/>
      <c r="D41" s="269"/>
      <c r="E41" s="269"/>
      <c r="F41" s="366"/>
      <c r="G41" s="366"/>
      <c r="H41" s="367"/>
      <c r="I41" s="368">
        <f t="shared" si="0"/>
        <v>17.847</v>
      </c>
      <c r="J41" s="369"/>
      <c r="K41" s="370"/>
      <c r="L41" s="286">
        <f t="shared" si="1"/>
      </c>
      <c r="M41" s="371">
        <f t="shared" si="2"/>
      </c>
      <c r="N41" s="288"/>
      <c r="O41" s="288">
        <f t="shared" si="9"/>
      </c>
      <c r="P41" s="372">
        <f t="shared" si="3"/>
        <v>20</v>
      </c>
      <c r="Q41" s="373" t="str">
        <f t="shared" si="4"/>
        <v>--</v>
      </c>
      <c r="R41" s="374" t="str">
        <f t="shared" si="5"/>
        <v>--</v>
      </c>
      <c r="S41" s="375" t="str">
        <f t="shared" si="6"/>
        <v>--</v>
      </c>
      <c r="T41" s="376" t="str">
        <f t="shared" si="7"/>
        <v>--</v>
      </c>
      <c r="U41" s="377">
        <f t="shared" si="10"/>
      </c>
      <c r="V41" s="380">
        <f t="shared" si="8"/>
      </c>
      <c r="W41" s="299"/>
    </row>
    <row r="42" spans="2:23" s="10" customFormat="1" ht="16.5" customHeight="1" thickBot="1">
      <c r="B42" s="44"/>
      <c r="C42" s="300"/>
      <c r="D42" s="300"/>
      <c r="E42" s="300"/>
      <c r="F42" s="300"/>
      <c r="G42" s="300"/>
      <c r="H42" s="300"/>
      <c r="I42" s="381"/>
      <c r="J42" s="300"/>
      <c r="K42" s="300"/>
      <c r="L42" s="300"/>
      <c r="M42" s="300"/>
      <c r="N42" s="300"/>
      <c r="O42" s="300"/>
      <c r="P42" s="382"/>
      <c r="Q42" s="383"/>
      <c r="R42" s="384"/>
      <c r="S42" s="385"/>
      <c r="T42" s="386"/>
      <c r="U42" s="300"/>
      <c r="V42" s="387"/>
      <c r="W42" s="299"/>
    </row>
    <row r="43" spans="2:23" s="10" customFormat="1" ht="16.5" customHeight="1" thickBot="1" thickTop="1">
      <c r="B43" s="44"/>
      <c r="C43" s="172" t="s">
        <v>73</v>
      </c>
      <c r="D43" s="420" t="s">
        <v>162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8">
        <f>SUM(Q20:Q42)</f>
        <v>3757.3071750000004</v>
      </c>
      <c r="R43" s="389">
        <f>SUM(R20:R42)</f>
        <v>0</v>
      </c>
      <c r="S43" s="389">
        <f>SUM(S20:S42)</f>
        <v>0</v>
      </c>
      <c r="T43" s="390">
        <f>SUM(T20:T42)</f>
        <v>0</v>
      </c>
      <c r="U43" s="391"/>
      <c r="V43" s="392">
        <f>ROUND(SUM(V20:V42),2)</f>
        <v>3757.31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3"/>
      <c r="W44" s="325"/>
    </row>
    <row r="45" spans="2:23" s="10" customFormat="1" ht="16.5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6.5" customHeight="1" thickTop="1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3:6" ht="16.5" customHeight="1">
      <c r="C47" s="394"/>
      <c r="D47" s="394"/>
      <c r="E47" s="394"/>
      <c r="F47" s="394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50" zoomScaleNormal="50" zoomScalePageLayoutView="0" workbookViewId="0" topLeftCell="A13">
      <selection activeCell="G47" sqref="G47"/>
    </sheetView>
  </sheetViews>
  <sheetFormatPr defaultColWidth="11.421875" defaultRowHeight="12.75"/>
  <cols>
    <col min="1" max="1" width="22.7109375" style="422" customWidth="1"/>
    <col min="2" max="2" width="15.7109375" style="422" customWidth="1"/>
    <col min="3" max="3" width="5.7109375" style="422" customWidth="1"/>
    <col min="4" max="4" width="56.421875" style="422" customWidth="1"/>
    <col min="5" max="5" width="10.421875" style="422" customWidth="1"/>
    <col min="6" max="6" width="14.140625" style="422" customWidth="1"/>
    <col min="7" max="7" width="11.7109375" style="422" customWidth="1"/>
    <col min="8" max="8" width="12.57421875" style="422" customWidth="1"/>
    <col min="9" max="10" width="10.7109375" style="422" customWidth="1"/>
    <col min="11" max="11" width="14.28125" style="422" customWidth="1"/>
    <col min="12" max="12" width="10.7109375" style="422" customWidth="1"/>
    <col min="13" max="13" width="11.421875" style="422" customWidth="1"/>
    <col min="14" max="19" width="10.7109375" style="422" customWidth="1"/>
    <col min="20" max="20" width="15.7109375" style="422" customWidth="1"/>
    <col min="21" max="16384" width="11.421875" style="422" customWidth="1"/>
  </cols>
  <sheetData>
    <row r="1" ht="38.25" customHeight="1">
      <c r="T1" s="423"/>
    </row>
    <row r="2" spans="2:20" s="424" customFormat="1" ht="40.5" customHeight="1">
      <c r="B2" s="425" t="str">
        <f>+'TOT-0515'!B2</f>
        <v>ANEXO VI al Memorándum D.T.E.E. N°  784 /2015            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</row>
    <row r="3" spans="1:2" s="428" customFormat="1" ht="11.25" customHeight="1">
      <c r="A3" s="426" t="s">
        <v>3</v>
      </c>
      <c r="B3" s="427"/>
    </row>
    <row r="4" spans="1:4" s="428" customFormat="1" ht="11.25" customHeight="1">
      <c r="A4" s="426" t="s">
        <v>4</v>
      </c>
      <c r="B4" s="427"/>
      <c r="D4" s="429"/>
    </row>
    <row r="5" spans="1:4" ht="10.5" customHeight="1">
      <c r="A5" s="430"/>
      <c r="D5" s="431"/>
    </row>
    <row r="6" spans="1:20" ht="26.25">
      <c r="A6" s="430"/>
      <c r="B6" s="432" t="s">
        <v>171</v>
      </c>
      <c r="C6" s="433"/>
      <c r="D6" s="431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</row>
    <row r="7" spans="1:4" ht="18.75" customHeight="1">
      <c r="A7" s="430"/>
      <c r="D7" s="431"/>
    </row>
    <row r="8" spans="1:20" ht="26.25">
      <c r="A8" s="430"/>
      <c r="B8" s="434" t="s">
        <v>1</v>
      </c>
      <c r="C8" s="433"/>
      <c r="D8" s="431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</row>
    <row r="9" spans="1:4" ht="18.75" customHeight="1">
      <c r="A9" s="430"/>
      <c r="D9" s="431"/>
    </row>
    <row r="10" spans="1:20" ht="26.25">
      <c r="A10" s="430"/>
      <c r="B10" s="434" t="s">
        <v>172</v>
      </c>
      <c r="C10" s="433"/>
      <c r="D10" s="431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</row>
    <row r="11" ht="18.75" customHeight="1" thickBot="1"/>
    <row r="12" spans="2:20" ht="18.75" customHeight="1" thickTop="1">
      <c r="B12" s="435"/>
      <c r="C12" s="436"/>
      <c r="D12" s="437"/>
      <c r="E12" s="437"/>
      <c r="F12" s="437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8"/>
    </row>
    <row r="13" spans="2:20" ht="30" customHeight="1">
      <c r="B13" s="439" t="s">
        <v>179</v>
      </c>
      <c r="C13" s="433"/>
      <c r="D13" s="440"/>
      <c r="E13" s="440"/>
      <c r="F13" s="440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2"/>
    </row>
    <row r="14" spans="2:20" ht="18.75" customHeight="1" thickBot="1">
      <c r="B14" s="443"/>
      <c r="C14" s="444"/>
      <c r="D14" s="445"/>
      <c r="E14" s="445"/>
      <c r="F14" s="446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8"/>
    </row>
    <row r="15" spans="1:20" s="456" customFormat="1" ht="34.5" customHeight="1" thickBot="1" thickTop="1">
      <c r="A15" s="449"/>
      <c r="B15" s="450"/>
      <c r="C15" s="451"/>
      <c r="D15" s="451" t="s">
        <v>173</v>
      </c>
      <c r="E15" s="452" t="s">
        <v>21</v>
      </c>
      <c r="F15" s="453" t="s">
        <v>22</v>
      </c>
      <c r="G15" s="454">
        <f>'[1]Tasa de Falla'!HY15</f>
        <v>41760</v>
      </c>
      <c r="H15" s="454">
        <f>'[1]Tasa de Falla'!HZ15</f>
        <v>41791</v>
      </c>
      <c r="I15" s="454">
        <f>'[1]Tasa de Falla'!IA15</f>
        <v>41821</v>
      </c>
      <c r="J15" s="454">
        <f>'[1]Tasa de Falla'!IB15</f>
        <v>41852</v>
      </c>
      <c r="K15" s="454">
        <f>'[1]Tasa de Falla'!IC15</f>
        <v>41883</v>
      </c>
      <c r="L15" s="454">
        <f>'[1]Tasa de Falla'!ID15</f>
        <v>41913</v>
      </c>
      <c r="M15" s="454">
        <f>'[1]Tasa de Falla'!IE15</f>
        <v>41944</v>
      </c>
      <c r="N15" s="454">
        <f>'[1]Tasa de Falla'!IF15</f>
        <v>41974</v>
      </c>
      <c r="O15" s="454">
        <f>'[1]Tasa de Falla'!IG15</f>
        <v>42005</v>
      </c>
      <c r="P15" s="454">
        <f>'[1]Tasa de Falla'!IH15</f>
        <v>42036</v>
      </c>
      <c r="Q15" s="454">
        <f>'[1]Tasa de Falla'!II15</f>
        <v>42064</v>
      </c>
      <c r="R15" s="454">
        <f>'[1]Tasa de Falla'!IJ15</f>
        <v>42095</v>
      </c>
      <c r="S15" s="454">
        <f>'[1]Tasa de Falla'!IK15</f>
        <v>42125</v>
      </c>
      <c r="T15" s="455"/>
    </row>
    <row r="16" spans="2:20" s="456" customFormat="1" ht="24.75" customHeight="1" thickTop="1">
      <c r="B16" s="457"/>
      <c r="C16" s="458"/>
      <c r="D16" s="459"/>
      <c r="E16" s="459"/>
      <c r="F16" s="460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61"/>
      <c r="T16" s="455"/>
    </row>
    <row r="17" spans="2:20" s="456" customFormat="1" ht="24.75" customHeight="1">
      <c r="B17" s="457"/>
      <c r="C17" s="462">
        <f>'[1]Tasa de Falla'!C17</f>
        <v>1</v>
      </c>
      <c r="D17" s="463" t="str">
        <f>'[1]Tasa de Falla'!D17</f>
        <v>AGUA DEL TORO - CRUZ DE PIEDRA</v>
      </c>
      <c r="E17" s="463">
        <f>'[1]Tasa de Falla'!E17</f>
        <v>220</v>
      </c>
      <c r="F17" s="464">
        <f>'[1]Tasa de Falla'!F17</f>
        <v>177.9</v>
      </c>
      <c r="G17" s="463">
        <f>IF('[1]Tasa de Falla'!HY17="","",'[1]Tasa de Falla'!HY17)</f>
      </c>
      <c r="H17" s="463">
        <f>IF('[1]Tasa de Falla'!HZ17="","",'[1]Tasa de Falla'!HZ17)</f>
      </c>
      <c r="I17" s="463">
        <f>IF('[1]Tasa de Falla'!IA17="","",'[1]Tasa de Falla'!IA17)</f>
      </c>
      <c r="J17" s="463">
        <f>IF('[1]Tasa de Falla'!IB17="","",'[1]Tasa de Falla'!IB17)</f>
        <v>3</v>
      </c>
      <c r="K17" s="463">
        <f>IF('[1]Tasa de Falla'!IC17="","",'[1]Tasa de Falla'!IC17)</f>
      </c>
      <c r="L17" s="463">
        <f>IF('[1]Tasa de Falla'!ID17="","",'[1]Tasa de Falla'!ID17)</f>
      </c>
      <c r="M17" s="463">
        <f>IF('[1]Tasa de Falla'!IE17="","",'[1]Tasa de Falla'!IE17)</f>
      </c>
      <c r="N17" s="463">
        <f>IF('[1]Tasa de Falla'!IF17="","",'[1]Tasa de Falla'!IF17)</f>
      </c>
      <c r="O17" s="463">
        <f>IF('[1]Tasa de Falla'!IG17="","",'[1]Tasa de Falla'!IG17)</f>
      </c>
      <c r="P17" s="463">
        <f>IF('[1]Tasa de Falla'!IH17="","",'[1]Tasa de Falla'!IH17)</f>
      </c>
      <c r="Q17" s="463">
        <f>IF('[1]Tasa de Falla'!II17="","",'[1]Tasa de Falla'!II17)</f>
      </c>
      <c r="R17" s="463">
        <f>IF('[1]Tasa de Falla'!IJ17="","",'[1]Tasa de Falla'!IJ17)</f>
      </c>
      <c r="S17" s="460"/>
      <c r="T17" s="455"/>
    </row>
    <row r="18" spans="2:20" s="456" customFormat="1" ht="24.75" customHeight="1">
      <c r="B18" s="457"/>
      <c r="C18" s="465">
        <f>'[1]Tasa de Falla'!C18</f>
        <v>2</v>
      </c>
      <c r="D18" s="466" t="str">
        <f>'[1]Tasa de Falla'!D18</f>
        <v>AGUA DEL TORO - LOS REYUNOS</v>
      </c>
      <c r="E18" s="466">
        <f>'[1]Tasa de Falla'!E18</f>
        <v>220</v>
      </c>
      <c r="F18" s="467">
        <f>'[1]Tasa de Falla'!F18</f>
        <v>43</v>
      </c>
      <c r="G18" s="463">
        <f>IF('[1]Tasa de Falla'!HY18="","",'[1]Tasa de Falla'!HY18)</f>
      </c>
      <c r="H18" s="463">
        <f>IF('[1]Tasa de Falla'!HZ18="","",'[1]Tasa de Falla'!HZ18)</f>
      </c>
      <c r="I18" s="463">
        <f>IF('[1]Tasa de Falla'!IA18="","",'[1]Tasa de Falla'!IA18)</f>
      </c>
      <c r="J18" s="463">
        <f>IF('[1]Tasa de Falla'!IB18="","",'[1]Tasa de Falla'!IB18)</f>
      </c>
      <c r="K18" s="463">
        <f>IF('[1]Tasa de Falla'!IC18="","",'[1]Tasa de Falla'!IC18)</f>
      </c>
      <c r="L18" s="463">
        <f>IF('[1]Tasa de Falla'!ID18="","",'[1]Tasa de Falla'!ID18)</f>
      </c>
      <c r="M18" s="463">
        <f>IF('[1]Tasa de Falla'!IE18="","",'[1]Tasa de Falla'!IE18)</f>
      </c>
      <c r="N18" s="463">
        <f>IF('[1]Tasa de Falla'!IF18="","",'[1]Tasa de Falla'!IF18)</f>
      </c>
      <c r="O18" s="463">
        <f>IF('[1]Tasa de Falla'!IG18="","",'[1]Tasa de Falla'!IG18)</f>
      </c>
      <c r="P18" s="463">
        <f>IF('[1]Tasa de Falla'!IH18="","",'[1]Tasa de Falla'!IH18)</f>
      </c>
      <c r="Q18" s="463">
        <f>IF('[1]Tasa de Falla'!II18="","",'[1]Tasa de Falla'!II18)</f>
      </c>
      <c r="R18" s="463">
        <f>IF('[1]Tasa de Falla'!IJ18="","",'[1]Tasa de Falla'!IJ18)</f>
      </c>
      <c r="S18" s="460"/>
      <c r="T18" s="455"/>
    </row>
    <row r="19" spans="2:20" s="456" customFormat="1" ht="24.75" customHeight="1">
      <c r="B19" s="457"/>
      <c r="C19" s="462">
        <f>'[1]Tasa de Falla'!C19</f>
        <v>3</v>
      </c>
      <c r="D19" s="463" t="str">
        <f>'[1]Tasa de Falla'!D19</f>
        <v>AGUA DEL TORO - NIHUIL II</v>
      </c>
      <c r="E19" s="463">
        <f>'[1]Tasa de Falla'!E19</f>
        <v>220</v>
      </c>
      <c r="F19" s="464">
        <f>'[1]Tasa de Falla'!F19</f>
        <v>53.5</v>
      </c>
      <c r="G19" s="463">
        <f>IF('[1]Tasa de Falla'!HY19="","",'[1]Tasa de Falla'!HY19)</f>
      </c>
      <c r="H19" s="463">
        <f>IF('[1]Tasa de Falla'!HZ19="","",'[1]Tasa de Falla'!HZ19)</f>
      </c>
      <c r="I19" s="463">
        <f>IF('[1]Tasa de Falla'!IA19="","",'[1]Tasa de Falla'!IA19)</f>
      </c>
      <c r="J19" s="463">
        <f>IF('[1]Tasa de Falla'!IB19="","",'[1]Tasa de Falla'!IB19)</f>
      </c>
      <c r="K19" s="463">
        <f>IF('[1]Tasa de Falla'!IC19="","",'[1]Tasa de Falla'!IC19)</f>
      </c>
      <c r="L19" s="463">
        <f>IF('[1]Tasa de Falla'!ID19="","",'[1]Tasa de Falla'!ID19)</f>
      </c>
      <c r="M19" s="463">
        <f>IF('[1]Tasa de Falla'!IE19="","",'[1]Tasa de Falla'!IE19)</f>
      </c>
      <c r="N19" s="463">
        <f>IF('[1]Tasa de Falla'!IF19="","",'[1]Tasa de Falla'!IF19)</f>
      </c>
      <c r="O19" s="463">
        <f>IF('[1]Tasa de Falla'!IG19="","",'[1]Tasa de Falla'!IG19)</f>
      </c>
      <c r="P19" s="463">
        <f>IF('[1]Tasa de Falla'!IH19="","",'[1]Tasa de Falla'!IH19)</f>
      </c>
      <c r="Q19" s="463">
        <f>IF('[1]Tasa de Falla'!II19="","",'[1]Tasa de Falla'!II19)</f>
      </c>
      <c r="R19" s="463">
        <f>IF('[1]Tasa de Falla'!IJ19="","",'[1]Tasa de Falla'!IJ19)</f>
      </c>
      <c r="S19" s="460"/>
      <c r="T19" s="455"/>
    </row>
    <row r="20" spans="2:20" s="456" customFormat="1" ht="24.75" customHeight="1">
      <c r="B20" s="457"/>
      <c r="C20" s="465">
        <f>'[1]Tasa de Falla'!C20</f>
        <v>4</v>
      </c>
      <c r="D20" s="466" t="str">
        <f>'[1]Tasa de Falla'!D20</f>
        <v>CRUZ DE PIEDRA - SAN JUAN</v>
      </c>
      <c r="E20" s="466">
        <f>'[1]Tasa de Falla'!E20</f>
        <v>220</v>
      </c>
      <c r="F20" s="467">
        <f>'[1]Tasa de Falla'!F20</f>
        <v>171.6</v>
      </c>
      <c r="G20" s="463">
        <f>IF('[1]Tasa de Falla'!HY20="","",'[1]Tasa de Falla'!HY20)</f>
      </c>
      <c r="H20" s="463">
        <f>IF('[1]Tasa de Falla'!HZ20="","",'[1]Tasa de Falla'!HZ20)</f>
      </c>
      <c r="I20" s="463">
        <f>IF('[1]Tasa de Falla'!IA20="","",'[1]Tasa de Falla'!IA20)</f>
      </c>
      <c r="J20" s="463">
        <f>IF('[1]Tasa de Falla'!IB20="","",'[1]Tasa de Falla'!IB20)</f>
        <v>1</v>
      </c>
      <c r="K20" s="463">
        <f>IF('[1]Tasa de Falla'!IC20="","",'[1]Tasa de Falla'!IC20)</f>
      </c>
      <c r="L20" s="463">
        <f>IF('[1]Tasa de Falla'!ID20="","",'[1]Tasa de Falla'!ID20)</f>
      </c>
      <c r="M20" s="463">
        <f>IF('[1]Tasa de Falla'!IE20="","",'[1]Tasa de Falla'!IE20)</f>
      </c>
      <c r="N20" s="463">
        <f>IF('[1]Tasa de Falla'!IF20="","",'[1]Tasa de Falla'!IF20)</f>
      </c>
      <c r="O20" s="463">
        <f>IF('[1]Tasa de Falla'!IG20="","",'[1]Tasa de Falla'!IG20)</f>
      </c>
      <c r="P20" s="463">
        <f>IF('[1]Tasa de Falla'!IH20="","",'[1]Tasa de Falla'!IH20)</f>
        <v>1</v>
      </c>
      <c r="Q20" s="463">
        <f>IF('[1]Tasa de Falla'!II20="","",'[1]Tasa de Falla'!II20)</f>
      </c>
      <c r="R20" s="463">
        <f>IF('[1]Tasa de Falla'!IJ20="","",'[1]Tasa de Falla'!IJ20)</f>
      </c>
      <c r="S20" s="460"/>
      <c r="T20" s="455"/>
    </row>
    <row r="21" spans="2:20" s="456" customFormat="1" ht="24.75" customHeight="1">
      <c r="B21" s="457"/>
      <c r="C21" s="462">
        <f>'[1]Tasa de Falla'!C21</f>
        <v>5</v>
      </c>
      <c r="D21" s="463" t="str">
        <f>'[1]Tasa de Falla'!D21</f>
        <v>LOS REYUNOS - GRAN MENDOZA</v>
      </c>
      <c r="E21" s="463">
        <f>'[1]Tasa de Falla'!E21</f>
        <v>220</v>
      </c>
      <c r="F21" s="464">
        <f>'[1]Tasa de Falla'!F21</f>
        <v>188.3</v>
      </c>
      <c r="G21" s="463">
        <f>IF('[1]Tasa de Falla'!HY21="","",'[1]Tasa de Falla'!HY21)</f>
      </c>
      <c r="H21" s="463">
        <f>IF('[1]Tasa de Falla'!HZ21="","",'[1]Tasa de Falla'!HZ21)</f>
      </c>
      <c r="I21" s="463">
        <f>IF('[1]Tasa de Falla'!IA21="","",'[1]Tasa de Falla'!IA21)</f>
      </c>
      <c r="J21" s="463">
        <f>IF('[1]Tasa de Falla'!IB21="","",'[1]Tasa de Falla'!IB21)</f>
      </c>
      <c r="K21" s="463">
        <f>IF('[1]Tasa de Falla'!IC21="","",'[1]Tasa de Falla'!IC21)</f>
      </c>
      <c r="L21" s="463">
        <f>IF('[1]Tasa de Falla'!ID21="","",'[1]Tasa de Falla'!ID21)</f>
      </c>
      <c r="M21" s="463">
        <f>IF('[1]Tasa de Falla'!IE21="","",'[1]Tasa de Falla'!IE21)</f>
      </c>
      <c r="N21" s="463">
        <f>IF('[1]Tasa de Falla'!IF21="","",'[1]Tasa de Falla'!IF21)</f>
      </c>
      <c r="O21" s="463">
        <f>IF('[1]Tasa de Falla'!IG21="","",'[1]Tasa de Falla'!IG21)</f>
      </c>
      <c r="P21" s="463">
        <f>IF('[1]Tasa de Falla'!IH21="","",'[1]Tasa de Falla'!IH21)</f>
      </c>
      <c r="Q21" s="463">
        <f>IF('[1]Tasa de Falla'!II21="","",'[1]Tasa de Falla'!II21)</f>
      </c>
      <c r="R21" s="463">
        <f>IF('[1]Tasa de Falla'!IJ21="","",'[1]Tasa de Falla'!IJ21)</f>
      </c>
      <c r="S21" s="460"/>
      <c r="T21" s="455"/>
    </row>
    <row r="22" spans="2:20" s="456" customFormat="1" ht="24.75" customHeight="1">
      <c r="B22" s="457"/>
      <c r="C22" s="462">
        <f>'[1]Tasa de Falla'!C22</f>
        <v>6</v>
      </c>
      <c r="D22" s="463" t="str">
        <f>'[1]Tasa de Falla'!D22</f>
        <v>CRUZ DE PIEDRA - CAÑADA HONDA</v>
      </c>
      <c r="E22" s="463">
        <f>'[1]Tasa de Falla'!E22</f>
        <v>132</v>
      </c>
      <c r="F22" s="464">
        <f>'[1]Tasa de Falla'!F22</f>
        <v>125.8</v>
      </c>
      <c r="G22" s="463">
        <f>IF('[1]Tasa de Falla'!HY22="","",'[1]Tasa de Falla'!HY22)</f>
      </c>
      <c r="H22" s="463">
        <f>IF('[1]Tasa de Falla'!HZ22="","",'[1]Tasa de Falla'!HZ22)</f>
      </c>
      <c r="I22" s="463">
        <f>IF('[1]Tasa de Falla'!IA22="","",'[1]Tasa de Falla'!IA22)</f>
      </c>
      <c r="J22" s="463">
        <f>IF('[1]Tasa de Falla'!IB22="","",'[1]Tasa de Falla'!IB22)</f>
      </c>
      <c r="K22" s="463">
        <f>IF('[1]Tasa de Falla'!IC22="","",'[1]Tasa de Falla'!IC22)</f>
      </c>
      <c r="L22" s="463">
        <f>IF('[1]Tasa de Falla'!ID22="","",'[1]Tasa de Falla'!ID22)</f>
      </c>
      <c r="M22" s="463">
        <f>IF('[1]Tasa de Falla'!IE22="","",'[1]Tasa de Falla'!IE22)</f>
      </c>
      <c r="N22" s="463">
        <f>IF('[1]Tasa de Falla'!IF22="","",'[1]Tasa de Falla'!IF22)</f>
      </c>
      <c r="O22" s="463">
        <f>IF('[1]Tasa de Falla'!IG22="","",'[1]Tasa de Falla'!IG22)</f>
      </c>
      <c r="P22" s="463">
        <f>IF('[1]Tasa de Falla'!IH22="","",'[1]Tasa de Falla'!IH22)</f>
        <v>1</v>
      </c>
      <c r="Q22" s="463">
        <f>IF('[1]Tasa de Falla'!II22="","",'[1]Tasa de Falla'!II22)</f>
      </c>
      <c r="R22" s="463">
        <f>IF('[1]Tasa de Falla'!IJ22="","",'[1]Tasa de Falla'!IJ22)</f>
      </c>
      <c r="S22" s="460"/>
      <c r="T22" s="455"/>
    </row>
    <row r="23" spans="2:20" s="456" customFormat="1" ht="24.75" customHeight="1">
      <c r="B23" s="457"/>
      <c r="C23" s="465">
        <f>'[1]Tasa de Falla'!C23</f>
        <v>7</v>
      </c>
      <c r="D23" s="466" t="str">
        <f>'[1]Tasa de Falla'!D23</f>
        <v>ANCHORIS - CAPIZ</v>
      </c>
      <c r="E23" s="466">
        <f>'[1]Tasa de Falla'!E23</f>
        <v>132</v>
      </c>
      <c r="F23" s="467">
        <f>'[1]Tasa de Falla'!F23</f>
        <v>42</v>
      </c>
      <c r="G23" s="463">
        <f>IF('[1]Tasa de Falla'!HY23="","",'[1]Tasa de Falla'!HY23)</f>
      </c>
      <c r="H23" s="463">
        <f>IF('[1]Tasa de Falla'!HZ23="","",'[1]Tasa de Falla'!HZ23)</f>
      </c>
      <c r="I23" s="463">
        <f>IF('[1]Tasa de Falla'!IA23="","",'[1]Tasa de Falla'!IA23)</f>
      </c>
      <c r="J23" s="463">
        <f>IF('[1]Tasa de Falla'!IB23="","",'[1]Tasa de Falla'!IB23)</f>
      </c>
      <c r="K23" s="463">
        <f>IF('[1]Tasa de Falla'!IC23="","",'[1]Tasa de Falla'!IC23)</f>
        <v>1</v>
      </c>
      <c r="L23" s="463">
        <f>IF('[1]Tasa de Falla'!ID23="","",'[1]Tasa de Falla'!ID23)</f>
      </c>
      <c r="M23" s="463">
        <f>IF('[1]Tasa de Falla'!IE23="","",'[1]Tasa de Falla'!IE23)</f>
      </c>
      <c r="N23" s="463">
        <f>IF('[1]Tasa de Falla'!IF23="","",'[1]Tasa de Falla'!IF23)</f>
      </c>
      <c r="O23" s="463">
        <f>IF('[1]Tasa de Falla'!IG23="","",'[1]Tasa de Falla'!IG23)</f>
      </c>
      <c r="P23" s="463">
        <f>IF('[1]Tasa de Falla'!IH23="","",'[1]Tasa de Falla'!IH23)</f>
      </c>
      <c r="Q23" s="463">
        <f>IF('[1]Tasa de Falla'!II23="","",'[1]Tasa de Falla'!II23)</f>
      </c>
      <c r="R23" s="463">
        <f>IF('[1]Tasa de Falla'!IJ23="","",'[1]Tasa de Falla'!IJ23)</f>
      </c>
      <c r="S23" s="460"/>
      <c r="T23" s="455"/>
    </row>
    <row r="24" spans="2:20" s="456" customFormat="1" ht="24.75" customHeight="1">
      <c r="B24" s="457"/>
      <c r="C24" s="462">
        <f>'[1]Tasa de Falla'!C24</f>
        <v>8</v>
      </c>
      <c r="D24" s="463" t="str">
        <f>'[1]Tasa de Falla'!D24</f>
        <v>ANCHORIS - CRUZ DE PIEDRA</v>
      </c>
      <c r="E24" s="463">
        <f>'[1]Tasa de Falla'!E24</f>
        <v>132</v>
      </c>
      <c r="F24" s="464">
        <f>'[1]Tasa de Falla'!F24</f>
        <v>33.5</v>
      </c>
      <c r="G24" s="463">
        <f>IF('[1]Tasa de Falla'!HY24="","",'[1]Tasa de Falla'!HY24)</f>
      </c>
      <c r="H24" s="463">
        <f>IF('[1]Tasa de Falla'!HZ24="","",'[1]Tasa de Falla'!HZ24)</f>
      </c>
      <c r="I24" s="463">
        <f>IF('[1]Tasa de Falla'!IA24="","",'[1]Tasa de Falla'!IA24)</f>
      </c>
      <c r="J24" s="463">
        <f>IF('[1]Tasa de Falla'!IB24="","",'[1]Tasa de Falla'!IB24)</f>
      </c>
      <c r="K24" s="463">
        <f>IF('[1]Tasa de Falla'!IC24="","",'[1]Tasa de Falla'!IC24)</f>
        <v>1</v>
      </c>
      <c r="L24" s="463">
        <f>IF('[1]Tasa de Falla'!ID24="","",'[1]Tasa de Falla'!ID24)</f>
      </c>
      <c r="M24" s="463">
        <f>IF('[1]Tasa de Falla'!IE24="","",'[1]Tasa de Falla'!IE24)</f>
      </c>
      <c r="N24" s="463">
        <f>IF('[1]Tasa de Falla'!IF24="","",'[1]Tasa de Falla'!IF24)</f>
      </c>
      <c r="O24" s="463">
        <f>IF('[1]Tasa de Falla'!IG24="","",'[1]Tasa de Falla'!IG24)</f>
      </c>
      <c r="P24" s="463">
        <f>IF('[1]Tasa de Falla'!IH24="","",'[1]Tasa de Falla'!IH24)</f>
      </c>
      <c r="Q24" s="463">
        <f>IF('[1]Tasa de Falla'!II24="","",'[1]Tasa de Falla'!II24)</f>
      </c>
      <c r="R24" s="463">
        <f>IF('[1]Tasa de Falla'!IJ24="","",'[1]Tasa de Falla'!IJ24)</f>
      </c>
      <c r="S24" s="460"/>
      <c r="T24" s="455"/>
    </row>
    <row r="25" spans="2:20" s="456" customFormat="1" ht="24.75" customHeight="1">
      <c r="B25" s="457"/>
      <c r="C25" s="465">
        <f>'[1]Tasa de Falla'!C25</f>
        <v>9</v>
      </c>
      <c r="D25" s="466" t="str">
        <f>'[1]Tasa de Falla'!D25</f>
        <v>ANCHORIZ -Deriv."T" a LC 35-B.R.Tunuyan</v>
      </c>
      <c r="E25" s="466">
        <f>'[1]Tasa de Falla'!E25</f>
        <v>132</v>
      </c>
      <c r="F25" s="467">
        <f>'[1]Tasa de Falla'!F25</f>
        <v>52.9</v>
      </c>
      <c r="G25" s="463">
        <f>IF('[1]Tasa de Falla'!HY25="","",'[1]Tasa de Falla'!HY25)</f>
      </c>
      <c r="H25" s="463">
        <f>IF('[1]Tasa de Falla'!HZ25="","",'[1]Tasa de Falla'!HZ25)</f>
      </c>
      <c r="I25" s="463">
        <f>IF('[1]Tasa de Falla'!IA25="","",'[1]Tasa de Falla'!IA25)</f>
      </c>
      <c r="J25" s="463">
        <f>IF('[1]Tasa de Falla'!IB25="","",'[1]Tasa de Falla'!IB25)</f>
      </c>
      <c r="K25" s="463">
        <f>IF('[1]Tasa de Falla'!IC25="","",'[1]Tasa de Falla'!IC25)</f>
      </c>
      <c r="L25" s="463">
        <f>IF('[1]Tasa de Falla'!ID25="","",'[1]Tasa de Falla'!ID25)</f>
      </c>
      <c r="M25" s="463">
        <f>IF('[1]Tasa de Falla'!IE25="","",'[1]Tasa de Falla'!IE25)</f>
      </c>
      <c r="N25" s="463">
        <f>IF('[1]Tasa de Falla'!IF25="","",'[1]Tasa de Falla'!IF25)</f>
      </c>
      <c r="O25" s="463">
        <f>IF('[1]Tasa de Falla'!IG25="","",'[1]Tasa de Falla'!IG25)</f>
      </c>
      <c r="P25" s="463">
        <f>IF('[1]Tasa de Falla'!IH25="","",'[1]Tasa de Falla'!IH25)</f>
      </c>
      <c r="Q25" s="463">
        <f>IF('[1]Tasa de Falla'!II25="","",'[1]Tasa de Falla'!II25)</f>
      </c>
      <c r="R25" s="463">
        <f>IF('[1]Tasa de Falla'!IJ25="","",'[1]Tasa de Falla'!IJ25)</f>
      </c>
      <c r="S25" s="460"/>
      <c r="T25" s="455"/>
    </row>
    <row r="26" spans="2:20" s="456" customFormat="1" ht="24.75" customHeight="1">
      <c r="B26" s="457"/>
      <c r="C26" s="462">
        <f>'[1]Tasa de Falla'!C26</f>
        <v>10</v>
      </c>
      <c r="D26" s="463" t="str">
        <f>'[1]Tasa de Falla'!D26</f>
        <v>CAPIZ - PEDRO VARGAS</v>
      </c>
      <c r="E26" s="463">
        <f>'[1]Tasa de Falla'!E26</f>
        <v>132</v>
      </c>
      <c r="F26" s="464">
        <f>'[1]Tasa de Falla'!F26</f>
        <v>122.1</v>
      </c>
      <c r="G26" s="463">
        <f>IF('[1]Tasa de Falla'!HY26="","",'[1]Tasa de Falla'!HY26)</f>
      </c>
      <c r="H26" s="463">
        <f>IF('[1]Tasa de Falla'!HZ26="","",'[1]Tasa de Falla'!HZ26)</f>
      </c>
      <c r="I26" s="463">
        <f>IF('[1]Tasa de Falla'!IA26="","",'[1]Tasa de Falla'!IA26)</f>
        <v>1</v>
      </c>
      <c r="J26" s="463">
        <f>IF('[1]Tasa de Falla'!IB26="","",'[1]Tasa de Falla'!IB26)</f>
      </c>
      <c r="K26" s="463">
        <f>IF('[1]Tasa de Falla'!IC26="","",'[1]Tasa de Falla'!IC26)</f>
      </c>
      <c r="L26" s="463">
        <f>IF('[1]Tasa de Falla'!ID26="","",'[1]Tasa de Falla'!ID26)</f>
      </c>
      <c r="M26" s="463">
        <f>IF('[1]Tasa de Falla'!IE26="","",'[1]Tasa de Falla'!IE26)</f>
      </c>
      <c r="N26" s="463">
        <f>IF('[1]Tasa de Falla'!IF26="","",'[1]Tasa de Falla'!IF26)</f>
      </c>
      <c r="O26" s="463">
        <f>IF('[1]Tasa de Falla'!IG26="","",'[1]Tasa de Falla'!IG26)</f>
      </c>
      <c r="P26" s="463">
        <f>IF('[1]Tasa de Falla'!IH26="","",'[1]Tasa de Falla'!IH26)</f>
      </c>
      <c r="Q26" s="463">
        <f>IF('[1]Tasa de Falla'!II26="","",'[1]Tasa de Falla'!II26)</f>
      </c>
      <c r="R26" s="463">
        <f>IF('[1]Tasa de Falla'!IJ26="","",'[1]Tasa de Falla'!IJ26)</f>
      </c>
      <c r="S26" s="460"/>
      <c r="T26" s="455"/>
    </row>
    <row r="27" spans="2:20" s="456" customFormat="1" ht="24.75" customHeight="1">
      <c r="B27" s="457"/>
      <c r="C27" s="465">
        <f>'[1]Tasa de Falla'!C27</f>
        <v>11</v>
      </c>
      <c r="D27" s="466" t="str">
        <f>'[1]Tasa de Falla'!D27</f>
        <v>SAN RAFAEL - PEDRO VARGAS</v>
      </c>
      <c r="E27" s="466">
        <f>'[1]Tasa de Falla'!E27</f>
        <v>132</v>
      </c>
      <c r="F27" s="467">
        <f>'[1]Tasa de Falla'!F27</f>
        <v>15.6</v>
      </c>
      <c r="G27" s="463">
        <f>IF('[1]Tasa de Falla'!HY27="","",'[1]Tasa de Falla'!HY27)</f>
      </c>
      <c r="H27" s="463">
        <f>IF('[1]Tasa de Falla'!HZ27="","",'[1]Tasa de Falla'!HZ27)</f>
      </c>
      <c r="I27" s="463">
        <f>IF('[1]Tasa de Falla'!IA27="","",'[1]Tasa de Falla'!IA27)</f>
      </c>
      <c r="J27" s="463">
        <f>IF('[1]Tasa de Falla'!IB27="","",'[1]Tasa de Falla'!IB27)</f>
      </c>
      <c r="K27" s="463">
        <f>IF('[1]Tasa de Falla'!IC27="","",'[1]Tasa de Falla'!IC27)</f>
      </c>
      <c r="L27" s="463">
        <f>IF('[1]Tasa de Falla'!ID27="","",'[1]Tasa de Falla'!ID27)</f>
      </c>
      <c r="M27" s="463">
        <f>IF('[1]Tasa de Falla'!IE27="","",'[1]Tasa de Falla'!IE27)</f>
      </c>
      <c r="N27" s="463">
        <f>IF('[1]Tasa de Falla'!IF27="","",'[1]Tasa de Falla'!IF27)</f>
      </c>
      <c r="O27" s="463">
        <f>IF('[1]Tasa de Falla'!IG27="","",'[1]Tasa de Falla'!IG27)</f>
      </c>
      <c r="P27" s="463">
        <f>IF('[1]Tasa de Falla'!IH27="","",'[1]Tasa de Falla'!IH27)</f>
      </c>
      <c r="Q27" s="463">
        <f>IF('[1]Tasa de Falla'!II27="","",'[1]Tasa de Falla'!II27)</f>
      </c>
      <c r="R27" s="463">
        <f>IF('[1]Tasa de Falla'!IJ27="","",'[1]Tasa de Falla'!IJ27)</f>
      </c>
      <c r="S27" s="460"/>
      <c r="T27" s="455"/>
    </row>
    <row r="28" spans="2:20" s="456" customFormat="1" ht="24.75" customHeight="1">
      <c r="B28" s="457"/>
      <c r="C28" s="462">
        <f>'[1]Tasa de Falla'!C28</f>
        <v>12</v>
      </c>
      <c r="D28" s="463" t="str">
        <f>'[1]Tasa de Falla'!D28</f>
        <v>GRAN MENDOZA - MONTE CASEROS 1</v>
      </c>
      <c r="E28" s="463">
        <f>'[1]Tasa de Falla'!E28</f>
        <v>132</v>
      </c>
      <c r="F28" s="464">
        <f>'[1]Tasa de Falla'!F28</f>
        <v>19.1</v>
      </c>
      <c r="G28" s="463">
        <f>IF('[1]Tasa de Falla'!HY28="","",'[1]Tasa de Falla'!HY28)</f>
      </c>
      <c r="H28" s="463">
        <f>IF('[1]Tasa de Falla'!HZ28="","",'[1]Tasa de Falla'!HZ28)</f>
      </c>
      <c r="I28" s="463">
        <f>IF('[1]Tasa de Falla'!IA28="","",'[1]Tasa de Falla'!IA28)</f>
      </c>
      <c r="J28" s="463">
        <f>IF('[1]Tasa de Falla'!IB28="","",'[1]Tasa de Falla'!IB28)</f>
      </c>
      <c r="K28" s="463">
        <f>IF('[1]Tasa de Falla'!IC28="","",'[1]Tasa de Falla'!IC28)</f>
      </c>
      <c r="L28" s="463">
        <f>IF('[1]Tasa de Falla'!ID28="","",'[1]Tasa de Falla'!ID28)</f>
      </c>
      <c r="M28" s="463">
        <f>IF('[1]Tasa de Falla'!IE28="","",'[1]Tasa de Falla'!IE28)</f>
      </c>
      <c r="N28" s="463">
        <f>IF('[1]Tasa de Falla'!IF28="","",'[1]Tasa de Falla'!IF28)</f>
      </c>
      <c r="O28" s="463">
        <f>IF('[1]Tasa de Falla'!IG28="","",'[1]Tasa de Falla'!IG28)</f>
      </c>
      <c r="P28" s="463">
        <f>IF('[1]Tasa de Falla'!IH28="","",'[1]Tasa de Falla'!IH28)</f>
      </c>
      <c r="Q28" s="463">
        <f>IF('[1]Tasa de Falla'!II28="","",'[1]Tasa de Falla'!II28)</f>
      </c>
      <c r="R28" s="463">
        <f>IF('[1]Tasa de Falla'!IJ28="","",'[1]Tasa de Falla'!IJ28)</f>
      </c>
      <c r="S28" s="460"/>
      <c r="T28" s="455"/>
    </row>
    <row r="29" spans="2:20" s="456" customFormat="1" ht="24.75" customHeight="1">
      <c r="B29" s="457"/>
      <c r="C29" s="465">
        <f>'[1]Tasa de Falla'!C29</f>
        <v>13</v>
      </c>
      <c r="D29" s="466" t="str">
        <f>'[1]Tasa de Falla'!D29</f>
        <v>GRAN MENDOZA - MONTE CASEROS 2</v>
      </c>
      <c r="E29" s="466">
        <f>'[1]Tasa de Falla'!E29</f>
        <v>132</v>
      </c>
      <c r="F29" s="467">
        <f>'[1]Tasa de Falla'!F29</f>
        <v>19.1</v>
      </c>
      <c r="G29" s="463">
        <f>IF('[1]Tasa de Falla'!HY29="","",'[1]Tasa de Falla'!HY29)</f>
      </c>
      <c r="H29" s="463">
        <f>IF('[1]Tasa de Falla'!HZ29="","",'[1]Tasa de Falla'!HZ29)</f>
      </c>
      <c r="I29" s="463">
        <f>IF('[1]Tasa de Falla'!IA29="","",'[1]Tasa de Falla'!IA29)</f>
      </c>
      <c r="J29" s="463">
        <f>IF('[1]Tasa de Falla'!IB29="","",'[1]Tasa de Falla'!IB29)</f>
      </c>
      <c r="K29" s="463">
        <f>IF('[1]Tasa de Falla'!IC29="","",'[1]Tasa de Falla'!IC29)</f>
      </c>
      <c r="L29" s="463">
        <f>IF('[1]Tasa de Falla'!ID29="","",'[1]Tasa de Falla'!ID29)</f>
      </c>
      <c r="M29" s="463">
        <f>IF('[1]Tasa de Falla'!IE29="","",'[1]Tasa de Falla'!IE29)</f>
      </c>
      <c r="N29" s="463">
        <f>IF('[1]Tasa de Falla'!IF29="","",'[1]Tasa de Falla'!IF29)</f>
      </c>
      <c r="O29" s="463">
        <f>IF('[1]Tasa de Falla'!IG29="","",'[1]Tasa de Falla'!IG29)</f>
      </c>
      <c r="P29" s="463">
        <f>IF('[1]Tasa de Falla'!IH29="","",'[1]Tasa de Falla'!IH29)</f>
      </c>
      <c r="Q29" s="463">
        <f>IF('[1]Tasa de Falla'!II29="","",'[1]Tasa de Falla'!II29)</f>
      </c>
      <c r="R29" s="463">
        <f>IF('[1]Tasa de Falla'!IJ29="","",'[1]Tasa de Falla'!IJ29)</f>
      </c>
      <c r="S29" s="460"/>
      <c r="T29" s="455"/>
    </row>
    <row r="30" spans="2:20" s="456" customFormat="1" ht="24.75" customHeight="1">
      <c r="B30" s="457"/>
      <c r="C30" s="462">
        <f>'[1]Tasa de Falla'!C30</f>
        <v>14</v>
      </c>
      <c r="D30" s="463" t="str">
        <f>'[1]Tasa de Falla'!D30</f>
        <v>CRUZ DE PIEDRA - GRAN MENDOZA 1</v>
      </c>
      <c r="E30" s="463">
        <f>'[1]Tasa de Falla'!E30</f>
        <v>132</v>
      </c>
      <c r="F30" s="464">
        <f>'[1]Tasa de Falla'!F30</f>
        <v>22</v>
      </c>
      <c r="G30" s="463">
        <f>IF('[1]Tasa de Falla'!HY30="","",'[1]Tasa de Falla'!HY30)</f>
      </c>
      <c r="H30" s="463">
        <f>IF('[1]Tasa de Falla'!HZ30="","",'[1]Tasa de Falla'!HZ30)</f>
      </c>
      <c r="I30" s="463">
        <f>IF('[1]Tasa de Falla'!IA30="","",'[1]Tasa de Falla'!IA30)</f>
      </c>
      <c r="J30" s="463">
        <f>IF('[1]Tasa de Falla'!IB30="","",'[1]Tasa de Falla'!IB30)</f>
      </c>
      <c r="K30" s="463">
        <f>IF('[1]Tasa de Falla'!IC30="","",'[1]Tasa de Falla'!IC30)</f>
      </c>
      <c r="L30" s="463">
        <f>IF('[1]Tasa de Falla'!ID30="","",'[1]Tasa de Falla'!ID30)</f>
      </c>
      <c r="M30" s="463">
        <f>IF('[1]Tasa de Falla'!IE30="","",'[1]Tasa de Falla'!IE30)</f>
      </c>
      <c r="N30" s="463">
        <f>IF('[1]Tasa de Falla'!IF30="","",'[1]Tasa de Falla'!IF30)</f>
        <v>1</v>
      </c>
      <c r="O30" s="463">
        <f>IF('[1]Tasa de Falla'!IG30="","",'[1]Tasa de Falla'!IG30)</f>
      </c>
      <c r="P30" s="463">
        <f>IF('[1]Tasa de Falla'!IH30="","",'[1]Tasa de Falla'!IH30)</f>
        <v>1</v>
      </c>
      <c r="Q30" s="463">
        <f>IF('[1]Tasa de Falla'!II30="","",'[1]Tasa de Falla'!II30)</f>
      </c>
      <c r="R30" s="463">
        <f>IF('[1]Tasa de Falla'!IJ30="","",'[1]Tasa de Falla'!IJ30)</f>
      </c>
      <c r="S30" s="460"/>
      <c r="T30" s="455"/>
    </row>
    <row r="31" spans="2:20" s="456" customFormat="1" ht="24.75" customHeight="1">
      <c r="B31" s="457"/>
      <c r="C31" s="465">
        <f>'[1]Tasa de Falla'!C31</f>
        <v>15</v>
      </c>
      <c r="D31" s="466" t="str">
        <f>'[1]Tasa de Falla'!D31</f>
        <v>CRUZ DE PIEDRA - GRAN MENDOZA 2</v>
      </c>
      <c r="E31" s="466">
        <f>'[1]Tasa de Falla'!E31</f>
        <v>132</v>
      </c>
      <c r="F31" s="467">
        <f>'[1]Tasa de Falla'!F31</f>
        <v>22</v>
      </c>
      <c r="G31" s="463">
        <f>IF('[1]Tasa de Falla'!HY31="","",'[1]Tasa de Falla'!HY31)</f>
      </c>
      <c r="H31" s="463">
        <f>IF('[1]Tasa de Falla'!HZ31="","",'[1]Tasa de Falla'!HZ31)</f>
      </c>
      <c r="I31" s="463">
        <f>IF('[1]Tasa de Falla'!IA31="","",'[1]Tasa de Falla'!IA31)</f>
      </c>
      <c r="J31" s="463">
        <f>IF('[1]Tasa de Falla'!IB31="","",'[1]Tasa de Falla'!IB31)</f>
      </c>
      <c r="K31" s="463">
        <f>IF('[1]Tasa de Falla'!IC31="","",'[1]Tasa de Falla'!IC31)</f>
      </c>
      <c r="L31" s="463">
        <f>IF('[1]Tasa de Falla'!ID31="","",'[1]Tasa de Falla'!ID31)</f>
      </c>
      <c r="M31" s="463">
        <f>IF('[1]Tasa de Falla'!IE31="","",'[1]Tasa de Falla'!IE31)</f>
      </c>
      <c r="N31" s="463">
        <f>IF('[1]Tasa de Falla'!IF31="","",'[1]Tasa de Falla'!IF31)</f>
      </c>
      <c r="O31" s="463">
        <f>IF('[1]Tasa de Falla'!IG31="","",'[1]Tasa de Falla'!IG31)</f>
      </c>
      <c r="P31" s="463">
        <f>IF('[1]Tasa de Falla'!IH31="","",'[1]Tasa de Falla'!IH31)</f>
        <v>2</v>
      </c>
      <c r="Q31" s="463">
        <f>IF('[1]Tasa de Falla'!II31="","",'[1]Tasa de Falla'!II31)</f>
      </c>
      <c r="R31" s="463">
        <f>IF('[1]Tasa de Falla'!IJ31="","",'[1]Tasa de Falla'!IJ31)</f>
      </c>
      <c r="S31" s="460"/>
      <c r="T31" s="455"/>
    </row>
    <row r="32" spans="2:20" s="456" customFormat="1" ht="24.75" customHeight="1">
      <c r="B32" s="457"/>
      <c r="C32" s="462">
        <f>'[1]Tasa de Falla'!C32</f>
        <v>16</v>
      </c>
      <c r="D32" s="463" t="str">
        <f>'[1]Tasa de Falla'!D32</f>
        <v>CRUZ DE PIEDRA - SAN JUAN</v>
      </c>
      <c r="E32" s="463">
        <f>'[1]Tasa de Falla'!E32</f>
        <v>132</v>
      </c>
      <c r="F32" s="464">
        <f>'[1]Tasa de Falla'!F32</f>
        <v>180.18</v>
      </c>
      <c r="G32" s="463" t="str">
        <f>IF('[1]Tasa de Falla'!HY32="","",'[1]Tasa de Falla'!HY32)</f>
        <v>XXXX</v>
      </c>
      <c r="H32" s="463" t="str">
        <f>IF('[1]Tasa de Falla'!HZ32="","",'[1]Tasa de Falla'!HZ32)</f>
        <v>XXXX</v>
      </c>
      <c r="I32" s="463" t="str">
        <f>IF('[1]Tasa de Falla'!IA32="","",'[1]Tasa de Falla'!IA32)</f>
        <v>XXXX</v>
      </c>
      <c r="J32" s="463" t="str">
        <f>IF('[1]Tasa de Falla'!IB32="","",'[1]Tasa de Falla'!IB32)</f>
        <v>XXXX</v>
      </c>
      <c r="K32" s="463" t="str">
        <f>IF('[1]Tasa de Falla'!IC32="","",'[1]Tasa de Falla'!IC32)</f>
        <v>XXXX</v>
      </c>
      <c r="L32" s="463" t="str">
        <f>IF('[1]Tasa de Falla'!ID32="","",'[1]Tasa de Falla'!ID32)</f>
        <v>XXXX</v>
      </c>
      <c r="M32" s="463" t="str">
        <f>IF('[1]Tasa de Falla'!IE32="","",'[1]Tasa de Falla'!IE32)</f>
        <v>XXXX</v>
      </c>
      <c r="N32" s="463" t="str">
        <f>IF('[1]Tasa de Falla'!IF32="","",'[1]Tasa de Falla'!IF32)</f>
        <v>XXXX</v>
      </c>
      <c r="O32" s="463" t="str">
        <f>IF('[1]Tasa de Falla'!IG32="","",'[1]Tasa de Falla'!IG32)</f>
        <v>XXXX</v>
      </c>
      <c r="P32" s="463" t="str">
        <f>IF('[1]Tasa de Falla'!IH32="","",'[1]Tasa de Falla'!IH32)</f>
        <v>XXXX</v>
      </c>
      <c r="Q32" s="463" t="str">
        <f>IF('[1]Tasa de Falla'!II32="","",'[1]Tasa de Falla'!II32)</f>
        <v>XXXX</v>
      </c>
      <c r="R32" s="463" t="str">
        <f>IF('[1]Tasa de Falla'!IJ32="","",'[1]Tasa de Falla'!IJ32)</f>
        <v>XXXX</v>
      </c>
      <c r="S32" s="460"/>
      <c r="T32" s="455"/>
    </row>
    <row r="33" spans="2:20" s="456" customFormat="1" ht="24.75" customHeight="1">
      <c r="B33" s="457"/>
      <c r="C33" s="465">
        <f>'[1]Tasa de Falla'!C33</f>
        <v>17</v>
      </c>
      <c r="D33" s="466" t="str">
        <f>'[1]Tasa de Falla'!D33</f>
        <v>CRUZ DE PIEDRA - LUJAN DE CUYO 1</v>
      </c>
      <c r="E33" s="466">
        <f>'[1]Tasa de Falla'!E33</f>
        <v>132</v>
      </c>
      <c r="F33" s="467">
        <f>'[1]Tasa de Falla'!F33</f>
        <v>18.1</v>
      </c>
      <c r="G33" s="463">
        <f>IF('[1]Tasa de Falla'!HY33="","",'[1]Tasa de Falla'!HY33)</f>
      </c>
      <c r="H33" s="463">
        <f>IF('[1]Tasa de Falla'!HZ33="","",'[1]Tasa de Falla'!HZ33)</f>
      </c>
      <c r="I33" s="463">
        <f>IF('[1]Tasa de Falla'!IA33="","",'[1]Tasa de Falla'!IA33)</f>
      </c>
      <c r="J33" s="463">
        <f>IF('[1]Tasa de Falla'!IB33="","",'[1]Tasa de Falla'!IB33)</f>
      </c>
      <c r="K33" s="463">
        <f>IF('[1]Tasa de Falla'!IC33="","",'[1]Tasa de Falla'!IC33)</f>
      </c>
      <c r="L33" s="463">
        <f>IF('[1]Tasa de Falla'!ID33="","",'[1]Tasa de Falla'!ID33)</f>
      </c>
      <c r="M33" s="463">
        <f>IF('[1]Tasa de Falla'!IE33="","",'[1]Tasa de Falla'!IE33)</f>
      </c>
      <c r="N33" s="463">
        <f>IF('[1]Tasa de Falla'!IF33="","",'[1]Tasa de Falla'!IF33)</f>
      </c>
      <c r="O33" s="463">
        <f>IF('[1]Tasa de Falla'!IG33="","",'[1]Tasa de Falla'!IG33)</f>
      </c>
      <c r="P33" s="463">
        <f>IF('[1]Tasa de Falla'!IH33="","",'[1]Tasa de Falla'!IH33)</f>
      </c>
      <c r="Q33" s="463">
        <f>IF('[1]Tasa de Falla'!II33="","",'[1]Tasa de Falla'!II33)</f>
      </c>
      <c r="R33" s="463">
        <f>IF('[1]Tasa de Falla'!IJ33="","",'[1]Tasa de Falla'!IJ33)</f>
      </c>
      <c r="S33" s="460"/>
      <c r="T33" s="455"/>
    </row>
    <row r="34" spans="2:20" s="456" customFormat="1" ht="24.75" customHeight="1">
      <c r="B34" s="457"/>
      <c r="C34" s="462">
        <f>'[1]Tasa de Falla'!C34</f>
        <v>18</v>
      </c>
      <c r="D34" s="463" t="str">
        <f>'[1]Tasa de Falla'!D34</f>
        <v>CRUZ DE PIEDRA - LUJAN DE CUYO 2</v>
      </c>
      <c r="E34" s="463">
        <f>'[1]Tasa de Falla'!E34</f>
        <v>132</v>
      </c>
      <c r="F34" s="464">
        <f>'[1]Tasa de Falla'!F34</f>
        <v>18.1</v>
      </c>
      <c r="G34" s="463">
        <f>IF('[1]Tasa de Falla'!HY34="","",'[1]Tasa de Falla'!HY34)</f>
      </c>
      <c r="H34" s="463">
        <f>IF('[1]Tasa de Falla'!HZ34="","",'[1]Tasa de Falla'!HZ34)</f>
      </c>
      <c r="I34" s="463">
        <f>IF('[1]Tasa de Falla'!IA34="","",'[1]Tasa de Falla'!IA34)</f>
      </c>
      <c r="J34" s="463">
        <f>IF('[1]Tasa de Falla'!IB34="","",'[1]Tasa de Falla'!IB34)</f>
      </c>
      <c r="K34" s="463">
        <f>IF('[1]Tasa de Falla'!IC34="","",'[1]Tasa de Falla'!IC34)</f>
        <v>1</v>
      </c>
      <c r="L34" s="463">
        <f>IF('[1]Tasa de Falla'!ID34="","",'[1]Tasa de Falla'!ID34)</f>
      </c>
      <c r="M34" s="463">
        <f>IF('[1]Tasa de Falla'!IE34="","",'[1]Tasa de Falla'!IE34)</f>
      </c>
      <c r="N34" s="463">
        <f>IF('[1]Tasa de Falla'!IF34="","",'[1]Tasa de Falla'!IF34)</f>
      </c>
      <c r="O34" s="463">
        <f>IF('[1]Tasa de Falla'!IG34="","",'[1]Tasa de Falla'!IG34)</f>
      </c>
      <c r="P34" s="463">
        <f>IF('[1]Tasa de Falla'!IH34="","",'[1]Tasa de Falla'!IH34)</f>
      </c>
      <c r="Q34" s="463">
        <f>IF('[1]Tasa de Falla'!II34="","",'[1]Tasa de Falla'!II34)</f>
      </c>
      <c r="R34" s="463">
        <f>IF('[1]Tasa de Falla'!IJ34="","",'[1]Tasa de Falla'!IJ34)</f>
      </c>
      <c r="S34" s="460"/>
      <c r="T34" s="455"/>
    </row>
    <row r="35" spans="2:20" s="456" customFormat="1" ht="24.75" customHeight="1">
      <c r="B35" s="457"/>
      <c r="C35" s="468">
        <f>'[1]Tasa de Falla'!C35</f>
        <v>19</v>
      </c>
      <c r="D35" s="469" t="str">
        <f>'[1]Tasa de Falla'!D35</f>
        <v>C.H. NIHUIL I - PEDRO VARGAS</v>
      </c>
      <c r="E35" s="469">
        <f>'[1]Tasa de Falla'!E35</f>
        <v>132</v>
      </c>
      <c r="F35" s="470">
        <f>'[1]Tasa de Falla'!F35</f>
        <v>46.5</v>
      </c>
      <c r="G35" s="463">
        <f>IF('[1]Tasa de Falla'!HY35="","",'[1]Tasa de Falla'!HY35)</f>
      </c>
      <c r="H35" s="463">
        <f>IF('[1]Tasa de Falla'!HZ35="","",'[1]Tasa de Falla'!HZ35)</f>
      </c>
      <c r="I35" s="463">
        <f>IF('[1]Tasa de Falla'!IA35="","",'[1]Tasa de Falla'!IA35)</f>
      </c>
      <c r="J35" s="463">
        <f>IF('[1]Tasa de Falla'!IB35="","",'[1]Tasa de Falla'!IB35)</f>
      </c>
      <c r="K35" s="463">
        <f>IF('[1]Tasa de Falla'!IC35="","",'[1]Tasa de Falla'!IC35)</f>
      </c>
      <c r="L35" s="463">
        <f>IF('[1]Tasa de Falla'!ID35="","",'[1]Tasa de Falla'!ID35)</f>
      </c>
      <c r="M35" s="463">
        <f>IF('[1]Tasa de Falla'!IE35="","",'[1]Tasa de Falla'!IE35)</f>
      </c>
      <c r="N35" s="463">
        <f>IF('[1]Tasa de Falla'!IF35="","",'[1]Tasa de Falla'!IF35)</f>
      </c>
      <c r="O35" s="463">
        <f>IF('[1]Tasa de Falla'!IG35="","",'[1]Tasa de Falla'!IG35)</f>
      </c>
      <c r="P35" s="463">
        <f>IF('[1]Tasa de Falla'!IH35="","",'[1]Tasa de Falla'!IH35)</f>
      </c>
      <c r="Q35" s="463">
        <f>IF('[1]Tasa de Falla'!II35="","",'[1]Tasa de Falla'!II35)</f>
      </c>
      <c r="R35" s="463">
        <f>IF('[1]Tasa de Falla'!IJ35="","",'[1]Tasa de Falla'!IJ35)</f>
      </c>
      <c r="S35" s="460"/>
      <c r="T35" s="455"/>
    </row>
    <row r="36" spans="2:20" s="456" customFormat="1" ht="24.75" customHeight="1">
      <c r="B36" s="457"/>
      <c r="C36" s="462">
        <f>'[1]Tasa de Falla'!C36</f>
        <v>20</v>
      </c>
      <c r="D36" s="463" t="str">
        <f>'[1]Tasa de Falla'!D36</f>
        <v>N AN JUAN - SAN JUAN</v>
      </c>
      <c r="E36" s="463">
        <f>'[1]Tasa de Falla'!E36</f>
        <v>220</v>
      </c>
      <c r="F36" s="464">
        <f>'[1]Tasa de Falla'!F36</f>
        <v>4.5</v>
      </c>
      <c r="G36" s="463">
        <f>IF('[1]Tasa de Falla'!HY36="","",'[1]Tasa de Falla'!HY36)</f>
      </c>
      <c r="H36" s="463">
        <f>IF('[1]Tasa de Falla'!HZ36="","",'[1]Tasa de Falla'!HZ36)</f>
      </c>
      <c r="I36" s="463">
        <f>IF('[1]Tasa de Falla'!IA36="","",'[1]Tasa de Falla'!IA36)</f>
      </c>
      <c r="J36" s="463">
        <f>IF('[1]Tasa de Falla'!IB36="","",'[1]Tasa de Falla'!IB36)</f>
      </c>
      <c r="K36" s="463">
        <f>IF('[1]Tasa de Falla'!IC36="","",'[1]Tasa de Falla'!IC36)</f>
      </c>
      <c r="L36" s="463">
        <f>IF('[1]Tasa de Falla'!ID36="","",'[1]Tasa de Falla'!ID36)</f>
      </c>
      <c r="M36" s="463">
        <f>IF('[1]Tasa de Falla'!IE36="","",'[1]Tasa de Falla'!IE36)</f>
      </c>
      <c r="N36" s="463">
        <f>IF('[1]Tasa de Falla'!IF36="","",'[1]Tasa de Falla'!IF36)</f>
      </c>
      <c r="O36" s="463">
        <f>IF('[1]Tasa de Falla'!IG36="","",'[1]Tasa de Falla'!IG36)</f>
      </c>
      <c r="P36" s="463">
        <f>IF('[1]Tasa de Falla'!IH36="","",'[1]Tasa de Falla'!IH36)</f>
      </c>
      <c r="Q36" s="463">
        <f>IF('[1]Tasa de Falla'!II36="","",'[1]Tasa de Falla'!II36)</f>
      </c>
      <c r="R36" s="463">
        <f>IF('[1]Tasa de Falla'!IJ36="","",'[1]Tasa de Falla'!IJ36)</f>
      </c>
      <c r="S36" s="460"/>
      <c r="T36" s="455"/>
    </row>
    <row r="37" spans="2:20" s="456" customFormat="1" ht="24.75" customHeight="1">
      <c r="B37" s="457"/>
      <c r="C37" s="468">
        <f>'[1]Tasa de Falla'!C37</f>
        <v>21</v>
      </c>
      <c r="D37" s="469" t="str">
        <f>'[1]Tasa de Falla'!D37</f>
        <v>SAN JUAN - CAÑADA HONDA</v>
      </c>
      <c r="E37" s="469">
        <f>'[1]Tasa de Falla'!E37</f>
        <v>132</v>
      </c>
      <c r="F37" s="470">
        <f>'[1]Tasa de Falla'!F37</f>
        <v>54.4</v>
      </c>
      <c r="G37" s="463">
        <f>IF('[1]Tasa de Falla'!HY37="","",'[1]Tasa de Falla'!HY37)</f>
      </c>
      <c r="H37" s="463">
        <f>IF('[1]Tasa de Falla'!HZ37="","",'[1]Tasa de Falla'!HZ37)</f>
      </c>
      <c r="I37" s="463">
        <f>IF('[1]Tasa de Falla'!IA37="","",'[1]Tasa de Falla'!IA37)</f>
      </c>
      <c r="J37" s="463">
        <f>IF('[1]Tasa de Falla'!IB37="","",'[1]Tasa de Falla'!IB37)</f>
      </c>
      <c r="K37" s="463">
        <f>IF('[1]Tasa de Falla'!IC37="","",'[1]Tasa de Falla'!IC37)</f>
      </c>
      <c r="L37" s="463">
        <f>IF('[1]Tasa de Falla'!ID37="","",'[1]Tasa de Falla'!ID37)</f>
      </c>
      <c r="M37" s="463">
        <f>IF('[1]Tasa de Falla'!IE37="","",'[1]Tasa de Falla'!IE37)</f>
      </c>
      <c r="N37" s="463">
        <f>IF('[1]Tasa de Falla'!IF37="","",'[1]Tasa de Falla'!IF37)</f>
      </c>
      <c r="O37" s="463">
        <f>IF('[1]Tasa de Falla'!IG37="","",'[1]Tasa de Falla'!IG37)</f>
      </c>
      <c r="P37" s="463">
        <f>IF('[1]Tasa de Falla'!IH37="","",'[1]Tasa de Falla'!IH37)</f>
      </c>
      <c r="Q37" s="463">
        <f>IF('[1]Tasa de Falla'!II37="","",'[1]Tasa de Falla'!II37)</f>
      </c>
      <c r="R37" s="463">
        <f>IF('[1]Tasa de Falla'!IJ37="","",'[1]Tasa de Falla'!IJ37)</f>
      </c>
      <c r="S37" s="460"/>
      <c r="T37" s="455"/>
    </row>
    <row r="38" spans="2:20" s="456" customFormat="1" ht="24.75" customHeight="1" thickBot="1">
      <c r="B38" s="457"/>
      <c r="C38" s="468">
        <f>'[1]Tasa de Falla'!C38</f>
        <v>22</v>
      </c>
      <c r="D38" s="471" t="str">
        <f>'[1]Tasa de Falla'!D38</f>
        <v>CACHEUTA - LUJAN DE CUYO</v>
      </c>
      <c r="E38" s="469">
        <f>'[1]Tasa de Falla'!E38</f>
        <v>132</v>
      </c>
      <c r="F38" s="470">
        <f>'[1]Tasa de Falla'!F38</f>
        <v>14</v>
      </c>
      <c r="G38" s="463">
        <f>IF('[1]Tasa de Falla'!HY38="","",'[1]Tasa de Falla'!HY38)</f>
      </c>
      <c r="H38" s="463">
        <f>IF('[1]Tasa de Falla'!HZ38="","",'[1]Tasa de Falla'!HZ38)</f>
      </c>
      <c r="I38" s="463">
        <f>IF('[1]Tasa de Falla'!IA38="","",'[1]Tasa de Falla'!IA38)</f>
      </c>
      <c r="J38" s="463">
        <f>IF('[1]Tasa de Falla'!IB38="","",'[1]Tasa de Falla'!IB38)</f>
      </c>
      <c r="K38" s="463">
        <f>IF('[1]Tasa de Falla'!IC38="","",'[1]Tasa de Falla'!IC38)</f>
      </c>
      <c r="L38" s="463">
        <f>IF('[1]Tasa de Falla'!ID38="","",'[1]Tasa de Falla'!ID38)</f>
      </c>
      <c r="M38" s="463">
        <f>IF('[1]Tasa de Falla'!IE38="","",'[1]Tasa de Falla'!IE38)</f>
      </c>
      <c r="N38" s="463">
        <f>IF('[1]Tasa de Falla'!IF38="","",'[1]Tasa de Falla'!IF38)</f>
      </c>
      <c r="O38" s="463">
        <f>IF('[1]Tasa de Falla'!IG38="","",'[1]Tasa de Falla'!IG38)</f>
      </c>
      <c r="P38" s="463">
        <f>IF('[1]Tasa de Falla'!IH38="","",'[1]Tasa de Falla'!IH38)</f>
      </c>
      <c r="Q38" s="463">
        <f>IF('[1]Tasa de Falla'!II38="","",'[1]Tasa de Falla'!II38)</f>
        <v>1</v>
      </c>
      <c r="R38" s="463">
        <f>IF('[1]Tasa de Falla'!IJ38="","",'[1]Tasa de Falla'!IJ38)</f>
      </c>
      <c r="S38" s="460"/>
      <c r="T38" s="455"/>
    </row>
    <row r="39" spans="2:20" s="456" customFormat="1" ht="24.75" customHeight="1" thickBot="1" thickTop="1">
      <c r="B39" s="457"/>
      <c r="C39" s="472"/>
      <c r="D39" s="473"/>
      <c r="E39" s="474" t="s">
        <v>174</v>
      </c>
      <c r="F39" s="475">
        <f>ROUND(SUM($F$17:$F$38)-SUMIF($R17:$R38,"XXXX",$F$17:$F$38),2)</f>
        <v>1264</v>
      </c>
      <c r="G39" s="476"/>
      <c r="H39" s="477"/>
      <c r="I39" s="476"/>
      <c r="J39" s="477"/>
      <c r="K39" s="476"/>
      <c r="L39" s="477"/>
      <c r="M39" s="476"/>
      <c r="N39" s="477"/>
      <c r="O39" s="476"/>
      <c r="P39" s="477"/>
      <c r="Q39" s="476"/>
      <c r="R39" s="477"/>
      <c r="S39" s="460"/>
      <c r="T39" s="455"/>
    </row>
    <row r="40" spans="2:20" s="456" customFormat="1" ht="24.75" customHeight="1" thickBot="1" thickTop="1">
      <c r="B40" s="457"/>
      <c r="C40" s="478"/>
      <c r="D40" s="479"/>
      <c r="F40" s="480" t="s">
        <v>175</v>
      </c>
      <c r="G40" s="481">
        <f aca="true" t="shared" si="0" ref="G40:R40">SUM(G17:G38)</f>
        <v>0</v>
      </c>
      <c r="H40" s="481">
        <f t="shared" si="0"/>
        <v>0</v>
      </c>
      <c r="I40" s="481">
        <f t="shared" si="0"/>
        <v>1</v>
      </c>
      <c r="J40" s="481">
        <f t="shared" si="0"/>
        <v>4</v>
      </c>
      <c r="K40" s="481">
        <f t="shared" si="0"/>
        <v>3</v>
      </c>
      <c r="L40" s="481">
        <f t="shared" si="0"/>
        <v>0</v>
      </c>
      <c r="M40" s="481">
        <f t="shared" si="0"/>
        <v>0</v>
      </c>
      <c r="N40" s="481">
        <f t="shared" si="0"/>
        <v>1</v>
      </c>
      <c r="O40" s="481">
        <f t="shared" si="0"/>
        <v>0</v>
      </c>
      <c r="P40" s="481">
        <f t="shared" si="0"/>
        <v>5</v>
      </c>
      <c r="Q40" s="481">
        <f t="shared" si="0"/>
        <v>1</v>
      </c>
      <c r="R40" s="481">
        <f t="shared" si="0"/>
        <v>0</v>
      </c>
      <c r="S40" s="460"/>
      <c r="T40" s="455"/>
    </row>
    <row r="41" spans="2:20" s="456" customFormat="1" ht="24.75" customHeight="1" thickBot="1" thickTop="1">
      <c r="B41" s="457"/>
      <c r="C41" s="478"/>
      <c r="D41" s="478"/>
      <c r="E41" s="478"/>
      <c r="F41" s="482" t="s">
        <v>176</v>
      </c>
      <c r="G41" s="483">
        <f>'[1]Tasa de Falla'!HY42</f>
        <v>1.19</v>
      </c>
      <c r="H41" s="483">
        <f>'[1]Tasa de Falla'!HZ42</f>
        <v>1.03</v>
      </c>
      <c r="I41" s="483">
        <f>'[1]Tasa de Falla'!IA42</f>
        <v>0.95</v>
      </c>
      <c r="J41" s="483">
        <f>'[1]Tasa de Falla'!IB42</f>
        <v>1.03</v>
      </c>
      <c r="K41" s="483">
        <f>'[1]Tasa de Falla'!IC42</f>
        <v>1.27</v>
      </c>
      <c r="L41" s="483">
        <f>'[1]Tasa de Falla'!ID42</f>
        <v>1.5</v>
      </c>
      <c r="M41" s="483">
        <f>'[1]Tasa de Falla'!IE42</f>
        <v>1.34</v>
      </c>
      <c r="N41" s="483">
        <f>'[1]Tasa de Falla'!IF42</f>
        <v>1.19</v>
      </c>
      <c r="O41" s="483">
        <f>'[1]Tasa de Falla'!IG42</f>
        <v>1.19</v>
      </c>
      <c r="P41" s="483">
        <f>'[1]Tasa de Falla'!IH42</f>
        <v>1.19</v>
      </c>
      <c r="Q41" s="483">
        <f>'[1]Tasa de Falla'!II42</f>
        <v>1.27</v>
      </c>
      <c r="R41" s="483">
        <f>'[1]Tasa de Falla'!IJ42</f>
        <v>1.19</v>
      </c>
      <c r="S41" s="483">
        <f>'[1]Tasa de Falla'!IK42</f>
        <v>1.19</v>
      </c>
      <c r="T41" s="455"/>
    </row>
    <row r="42" spans="2:20" ht="18.75" customHeight="1" thickBot="1" thickTop="1">
      <c r="B42" s="443"/>
      <c r="C42" s="478"/>
      <c r="D42" s="484"/>
      <c r="E42" s="485"/>
      <c r="F42" s="486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8"/>
    </row>
    <row r="43" spans="2:20" ht="17.25" thickBot="1" thickTop="1">
      <c r="B43" s="489"/>
      <c r="C43" s="447"/>
      <c r="D43" s="447"/>
      <c r="H43" s="490" t="s">
        <v>177</v>
      </c>
      <c r="I43" s="491"/>
      <c r="J43" s="492">
        <f>S41</f>
        <v>1.19</v>
      </c>
      <c r="K43" s="493" t="s">
        <v>178</v>
      </c>
      <c r="L43" s="494"/>
      <c r="M43" s="495"/>
      <c r="N43" s="496"/>
      <c r="O43" s="496"/>
      <c r="P43" s="496"/>
      <c r="Q43" s="496"/>
      <c r="R43" s="447"/>
      <c r="S43" s="447"/>
      <c r="T43" s="448"/>
    </row>
    <row r="44" spans="2:20" ht="18.75" customHeight="1" thickBot="1" thickTop="1">
      <c r="B44" s="497"/>
      <c r="C44" s="498"/>
      <c r="D44" s="499"/>
      <c r="E44" s="499"/>
      <c r="F44" s="500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2"/>
    </row>
    <row r="45" ht="13.5" thickTop="1">
      <c r="AA45" s="422">
        <f>ROUND(SUM(AA20:AA44),2)</f>
        <v>0</v>
      </c>
    </row>
    <row r="48" ht="12.75">
      <c r="F48" s="503"/>
    </row>
    <row r="49" ht="12.75">
      <c r="F49" s="503"/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D8" sqref="D8:D11"/>
    </sheetView>
  </sheetViews>
  <sheetFormatPr defaultColWidth="11.421875" defaultRowHeight="12.75"/>
  <cols>
    <col min="1" max="1" width="21.7109375" style="402" customWidth="1"/>
    <col min="2" max="2" width="9.28125" style="402" customWidth="1"/>
    <col min="3" max="3" width="11.8515625" style="402" bestFit="1" customWidth="1"/>
    <col min="4" max="4" width="9.57421875" style="402" bestFit="1" customWidth="1"/>
    <col min="5" max="5" width="14.8515625" style="402" bestFit="1" customWidth="1"/>
    <col min="6" max="6" width="64.00390625" style="402" bestFit="1" customWidth="1"/>
    <col min="7" max="16384" width="11.421875" style="402" customWidth="1"/>
  </cols>
  <sheetData>
    <row r="1" spans="1:4" ht="12.75">
      <c r="A1" s="401" t="s">
        <v>76</v>
      </c>
      <c r="B1" s="401" t="s">
        <v>76</v>
      </c>
      <c r="C1" s="401" t="s">
        <v>77</v>
      </c>
      <c r="D1" s="401" t="s">
        <v>78</v>
      </c>
    </row>
    <row r="2" spans="1:4" ht="12.75">
      <c r="A2" s="403" t="s">
        <v>60</v>
      </c>
      <c r="B2" s="404" t="s">
        <v>79</v>
      </c>
      <c r="C2" s="403">
        <v>31</v>
      </c>
      <c r="D2" s="403">
        <v>2006</v>
      </c>
    </row>
    <row r="3" spans="1:4" ht="12.75">
      <c r="A3" s="403" t="s">
        <v>61</v>
      </c>
      <c r="B3" s="404" t="s">
        <v>80</v>
      </c>
      <c r="C3" s="403">
        <f>IF(MOD(E14,4)=0,29,28)</f>
        <v>28</v>
      </c>
      <c r="D3" s="403">
        <f>+D2+1</f>
        <v>2007</v>
      </c>
    </row>
    <row r="4" spans="1:4" ht="12.75">
      <c r="A4" s="403" t="s">
        <v>62</v>
      </c>
      <c r="B4" s="404" t="s">
        <v>81</v>
      </c>
      <c r="C4" s="403">
        <v>31</v>
      </c>
      <c r="D4" s="403">
        <v>2008</v>
      </c>
    </row>
    <row r="5" spans="1:4" ht="12.75">
      <c r="A5" s="403" t="s">
        <v>63</v>
      </c>
      <c r="B5" s="404" t="s">
        <v>82</v>
      </c>
      <c r="C5" s="403">
        <v>30</v>
      </c>
      <c r="D5" s="403">
        <v>2009</v>
      </c>
    </row>
    <row r="6" spans="1:4" ht="12.75">
      <c r="A6" s="403" t="s">
        <v>64</v>
      </c>
      <c r="B6" s="404" t="s">
        <v>83</v>
      </c>
      <c r="C6" s="403">
        <v>31</v>
      </c>
      <c r="D6" s="403">
        <v>2010</v>
      </c>
    </row>
    <row r="7" spans="1:4" ht="12.75">
      <c r="A7" s="403" t="s">
        <v>65</v>
      </c>
      <c r="B7" s="404" t="s">
        <v>84</v>
      </c>
      <c r="C7" s="403">
        <v>30</v>
      </c>
      <c r="D7" s="403">
        <v>2011</v>
      </c>
    </row>
    <row r="8" spans="1:4" ht="12.75">
      <c r="A8" s="403" t="s">
        <v>66</v>
      </c>
      <c r="B8" s="404" t="s">
        <v>85</v>
      </c>
      <c r="C8" s="403">
        <v>31</v>
      </c>
      <c r="D8" s="403">
        <v>2012</v>
      </c>
    </row>
    <row r="9" spans="1:4" ht="12.75">
      <c r="A9" s="403" t="s">
        <v>67</v>
      </c>
      <c r="B9" s="404" t="s">
        <v>86</v>
      </c>
      <c r="C9" s="403">
        <v>31</v>
      </c>
      <c r="D9" s="403">
        <v>2013</v>
      </c>
    </row>
    <row r="10" spans="1:4" ht="12.75">
      <c r="A10" s="403" t="s">
        <v>68</v>
      </c>
      <c r="B10" s="404" t="s">
        <v>87</v>
      </c>
      <c r="C10" s="403">
        <v>30</v>
      </c>
      <c r="D10" s="403">
        <v>2014</v>
      </c>
    </row>
    <row r="11" spans="1:4" ht="12.75">
      <c r="A11" s="403" t="s">
        <v>69</v>
      </c>
      <c r="B11" s="404" t="s">
        <v>88</v>
      </c>
      <c r="C11" s="403">
        <v>31</v>
      </c>
      <c r="D11" s="403">
        <v>2015</v>
      </c>
    </row>
    <row r="12" spans="1:4" ht="12.75">
      <c r="A12" s="403" t="s">
        <v>70</v>
      </c>
      <c r="B12" s="404" t="s">
        <v>89</v>
      </c>
      <c r="C12" s="403">
        <v>30</v>
      </c>
      <c r="D12" s="403"/>
    </row>
    <row r="13" spans="1:9" ht="12.75">
      <c r="A13" s="403" t="s">
        <v>71</v>
      </c>
      <c r="B13" s="404" t="s">
        <v>90</v>
      </c>
      <c r="C13" s="403">
        <v>31</v>
      </c>
      <c r="D13" s="403"/>
      <c r="I13" s="405" t="s">
        <v>91</v>
      </c>
    </row>
    <row r="14" spans="1:9" ht="12.75">
      <c r="A14" s="406">
        <v>10</v>
      </c>
      <c r="B14" s="407">
        <v>5</v>
      </c>
      <c r="C14" s="406" t="str">
        <f ca="1">CELL("CONTENIDO",OFFSET(A1,B14,0))</f>
        <v>mayo</v>
      </c>
      <c r="D14" s="406">
        <f ca="1">CELL("CONTENIDO",OFFSET(C1,B14,0))</f>
        <v>31</v>
      </c>
      <c r="E14" s="406">
        <f ca="1">CELL("CONTENIDO",OFFSET(D1,A14,0))</f>
        <v>2015</v>
      </c>
      <c r="F14" s="406" t="str">
        <f>"Desde el 01 al "&amp;D14&amp;" de "&amp;C14&amp;" de "&amp;E14</f>
        <v>Desde el 01 al 31 de mayo de 2015</v>
      </c>
      <c r="G14" s="406" t="str">
        <f ca="1">CELL("CONTENIDO",OFFSET(B1,B14,0))</f>
        <v>05</v>
      </c>
      <c r="H14" s="406" t="str">
        <f>RIGHT(E14,2)</f>
        <v>15</v>
      </c>
      <c r="I14" s="408" t="s">
        <v>92</v>
      </c>
    </row>
    <row r="15" spans="1:8" ht="12.75">
      <c r="A15" s="406"/>
      <c r="B15" s="409" t="str">
        <f>"\\rugor\files\Transporte\Transporte\AA PROCESO AUT ARCHIVOS J\DISTROCUYO\"&amp;E14</f>
        <v>\\rugor\files\Transporte\Transporte\AA PROCESO AUT ARCHIVOS J\DISTROCUYO\2015</v>
      </c>
      <c r="C15" s="406"/>
      <c r="D15" s="406"/>
      <c r="E15" s="406"/>
      <c r="F15" s="406"/>
      <c r="G15" s="406" t="str">
        <f>"J"&amp;G14&amp;H14&amp;"CUY"</f>
        <v>J0515CUY</v>
      </c>
      <c r="H15" s="406"/>
    </row>
    <row r="16" spans="1:8" ht="12.75">
      <c r="A16" s="406"/>
      <c r="B16" s="409" t="str">
        <f>"\\rugor\files\Transporte\transporte\AA PROCESO AUT\INTERCAMBIO\"&amp;H14&amp;G14</f>
        <v>\\rugor\files\Transporte\transporte\AA PROCESO AUT\INTERCAMBIO\1505</v>
      </c>
      <c r="C16" s="406"/>
      <c r="D16" s="406"/>
      <c r="E16" s="406"/>
      <c r="F16" s="406"/>
      <c r="G16" s="406"/>
      <c r="H16" s="406"/>
    </row>
    <row r="17" spans="1:29" s="410" customFormat="1" ht="12.75">
      <c r="A17" s="401" t="s">
        <v>93</v>
      </c>
      <c r="B17" s="401" t="s">
        <v>94</v>
      </c>
      <c r="C17" s="401" t="s">
        <v>95</v>
      </c>
      <c r="D17" s="401" t="s">
        <v>96</v>
      </c>
      <c r="E17" s="401" t="s">
        <v>97</v>
      </c>
      <c r="F17" s="401" t="s">
        <v>98</v>
      </c>
      <c r="G17" s="401" t="s">
        <v>126</v>
      </c>
      <c r="H17" s="401" t="s">
        <v>99</v>
      </c>
      <c r="I17" s="401" t="s">
        <v>100</v>
      </c>
      <c r="J17" s="401" t="s">
        <v>101</v>
      </c>
      <c r="K17" s="401" t="s">
        <v>102</v>
      </c>
      <c r="L17" s="401" t="s">
        <v>103</v>
      </c>
      <c r="M17" s="401" t="s">
        <v>104</v>
      </c>
      <c r="N17" s="401" t="s">
        <v>105</v>
      </c>
      <c r="O17" s="401" t="s">
        <v>106</v>
      </c>
      <c r="P17" s="401" t="s">
        <v>107</v>
      </c>
      <c r="Q17" s="401" t="s">
        <v>108</v>
      </c>
      <c r="R17" s="401" t="s">
        <v>109</v>
      </c>
      <c r="S17" s="401" t="s">
        <v>110</v>
      </c>
      <c r="T17" s="401" t="s">
        <v>111</v>
      </c>
      <c r="U17" s="401" t="s">
        <v>112</v>
      </c>
      <c r="V17" s="401" t="s">
        <v>113</v>
      </c>
      <c r="W17" s="401" t="s">
        <v>114</v>
      </c>
      <c r="X17" s="401" t="s">
        <v>115</v>
      </c>
      <c r="Y17" s="401" t="s">
        <v>116</v>
      </c>
      <c r="Z17" s="401" t="s">
        <v>117</v>
      </c>
      <c r="AA17" s="401" t="s">
        <v>118</v>
      </c>
      <c r="AB17" s="401" t="s">
        <v>119</v>
      </c>
      <c r="AC17" s="401" t="s">
        <v>120</v>
      </c>
    </row>
    <row r="18" spans="1:29" ht="12.75">
      <c r="A18" s="411" t="s">
        <v>121</v>
      </c>
      <c r="B18" s="411">
        <v>21</v>
      </c>
      <c r="C18" s="411">
        <v>19</v>
      </c>
      <c r="D18" s="411">
        <v>12</v>
      </c>
      <c r="E18" s="411" t="str">
        <f>"LI-"&amp;$G$14</f>
        <v>LI-05</v>
      </c>
      <c r="F18" s="411" t="s">
        <v>127</v>
      </c>
      <c r="G18" s="411">
        <v>3</v>
      </c>
      <c r="H18" s="412">
        <v>5</v>
      </c>
      <c r="I18" s="412">
        <v>4</v>
      </c>
      <c r="J18" s="411">
        <v>6</v>
      </c>
      <c r="K18" s="411">
        <v>7</v>
      </c>
      <c r="L18" s="411">
        <v>8</v>
      </c>
      <c r="M18" s="411">
        <v>0</v>
      </c>
      <c r="N18" s="411">
        <v>10</v>
      </c>
      <c r="O18" s="411">
        <v>11</v>
      </c>
      <c r="P18" s="411">
        <v>14</v>
      </c>
      <c r="Q18" s="411">
        <v>26</v>
      </c>
      <c r="R18" s="411">
        <v>0</v>
      </c>
      <c r="S18" s="411">
        <v>15</v>
      </c>
      <c r="T18" s="411">
        <v>0</v>
      </c>
      <c r="U18" s="411">
        <v>0</v>
      </c>
      <c r="V18" s="411">
        <v>0</v>
      </c>
      <c r="W18" s="411">
        <v>18</v>
      </c>
      <c r="X18" s="411">
        <v>9</v>
      </c>
      <c r="Y18" s="411">
        <v>42</v>
      </c>
      <c r="Z18" s="411">
        <v>27</v>
      </c>
      <c r="AA18" s="411">
        <v>19</v>
      </c>
      <c r="AB18" s="411">
        <v>27</v>
      </c>
      <c r="AC18" s="411">
        <v>14</v>
      </c>
    </row>
    <row r="19" spans="1:29" ht="12.75">
      <c r="A19" s="413" t="s">
        <v>122</v>
      </c>
      <c r="B19" s="413">
        <v>22</v>
      </c>
      <c r="C19" s="413">
        <v>19</v>
      </c>
      <c r="D19" s="413">
        <v>13</v>
      </c>
      <c r="E19" s="413" t="str">
        <f>"T-"&amp;$G$14</f>
        <v>T-05</v>
      </c>
      <c r="F19" s="413" t="s">
        <v>128</v>
      </c>
      <c r="G19" s="411">
        <v>3</v>
      </c>
      <c r="H19" s="412">
        <v>5</v>
      </c>
      <c r="I19" s="412">
        <v>4</v>
      </c>
      <c r="J19" s="413">
        <v>6</v>
      </c>
      <c r="K19" s="413">
        <v>7</v>
      </c>
      <c r="L19" s="413">
        <v>8</v>
      </c>
      <c r="M19" s="413">
        <v>9</v>
      </c>
      <c r="N19" s="413">
        <v>11</v>
      </c>
      <c r="O19" s="413">
        <v>12</v>
      </c>
      <c r="P19" s="413">
        <v>15</v>
      </c>
      <c r="Q19" s="413">
        <v>16</v>
      </c>
      <c r="R19" s="413">
        <v>18</v>
      </c>
      <c r="S19" s="413">
        <v>28</v>
      </c>
      <c r="T19" s="413">
        <v>17</v>
      </c>
      <c r="U19" s="413">
        <v>0</v>
      </c>
      <c r="V19" s="413">
        <v>0</v>
      </c>
      <c r="W19" s="413">
        <v>22</v>
      </c>
      <c r="X19" s="411">
        <v>9</v>
      </c>
      <c r="Y19" s="413">
        <v>43</v>
      </c>
      <c r="Z19" s="413">
        <v>29</v>
      </c>
      <c r="AA19" s="413">
        <v>20</v>
      </c>
      <c r="AB19" s="413">
        <v>29</v>
      </c>
      <c r="AC19" s="413">
        <v>15</v>
      </c>
    </row>
    <row r="20" spans="1:29" ht="12.75">
      <c r="A20" s="411" t="s">
        <v>123</v>
      </c>
      <c r="B20" s="411">
        <v>22</v>
      </c>
      <c r="C20" s="411">
        <v>19</v>
      </c>
      <c r="D20" s="411">
        <v>10</v>
      </c>
      <c r="E20" s="411" t="str">
        <f>"SA-"&amp;$G$14</f>
        <v>SA-05</v>
      </c>
      <c r="F20" s="411" t="s">
        <v>129</v>
      </c>
      <c r="G20" s="411">
        <v>3</v>
      </c>
      <c r="H20" s="412">
        <v>5</v>
      </c>
      <c r="I20" s="412">
        <v>4</v>
      </c>
      <c r="J20" s="411">
        <v>6</v>
      </c>
      <c r="K20" s="411">
        <v>7</v>
      </c>
      <c r="L20" s="411">
        <v>8</v>
      </c>
      <c r="M20" s="411">
        <v>10</v>
      </c>
      <c r="N20" s="411">
        <v>11</v>
      </c>
      <c r="O20" s="411">
        <v>14</v>
      </c>
      <c r="P20" s="411">
        <v>15</v>
      </c>
      <c r="Q20" s="411">
        <v>21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24</v>
      </c>
      <c r="X20" s="411">
        <v>9</v>
      </c>
      <c r="Y20" s="411">
        <v>43</v>
      </c>
      <c r="Z20" s="411">
        <v>22</v>
      </c>
      <c r="AA20" s="411">
        <v>20</v>
      </c>
      <c r="AB20" s="411">
        <v>22</v>
      </c>
      <c r="AC20" s="411">
        <v>14</v>
      </c>
    </row>
    <row r="21" spans="1:29" s="410" customFormat="1" ht="12.75">
      <c r="A21" s="414" t="s">
        <v>124</v>
      </c>
      <c r="B21" s="414">
        <v>19</v>
      </c>
      <c r="C21" s="414">
        <v>24</v>
      </c>
      <c r="D21" s="415">
        <v>4</v>
      </c>
      <c r="E21" s="414" t="str">
        <f>"CAUSAS-VST-"&amp;$G$14</f>
        <v>CAUSAS-VST-05</v>
      </c>
      <c r="F21" s="414" t="s">
        <v>125</v>
      </c>
      <c r="G21" s="414">
        <v>3</v>
      </c>
      <c r="H21" s="414">
        <v>4</v>
      </c>
      <c r="I21" s="414">
        <v>5</v>
      </c>
      <c r="J21" s="414">
        <v>6</v>
      </c>
      <c r="K21" s="414">
        <v>7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999</v>
      </c>
      <c r="X21" s="414">
        <v>999</v>
      </c>
      <c r="Y21" s="414">
        <v>0</v>
      </c>
      <c r="Z21" s="414">
        <v>0</v>
      </c>
      <c r="AA21" s="414">
        <v>0</v>
      </c>
      <c r="AB21" s="414">
        <v>0</v>
      </c>
      <c r="AC21" s="414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2015-12-02T14:32:17Z</cp:lastPrinted>
  <dcterms:created xsi:type="dcterms:W3CDTF">1998-09-02T21:31:22Z</dcterms:created>
  <dcterms:modified xsi:type="dcterms:W3CDTF">2015-12-16T13:44:30Z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