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87" activeTab="0"/>
  </bookViews>
  <sheets>
    <sheet name="TOT-1213" sheetId="1" r:id="rId1"/>
    <sheet name="LI-12 (1)" sheetId="2" r:id="rId2"/>
    <sheet name="LI-EDERSA-12 (1)" sheetId="3" r:id="rId3"/>
    <sheet name="TR-12 (1)" sheetId="4" r:id="rId4"/>
    <sheet name="TR-EDERSA-12 (1)" sheetId="5" r:id="rId5"/>
    <sheet name="SA-12 (1)" sheetId="6" r:id="rId6"/>
    <sheet name="SA-EDERSA-12 (1)" sheetId="7" r:id="rId7"/>
    <sheet name="RE-12 (1)" sheetId="8" r:id="rId8"/>
    <sheet name="SUP-EDERSA" sheetId="9" r:id="rId9"/>
    <sheet name="TASA FALLA" sheetId="10" r:id="rId10"/>
  </sheets>
  <externalReferences>
    <externalReference r:id="rId13"/>
    <externalReference r:id="rId14"/>
    <externalReference r:id="rId15"/>
  </externalReferences>
  <definedNames>
    <definedName name="_xlnm.Print_Area" localSheetId="9">'TASA FALLA'!$A$1:$T$73</definedName>
    <definedName name="DD" localSheetId="9">'TASA FALLA'!DD</definedName>
    <definedName name="DD">[0]!DD</definedName>
    <definedName name="DDD" localSheetId="9">'TASA FALLA'!DDD</definedName>
    <definedName name="DDD">[0]!DDD</definedName>
    <definedName name="DISTROCUYO" localSheetId="9">'TASA FALLA'!DISTROCUYO</definedName>
    <definedName name="DISTROCUYO">[0]!DISTROCUYO</definedName>
    <definedName name="INICIO" localSheetId="9">'TASA FALLA'!INICIO</definedName>
    <definedName name="INICIO">[0]!INICIO</definedName>
    <definedName name="INICIOTI" localSheetId="9">'TASA FALLA'!INICIOTI</definedName>
    <definedName name="INICIOTI">[0]!INICIOTI</definedName>
    <definedName name="LINEAS" localSheetId="9">'TASA FALLA'!LINEAS</definedName>
    <definedName name="LINEAS">[0]!LINEAS</definedName>
    <definedName name="NAME_L" localSheetId="9">'TASA FALLA'!NAME_L</definedName>
    <definedName name="NAME_L">[0]!NAME_L</definedName>
    <definedName name="NAME_L_TI" localSheetId="9">'TASA FALLA'!NAME_L_TI</definedName>
    <definedName name="NAME_L_TI">[0]!NAME_L_TI</definedName>
    <definedName name="TRAN" localSheetId="9">'TASA FALLA'!TRAN</definedName>
    <definedName name="TRAN">[0]!TRAN</definedName>
    <definedName name="TRANSNOA" localSheetId="9">'TASA FALLA'!TRANSNOA</definedName>
    <definedName name="TRANSNOA">[0]!TRANSNOA</definedName>
    <definedName name="x" localSheetId="9">'TASA FALLA'!x</definedName>
    <definedName name="x">[0]!x</definedName>
    <definedName name="XX" localSheetId="9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7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<sst xmlns="http://schemas.openxmlformats.org/spreadsheetml/2006/main" count="477" uniqueCount="204">
  <si>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</si>
  <si>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</si>
  <si>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</si>
  <si>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</si>
  <si>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</si>
  <si>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</si>
  <si>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</si>
  <si>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</si>
  <si>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</si>
  <si>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</si>
  <si>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</si>
  <si>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</si>
  <si>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</si>
  <si>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</si>
  <si>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</si>
  <si>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</si>
  <si>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</si>
  <si>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</si>
  <si>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</si>
  <si>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</si>
  <si>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</si>
  <si>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</si>
  <si>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</si>
  <si>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</si>
  <si>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</si>
  <si>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</si>
  <si>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</si>
  <si>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</si>
  <si>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</si>
  <si>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</si>
  <si>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</si>
  <si>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</si>
  <si>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</si>
  <si>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</si>
  <si>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</si>
  <si>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</si>
  <si>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</si>
  <si>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</si>
  <si>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</si>
  <si>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</si>
  <si>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</si>
  <si>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</si>
  <si>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</si>
  <si>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</si>
  <si>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</si>
  <si>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</si>
  <si>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</si>
  <si>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</si>
  <si>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</si>
  <si>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</si>
  <si>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</si>
  <si>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</si>
  <si>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</si>
  <si>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</si>
  <si>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</si>
  <si>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</si>
  <si>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</si>
  <si>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</si>
  <si>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</si>
  <si>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</si>
  <si>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</si>
  <si>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</si>
  <si>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</si>
  <si>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</si>
  <si>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</si>
  <si>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</si>
  <si>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</si>
  <si>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</si>
  <si>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</si>
  <si>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</si>
  <si>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</si>
  <si>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</si>
  <si>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</si>
  <si>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</si>
  <si>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</si>
  <si>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</si>
  <si>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</si>
  <si>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</si>
  <si>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</si>
  <si>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</si>
  <si>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</si>
  <si>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</si>
  <si>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</si>
  <si>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</si>
  <si>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</si>
  <si>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</si>
  <si>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</si>
  <si>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</si>
  <si>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</si>
  <si>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</si>
  <si>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</si>
  <si>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</si>
  <si>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</si>
  <si>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</si>
  <si>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</si>
  <si>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</si>
  <si>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</si>
  <si>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</si>
  <si>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</si>
  <si>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</si>
  <si>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</si>
  <si>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</si>
  <si>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</si>
  <si>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</si>
  <si>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</si>
  <si>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</si>
  <si>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</si>
  <si>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</si>
  <si>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</si>
  <si>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</si>
  <si>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</si>
  <si>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</si>
  <si>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</si>
  <si>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</si>
  <si>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</si>
  <si>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</si>
  <si>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</si>
  <si>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</si>
  <si>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</si>
  <si>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</si>
  <si>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</si>
  <si>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</si>
  <si>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</si>
  <si>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</si>
  <si>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</si>
  <si>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</si>
  <si>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</si>
  <si>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</si>
  <si>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</si>
  <si>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</si>
  <si>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</si>
  <si>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</si>
  <si>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</si>
  <si>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</si>
  <si>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</si>
  <si>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</si>
  <si>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</si>
  <si>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</si>
  <si>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</si>
  <si>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</si>
  <si>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</si>
  <si>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</si>
  <si>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</si>
  <si>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</si>
  <si>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</si>
  <si>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</si>
  <si>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31 de diciembre de 2013</t>
  </si>
  <si>
    <t>BARRIO SAN MARTIN - ESTACION PATAGONIA</t>
  </si>
  <si>
    <t>P</t>
  </si>
  <si>
    <t>SI</t>
  </si>
  <si>
    <t>0,000</t>
  </si>
  <si>
    <t>TRELEW .- RAWSON</t>
  </si>
  <si>
    <t>F</t>
  </si>
  <si>
    <t>TRELEW - FLORENTINO AMEGHINO</t>
  </si>
  <si>
    <t>FLORENTINO AMEGHINO - ESTACION PATAGONIA</t>
  </si>
  <si>
    <t>S.A. ESTE - VIEDMA</t>
  </si>
  <si>
    <t>132/33/13,2</t>
  </si>
  <si>
    <t>TRELEW</t>
  </si>
  <si>
    <t>TRAFO 3</t>
  </si>
  <si>
    <t>TRAFO 4</t>
  </si>
  <si>
    <t>TRAFO 6</t>
  </si>
  <si>
    <t>BARRIO SAN MARTIN</t>
  </si>
  <si>
    <t xml:space="preserve"> ALIMENT. 1 COOP.</t>
  </si>
  <si>
    <t xml:space="preserve"> ALIMENT. 2 COOP.</t>
  </si>
  <si>
    <t xml:space="preserve"> ALIMENT. 3 COOP.</t>
  </si>
  <si>
    <t xml:space="preserve"> ALIMENT. 4 COOP.</t>
  </si>
  <si>
    <t xml:space="preserve"> ALIMENT. 5 COOP.</t>
  </si>
  <si>
    <t xml:space="preserve"> ALIMENT. 6 COOP.</t>
  </si>
  <si>
    <t xml:space="preserve"> ALIMENT. 7 COOP.</t>
  </si>
  <si>
    <t xml:space="preserve"> ALIMENT. 8 COOP.</t>
  </si>
  <si>
    <t>ALIMENT. 3  B. VILLA OESTE</t>
  </si>
  <si>
    <t>Capacitor 2</t>
  </si>
  <si>
    <t>Capacitor 4</t>
  </si>
  <si>
    <t>PUERTO MADRYN</t>
  </si>
  <si>
    <t>Reactor 2</t>
  </si>
  <si>
    <t>S. ANTONIO ESTE</t>
  </si>
  <si>
    <t>TRAFO 5</t>
  </si>
  <si>
    <t>RR</t>
  </si>
  <si>
    <t>SALIDA ALIMENT. 3 VIEDMA</t>
  </si>
  <si>
    <t>S.A. ESTE</t>
  </si>
  <si>
    <t>SALIDA 2 PUERTO</t>
  </si>
  <si>
    <t>S.A.OESTE</t>
  </si>
  <si>
    <t>SALIDA LINEA VALCHETA</t>
  </si>
  <si>
    <t>Capacitor 3</t>
  </si>
  <si>
    <t>Capacitor 1</t>
  </si>
  <si>
    <t>(DTE 1213)</t>
  </si>
  <si>
    <t>Valores remuneratorios  de acuerdo al Acuerdo Instrumental del Acta Acuerdo -  Res. ENRE N° 645/08</t>
  </si>
  <si>
    <t xml:space="preserve"> - </t>
  </si>
  <si>
    <t>P - PROGRAMADA  ; F - FORZADA</t>
  </si>
  <si>
    <t>F - FORZADA</t>
  </si>
  <si>
    <t>F - FORZADA  ; RR - RESTANTE FORZADA</t>
  </si>
  <si>
    <t>P - PROGRAMADA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</si>
  <si>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</si>
  <si>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</si>
  <si>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</si>
  <si>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</si>
  <si>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</si>
  <si>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</si>
  <si>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</si>
  <si>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</si>
  <si>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</si>
  <si>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</si>
  <si>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diciembre de 2013</t>
  </si>
  <si>
    <t>ANEXO VI al Memorándum  D.T.E.E.  N°       598    / 2014.-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</si>
</sst>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1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8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9" fillId="21" borderId="6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7" applyNumberFormat="0" applyFill="0" applyAlignment="0" applyProtection="0"/>
    <xf numFmtId="0" fontId="105" fillId="0" borderId="8" applyNumberFormat="0" applyFill="0" applyAlignment="0" applyProtection="0"/>
    <xf numFmtId="0" fontId="114" fillId="0" borderId="9" applyNumberFormat="0" applyFill="0" applyAlignment="0" applyProtection="0"/>
  </cellStyleXfs>
  <cellXfs count="8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8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22" fontId="7" fillId="0" borderId="29" xfId="0" applyNumberFormat="1" applyFont="1" applyBorder="1" applyAlignment="1">
      <alignment horizontal="center"/>
    </xf>
    <xf numFmtId="22" fontId="7" fillId="0" borderId="2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0" xfId="0" applyNumberFormat="1" applyFont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4" fontId="18" fillId="0" borderId="12" xfId="0" applyNumberFormat="1" applyFont="1" applyFill="1" applyBorder="1" applyAlignment="1">
      <alignment horizontal="right"/>
    </xf>
    <xf numFmtId="168" fontId="7" fillId="0" borderId="3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7" fontId="8" fillId="0" borderId="35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 applyProtection="1" quotePrefix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164" fontId="0" fillId="0" borderId="32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4" xfId="0" applyFont="1" applyFill="1" applyBorder="1" applyAlignment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 quotePrefix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 quotePrefix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4" xfId="0" applyFont="1" applyBorder="1" applyAlignment="1" applyProtection="1">
      <alignment horizontal="left"/>
      <protection/>
    </xf>
    <xf numFmtId="171" fontId="0" fillId="0" borderId="37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/>
    </xf>
    <xf numFmtId="171" fontId="25" fillId="0" borderId="3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 applyProtection="1" quotePrefix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164" fontId="0" fillId="0" borderId="35" xfId="0" applyNumberFormat="1" applyFont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/>
    </xf>
    <xf numFmtId="168" fontId="18" fillId="0" borderId="2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4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5" xfId="0" applyFont="1" applyBorder="1" applyAlignment="1" applyProtection="1">
      <alignment horizontal="centerContinuous"/>
      <protection/>
    </xf>
    <xf numFmtId="0" fontId="39" fillId="0" borderId="36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32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47" fillId="33" borderId="32" xfId="0" applyFont="1" applyFill="1" applyBorder="1" applyAlignment="1" applyProtection="1">
      <alignment horizontal="center" vertical="center"/>
      <protection/>
    </xf>
    <xf numFmtId="0" fontId="48" fillId="33" borderId="15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168" fontId="49" fillId="33" borderId="12" xfId="0" applyNumberFormat="1" applyFont="1" applyFill="1" applyBorder="1" applyAlignment="1" applyProtection="1">
      <alignment horizontal="center"/>
      <protection/>
    </xf>
    <xf numFmtId="168" fontId="49" fillId="33" borderId="13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171" fontId="49" fillId="33" borderId="12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46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4" fillId="34" borderId="32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4" fillId="35" borderId="32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/>
    </xf>
    <xf numFmtId="0" fontId="55" fillId="35" borderId="12" xfId="0" applyFont="1" applyFill="1" applyBorder="1" applyAlignment="1">
      <alignment/>
    </xf>
    <xf numFmtId="0" fontId="27" fillId="36" borderId="32" xfId="0" applyFont="1" applyFill="1" applyBorder="1" applyAlignment="1" applyProtection="1">
      <alignment horizontal="centerContinuous" vertical="center" wrapText="1"/>
      <protection/>
    </xf>
    <xf numFmtId="0" fontId="25" fillId="36" borderId="33" xfId="0" applyFont="1" applyFill="1" applyBorder="1" applyAlignment="1">
      <alignment horizontal="centerContinuous"/>
    </xf>
    <xf numFmtId="0" fontId="27" fillId="36" borderId="35" xfId="0" applyFont="1" applyFill="1" applyBorder="1" applyAlignment="1">
      <alignment horizontal="centerContinuous" vertical="center"/>
    </xf>
    <xf numFmtId="0" fontId="57" fillId="36" borderId="43" xfId="0" applyFont="1" applyFill="1" applyBorder="1" applyAlignment="1">
      <alignment horizontal="center"/>
    </xf>
    <xf numFmtId="0" fontId="57" fillId="36" borderId="44" xfId="0" applyFont="1" applyFill="1" applyBorder="1" applyAlignment="1">
      <alignment/>
    </xf>
    <xf numFmtId="0" fontId="57" fillId="36" borderId="45" xfId="0" applyFont="1" applyFill="1" applyBorder="1" applyAlignment="1">
      <alignment/>
    </xf>
    <xf numFmtId="0" fontId="57" fillId="36" borderId="46" xfId="0" applyFont="1" applyFill="1" applyBorder="1" applyAlignment="1">
      <alignment horizontal="center"/>
    </xf>
    <xf numFmtId="0" fontId="57" fillId="36" borderId="47" xfId="0" applyFont="1" applyFill="1" applyBorder="1" applyAlignment="1">
      <alignment/>
    </xf>
    <xf numFmtId="0" fontId="57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32" xfId="0" applyFont="1" applyFill="1" applyBorder="1" applyAlignment="1" applyProtection="1">
      <alignment horizontal="centerContinuous" vertical="center" wrapText="1"/>
      <protection/>
    </xf>
    <xf numFmtId="0" fontId="25" fillId="37" borderId="33" xfId="0" applyFont="1" applyFill="1" applyBorder="1" applyAlignment="1">
      <alignment horizontal="centerContinuous"/>
    </xf>
    <xf numFmtId="0" fontId="27" fillId="37" borderId="35" xfId="0" applyFont="1" applyFill="1" applyBorder="1" applyAlignment="1">
      <alignment horizontal="centerContinuous" vertical="center"/>
    </xf>
    <xf numFmtId="0" fontId="57" fillId="37" borderId="43" xfId="0" applyFont="1" applyFill="1" applyBorder="1" applyAlignment="1">
      <alignment horizontal="center"/>
    </xf>
    <xf numFmtId="0" fontId="57" fillId="37" borderId="44" xfId="0" applyFont="1" applyFill="1" applyBorder="1" applyAlignment="1">
      <alignment/>
    </xf>
    <xf numFmtId="0" fontId="57" fillId="37" borderId="45" xfId="0" applyFont="1" applyFill="1" applyBorder="1" applyAlignment="1">
      <alignment/>
    </xf>
    <xf numFmtId="0" fontId="57" fillId="37" borderId="46" xfId="0" applyFont="1" applyFill="1" applyBorder="1" applyAlignment="1">
      <alignment horizontal="center"/>
    </xf>
    <xf numFmtId="0" fontId="57" fillId="37" borderId="47" xfId="0" applyFont="1" applyFill="1" applyBorder="1" applyAlignment="1">
      <alignment/>
    </xf>
    <xf numFmtId="0" fontId="57" fillId="37" borderId="16" xfId="0" applyFont="1" applyFill="1" applyBorder="1" applyAlignment="1">
      <alignment/>
    </xf>
    <xf numFmtId="0" fontId="27" fillId="36" borderId="32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0" fontId="54" fillId="39" borderId="32" xfId="0" applyFont="1" applyFill="1" applyBorder="1" applyAlignment="1">
      <alignment horizontal="center" vertical="center" wrapText="1"/>
    </xf>
    <xf numFmtId="0" fontId="55" fillId="39" borderId="15" xfId="0" applyFont="1" applyFill="1" applyBorder="1" applyAlignment="1">
      <alignment/>
    </xf>
    <xf numFmtId="0" fontId="55" fillId="39" borderId="12" xfId="0" applyFont="1" applyFill="1" applyBorder="1" applyAlignment="1">
      <alignment/>
    </xf>
    <xf numFmtId="2" fontId="53" fillId="34" borderId="32" xfId="0" applyNumberFormat="1" applyFont="1" applyFill="1" applyBorder="1" applyAlignment="1">
      <alignment horizontal="center"/>
    </xf>
    <xf numFmtId="2" fontId="53" fillId="35" borderId="32" xfId="0" applyNumberFormat="1" applyFont="1" applyFill="1" applyBorder="1" applyAlignment="1">
      <alignment horizontal="center"/>
    </xf>
    <xf numFmtId="168" fontId="58" fillId="36" borderId="32" xfId="0" applyNumberFormat="1" applyFont="1" applyFill="1" applyBorder="1" applyAlignment="1" applyProtection="1" quotePrefix="1">
      <alignment horizontal="center"/>
      <protection/>
    </xf>
    <xf numFmtId="4" fontId="58" fillId="36" borderId="32" xfId="0" applyNumberFormat="1" applyFont="1" applyFill="1" applyBorder="1" applyAlignment="1">
      <alignment horizontal="center"/>
    </xf>
    <xf numFmtId="168" fontId="58" fillId="37" borderId="32" xfId="0" applyNumberFormat="1" applyFont="1" applyFill="1" applyBorder="1" applyAlignment="1" applyProtection="1" quotePrefix="1">
      <alignment horizontal="center"/>
      <protection/>
    </xf>
    <xf numFmtId="4" fontId="58" fillId="37" borderId="32" xfId="0" applyNumberFormat="1" applyFont="1" applyFill="1" applyBorder="1" applyAlignment="1">
      <alignment horizontal="center"/>
    </xf>
    <xf numFmtId="168" fontId="58" fillId="38" borderId="32" xfId="0" applyNumberFormat="1" applyFont="1" applyFill="1" applyBorder="1" applyAlignment="1" applyProtection="1" quotePrefix="1">
      <alignment horizontal="center"/>
      <protection/>
    </xf>
    <xf numFmtId="4" fontId="53" fillId="39" borderId="32" xfId="0" applyNumberFormat="1" applyFont="1" applyFill="1" applyBorder="1" applyAlignment="1">
      <alignment horizontal="center"/>
    </xf>
    <xf numFmtId="0" fontId="54" fillId="39" borderId="32" xfId="0" applyFont="1" applyFill="1" applyBorder="1" applyAlignment="1" applyProtection="1">
      <alignment horizontal="center" vertical="center"/>
      <protection/>
    </xf>
    <xf numFmtId="0" fontId="53" fillId="39" borderId="15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4" fontId="53" fillId="39" borderId="12" xfId="0" applyNumberFormat="1" applyFont="1" applyFill="1" applyBorder="1" applyAlignment="1" applyProtection="1">
      <alignment horizontal="center"/>
      <protection/>
    </xf>
    <xf numFmtId="0" fontId="53" fillId="39" borderId="13" xfId="0" applyFont="1" applyFill="1" applyBorder="1" applyAlignment="1">
      <alignment/>
    </xf>
    <xf numFmtId="0" fontId="58" fillId="38" borderId="15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2" fontId="58" fillId="38" borderId="12" xfId="0" applyNumberFormat="1" applyFont="1" applyFill="1" applyBorder="1" applyAlignment="1">
      <alignment horizontal="center"/>
    </xf>
    <xf numFmtId="0" fontId="58" fillId="38" borderId="13" xfId="0" applyFont="1" applyFill="1" applyBorder="1" applyAlignment="1">
      <alignment/>
    </xf>
    <xf numFmtId="7" fontId="58" fillId="38" borderId="32" xfId="0" applyNumberFormat="1" applyFont="1" applyFill="1" applyBorder="1" applyAlignment="1">
      <alignment horizontal="center"/>
    </xf>
    <xf numFmtId="0" fontId="27" fillId="40" borderId="32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/>
    </xf>
    <xf numFmtId="0" fontId="58" fillId="40" borderId="12" xfId="0" applyFont="1" applyFill="1" applyBorder="1" applyAlignment="1">
      <alignment/>
    </xf>
    <xf numFmtId="2" fontId="58" fillId="40" borderId="12" xfId="0" applyNumberFormat="1" applyFont="1" applyFill="1" applyBorder="1" applyAlignment="1">
      <alignment horizontal="center"/>
    </xf>
    <xf numFmtId="0" fontId="58" fillId="40" borderId="13" xfId="0" applyFont="1" applyFill="1" applyBorder="1" applyAlignment="1">
      <alignment/>
    </xf>
    <xf numFmtId="7" fontId="58" fillId="40" borderId="32" xfId="0" applyNumberFormat="1" applyFont="1" applyFill="1" applyBorder="1" applyAlignment="1">
      <alignment horizontal="center"/>
    </xf>
    <xf numFmtId="0" fontId="54" fillId="41" borderId="34" xfId="0" applyFont="1" applyFill="1" applyBorder="1" applyAlignment="1" applyProtection="1">
      <alignment horizontal="centerContinuous" vertical="center" wrapText="1"/>
      <protection/>
    </xf>
    <xf numFmtId="0" fontId="54" fillId="41" borderId="35" xfId="0" applyFont="1" applyFill="1" applyBorder="1" applyAlignment="1">
      <alignment horizontal="centerContinuous" vertical="center"/>
    </xf>
    <xf numFmtId="0" fontId="53" fillId="41" borderId="43" xfId="0" applyFont="1" applyFill="1" applyBorder="1" applyAlignment="1">
      <alignment horizontal="center"/>
    </xf>
    <xf numFmtId="0" fontId="53" fillId="41" borderId="45" xfId="0" applyFont="1" applyFill="1" applyBorder="1" applyAlignment="1">
      <alignment/>
    </xf>
    <xf numFmtId="0" fontId="53" fillId="41" borderId="46" xfId="0" applyFont="1" applyFill="1" applyBorder="1" applyAlignment="1">
      <alignment horizontal="center"/>
    </xf>
    <xf numFmtId="0" fontId="53" fillId="41" borderId="16" xfId="0" applyFont="1" applyFill="1" applyBorder="1" applyAlignment="1">
      <alignment/>
    </xf>
    <xf numFmtId="168" fontId="53" fillId="41" borderId="46" xfId="0" applyNumberFormat="1" applyFont="1" applyFill="1" applyBorder="1" applyAlignment="1" applyProtection="1" quotePrefix="1">
      <alignment horizontal="center"/>
      <protection/>
    </xf>
    <xf numFmtId="168" fontId="53" fillId="41" borderId="19" xfId="0" applyNumberFormat="1" applyFont="1" applyFill="1" applyBorder="1" applyAlignment="1" applyProtection="1" quotePrefix="1">
      <alignment horizontal="center"/>
      <protection/>
    </xf>
    <xf numFmtId="7" fontId="53" fillId="41" borderId="32" xfId="0" applyNumberFormat="1" applyFont="1" applyFill="1" applyBorder="1" applyAlignment="1">
      <alignment horizontal="center"/>
    </xf>
    <xf numFmtId="0" fontId="54" fillId="34" borderId="34" xfId="0" applyFont="1" applyFill="1" applyBorder="1" applyAlignment="1" applyProtection="1">
      <alignment horizontal="centerContinuous" vertical="center" wrapText="1"/>
      <protection/>
    </xf>
    <xf numFmtId="0" fontId="54" fillId="34" borderId="35" xfId="0" applyFont="1" applyFill="1" applyBorder="1" applyAlignment="1">
      <alignment horizontal="centerContinuous" vertical="center"/>
    </xf>
    <xf numFmtId="0" fontId="53" fillId="34" borderId="43" xfId="0" applyFont="1" applyFill="1" applyBorder="1" applyAlignment="1">
      <alignment horizontal="center"/>
    </xf>
    <xf numFmtId="0" fontId="53" fillId="34" borderId="45" xfId="0" applyFont="1" applyFill="1" applyBorder="1" applyAlignment="1">
      <alignment/>
    </xf>
    <xf numFmtId="0" fontId="53" fillId="34" borderId="46" xfId="0" applyFont="1" applyFill="1" applyBorder="1" applyAlignment="1">
      <alignment horizontal="center"/>
    </xf>
    <xf numFmtId="0" fontId="53" fillId="34" borderId="16" xfId="0" applyFont="1" applyFill="1" applyBorder="1" applyAlignment="1">
      <alignment/>
    </xf>
    <xf numFmtId="168" fontId="53" fillId="34" borderId="46" xfId="0" applyNumberFormat="1" applyFont="1" applyFill="1" applyBorder="1" applyAlignment="1" applyProtection="1" quotePrefix="1">
      <alignment horizontal="center"/>
      <protection/>
    </xf>
    <xf numFmtId="168" fontId="53" fillId="34" borderId="19" xfId="0" applyNumberFormat="1" applyFont="1" applyFill="1" applyBorder="1" applyAlignment="1" applyProtection="1" quotePrefix="1">
      <alignment horizontal="center"/>
      <protection/>
    </xf>
    <xf numFmtId="7" fontId="53" fillId="34" borderId="32" xfId="0" applyNumberFormat="1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/>
    </xf>
    <xf numFmtId="0" fontId="51" fillId="36" borderId="12" xfId="0" applyFont="1" applyFill="1" applyBorder="1" applyAlignment="1">
      <alignment/>
    </xf>
    <xf numFmtId="168" fontId="51" fillId="36" borderId="12" xfId="0" applyNumberFormat="1" applyFont="1" applyFill="1" applyBorder="1" applyAlignment="1" applyProtection="1" quotePrefix="1">
      <alignment horizontal="center"/>
      <protection/>
    </xf>
    <xf numFmtId="0" fontId="51" fillId="36" borderId="13" xfId="0" applyFont="1" applyFill="1" applyBorder="1" applyAlignment="1">
      <alignment/>
    </xf>
    <xf numFmtId="7" fontId="51" fillId="36" borderId="32" xfId="0" applyNumberFormat="1" applyFont="1" applyFill="1" applyBorder="1" applyAlignment="1">
      <alignment horizontal="center"/>
    </xf>
    <xf numFmtId="0" fontId="27" fillId="37" borderId="32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/>
    </xf>
    <xf numFmtId="0" fontId="58" fillId="37" borderId="12" xfId="0" applyFont="1" applyFill="1" applyBorder="1" applyAlignment="1">
      <alignment/>
    </xf>
    <xf numFmtId="168" fontId="58" fillId="37" borderId="12" xfId="0" applyNumberFormat="1" applyFont="1" applyFill="1" applyBorder="1" applyAlignment="1" applyProtection="1" quotePrefix="1">
      <alignment horizontal="center"/>
      <protection/>
    </xf>
    <xf numFmtId="0" fontId="58" fillId="37" borderId="13" xfId="0" applyFont="1" applyFill="1" applyBorder="1" applyAlignment="1">
      <alignment/>
    </xf>
    <xf numFmtId="7" fontId="58" fillId="37" borderId="32" xfId="0" applyNumberFormat="1" applyFont="1" applyFill="1" applyBorder="1" applyAlignment="1">
      <alignment horizontal="center"/>
    </xf>
    <xf numFmtId="0" fontId="53" fillId="41" borderId="48" xfId="0" applyFont="1" applyFill="1" applyBorder="1" applyAlignment="1">
      <alignment/>
    </xf>
    <xf numFmtId="0" fontId="53" fillId="41" borderId="49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3" fillId="34" borderId="49" xfId="0" applyFont="1" applyFill="1" applyBorder="1" applyAlignment="1">
      <alignment/>
    </xf>
    <xf numFmtId="0" fontId="59" fillId="0" borderId="20" xfId="0" applyFont="1" applyBorder="1" applyAlignment="1">
      <alignment/>
    </xf>
    <xf numFmtId="0" fontId="54" fillId="37" borderId="32" xfId="0" applyFont="1" applyFill="1" applyBorder="1" applyAlignment="1" applyProtection="1">
      <alignment horizontal="center" vertical="center"/>
      <protection/>
    </xf>
    <xf numFmtId="164" fontId="53" fillId="37" borderId="12" xfId="0" applyNumberFormat="1" applyFont="1" applyFill="1" applyBorder="1" applyAlignment="1" applyProtection="1">
      <alignment horizontal="center"/>
      <protection/>
    </xf>
    <xf numFmtId="168" fontId="7" fillId="0" borderId="45" xfId="0" applyNumberFormat="1" applyFont="1" applyFill="1" applyBorder="1" applyAlignment="1" applyProtection="1">
      <alignment horizontal="center"/>
      <protection/>
    </xf>
    <xf numFmtId="164" fontId="53" fillId="37" borderId="15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2" fontId="58" fillId="36" borderId="15" xfId="0" applyNumberFormat="1" applyFont="1" applyFill="1" applyBorder="1" applyAlignment="1">
      <alignment horizontal="center"/>
    </xf>
    <xf numFmtId="2" fontId="58" fillId="36" borderId="12" xfId="0" applyNumberFormat="1" applyFont="1" applyFill="1" applyBorder="1" applyAlignment="1">
      <alignment horizontal="center"/>
    </xf>
    <xf numFmtId="168" fontId="53" fillId="34" borderId="43" xfId="0" applyNumberFormat="1" applyFont="1" applyFill="1" applyBorder="1" applyAlignment="1" applyProtection="1" quotePrefix="1">
      <alignment horizontal="center"/>
      <protection/>
    </xf>
    <xf numFmtId="168" fontId="53" fillId="34" borderId="50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4" fillId="39" borderId="32" xfId="0" applyFont="1" applyFill="1" applyBorder="1" applyAlignment="1" applyProtection="1">
      <alignment horizontal="centerContinuous" vertical="center" wrapText="1"/>
      <protection/>
    </xf>
    <xf numFmtId="168" fontId="53" fillId="39" borderId="15" xfId="0" applyNumberFormat="1" applyFont="1" applyFill="1" applyBorder="1" applyAlignment="1" applyProtection="1" quotePrefix="1">
      <alignment horizontal="center"/>
      <protection/>
    </xf>
    <xf numFmtId="168" fontId="53" fillId="39" borderId="12" xfId="0" applyNumberFormat="1" applyFont="1" applyFill="1" applyBorder="1" applyAlignment="1" applyProtection="1" quotePrefix="1">
      <alignment horizontal="center"/>
      <protection/>
    </xf>
    <xf numFmtId="2" fontId="58" fillId="36" borderId="32" xfId="0" applyNumberFormat="1" applyFont="1" applyFill="1" applyBorder="1" applyAlignment="1">
      <alignment horizontal="center"/>
    </xf>
    <xf numFmtId="2" fontId="53" fillId="39" borderId="32" xfId="0" applyNumberFormat="1" applyFont="1" applyFill="1" applyBorder="1" applyAlignment="1">
      <alignment horizontal="center"/>
    </xf>
    <xf numFmtId="0" fontId="60" fillId="33" borderId="40" xfId="0" applyFont="1" applyFill="1" applyBorder="1" applyAlignment="1">
      <alignment horizontal="center"/>
    </xf>
    <xf numFmtId="168" fontId="60" fillId="33" borderId="18" xfId="0" applyNumberFormat="1" applyFont="1" applyFill="1" applyBorder="1" applyAlignment="1" applyProtection="1">
      <alignment horizontal="center"/>
      <protection/>
    </xf>
    <xf numFmtId="168" fontId="60" fillId="33" borderId="12" xfId="0" applyNumberFormat="1" applyFont="1" applyFill="1" applyBorder="1" applyAlignment="1" applyProtection="1">
      <alignment horizontal="center"/>
      <protection/>
    </xf>
    <xf numFmtId="168" fontId="60" fillId="33" borderId="13" xfId="0" applyNumberFormat="1" applyFont="1" applyFill="1" applyBorder="1" applyAlignment="1" applyProtection="1">
      <alignment horizontal="center"/>
      <protection/>
    </xf>
    <xf numFmtId="164" fontId="56" fillId="39" borderId="18" xfId="0" applyNumberFormat="1" applyFont="1" applyFill="1" applyBorder="1" applyAlignment="1" applyProtection="1">
      <alignment horizontal="center"/>
      <protection/>
    </xf>
    <xf numFmtId="2" fontId="58" fillId="40" borderId="18" xfId="0" applyNumberFormat="1" applyFont="1" applyFill="1" applyBorder="1" applyAlignment="1">
      <alignment horizontal="center"/>
    </xf>
    <xf numFmtId="4" fontId="58" fillId="40" borderId="32" xfId="0" applyNumberFormat="1" applyFont="1" applyFill="1" applyBorder="1" applyAlignment="1">
      <alignment horizontal="center"/>
    </xf>
    <xf numFmtId="0" fontId="56" fillId="39" borderId="15" xfId="0" applyFont="1" applyFill="1" applyBorder="1" applyAlignment="1">
      <alignment horizontal="center"/>
    </xf>
    <xf numFmtId="0" fontId="58" fillId="4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8" fontId="58" fillId="37" borderId="43" xfId="0" applyNumberFormat="1" applyFont="1" applyFill="1" applyBorder="1" applyAlignment="1" applyProtection="1" quotePrefix="1">
      <alignment horizontal="center"/>
      <protection/>
    </xf>
    <xf numFmtId="168" fontId="58" fillId="37" borderId="29" xfId="0" applyNumberFormat="1" applyFont="1" applyFill="1" applyBorder="1" applyAlignment="1" applyProtection="1" quotePrefix="1">
      <alignment horizontal="center"/>
      <protection/>
    </xf>
    <xf numFmtId="4" fontId="58" fillId="37" borderId="32" xfId="0" applyNumberFormat="1" applyFont="1" applyFill="1" applyBorder="1" applyAlignment="1">
      <alignment horizontal="center"/>
    </xf>
    <xf numFmtId="4" fontId="58" fillId="37" borderId="37" xfId="0" applyNumberFormat="1" applyFont="1" applyFill="1" applyBorder="1" applyAlignment="1">
      <alignment horizontal="center"/>
    </xf>
    <xf numFmtId="0" fontId="27" fillId="37" borderId="34" xfId="0" applyFont="1" applyFill="1" applyBorder="1" applyAlignment="1" applyProtection="1">
      <alignment horizontal="centerContinuous" vertical="center" wrapText="1"/>
      <protection/>
    </xf>
    <xf numFmtId="168" fontId="58" fillId="37" borderId="50" xfId="0" applyNumberFormat="1" applyFont="1" applyFill="1" applyBorder="1" applyAlignment="1" applyProtection="1" quotePrefix="1">
      <alignment horizontal="center"/>
      <protection/>
    </xf>
    <xf numFmtId="168" fontId="58" fillId="37" borderId="5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Border="1" applyAlignment="1" applyProtection="1">
      <alignment horizontal="center"/>
      <protection/>
    </xf>
    <xf numFmtId="0" fontId="61" fillId="33" borderId="15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68" fontId="60" fillId="33" borderId="12" xfId="0" applyNumberFormat="1" applyFont="1" applyFill="1" applyBorder="1" applyAlignment="1" applyProtection="1">
      <alignment horizontal="center"/>
      <protection/>
    </xf>
    <xf numFmtId="168" fontId="60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center"/>
      <protection/>
    </xf>
    <xf numFmtId="168" fontId="58" fillId="36" borderId="15" xfId="0" applyNumberFormat="1" applyFont="1" applyFill="1" applyBorder="1" applyAlignment="1" applyProtection="1" quotePrefix="1">
      <alignment horizontal="center"/>
      <protection/>
    </xf>
    <xf numFmtId="168" fontId="58" fillId="36" borderId="18" xfId="0" applyNumberFormat="1" applyFont="1" applyFill="1" applyBorder="1" applyAlignment="1" applyProtection="1" quotePrefix="1">
      <alignment horizontal="center"/>
      <protection/>
    </xf>
    <xf numFmtId="4" fontId="58" fillId="36" borderId="37" xfId="0" applyNumberFormat="1" applyFont="1" applyFill="1" applyBorder="1" applyAlignment="1">
      <alignment horizontal="center"/>
    </xf>
    <xf numFmtId="173" fontId="0" fillId="0" borderId="3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7" fontId="10" fillId="0" borderId="15" xfId="0" applyNumberFormat="1" applyFont="1" applyFill="1" applyBorder="1" applyAlignment="1">
      <alignment horizontal="center"/>
    </xf>
    <xf numFmtId="0" fontId="62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52" xfId="0" applyFont="1" applyBorder="1" applyAlignment="1" applyProtection="1">
      <alignment horizontal="left"/>
      <protection/>
    </xf>
    <xf numFmtId="171" fontId="0" fillId="0" borderId="53" xfId="0" applyNumberFormat="1" applyFont="1" applyBorder="1" applyAlignment="1" applyProtection="1">
      <alignment horizontal="centerContinuous"/>
      <protection/>
    </xf>
    <xf numFmtId="0" fontId="10" fillId="0" borderId="54" xfId="0" applyFont="1" applyBorder="1" applyAlignment="1">
      <alignment horizontal="centerContinuous"/>
    </xf>
    <xf numFmtId="0" fontId="10" fillId="0" borderId="55" xfId="0" applyFont="1" applyFill="1" applyBorder="1" applyAlignment="1">
      <alignment/>
    </xf>
    <xf numFmtId="0" fontId="10" fillId="0" borderId="56" xfId="0" applyFont="1" applyBorder="1" applyAlignment="1" applyProtection="1">
      <alignment horizontal="right"/>
      <protection/>
    </xf>
    <xf numFmtId="173" fontId="1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171" fontId="25" fillId="0" borderId="59" xfId="0" applyNumberFormat="1" applyFont="1" applyBorder="1" applyAlignment="1">
      <alignment horizontal="centerContinuous"/>
    </xf>
    <xf numFmtId="0" fontId="10" fillId="0" borderId="60" xfId="0" applyFont="1" applyBorder="1" applyAlignment="1">
      <alignment horizontal="centerContinuous"/>
    </xf>
    <xf numFmtId="0" fontId="10" fillId="0" borderId="61" xfId="0" applyFont="1" applyFill="1" applyBorder="1" applyAlignment="1">
      <alignment/>
    </xf>
    <xf numFmtId="168" fontId="10" fillId="0" borderId="62" xfId="0" applyNumberFormat="1" applyFont="1" applyBorder="1" applyAlignment="1" applyProtection="1">
      <alignment horizontal="right"/>
      <protection/>
    </xf>
    <xf numFmtId="171" fontId="10" fillId="0" borderId="6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171" fontId="25" fillId="0" borderId="62" xfId="0" applyNumberFormat="1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66" xfId="0" applyNumberFormat="1" applyFont="1" applyBorder="1" applyAlignment="1">
      <alignment horizontal="center"/>
    </xf>
    <xf numFmtId="0" fontId="8" fillId="0" borderId="34" xfId="0" applyFont="1" applyBorder="1" applyAlignment="1" applyProtection="1">
      <alignment horizontal="center"/>
      <protection/>
    </xf>
    <xf numFmtId="0" fontId="10" fillId="0" borderId="67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2" fontId="10" fillId="0" borderId="59" xfId="0" applyNumberFormat="1" applyFont="1" applyBorder="1" applyAlignment="1" applyProtection="1">
      <alignment horizontal="center"/>
      <protection/>
    </xf>
    <xf numFmtId="168" fontId="10" fillId="0" borderId="59" xfId="0" applyNumberFormat="1" applyFont="1" applyBorder="1" applyAlignment="1" applyProtection="1">
      <alignment horizontal="center"/>
      <protection/>
    </xf>
    <xf numFmtId="7" fontId="19" fillId="0" borderId="68" xfId="0" applyNumberFormat="1" applyFont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/>
    </xf>
    <xf numFmtId="0" fontId="10" fillId="0" borderId="70" xfId="0" applyFont="1" applyBorder="1" applyAlignment="1" applyProtection="1">
      <alignment horizontal="center"/>
      <protection/>
    </xf>
    <xf numFmtId="2" fontId="10" fillId="0" borderId="70" xfId="0" applyNumberFormat="1" applyFont="1" applyBorder="1" applyAlignment="1" applyProtection="1">
      <alignment horizontal="center"/>
      <protection/>
    </xf>
    <xf numFmtId="168" fontId="10" fillId="0" borderId="70" xfId="0" applyNumberFormat="1" applyFont="1" applyBorder="1" applyAlignment="1" applyProtection="1">
      <alignment horizontal="center"/>
      <protection/>
    </xf>
    <xf numFmtId="7" fontId="10" fillId="0" borderId="70" xfId="0" applyNumberFormat="1" applyFont="1" applyBorder="1" applyAlignment="1" applyProtection="1">
      <alignment horizontal="center"/>
      <protection/>
    </xf>
    <xf numFmtId="7" fontId="10" fillId="0" borderId="70" xfId="0" applyNumberFormat="1" applyFont="1" applyBorder="1" applyAlignment="1" applyProtection="1">
      <alignment horizontal="centerContinuous"/>
      <protection/>
    </xf>
    <xf numFmtId="0" fontId="10" fillId="0" borderId="70" xfId="0" applyFont="1" applyBorder="1" applyAlignment="1" applyProtection="1">
      <alignment horizontal="centerContinuous"/>
      <protection/>
    </xf>
    <xf numFmtId="0" fontId="10" fillId="0" borderId="70" xfId="0" applyFont="1" applyBorder="1" applyAlignment="1" applyProtection="1">
      <alignment horizontal="right"/>
      <protection/>
    </xf>
    <xf numFmtId="7" fontId="10" fillId="0" borderId="71" xfId="0" applyNumberFormat="1" applyFont="1" applyBorder="1" applyAlignment="1" applyProtection="1">
      <alignment horizontal="center"/>
      <protection/>
    </xf>
    <xf numFmtId="0" fontId="10" fillId="0" borderId="72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2" fontId="10" fillId="0" borderId="66" xfId="0" applyNumberFormat="1" applyFont="1" applyBorder="1" applyAlignment="1" applyProtection="1">
      <alignment horizontal="center"/>
      <protection/>
    </xf>
    <xf numFmtId="168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right"/>
      <protection/>
    </xf>
    <xf numFmtId="7" fontId="10" fillId="0" borderId="73" xfId="0" applyNumberFormat="1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0" fontId="0" fillId="0" borderId="67" xfId="0" applyBorder="1" applyAlignment="1">
      <alignment horizontal="centerContinuous"/>
    </xf>
    <xf numFmtId="0" fontId="10" fillId="0" borderId="59" xfId="0" applyFont="1" applyBorder="1" applyAlignment="1" applyProtection="1">
      <alignment horizontal="centerContinuous"/>
      <protection/>
    </xf>
    <xf numFmtId="0" fontId="0" fillId="0" borderId="59" xfId="0" applyBorder="1" applyAlignment="1">
      <alignment horizontal="center"/>
    </xf>
    <xf numFmtId="168" fontId="10" fillId="0" borderId="67" xfId="0" applyNumberFormat="1" applyFont="1" applyBorder="1" applyAlignment="1" applyProtection="1">
      <alignment horizontal="centerContinuous"/>
      <protection/>
    </xf>
    <xf numFmtId="2" fontId="22" fillId="0" borderId="74" xfId="0" applyNumberFormat="1" applyFont="1" applyBorder="1" applyAlignment="1">
      <alignment horizontal="centerContinuous"/>
    </xf>
    <xf numFmtId="7" fontId="10" fillId="0" borderId="69" xfId="0" applyNumberFormat="1" applyFont="1" applyBorder="1" applyAlignment="1">
      <alignment horizontal="centerContinuous"/>
    </xf>
    <xf numFmtId="168" fontId="10" fillId="0" borderId="70" xfId="0" applyNumberFormat="1" applyFont="1" applyBorder="1" applyAlignment="1" applyProtection="1" quotePrefix="1">
      <alignment horizontal="center"/>
      <protection/>
    </xf>
    <xf numFmtId="7" fontId="10" fillId="0" borderId="69" xfId="0" applyNumberFormat="1" applyFont="1" applyBorder="1" applyAlignment="1" applyProtection="1">
      <alignment horizontal="centerContinuous"/>
      <protection/>
    </xf>
    <xf numFmtId="2" fontId="22" fillId="0" borderId="75" xfId="0" applyNumberFormat="1" applyFont="1" applyBorder="1" applyAlignment="1">
      <alignment horizontal="centerContinuous"/>
    </xf>
    <xf numFmtId="0" fontId="10" fillId="0" borderId="76" xfId="0" applyFont="1" applyBorder="1" applyAlignment="1" applyProtection="1">
      <alignment horizontal="center"/>
      <protection/>
    </xf>
    <xf numFmtId="7" fontId="10" fillId="0" borderId="77" xfId="0" applyNumberFormat="1" applyFont="1" applyBorder="1" applyAlignment="1" applyProtection="1">
      <alignment horizontal="center"/>
      <protection/>
    </xf>
    <xf numFmtId="7" fontId="10" fillId="0" borderId="7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76" xfId="0" applyNumberFormat="1" applyFont="1" applyBorder="1" applyAlignment="1" applyProtection="1">
      <alignment horizontal="centerContinuous"/>
      <protection/>
    </xf>
    <xf numFmtId="2" fontId="22" fillId="0" borderId="78" xfId="0" applyNumberFormat="1" applyFont="1" applyBorder="1" applyAlignment="1">
      <alignment horizontal="centerContinuous"/>
    </xf>
    <xf numFmtId="7" fontId="10" fillId="0" borderId="72" xfId="0" applyNumberFormat="1" applyFont="1" applyBorder="1" applyAlignment="1">
      <alignment horizontal="centerContinuous"/>
    </xf>
    <xf numFmtId="168" fontId="10" fillId="0" borderId="66" xfId="0" applyNumberFormat="1" applyFont="1" applyBorder="1" applyAlignment="1" applyProtection="1" quotePrefix="1">
      <alignment horizontal="center"/>
      <protection/>
    </xf>
    <xf numFmtId="7" fontId="10" fillId="0" borderId="72" xfId="0" applyNumberFormat="1" applyFont="1" applyBorder="1" applyAlignment="1" applyProtection="1">
      <alignment horizontal="centerContinuous"/>
      <protection/>
    </xf>
    <xf numFmtId="2" fontId="22" fillId="0" borderId="47" xfId="0" applyNumberFormat="1" applyFont="1" applyBorder="1" applyAlignment="1">
      <alignment horizontal="centerContinuous"/>
    </xf>
    <xf numFmtId="7" fontId="10" fillId="0" borderId="67" xfId="0" applyNumberFormat="1" applyFont="1" applyBorder="1" applyAlignment="1" applyProtection="1">
      <alignment horizontal="centerContinuous"/>
      <protection/>
    </xf>
    <xf numFmtId="5" fontId="8" fillId="0" borderId="34" xfId="0" applyNumberFormat="1" applyFont="1" applyBorder="1" applyAlignment="1" applyProtection="1">
      <alignment horizontal="center"/>
      <protection/>
    </xf>
    <xf numFmtId="7" fontId="8" fillId="0" borderId="3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6" fillId="0" borderId="35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5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74" xfId="0" applyNumberFormat="1" applyFont="1" applyBorder="1" applyAlignment="1" applyProtection="1">
      <alignment horizontal="centerContinuous"/>
      <protection/>
    </xf>
    <xf numFmtId="2" fontId="10" fillId="0" borderId="70" xfId="0" applyNumberFormat="1" applyFont="1" applyBorder="1" applyAlignment="1" applyProtection="1">
      <alignment horizontal="centerContinuous"/>
      <protection/>
    </xf>
    <xf numFmtId="2" fontId="10" fillId="0" borderId="7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78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0" fontId="62" fillId="0" borderId="0" xfId="0" applyFont="1" applyFill="1" applyAlignment="1">
      <alignment horizontal="right" vertical="top"/>
    </xf>
    <xf numFmtId="0" fontId="0" fillId="0" borderId="34" xfId="0" applyFont="1" applyBorder="1" applyAlignment="1" applyProtection="1">
      <alignment horizontal="center" vertical="center"/>
      <protection/>
    </xf>
    <xf numFmtId="173" fontId="0" fillId="0" borderId="34" xfId="0" applyNumberFormat="1" applyFont="1" applyBorder="1" applyAlignment="1">
      <alignment horizontal="centerContinuous" vertical="center"/>
    </xf>
    <xf numFmtId="0" fontId="1" fillId="0" borderId="35" xfId="0" applyFont="1" applyBorder="1" applyAlignment="1" applyProtection="1">
      <alignment horizontal="centerContinuous" vertical="center"/>
      <protection/>
    </xf>
    <xf numFmtId="167" fontId="0" fillId="0" borderId="35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79" xfId="0" applyFont="1" applyBorder="1" applyAlignment="1" applyProtection="1">
      <alignment/>
      <protection locked="0"/>
    </xf>
    <xf numFmtId="0" fontId="7" fillId="0" borderId="80" xfId="0" applyFont="1" applyBorder="1" applyAlignment="1" applyProtection="1">
      <alignment horizontal="center"/>
      <protection locked="0"/>
    </xf>
    <xf numFmtId="2" fontId="7" fillId="0" borderId="80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3" fillId="34" borderId="13" xfId="0" applyNumberFormat="1" applyFont="1" applyFill="1" applyBorder="1" applyAlignment="1" applyProtection="1" quotePrefix="1">
      <alignment horizontal="center"/>
      <protection locked="0"/>
    </xf>
    <xf numFmtId="168" fontId="53" fillId="35" borderId="13" xfId="0" applyNumberFormat="1" applyFont="1" applyFill="1" applyBorder="1" applyAlignment="1" applyProtection="1" quotePrefix="1">
      <alignment horizontal="center"/>
      <protection locked="0"/>
    </xf>
    <xf numFmtId="168" fontId="58" fillId="36" borderId="48" xfId="0" applyNumberFormat="1" applyFont="1" applyFill="1" applyBorder="1" applyAlignment="1" applyProtection="1" quotePrefix="1">
      <alignment horizontal="center"/>
      <protection locked="0"/>
    </xf>
    <xf numFmtId="4" fontId="58" fillId="36" borderId="81" xfId="0" applyNumberFormat="1" applyFont="1" applyFill="1" applyBorder="1" applyAlignment="1" applyProtection="1">
      <alignment horizontal="center"/>
      <protection locked="0"/>
    </xf>
    <xf numFmtId="4" fontId="58" fillId="36" borderId="31" xfId="0" applyNumberFormat="1" applyFont="1" applyFill="1" applyBorder="1" applyAlignment="1" applyProtection="1">
      <alignment horizontal="center"/>
      <protection locked="0"/>
    </xf>
    <xf numFmtId="168" fontId="58" fillId="37" borderId="48" xfId="0" applyNumberFormat="1" applyFont="1" applyFill="1" applyBorder="1" applyAlignment="1" applyProtection="1" quotePrefix="1">
      <alignment horizontal="center"/>
      <protection locked="0"/>
    </xf>
    <xf numFmtId="4" fontId="58" fillId="37" borderId="81" xfId="0" applyNumberFormat="1" applyFont="1" applyFill="1" applyBorder="1" applyAlignment="1" applyProtection="1">
      <alignment horizontal="center"/>
      <protection locked="0"/>
    </xf>
    <xf numFmtId="4" fontId="58" fillId="37" borderId="31" xfId="0" applyNumberFormat="1" applyFont="1" applyFill="1" applyBorder="1" applyAlignment="1" applyProtection="1">
      <alignment horizontal="center"/>
      <protection locked="0"/>
    </xf>
    <xf numFmtId="4" fontId="58" fillId="38" borderId="13" xfId="0" applyNumberFormat="1" applyFont="1" applyFill="1" applyBorder="1" applyAlignment="1" applyProtection="1">
      <alignment horizontal="center"/>
      <protection locked="0"/>
    </xf>
    <xf numFmtId="4" fontId="53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5" fillId="34" borderId="12" xfId="0" applyFont="1" applyFill="1" applyBorder="1" applyAlignment="1" applyProtection="1">
      <alignment/>
      <protection locked="0"/>
    </xf>
    <xf numFmtId="0" fontId="55" fillId="35" borderId="12" xfId="0" applyFont="1" applyFill="1" applyBorder="1" applyAlignment="1" applyProtection="1">
      <alignment/>
      <protection locked="0"/>
    </xf>
    <xf numFmtId="0" fontId="57" fillId="36" borderId="46" xfId="0" applyFont="1" applyFill="1" applyBorder="1" applyAlignment="1" applyProtection="1">
      <alignment horizontal="center"/>
      <protection locked="0"/>
    </xf>
    <xf numFmtId="0" fontId="57" fillId="36" borderId="47" xfId="0" applyFont="1" applyFill="1" applyBorder="1" applyAlignment="1" applyProtection="1">
      <alignment/>
      <protection locked="0"/>
    </xf>
    <xf numFmtId="0" fontId="57" fillId="36" borderId="16" xfId="0" applyFont="1" applyFill="1" applyBorder="1" applyAlignment="1" applyProtection="1">
      <alignment/>
      <protection locked="0"/>
    </xf>
    <xf numFmtId="0" fontId="57" fillId="37" borderId="46" xfId="0" applyFont="1" applyFill="1" applyBorder="1" applyAlignment="1" applyProtection="1">
      <alignment horizontal="center"/>
      <protection locked="0"/>
    </xf>
    <xf numFmtId="0" fontId="57" fillId="37" borderId="47" xfId="0" applyFont="1" applyFill="1" applyBorder="1" applyAlignment="1" applyProtection="1">
      <alignment/>
      <protection locked="0"/>
    </xf>
    <xf numFmtId="0" fontId="57" fillId="37" borderId="16" xfId="0" applyFont="1" applyFill="1" applyBorder="1" applyAlignment="1" applyProtection="1">
      <alignment/>
      <protection locked="0"/>
    </xf>
    <xf numFmtId="0" fontId="57" fillId="38" borderId="12" xfId="0" applyFont="1" applyFill="1" applyBorder="1" applyAlignment="1" applyProtection="1">
      <alignment/>
      <protection locked="0"/>
    </xf>
    <xf numFmtId="0" fontId="55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38" borderId="32" xfId="0" applyFont="1" applyFill="1" applyBorder="1" applyAlignment="1" applyProtection="1">
      <alignment horizontal="center" vertical="center" wrapText="1"/>
      <protection/>
    </xf>
    <xf numFmtId="0" fontId="27" fillId="40" borderId="32" xfId="0" applyFont="1" applyFill="1" applyBorder="1" applyAlignment="1" applyProtection="1">
      <alignment horizontal="center" vertical="center" wrapText="1"/>
      <protection/>
    </xf>
    <xf numFmtId="0" fontId="54" fillId="41" borderId="35" xfId="0" applyFont="1" applyFill="1" applyBorder="1" applyAlignment="1" applyProtection="1">
      <alignment horizontal="centerContinuous" vertical="center"/>
      <protection/>
    </xf>
    <xf numFmtId="0" fontId="54" fillId="34" borderId="35" xfId="0" applyFont="1" applyFill="1" applyBorder="1" applyAlignment="1" applyProtection="1">
      <alignment horizontal="centerContinuous" vertical="center"/>
      <protection/>
    </xf>
    <xf numFmtId="0" fontId="50" fillId="36" borderId="32" xfId="0" applyFont="1" applyFill="1" applyBorder="1" applyAlignment="1" applyProtection="1">
      <alignment horizontal="center" vertical="center" wrapText="1"/>
      <protection/>
    </xf>
    <xf numFmtId="0" fontId="27" fillId="37" borderId="32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53" fillId="39" borderId="15" xfId="0" applyFont="1" applyFill="1" applyBorder="1" applyAlignment="1" applyProtection="1">
      <alignment/>
      <protection/>
    </xf>
    <xf numFmtId="0" fontId="58" fillId="38" borderId="15" xfId="0" applyFont="1" applyFill="1" applyBorder="1" applyAlignment="1" applyProtection="1">
      <alignment/>
      <protection/>
    </xf>
    <xf numFmtId="0" fontId="58" fillId="40" borderId="15" xfId="0" applyFont="1" applyFill="1" applyBorder="1" applyAlignment="1" applyProtection="1">
      <alignment/>
      <protection/>
    </xf>
    <xf numFmtId="0" fontId="53" fillId="41" borderId="43" xfId="0" applyFont="1" applyFill="1" applyBorder="1" applyAlignment="1" applyProtection="1">
      <alignment horizontal="center"/>
      <protection/>
    </xf>
    <xf numFmtId="0" fontId="53" fillId="41" borderId="45" xfId="0" applyFont="1" applyFill="1" applyBorder="1" applyAlignment="1" applyProtection="1">
      <alignment/>
      <protection/>
    </xf>
    <xf numFmtId="0" fontId="53" fillId="34" borderId="43" xfId="0" applyFont="1" applyFill="1" applyBorder="1" applyAlignment="1" applyProtection="1">
      <alignment horizontal="center"/>
      <protection/>
    </xf>
    <xf numFmtId="0" fontId="53" fillId="34" borderId="45" xfId="0" applyFont="1" applyFill="1" applyBorder="1" applyAlignment="1" applyProtection="1">
      <alignment/>
      <protection/>
    </xf>
    <xf numFmtId="0" fontId="51" fillId="36" borderId="15" xfId="0" applyFont="1" applyFill="1" applyBorder="1" applyAlignment="1" applyProtection="1">
      <alignment/>
      <protection/>
    </xf>
    <xf numFmtId="0" fontId="58" fillId="37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3" fillId="39" borderId="12" xfId="0" applyFont="1" applyFill="1" applyBorder="1" applyAlignment="1" applyProtection="1">
      <alignment/>
      <protection/>
    </xf>
    <xf numFmtId="0" fontId="58" fillId="38" borderId="12" xfId="0" applyFont="1" applyFill="1" applyBorder="1" applyAlignment="1" applyProtection="1">
      <alignment/>
      <protection/>
    </xf>
    <xf numFmtId="0" fontId="58" fillId="40" borderId="12" xfId="0" applyFont="1" applyFill="1" applyBorder="1" applyAlignment="1" applyProtection="1">
      <alignment/>
      <protection/>
    </xf>
    <xf numFmtId="0" fontId="53" fillId="41" borderId="46" xfId="0" applyFont="1" applyFill="1" applyBorder="1" applyAlignment="1" applyProtection="1">
      <alignment horizontal="center"/>
      <protection/>
    </xf>
    <xf numFmtId="0" fontId="53" fillId="41" borderId="16" xfId="0" applyFont="1" applyFill="1" applyBorder="1" applyAlignment="1" applyProtection="1">
      <alignment/>
      <protection/>
    </xf>
    <xf numFmtId="0" fontId="53" fillId="34" borderId="46" xfId="0" applyFont="1" applyFill="1" applyBorder="1" applyAlignment="1" applyProtection="1">
      <alignment horizontal="center"/>
      <protection/>
    </xf>
    <xf numFmtId="0" fontId="53" fillId="34" borderId="16" xfId="0" applyFont="1" applyFill="1" applyBorder="1" applyAlignment="1" applyProtection="1">
      <alignment/>
      <protection/>
    </xf>
    <xf numFmtId="0" fontId="51" fillId="36" borderId="12" xfId="0" applyFont="1" applyFill="1" applyBorder="1" applyAlignment="1" applyProtection="1">
      <alignment/>
      <protection/>
    </xf>
    <xf numFmtId="0" fontId="58" fillId="37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9" fillId="0" borderId="36" xfId="0" applyFont="1" applyBorder="1" applyAlignment="1" applyProtection="1">
      <alignment horizontal="center"/>
      <protection/>
    </xf>
    <xf numFmtId="7" fontId="58" fillId="38" borderId="32" xfId="0" applyNumberFormat="1" applyFont="1" applyFill="1" applyBorder="1" applyAlignment="1" applyProtection="1">
      <alignment horizontal="center"/>
      <protection/>
    </xf>
    <xf numFmtId="7" fontId="58" fillId="40" borderId="32" xfId="0" applyNumberFormat="1" applyFont="1" applyFill="1" applyBorder="1" applyAlignment="1" applyProtection="1">
      <alignment horizontal="center"/>
      <protection/>
    </xf>
    <xf numFmtId="7" fontId="53" fillId="41" borderId="32" xfId="0" applyNumberFormat="1" applyFont="1" applyFill="1" applyBorder="1" applyAlignment="1" applyProtection="1">
      <alignment horizontal="center"/>
      <protection/>
    </xf>
    <xf numFmtId="7" fontId="53" fillId="34" borderId="32" xfId="0" applyNumberFormat="1" applyFont="1" applyFill="1" applyBorder="1" applyAlignment="1" applyProtection="1">
      <alignment horizontal="center"/>
      <protection/>
    </xf>
    <xf numFmtId="7" fontId="51" fillId="36" borderId="32" xfId="0" applyNumberFormat="1" applyFont="1" applyFill="1" applyBorder="1" applyAlignment="1" applyProtection="1">
      <alignment horizontal="center"/>
      <protection/>
    </xf>
    <xf numFmtId="7" fontId="58" fillId="37" borderId="32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7" fontId="11" fillId="0" borderId="32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3" fillId="39" borderId="13" xfId="0" applyFont="1" applyFill="1" applyBorder="1" applyAlignment="1" applyProtection="1">
      <alignment/>
      <protection locked="0"/>
    </xf>
    <xf numFmtId="0" fontId="58" fillId="38" borderId="13" xfId="0" applyFont="1" applyFill="1" applyBorder="1" applyAlignment="1" applyProtection="1">
      <alignment/>
      <protection locked="0"/>
    </xf>
    <xf numFmtId="0" fontId="58" fillId="40" borderId="13" xfId="0" applyFont="1" applyFill="1" applyBorder="1" applyAlignment="1" applyProtection="1">
      <alignment/>
      <protection locked="0"/>
    </xf>
    <xf numFmtId="0" fontId="53" fillId="41" borderId="48" xfId="0" applyFont="1" applyFill="1" applyBorder="1" applyAlignment="1" applyProtection="1">
      <alignment/>
      <protection locked="0"/>
    </xf>
    <xf numFmtId="0" fontId="53" fillId="41" borderId="49" xfId="0" applyFont="1" applyFill="1" applyBorder="1" applyAlignment="1" applyProtection="1">
      <alignment/>
      <protection locked="0"/>
    </xf>
    <xf numFmtId="0" fontId="53" fillId="34" borderId="48" xfId="0" applyFont="1" applyFill="1" applyBorder="1" applyAlignment="1" applyProtection="1">
      <alignment/>
      <protection locked="0"/>
    </xf>
    <xf numFmtId="0" fontId="53" fillId="34" borderId="49" xfId="0" applyFont="1" applyFill="1" applyBorder="1" applyAlignment="1" applyProtection="1">
      <alignment/>
      <protection locked="0"/>
    </xf>
    <xf numFmtId="0" fontId="51" fillId="36" borderId="13" xfId="0" applyFont="1" applyFill="1" applyBorder="1" applyAlignment="1" applyProtection="1">
      <alignment/>
      <protection locked="0"/>
    </xf>
    <xf numFmtId="0" fontId="58" fillId="37" borderId="13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 applyProtection="1">
      <alignment/>
      <protection locked="0"/>
    </xf>
    <xf numFmtId="0" fontId="58" fillId="36" borderId="13" xfId="0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3" fillId="0" borderId="7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22" fontId="7" fillId="0" borderId="46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7" fillId="0" borderId="31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Border="1" applyAlignment="1" applyProtection="1">
      <alignment horizontal="center"/>
      <protection locked="0"/>
    </xf>
    <xf numFmtId="164" fontId="56" fillId="39" borderId="13" xfId="0" applyNumberFormat="1" applyFont="1" applyFill="1" applyBorder="1" applyAlignment="1" applyProtection="1">
      <alignment horizontal="center"/>
      <protection locked="0"/>
    </xf>
    <xf numFmtId="2" fontId="58" fillId="40" borderId="13" xfId="0" applyNumberFormat="1" applyFont="1" applyFill="1" applyBorder="1" applyAlignment="1" applyProtection="1">
      <alignment horizontal="center"/>
      <protection locked="0"/>
    </xf>
    <xf numFmtId="168" fontId="58" fillId="37" borderId="49" xfId="0" applyNumberFormat="1" applyFont="1" applyFill="1" applyBorder="1" applyAlignment="1" applyProtection="1" quotePrefix="1">
      <alignment horizontal="center"/>
      <protection locked="0"/>
    </xf>
    <xf numFmtId="168" fontId="58" fillId="36" borderId="13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 horizontal="left"/>
    </xf>
    <xf numFmtId="168" fontId="11" fillId="0" borderId="59" xfId="0" applyNumberFormat="1" applyFont="1" applyBorder="1" applyAlignment="1" applyProtection="1">
      <alignment horizontal="center"/>
      <protection/>
    </xf>
    <xf numFmtId="168" fontId="65" fillId="0" borderId="0" xfId="0" applyNumberFormat="1" applyFont="1" applyBorder="1" applyAlignment="1" applyProtection="1" quotePrefix="1">
      <alignment horizontal="left"/>
      <protection/>
    </xf>
    <xf numFmtId="168" fontId="65" fillId="0" borderId="70" xfId="0" applyNumberFormat="1" applyFont="1" applyBorder="1" applyAlignment="1" applyProtection="1" quotePrefix="1">
      <alignment horizontal="left"/>
      <protection/>
    </xf>
    <xf numFmtId="168" fontId="65" fillId="0" borderId="66" xfId="0" applyNumberFormat="1" applyFont="1" applyBorder="1" applyAlignment="1" applyProtection="1" quotePrefix="1">
      <alignment horizontal="left"/>
      <protection/>
    </xf>
    <xf numFmtId="168" fontId="11" fillId="0" borderId="59" xfId="0" applyNumberFormat="1" applyFont="1" applyBorder="1" applyAlignment="1" applyProtection="1">
      <alignment horizontal="lef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177" fontId="11" fillId="0" borderId="68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8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32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3" fillId="34" borderId="12" xfId="0" applyNumberFormat="1" applyFont="1" applyFill="1" applyBorder="1" applyAlignment="1" applyProtection="1">
      <alignment horizontal="center"/>
      <protection/>
    </xf>
    <xf numFmtId="2" fontId="53" fillId="35" borderId="12" xfId="0" applyNumberFormat="1" applyFont="1" applyFill="1" applyBorder="1" applyAlignment="1" applyProtection="1">
      <alignment horizontal="center"/>
      <protection/>
    </xf>
    <xf numFmtId="168" fontId="58" fillId="36" borderId="46" xfId="0" applyNumberFormat="1" applyFont="1" applyFill="1" applyBorder="1" applyAlignment="1" applyProtection="1" quotePrefix="1">
      <alignment horizontal="center"/>
      <protection/>
    </xf>
    <xf numFmtId="168" fontId="58" fillId="36" borderId="47" xfId="0" applyNumberFormat="1" applyFont="1" applyFill="1" applyBorder="1" applyAlignment="1" applyProtection="1" quotePrefix="1">
      <alignment horizontal="center"/>
      <protection/>
    </xf>
    <xf numFmtId="4" fontId="58" fillId="36" borderId="16" xfId="0" applyNumberFormat="1" applyFont="1" applyFill="1" applyBorder="1" applyAlignment="1" applyProtection="1">
      <alignment horizontal="center"/>
      <protection/>
    </xf>
    <xf numFmtId="168" fontId="58" fillId="37" borderId="46" xfId="0" applyNumberFormat="1" applyFont="1" applyFill="1" applyBorder="1" applyAlignment="1" applyProtection="1" quotePrefix="1">
      <alignment horizontal="center"/>
      <protection/>
    </xf>
    <xf numFmtId="168" fontId="58" fillId="37" borderId="47" xfId="0" applyNumberFormat="1" applyFont="1" applyFill="1" applyBorder="1" applyAlignment="1" applyProtection="1" quotePrefix="1">
      <alignment horizontal="center"/>
      <protection/>
    </xf>
    <xf numFmtId="4" fontId="58" fillId="37" borderId="16" xfId="0" applyNumberFormat="1" applyFont="1" applyFill="1" applyBorder="1" applyAlignment="1" applyProtection="1">
      <alignment horizontal="center"/>
      <protection/>
    </xf>
    <xf numFmtId="4" fontId="58" fillId="38" borderId="12" xfId="0" applyNumberFormat="1" applyFont="1" applyFill="1" applyBorder="1" applyAlignment="1" applyProtection="1">
      <alignment horizontal="center"/>
      <protection/>
    </xf>
    <xf numFmtId="4" fontId="53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8" fillId="38" borderId="12" xfId="0" applyNumberFormat="1" applyFont="1" applyFill="1" applyBorder="1" applyAlignment="1" applyProtection="1">
      <alignment horizontal="center"/>
      <protection/>
    </xf>
    <xf numFmtId="2" fontId="58" fillId="40" borderId="12" xfId="0" applyNumberFormat="1" applyFont="1" applyFill="1" applyBorder="1" applyAlignment="1" applyProtection="1">
      <alignment horizontal="center"/>
      <protection/>
    </xf>
    <xf numFmtId="2" fontId="58" fillId="36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164" fontId="56" fillId="39" borderId="12" xfId="0" applyNumberFormat="1" applyFont="1" applyFill="1" applyBorder="1" applyAlignment="1" applyProtection="1">
      <alignment horizontal="center"/>
      <protection/>
    </xf>
    <xf numFmtId="2" fontId="58" fillId="40" borderId="12" xfId="0" applyNumberFormat="1" applyFont="1" applyFill="1" applyBorder="1" applyAlignment="1" applyProtection="1">
      <alignment horizontal="center"/>
      <protection/>
    </xf>
    <xf numFmtId="168" fontId="58" fillId="37" borderId="19" xfId="0" applyNumberFormat="1" applyFont="1" applyFill="1" applyBorder="1" applyAlignment="1" applyProtection="1" quotePrefix="1">
      <alignment horizontal="center"/>
      <protection/>
    </xf>
    <xf numFmtId="168" fontId="58" fillId="36" borderId="12" xfId="0" applyNumberFormat="1" applyFont="1" applyFill="1" applyBorder="1" applyAlignment="1" applyProtection="1" quotePrefix="1">
      <alignment horizontal="center"/>
      <protection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83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 applyProtection="1">
      <alignment/>
      <protection/>
    </xf>
    <xf numFmtId="0" fontId="56" fillId="0" borderId="10" xfId="0" applyFont="1" applyFill="1" applyBorder="1" applyAlignment="1" applyProtection="1">
      <alignment/>
      <protection/>
    </xf>
    <xf numFmtId="0" fontId="56" fillId="0" borderId="83" xfId="0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6" fillId="0" borderId="83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72" fillId="0" borderId="0" xfId="0" applyFont="1" applyBorder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5" fillId="0" borderId="0" xfId="0" applyFont="1" applyBorder="1" applyAlignment="1">
      <alignment horizontal="centerContinuous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Continuous"/>
      <protection/>
    </xf>
    <xf numFmtId="0" fontId="77" fillId="0" borderId="0" xfId="0" applyFont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8" fillId="0" borderId="21" xfId="0" applyFont="1" applyBorder="1" applyAlignment="1">
      <alignment/>
    </xf>
    <xf numFmtId="0" fontId="0" fillId="0" borderId="22" xfId="0" applyBorder="1" applyAlignment="1">
      <alignment/>
    </xf>
    <xf numFmtId="0" fontId="7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83" xfId="0" applyBorder="1" applyAlignment="1">
      <alignment/>
    </xf>
    <xf numFmtId="0" fontId="78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42" borderId="79" xfId="0" applyFont="1" applyFill="1" applyBorder="1" applyAlignment="1">
      <alignment horizontal="centerContinuous" vertical="center"/>
    </xf>
    <xf numFmtId="0" fontId="79" fillId="42" borderId="84" xfId="0" applyFont="1" applyFill="1" applyBorder="1" applyAlignment="1" applyProtection="1">
      <alignment horizontal="centerContinuous" vertical="center"/>
      <protection/>
    </xf>
    <xf numFmtId="0" fontId="79" fillId="42" borderId="84" xfId="0" applyFont="1" applyFill="1" applyBorder="1" applyAlignment="1" applyProtection="1">
      <alignment horizontal="centerContinuous" vertical="center" wrapText="1"/>
      <protection/>
    </xf>
    <xf numFmtId="168" fontId="79" fillId="42" borderId="32" xfId="0" applyNumberFormat="1" applyFont="1" applyFill="1" applyBorder="1" applyAlignment="1" applyProtection="1">
      <alignment horizontal="centerContinuous" vertical="center" wrapText="1"/>
      <protection/>
    </xf>
    <xf numFmtId="17" fontId="79" fillId="42" borderId="3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42" borderId="14" xfId="0" applyFont="1" applyFill="1" applyBorder="1" applyAlignment="1">
      <alignment/>
    </xf>
    <xf numFmtId="0" fontId="78" fillId="42" borderId="85" xfId="0" applyFont="1" applyFill="1" applyBorder="1" applyAlignment="1">
      <alignment/>
    </xf>
    <xf numFmtId="0" fontId="78" fillId="42" borderId="40" xfId="0" applyFont="1" applyFill="1" applyBorder="1" applyAlignment="1">
      <alignment/>
    </xf>
    <xf numFmtId="0" fontId="0" fillId="0" borderId="82" xfId="0" applyBorder="1" applyAlignment="1">
      <alignment/>
    </xf>
    <xf numFmtId="0" fontId="7" fillId="42" borderId="42" xfId="0" applyFont="1" applyFill="1" applyBorder="1" applyAlignment="1">
      <alignment horizontal="center"/>
    </xf>
    <xf numFmtId="0" fontId="7" fillId="42" borderId="86" xfId="0" applyFont="1" applyFill="1" applyBorder="1" applyAlignment="1" applyProtection="1">
      <alignment horizontal="center"/>
      <protection/>
    </xf>
    <xf numFmtId="2" fontId="7" fillId="42" borderId="87" xfId="0" applyNumberFormat="1" applyFont="1" applyFill="1" applyBorder="1" applyAlignment="1" applyProtection="1">
      <alignment horizontal="center"/>
      <protection/>
    </xf>
    <xf numFmtId="1" fontId="7" fillId="43" borderId="87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44" borderId="28" xfId="0" applyFont="1" applyFill="1" applyBorder="1" applyAlignment="1">
      <alignment horizontal="center"/>
    </xf>
    <xf numFmtId="0" fontId="10" fillId="44" borderId="18" xfId="0" applyFont="1" applyFill="1" applyBorder="1" applyAlignment="1">
      <alignment horizontal="center"/>
    </xf>
    <xf numFmtId="0" fontId="10" fillId="42" borderId="28" xfId="0" applyFont="1" applyFill="1" applyBorder="1" applyAlignment="1">
      <alignment horizontal="center"/>
    </xf>
    <xf numFmtId="0" fontId="10" fillId="42" borderId="18" xfId="0" applyFont="1" applyFill="1" applyBorder="1" applyAlignment="1">
      <alignment horizontal="center"/>
    </xf>
    <xf numFmtId="0" fontId="7" fillId="42" borderId="79" xfId="0" applyFont="1" applyFill="1" applyBorder="1" applyAlignment="1">
      <alignment horizontal="center"/>
    </xf>
    <xf numFmtId="0" fontId="7" fillId="42" borderId="88" xfId="0" applyFont="1" applyFill="1" applyBorder="1" applyAlignment="1" applyProtection="1">
      <alignment horizontal="left"/>
      <protection/>
    </xf>
    <xf numFmtId="0" fontId="7" fillId="42" borderId="88" xfId="0" applyFont="1" applyFill="1" applyBorder="1" applyAlignment="1" applyProtection="1">
      <alignment horizontal="center"/>
      <protection/>
    </xf>
    <xf numFmtId="2" fontId="7" fillId="42" borderId="80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right"/>
      <protection/>
    </xf>
    <xf numFmtId="168" fontId="5" fillId="0" borderId="80" xfId="0" applyNumberFormat="1" applyFont="1" applyFill="1" applyBorder="1" applyAlignment="1" applyProtection="1">
      <alignment horizontal="center"/>
      <protection/>
    </xf>
    <xf numFmtId="1" fontId="0" fillId="4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2" borderId="32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42" borderId="32" xfId="0" applyNumberFormat="1" applyFont="1" applyFill="1" applyBorder="1" applyAlignment="1">
      <alignment horizontal="center"/>
    </xf>
    <xf numFmtId="0" fontId="7" fillId="42" borderId="8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81" fillId="0" borderId="33" xfId="0" applyNumberFormat="1" applyFont="1" applyBorder="1" applyAlignment="1">
      <alignment horizontal="center"/>
    </xf>
    <xf numFmtId="0" fontId="80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289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P15">
            <v>41244</v>
          </cell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P17" t="str">
            <v>XXXX</v>
          </cell>
          <cell r="HQ17" t="str">
            <v>XXXX</v>
          </cell>
          <cell r="HR17" t="str">
            <v>XXXX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  <cell r="HT18">
            <v>2</v>
          </cell>
          <cell r="HW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P31" t="str">
            <v>XXXX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P34" t="str">
            <v>XXXX</v>
          </cell>
          <cell r="HQ34" t="str">
            <v>XXXX</v>
          </cell>
          <cell r="HR34" t="str">
            <v>XXXX</v>
          </cell>
          <cell r="HS34" t="str">
            <v>XXXX</v>
          </cell>
          <cell r="HT34" t="str">
            <v>XXXX</v>
          </cell>
          <cell r="HU34" t="str">
            <v>XXXX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  <cell r="HZ34" t="str">
            <v>XXXX</v>
          </cell>
          <cell r="IA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P35" t="str">
            <v>XXXX</v>
          </cell>
          <cell r="HQ35" t="str">
            <v>XXXX</v>
          </cell>
          <cell r="HR35" t="str">
            <v>XXXX</v>
          </cell>
          <cell r="HS35" t="str">
            <v>XXXX</v>
          </cell>
          <cell r="HT35" t="str">
            <v>XXXX</v>
          </cell>
          <cell r="HU35" t="str">
            <v>XXXX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  <cell r="HZ35" t="str">
            <v>XXXX</v>
          </cell>
          <cell r="IA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  <cell r="IA50">
            <v>1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Q51">
            <v>2</v>
          </cell>
          <cell r="HS51">
            <v>1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P52" t="str">
            <v>XXXX</v>
          </cell>
          <cell r="HQ52" t="str">
            <v>XXXX</v>
          </cell>
          <cell r="HR52" t="str">
            <v>XXXX</v>
          </cell>
          <cell r="HS52" t="str">
            <v>XXXX</v>
          </cell>
          <cell r="HT52" t="str">
            <v>XXXX</v>
          </cell>
          <cell r="HU52" t="str">
            <v>XXXX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  <cell r="HZ52" t="str">
            <v>XXXX</v>
          </cell>
          <cell r="IA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  <cell r="IA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HT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P58" t="str">
            <v>XXXX</v>
          </cell>
          <cell r="HQ58" t="str">
            <v>XXXX</v>
          </cell>
          <cell r="HR58" t="str">
            <v>XXXX</v>
          </cell>
          <cell r="HS58" t="str">
            <v>XXXX</v>
          </cell>
          <cell r="HT58" t="str">
            <v>XXXX</v>
          </cell>
          <cell r="HU58" t="str">
            <v>XXXX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  <cell r="HZ58" t="str">
            <v>XXXX</v>
          </cell>
          <cell r="IA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</row>
        <row r="73">
          <cell r="HP73">
            <v>1</v>
          </cell>
          <cell r="HQ73">
            <v>0.87</v>
          </cell>
          <cell r="HR73">
            <v>0.83</v>
          </cell>
          <cell r="HS73">
            <v>0.77</v>
          </cell>
          <cell r="HT73">
            <v>0.73</v>
          </cell>
          <cell r="HU73">
            <v>0.9</v>
          </cell>
          <cell r="HV73">
            <v>0.83</v>
          </cell>
          <cell r="HW73">
            <v>0.8</v>
          </cell>
          <cell r="HX73">
            <v>0.9</v>
          </cell>
          <cell r="HY73">
            <v>0.9</v>
          </cell>
          <cell r="HZ73">
            <v>0.9</v>
          </cell>
          <cell r="IA73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2" customWidth="1"/>
    <col min="2" max="2" width="7.7109375" style="12" customWidth="1"/>
    <col min="3" max="3" width="9.8515625" style="12" customWidth="1"/>
    <col min="4" max="4" width="10.7109375" style="12" customWidth="1"/>
    <col min="5" max="5" width="10.57421875" style="12" customWidth="1"/>
    <col min="6" max="6" width="15.7109375" style="12" customWidth="1"/>
    <col min="7" max="7" width="24.28125" style="12" customWidth="1"/>
    <col min="8" max="8" width="11.00390625" style="12" customWidth="1"/>
    <col min="9" max="9" width="15.7109375" style="12" customWidth="1"/>
    <col min="10" max="10" width="15.00390625" style="12" customWidth="1"/>
    <col min="11" max="11" width="15.7109375" style="12" customWidth="1"/>
    <col min="12" max="13" width="11.421875" style="12" customWidth="1"/>
    <col min="14" max="14" width="14.140625" style="12" customWidth="1"/>
    <col min="15" max="15" width="11.421875" style="12" customWidth="1"/>
    <col min="16" max="16" width="14.7109375" style="12" customWidth="1"/>
    <col min="17" max="17" width="11.421875" style="12" customWidth="1"/>
    <col min="18" max="18" width="12.00390625" style="12" customWidth="1"/>
    <col min="19" max="16384" width="11.421875" style="12" customWidth="1"/>
  </cols>
  <sheetData>
    <row r="1" spans="2:11" s="125" customFormat="1" ht="26.25">
      <c r="B1" s="126"/>
      <c r="K1" s="473"/>
    </row>
    <row r="2" spans="2:10" s="125" customFormat="1" ht="26.25">
      <c r="B2" s="126" t="s">
        <v>203</v>
      </c>
      <c r="C2" s="143"/>
      <c r="D2" s="127"/>
      <c r="E2" s="127"/>
      <c r="F2" s="127"/>
      <c r="G2" s="127"/>
      <c r="H2" s="127"/>
      <c r="I2" s="127"/>
      <c r="J2" s="127"/>
    </row>
    <row r="3" spans="3:19" ht="12.75">
      <c r="C3"/>
      <c r="D3" s="41"/>
      <c r="E3" s="41"/>
      <c r="F3" s="41"/>
      <c r="G3" s="41"/>
      <c r="H3" s="41"/>
      <c r="I3" s="41"/>
      <c r="J3" s="41"/>
      <c r="P3" s="10"/>
      <c r="Q3" s="10"/>
      <c r="R3" s="10"/>
      <c r="S3" s="10"/>
    </row>
    <row r="4" spans="1:19" s="128" customFormat="1" ht="11.25">
      <c r="A4" s="144" t="s">
        <v>17</v>
      </c>
      <c r="B4" s="14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s="128" customFormat="1" ht="11.25">
      <c r="A5" s="144" t="s">
        <v>18</v>
      </c>
      <c r="B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2:19" s="125" customFormat="1" ht="26.25">
      <c r="B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2:19" s="130" customFormat="1" ht="21">
      <c r="B7" s="186" t="s">
        <v>0</v>
      </c>
      <c r="C7" s="149"/>
      <c r="D7" s="150"/>
      <c r="E7" s="150"/>
      <c r="F7" s="151"/>
      <c r="G7" s="151"/>
      <c r="H7" s="151"/>
      <c r="I7" s="151"/>
      <c r="J7" s="151"/>
      <c r="K7" s="47"/>
      <c r="L7" s="47"/>
      <c r="M7" s="47"/>
      <c r="N7" s="47"/>
      <c r="O7" s="47"/>
      <c r="P7" s="47"/>
      <c r="Q7" s="47"/>
      <c r="R7" s="47"/>
      <c r="S7" s="47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30" customFormat="1" ht="21">
      <c r="B9" s="186" t="s">
        <v>1</v>
      </c>
      <c r="C9" s="149"/>
      <c r="D9" s="150"/>
      <c r="E9" s="150"/>
      <c r="F9" s="150"/>
      <c r="G9" s="150"/>
      <c r="H9" s="150"/>
      <c r="I9" s="151"/>
      <c r="J9" s="151"/>
      <c r="K9" s="47"/>
      <c r="L9" s="47"/>
      <c r="M9" s="47"/>
      <c r="N9" s="47"/>
      <c r="O9" s="47"/>
      <c r="P9" s="47"/>
      <c r="Q9" s="47"/>
      <c r="R9" s="47"/>
      <c r="S9" s="47"/>
    </row>
    <row r="10" spans="4:19" ht="12.75">
      <c r="D10" s="152"/>
      <c r="E10" s="15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30" customFormat="1" ht="20.25">
      <c r="B11" s="186" t="s">
        <v>192</v>
      </c>
      <c r="C11" s="89"/>
      <c r="D11" s="42"/>
      <c r="E11" s="42"/>
      <c r="F11" s="150"/>
      <c r="G11" s="150"/>
      <c r="H11" s="150"/>
      <c r="I11" s="151"/>
      <c r="J11" s="151"/>
      <c r="K11" s="47"/>
      <c r="L11" s="47"/>
      <c r="M11" s="47"/>
      <c r="N11" s="47"/>
      <c r="O11" s="47"/>
      <c r="P11" s="47"/>
      <c r="Q11" s="47"/>
      <c r="R11" s="47"/>
      <c r="S11" s="47"/>
    </row>
    <row r="12" spans="4:19" s="153" customFormat="1" ht="16.5" thickBot="1">
      <c r="D12" s="9"/>
      <c r="E12" s="9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</row>
    <row r="13" spans="2:19" s="153" customFormat="1" ht="16.5" thickTop="1">
      <c r="B13" s="424">
        <v>1</v>
      </c>
      <c r="C13" s="469"/>
      <c r="D13" s="155"/>
      <c r="E13" s="155"/>
      <c r="F13" s="155"/>
      <c r="G13" s="155"/>
      <c r="H13" s="155"/>
      <c r="I13" s="155"/>
      <c r="J13" s="156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2:19" s="137" customFormat="1" ht="19.5">
      <c r="B14" s="271" t="s">
        <v>146</v>
      </c>
      <c r="C14" s="157"/>
      <c r="D14" s="158"/>
      <c r="E14" s="159"/>
      <c r="F14" s="159"/>
      <c r="G14" s="159"/>
      <c r="H14" s="159"/>
      <c r="I14" s="133"/>
      <c r="J14" s="136"/>
      <c r="K14" s="49"/>
      <c r="L14" s="49"/>
      <c r="M14" s="49"/>
      <c r="N14" s="49"/>
      <c r="O14" s="49"/>
      <c r="P14" s="49"/>
      <c r="Q14" s="49"/>
      <c r="R14" s="49"/>
      <c r="S14" s="49"/>
    </row>
    <row r="15" spans="2:19" s="137" customFormat="1" ht="9" customHeight="1">
      <c r="B15" s="160"/>
      <c r="C15" s="161"/>
      <c r="D15" s="161"/>
      <c r="E15" s="49"/>
      <c r="F15" s="162"/>
      <c r="G15" s="162"/>
      <c r="H15" s="162"/>
      <c r="I15" s="49"/>
      <c r="J15" s="163"/>
      <c r="K15" s="49"/>
      <c r="L15" s="49"/>
      <c r="M15" s="49"/>
      <c r="N15" s="49"/>
      <c r="O15" s="49"/>
      <c r="P15" s="49"/>
      <c r="Q15" s="49"/>
      <c r="R15" s="49"/>
      <c r="S15" s="49"/>
    </row>
    <row r="16" spans="2:18" s="137" customFormat="1" ht="9" customHeight="1">
      <c r="B16" s="271">
        <f>IF(B13=2,"Sanciones duplicadas por tasa de falla &gt; 4 Sal. x año/100km.","")</f>
      </c>
      <c r="C16" s="274"/>
      <c r="D16" s="274"/>
      <c r="E16" s="133"/>
      <c r="F16" s="159"/>
      <c r="G16" s="159"/>
      <c r="H16" s="133"/>
      <c r="I16" s="89"/>
      <c r="J16" s="136"/>
      <c r="K16" s="49"/>
      <c r="L16" s="49"/>
      <c r="M16" s="49"/>
      <c r="N16" s="49"/>
      <c r="O16" s="49"/>
      <c r="P16" s="49"/>
      <c r="Q16" s="49"/>
      <c r="R16" s="49"/>
    </row>
    <row r="17" spans="2:18" s="137" customFormat="1" ht="9" customHeight="1">
      <c r="B17" s="160"/>
      <c r="C17" s="161"/>
      <c r="D17" s="161"/>
      <c r="E17" s="49"/>
      <c r="F17" s="162"/>
      <c r="G17" s="162"/>
      <c r="H17" s="49"/>
      <c r="I17"/>
      <c r="J17" s="163"/>
      <c r="K17" s="49"/>
      <c r="L17" s="49"/>
      <c r="M17" s="49"/>
      <c r="N17" s="49"/>
      <c r="O17" s="49"/>
      <c r="P17" s="49"/>
      <c r="Q17" s="49"/>
      <c r="R17" s="49"/>
    </row>
    <row r="18" spans="2:19" s="137" customFormat="1" ht="19.5">
      <c r="B18" s="160"/>
      <c r="C18" s="164" t="s">
        <v>19</v>
      </c>
      <c r="D18" s="165" t="s">
        <v>20</v>
      </c>
      <c r="E18" s="49"/>
      <c r="F18" s="162"/>
      <c r="G18" s="162"/>
      <c r="H18" s="162"/>
      <c r="I18" s="48"/>
      <c r="J18" s="163"/>
      <c r="K18" s="49"/>
      <c r="L18" s="49"/>
      <c r="M18" s="49"/>
      <c r="N18" s="49"/>
      <c r="O18" s="49"/>
      <c r="P18" s="49"/>
      <c r="Q18" s="49"/>
      <c r="R18" s="49"/>
      <c r="S18" s="49"/>
    </row>
    <row r="19" spans="2:19" s="137" customFormat="1" ht="19.5">
      <c r="B19" s="160"/>
      <c r="C19"/>
      <c r="D19" s="164" t="s">
        <v>21</v>
      </c>
      <c r="E19" s="165" t="s">
        <v>22</v>
      </c>
      <c r="F19" s="162"/>
      <c r="G19" s="162"/>
      <c r="H19" s="162"/>
      <c r="I19" s="48">
        <f>'LI-12 (1)'!AA43</f>
        <v>58441.69</v>
      </c>
      <c r="J19" s="163"/>
      <c r="K19" s="49"/>
      <c r="L19" s="49"/>
      <c r="M19" s="49"/>
      <c r="N19" s="49"/>
      <c r="O19" s="49"/>
      <c r="P19" s="49"/>
      <c r="Q19" s="49"/>
      <c r="R19" s="49"/>
      <c r="S19" s="49"/>
    </row>
    <row r="20" spans="2:19" s="137" customFormat="1" ht="19.5">
      <c r="B20" s="160"/>
      <c r="C20" s="164"/>
      <c r="D20" s="164" t="s">
        <v>23</v>
      </c>
      <c r="E20" s="165" t="s">
        <v>24</v>
      </c>
      <c r="F20" s="162"/>
      <c r="G20" s="162"/>
      <c r="H20" s="162"/>
      <c r="I20" s="48">
        <f>'LI-EDERSA-12 (1)'!AA43</f>
        <v>39004.63</v>
      </c>
      <c r="J20" s="163"/>
      <c r="K20" s="49"/>
      <c r="L20" s="49"/>
      <c r="M20" s="49"/>
      <c r="N20" s="49"/>
      <c r="O20" s="49"/>
      <c r="P20" s="49"/>
      <c r="Q20" s="49"/>
      <c r="R20" s="49"/>
      <c r="S20" s="49"/>
    </row>
    <row r="21" spans="2:19" ht="13.5">
      <c r="B21" s="46"/>
      <c r="C21" s="166"/>
      <c r="D21" s="167"/>
      <c r="E21" s="10"/>
      <c r="F21" s="168"/>
      <c r="G21" s="168"/>
      <c r="H21" s="168"/>
      <c r="I21" s="169"/>
      <c r="J21" s="13"/>
      <c r="K21" s="10"/>
      <c r="L21" s="10"/>
      <c r="M21" s="10"/>
      <c r="N21" s="10"/>
      <c r="O21" s="10"/>
      <c r="P21" s="10"/>
      <c r="Q21" s="10"/>
      <c r="R21" s="10"/>
      <c r="S21" s="10"/>
    </row>
    <row r="22" spans="2:19" s="137" customFormat="1" ht="19.5">
      <c r="B22" s="160"/>
      <c r="C22" s="164" t="s">
        <v>25</v>
      </c>
      <c r="D22" s="165" t="s">
        <v>26</v>
      </c>
      <c r="E22" s="49"/>
      <c r="F22" s="162"/>
      <c r="G22" s="162"/>
      <c r="H22" s="162"/>
      <c r="I22" s="48"/>
      <c r="J22" s="163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8.25" customHeight="1">
      <c r="B23" s="46"/>
      <c r="C23" s="166"/>
      <c r="D23" s="166"/>
      <c r="E23" s="10"/>
      <c r="F23" s="168"/>
      <c r="G23" s="168"/>
      <c r="H23" s="168"/>
      <c r="I23" s="170"/>
      <c r="J23" s="13"/>
      <c r="K23" s="10"/>
      <c r="L23" s="10"/>
      <c r="M23" s="10"/>
      <c r="N23" s="10"/>
      <c r="O23" s="10"/>
      <c r="P23" s="10"/>
      <c r="Q23" s="10"/>
      <c r="R23" s="10"/>
      <c r="S23" s="10"/>
    </row>
    <row r="24" spans="2:19" s="137" customFormat="1" ht="19.5">
      <c r="B24" s="160"/>
      <c r="C24" s="164"/>
      <c r="D24" s="164" t="s">
        <v>27</v>
      </c>
      <c r="E24" s="11" t="s">
        <v>28</v>
      </c>
      <c r="F24" s="162"/>
      <c r="G24" s="162"/>
      <c r="H24" s="162"/>
      <c r="I24" s="48"/>
      <c r="J24" s="163"/>
      <c r="K24" s="49"/>
      <c r="L24" s="49"/>
      <c r="M24" s="49"/>
      <c r="N24" s="49"/>
      <c r="O24" s="49"/>
      <c r="P24" s="49"/>
      <c r="Q24" s="49"/>
      <c r="R24" s="49"/>
      <c r="S24" s="49"/>
    </row>
    <row r="25" spans="2:19" s="137" customFormat="1" ht="19.5">
      <c r="B25" s="160"/>
      <c r="C25" s="164"/>
      <c r="D25" s="164"/>
      <c r="E25" s="164" t="s">
        <v>29</v>
      </c>
      <c r="F25" s="165" t="s">
        <v>22</v>
      </c>
      <c r="G25" s="162"/>
      <c r="H25" s="162"/>
      <c r="I25" s="48">
        <f>'TR-12 (1)'!AC44</f>
        <v>2393.52</v>
      </c>
      <c r="J25" s="163"/>
      <c r="K25" s="49"/>
      <c r="L25" s="49"/>
      <c r="M25" s="49"/>
      <c r="N25" s="49"/>
      <c r="O25" s="49"/>
      <c r="P25" s="49"/>
      <c r="Q25" s="49"/>
      <c r="R25" s="49"/>
      <c r="S25" s="49"/>
    </row>
    <row r="26" spans="2:19" s="137" customFormat="1" ht="19.5">
      <c r="B26" s="160"/>
      <c r="C26" s="164"/>
      <c r="D26" s="164"/>
      <c r="E26" s="164" t="s">
        <v>30</v>
      </c>
      <c r="F26" s="165" t="s">
        <v>24</v>
      </c>
      <c r="G26" s="162"/>
      <c r="H26" s="162"/>
      <c r="I26" s="48">
        <f>'TR-EDERSA-12 (1)'!AC45</f>
        <v>688.15</v>
      </c>
      <c r="J26" s="163"/>
      <c r="K26" s="49"/>
      <c r="L26" s="49"/>
      <c r="M26" s="49"/>
      <c r="N26" s="49"/>
      <c r="O26" s="49"/>
      <c r="P26" s="49"/>
      <c r="Q26" s="49"/>
      <c r="R26" s="49"/>
      <c r="S26" s="49"/>
    </row>
    <row r="27" spans="2:19" ht="13.5">
      <c r="B27" s="46"/>
      <c r="C27" s="166"/>
      <c r="D27" s="166"/>
      <c r="E27" s="10"/>
      <c r="F27" s="168"/>
      <c r="G27" s="168"/>
      <c r="H27" s="168"/>
      <c r="I27" s="170"/>
      <c r="J27" s="13"/>
      <c r="K27" s="10"/>
      <c r="L27" s="10"/>
      <c r="M27" s="10"/>
      <c r="N27" s="10"/>
      <c r="O27" s="10"/>
      <c r="P27" s="10"/>
      <c r="Q27" s="10"/>
      <c r="R27" s="10"/>
      <c r="S27" s="10"/>
    </row>
    <row r="28" spans="2:19" s="137" customFormat="1" ht="19.5">
      <c r="B28" s="160"/>
      <c r="C28" s="164"/>
      <c r="D28" s="164" t="s">
        <v>31</v>
      </c>
      <c r="E28" s="11" t="s">
        <v>32</v>
      </c>
      <c r="F28" s="162"/>
      <c r="G28" s="162"/>
      <c r="H28" s="162"/>
      <c r="I28" s="48"/>
      <c r="J28" s="163"/>
      <c r="K28" s="49"/>
      <c r="L28" s="49"/>
      <c r="M28" s="49"/>
      <c r="N28" s="49"/>
      <c r="O28" s="49"/>
      <c r="P28" s="49"/>
      <c r="Q28" s="49"/>
      <c r="R28" s="49"/>
      <c r="S28" s="49"/>
    </row>
    <row r="29" spans="2:19" s="137" customFormat="1" ht="19.5">
      <c r="B29" s="160"/>
      <c r="C29" s="164"/>
      <c r="D29" s="164"/>
      <c r="E29" s="164" t="s">
        <v>33</v>
      </c>
      <c r="F29" s="165" t="s">
        <v>22</v>
      </c>
      <c r="G29" s="162"/>
      <c r="H29" s="162"/>
      <c r="I29" s="48">
        <f>'SA-12 (1)'!V42</f>
        <v>691.81</v>
      </c>
      <c r="J29" s="163"/>
      <c r="K29" s="49"/>
      <c r="L29" s="49"/>
      <c r="M29" s="49"/>
      <c r="N29" s="49"/>
      <c r="O29" s="49"/>
      <c r="P29" s="49"/>
      <c r="Q29" s="49"/>
      <c r="R29" s="49"/>
      <c r="S29" s="49"/>
    </row>
    <row r="30" spans="2:19" s="137" customFormat="1" ht="19.5">
      <c r="B30" s="160"/>
      <c r="C30" s="164"/>
      <c r="D30" s="164"/>
      <c r="E30" s="164" t="s">
        <v>34</v>
      </c>
      <c r="F30" s="165" t="s">
        <v>24</v>
      </c>
      <c r="G30" s="162"/>
      <c r="H30" s="162"/>
      <c r="I30" s="48">
        <f>'SA-EDERSA-12 (1)'!V45</f>
        <v>341.78463999999997</v>
      </c>
      <c r="J30" s="163"/>
      <c r="K30" s="49"/>
      <c r="L30" s="49"/>
      <c r="M30" s="49"/>
      <c r="N30" s="49"/>
      <c r="O30" s="49"/>
      <c r="P30" s="49"/>
      <c r="Q30" s="49"/>
      <c r="R30" s="49"/>
      <c r="S30" s="49"/>
    </row>
    <row r="31" spans="2:19" ht="13.5">
      <c r="B31" s="46"/>
      <c r="C31" s="166"/>
      <c r="D31" s="167"/>
      <c r="E31" s="10"/>
      <c r="F31" s="168"/>
      <c r="G31" s="168"/>
      <c r="H31" s="168"/>
      <c r="I31" s="169"/>
      <c r="J31" s="13"/>
      <c r="K31" s="10"/>
      <c r="L31" s="10"/>
      <c r="M31" s="10"/>
      <c r="N31" s="10"/>
      <c r="O31" s="10"/>
      <c r="P31" s="10"/>
      <c r="Q31" s="10"/>
      <c r="R31" s="10"/>
      <c r="S31" s="10"/>
    </row>
    <row r="32" spans="2:19" s="137" customFormat="1" ht="19.5">
      <c r="B32" s="160"/>
      <c r="C32" s="164" t="s">
        <v>35</v>
      </c>
      <c r="D32" s="165" t="s">
        <v>36</v>
      </c>
      <c r="E32" s="49"/>
      <c r="F32" s="162"/>
      <c r="G32" s="162"/>
      <c r="H32" s="162"/>
      <c r="I32" s="48">
        <f>'RE-12 (1)'!V43</f>
        <v>150.69</v>
      </c>
      <c r="J32" s="163"/>
      <c r="K32" s="49"/>
      <c r="L32" s="49"/>
      <c r="M32" s="49"/>
      <c r="N32" s="49"/>
      <c r="O32" s="49"/>
      <c r="P32" s="49"/>
      <c r="Q32" s="49"/>
      <c r="R32" s="49"/>
      <c r="S32" s="49"/>
    </row>
    <row r="33" spans="2:19" s="137" customFormat="1" ht="19.5">
      <c r="B33" s="160"/>
      <c r="C33" s="164"/>
      <c r="D33" s="165"/>
      <c r="E33" s="49"/>
      <c r="F33" s="162"/>
      <c r="G33" s="162"/>
      <c r="H33" s="162"/>
      <c r="I33" s="48"/>
      <c r="J33" s="163"/>
      <c r="K33" s="49"/>
      <c r="L33" s="49"/>
      <c r="M33" s="49"/>
      <c r="N33" s="49"/>
      <c r="O33" s="49"/>
      <c r="P33" s="49"/>
      <c r="Q33" s="49"/>
      <c r="R33" s="49"/>
      <c r="S33" s="49"/>
    </row>
    <row r="34" spans="2:19" s="137" customFormat="1" ht="19.5">
      <c r="B34" s="160"/>
      <c r="C34" s="164" t="s">
        <v>37</v>
      </c>
      <c r="D34" s="11" t="s">
        <v>38</v>
      </c>
      <c r="E34" s="162"/>
      <c r="F34"/>
      <c r="G34" s="162"/>
      <c r="H34" s="162"/>
      <c r="I34" s="48"/>
      <c r="J34" s="163"/>
      <c r="K34" s="49"/>
      <c r="L34" s="49"/>
      <c r="M34" s="49"/>
      <c r="N34" s="49"/>
      <c r="O34" s="49"/>
      <c r="P34" s="49"/>
      <c r="Q34" s="49"/>
      <c r="R34" s="49"/>
      <c r="S34" s="49"/>
    </row>
    <row r="35" spans="2:19" s="137" customFormat="1" ht="19.5">
      <c r="B35" s="160"/>
      <c r="C35" s="164"/>
      <c r="D35" s="164" t="s">
        <v>39</v>
      </c>
      <c r="E35" s="165" t="s">
        <v>24</v>
      </c>
      <c r="F35"/>
      <c r="G35" s="162"/>
      <c r="H35" s="162"/>
      <c r="I35" s="48">
        <f>'SUP-EDERSA'!I57</f>
        <v>10008.64116</v>
      </c>
      <c r="J35" s="163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137" customFormat="1" ht="20.25" thickBot="1">
      <c r="B36" s="160"/>
      <c r="C36" s="161"/>
      <c r="D36" s="161"/>
      <c r="E36" s="49"/>
      <c r="F36" s="162"/>
      <c r="G36" s="162"/>
      <c r="H36" s="162"/>
      <c r="I36" s="49"/>
      <c r="J36" s="163"/>
      <c r="K36" s="49"/>
      <c r="L36" s="49"/>
      <c r="M36" s="49"/>
      <c r="N36" s="49"/>
      <c r="O36" s="49"/>
      <c r="P36" s="49"/>
      <c r="Q36" s="49"/>
      <c r="R36" s="49"/>
      <c r="S36" s="49"/>
    </row>
    <row r="37" spans="2:19" s="137" customFormat="1" ht="20.25" thickBot="1" thickTop="1">
      <c r="B37" s="160"/>
      <c r="C37" s="164"/>
      <c r="D37" s="164"/>
      <c r="F37" s="171" t="s">
        <v>40</v>
      </c>
      <c r="G37" s="172">
        <f>SUM(I19:I35)</f>
        <v>111720.9158</v>
      </c>
      <c r="H37" s="273"/>
      <c r="J37" s="163"/>
      <c r="K37" s="49"/>
      <c r="L37" s="49"/>
      <c r="M37" s="49"/>
      <c r="N37" s="49"/>
      <c r="O37" s="49"/>
      <c r="P37" s="49"/>
      <c r="Q37" s="49"/>
      <c r="R37" s="49"/>
      <c r="S37" s="49"/>
    </row>
    <row r="38" spans="2:19" s="137" customFormat="1" ht="8.25" customHeight="1" thickTop="1">
      <c r="B38" s="160"/>
      <c r="C38" s="164"/>
      <c r="D38" s="164"/>
      <c r="F38" s="742"/>
      <c r="G38" s="273"/>
      <c r="H38" s="273"/>
      <c r="J38" s="163"/>
      <c r="K38" s="49"/>
      <c r="L38" s="49"/>
      <c r="M38" s="49"/>
      <c r="N38" s="49"/>
      <c r="O38" s="49"/>
      <c r="P38" s="49"/>
      <c r="Q38" s="49"/>
      <c r="R38" s="49"/>
      <c r="S38" s="49"/>
    </row>
    <row r="39" spans="2:19" s="137" customFormat="1" ht="18.75">
      <c r="B39" s="160"/>
      <c r="C39" s="743" t="s">
        <v>186</v>
      </c>
      <c r="D39" s="164"/>
      <c r="F39" s="742"/>
      <c r="G39" s="273"/>
      <c r="H39" s="273"/>
      <c r="J39" s="163"/>
      <c r="K39" s="49"/>
      <c r="L39" s="49"/>
      <c r="M39" s="49"/>
      <c r="N39" s="49"/>
      <c r="O39" s="49"/>
      <c r="P39" s="49"/>
      <c r="Q39" s="49"/>
      <c r="R39" s="49"/>
      <c r="S39" s="49"/>
    </row>
    <row r="40" spans="2:19" s="153" customFormat="1" ht="6.75" customHeight="1" thickBot="1">
      <c r="B40" s="173"/>
      <c r="C40" s="174"/>
      <c r="D40" s="174"/>
      <c r="E40" s="175"/>
      <c r="F40" s="175"/>
      <c r="G40" s="175"/>
      <c r="H40" s="175"/>
      <c r="I40" s="175"/>
      <c r="J40" s="176"/>
      <c r="K40" s="154"/>
      <c r="L40" s="154"/>
      <c r="M40" s="87"/>
      <c r="N40" s="177"/>
      <c r="O40" s="177"/>
      <c r="P40" s="178"/>
      <c r="Q40" s="179"/>
      <c r="R40" s="154"/>
      <c r="S40" s="154"/>
    </row>
    <row r="41" spans="4:19" ht="13.5" thickTop="1">
      <c r="D41" s="10"/>
      <c r="F41" s="10"/>
      <c r="G41" s="10"/>
      <c r="H41" s="10"/>
      <c r="I41" s="10"/>
      <c r="J41" s="10"/>
      <c r="K41" s="10"/>
      <c r="L41" s="10"/>
      <c r="M41" s="32"/>
      <c r="N41" s="180"/>
      <c r="O41" s="180"/>
      <c r="P41" s="10"/>
      <c r="Q41" s="38"/>
      <c r="R41" s="10"/>
      <c r="S41" s="10"/>
    </row>
    <row r="42" spans="4:19" ht="12.75">
      <c r="D42" s="10"/>
      <c r="F42" s="10"/>
      <c r="G42" s="10"/>
      <c r="H42" s="10"/>
      <c r="I42" s="10"/>
      <c r="J42" s="10"/>
      <c r="K42" s="10"/>
      <c r="L42" s="10"/>
      <c r="M42" s="10"/>
      <c r="N42" s="181"/>
      <c r="O42" s="181"/>
      <c r="P42" s="182"/>
      <c r="Q42" s="38"/>
      <c r="R42" s="10"/>
      <c r="S42" s="10"/>
    </row>
    <row r="43" spans="4:19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81"/>
      <c r="O43" s="181"/>
      <c r="P43" s="182"/>
      <c r="Q43" s="38"/>
      <c r="R43" s="10"/>
      <c r="S43" s="10"/>
    </row>
    <row r="44" spans="4:19" ht="12.75">
      <c r="D44" s="10"/>
      <c r="E44" s="10"/>
      <c r="L44" s="10"/>
      <c r="M44" s="10"/>
      <c r="N44" s="10"/>
      <c r="O44" s="10"/>
      <c r="P44" s="10"/>
      <c r="Q44" s="10"/>
      <c r="R44" s="10"/>
      <c r="S44" s="10"/>
    </row>
    <row r="45" spans="4:19" ht="12.75">
      <c r="D45" s="10"/>
      <c r="E45" s="10"/>
      <c r="P45" s="10"/>
      <c r="Q45" s="10"/>
      <c r="R45" s="10"/>
      <c r="S45" s="10"/>
    </row>
    <row r="46" spans="4:19" ht="12.75">
      <c r="D46" s="10"/>
      <c r="E46" s="10"/>
      <c r="P46" s="10"/>
      <c r="Q46" s="10"/>
      <c r="R46" s="10"/>
      <c r="S46" s="10"/>
    </row>
    <row r="47" spans="4:19" ht="12.75">
      <c r="D47" s="10"/>
      <c r="E47" s="10"/>
      <c r="P47" s="10"/>
      <c r="Q47" s="10"/>
      <c r="R47" s="10"/>
      <c r="S47" s="10"/>
    </row>
    <row r="48" spans="4:19" ht="12.75">
      <c r="D48" s="10"/>
      <c r="E48" s="10"/>
      <c r="P48" s="10"/>
      <c r="Q48" s="10"/>
      <c r="R48" s="10"/>
      <c r="S48" s="10"/>
    </row>
    <row r="49" spans="4:19" ht="12.75">
      <c r="D49" s="10"/>
      <c r="E49" s="10"/>
      <c r="P49" s="10"/>
      <c r="Q49" s="10"/>
      <c r="R49" s="10"/>
      <c r="S49" s="10"/>
    </row>
    <row r="50" spans="16:19" ht="12.75">
      <c r="P50" s="10"/>
      <c r="Q50" s="10"/>
      <c r="R50" s="10"/>
      <c r="S50" s="10"/>
    </row>
    <row r="51" spans="16:19" ht="12.75">
      <c r="P51" s="10"/>
      <c r="Q51" s="10"/>
      <c r="R51" s="10"/>
      <c r="S51" s="10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73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5" zoomScaleNormal="75" zoomScalePageLayoutView="0" workbookViewId="0" topLeftCell="C42">
      <selection activeCell="R71" sqref="R7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73"/>
    </row>
    <row r="2" spans="2:20" s="801" customFormat="1" ht="30.75">
      <c r="B2" s="126" t="str">
        <f>'TOT-1213'!B2</f>
        <v>ANEXO VI al Memorándum  D.T.E.E.  N°       598    / 2014.-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</row>
    <row r="3" spans="1:2" ht="17.25" customHeight="1">
      <c r="A3" s="803" t="s">
        <v>17</v>
      </c>
      <c r="B3" s="804"/>
    </row>
    <row r="4" spans="1:4" ht="12.75" customHeight="1">
      <c r="A4" s="803" t="s">
        <v>18</v>
      </c>
      <c r="B4" s="804"/>
      <c r="D4" s="805"/>
    </row>
    <row r="5" spans="1:4" ht="21.75" customHeight="1">
      <c r="A5" s="806"/>
      <c r="D5" s="805"/>
    </row>
    <row r="6" spans="1:20" ht="26.25">
      <c r="A6" s="806"/>
      <c r="B6" s="807" t="s">
        <v>193</v>
      </c>
      <c r="C6" s="89"/>
      <c r="D6" s="80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4" ht="18.75" customHeight="1">
      <c r="A7" s="806"/>
      <c r="D7" s="805"/>
    </row>
    <row r="8" spans="1:20" ht="26.25">
      <c r="A8" s="806"/>
      <c r="B8" s="808" t="s">
        <v>1</v>
      </c>
      <c r="C8" s="89"/>
      <c r="D8" s="80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4" ht="18.75" customHeight="1">
      <c r="A9" s="806"/>
      <c r="D9" s="805"/>
    </row>
    <row r="10" spans="1:20" ht="26.25">
      <c r="A10" s="806"/>
      <c r="B10" s="808" t="s">
        <v>194</v>
      </c>
      <c r="C10" s="89"/>
      <c r="D10" s="805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ht="18.75" customHeight="1" thickBot="1"/>
    <row r="12" spans="2:20" ht="18.75" customHeight="1" thickTop="1">
      <c r="B12" s="809"/>
      <c r="C12" s="810"/>
      <c r="D12" s="811"/>
      <c r="E12" s="811"/>
      <c r="F12" s="811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2"/>
    </row>
    <row r="13" spans="2:20" ht="19.5">
      <c r="B13" s="271" t="s">
        <v>202</v>
      </c>
      <c r="C13" s="89"/>
      <c r="D13" s="813"/>
      <c r="E13" s="813"/>
      <c r="F13" s="813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5"/>
    </row>
    <row r="14" spans="2:20" ht="18.75" customHeight="1" thickBot="1">
      <c r="B14" s="2"/>
      <c r="C14" s="816"/>
      <c r="D14" s="817"/>
      <c r="E14" s="817"/>
      <c r="F14" s="8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826" customFormat="1" ht="34.5" customHeight="1" thickBot="1" thickTop="1">
      <c r="A15" s="804"/>
      <c r="B15" s="819"/>
      <c r="C15" s="820"/>
      <c r="D15" s="821" t="s">
        <v>20</v>
      </c>
      <c r="E15" s="822" t="s">
        <v>48</v>
      </c>
      <c r="F15" s="823" t="s">
        <v>49</v>
      </c>
      <c r="G15" s="824">
        <f>'[3]Tasa de Falla'!HP15</f>
        <v>41244</v>
      </c>
      <c r="H15" s="824">
        <f>'[3]Tasa de Falla'!HQ15</f>
        <v>41275</v>
      </c>
      <c r="I15" s="824">
        <f>'[3]Tasa de Falla'!HR15</f>
        <v>41306</v>
      </c>
      <c r="J15" s="824">
        <f>'[3]Tasa de Falla'!HS15</f>
        <v>41334</v>
      </c>
      <c r="K15" s="824">
        <f>'[3]Tasa de Falla'!HT15</f>
        <v>41365</v>
      </c>
      <c r="L15" s="824">
        <f>'[3]Tasa de Falla'!HU15</f>
        <v>41395</v>
      </c>
      <c r="M15" s="824">
        <f>'[3]Tasa de Falla'!HV15</f>
        <v>41426</v>
      </c>
      <c r="N15" s="824">
        <f>'[3]Tasa de Falla'!HW15</f>
        <v>41456</v>
      </c>
      <c r="O15" s="824">
        <f>'[3]Tasa de Falla'!HX15</f>
        <v>41487</v>
      </c>
      <c r="P15" s="824">
        <f>'[3]Tasa de Falla'!HY15</f>
        <v>41518</v>
      </c>
      <c r="Q15" s="824">
        <f>'[3]Tasa de Falla'!HZ15</f>
        <v>41548</v>
      </c>
      <c r="R15" s="824">
        <f>'[3]Tasa de Falla'!IA15</f>
        <v>41579</v>
      </c>
      <c r="S15" s="824">
        <f>'[3]Tasa de Falla'!IB15</f>
        <v>41609</v>
      </c>
      <c r="T15" s="825"/>
    </row>
    <row r="16" spans="2:20" ht="15" customHeight="1" thickTop="1">
      <c r="B16" s="2"/>
      <c r="C16" s="827"/>
      <c r="D16" s="828"/>
      <c r="E16" s="828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30"/>
      <c r="T16" s="3"/>
    </row>
    <row r="17" spans="2:20" ht="12.75" hidden="1">
      <c r="B17" s="2"/>
      <c r="C17" s="831">
        <f>IF('[1]Tasa de Falla'!C17=0,"",'[1]Tasa de Falla'!C17)</f>
        <v>1</v>
      </c>
      <c r="D17" s="832" t="str">
        <f>IF('[1]Tasa de Falla'!D17=0,"",'[1]Tasa de Falla'!D17)</f>
        <v>AMEGHINO - COMODORO RIVADAVIA</v>
      </c>
      <c r="E17" s="832">
        <f>IF('[1]Tasa de Falla'!E17=0,"",'[1]Tasa de Falla'!E17)</f>
        <v>132</v>
      </c>
      <c r="F17" s="833">
        <f>IF('[1]Tasa de Falla'!F17=0,"",'[1]Tasa de Falla'!F17)</f>
        <v>305</v>
      </c>
      <c r="G17" s="834" t="str">
        <f>IF('[1]Tasa de Falla'!EA17=0,"",'[1]Tasa de Falla'!EA17)</f>
        <v>XXXX</v>
      </c>
      <c r="H17" s="834" t="str">
        <f>IF('[1]Tasa de Falla'!EB17=0,"",'[1]Tasa de Falla'!EB17)</f>
        <v>XXXX</v>
      </c>
      <c r="I17" s="834" t="str">
        <f>IF('[1]Tasa de Falla'!EC17=0,"",'[1]Tasa de Falla'!EC17)</f>
        <v>XXXX</v>
      </c>
      <c r="J17" s="834" t="str">
        <f>IF('[1]Tasa de Falla'!ED17=0,"",'[1]Tasa de Falla'!ED17)</f>
        <v>XXXX</v>
      </c>
      <c r="K17" s="834" t="str">
        <f>IF('[1]Tasa de Falla'!EE17=0,"",'[1]Tasa de Falla'!EE17)</f>
        <v>XXXX</v>
      </c>
      <c r="L17" s="834" t="str">
        <f>IF('[1]Tasa de Falla'!EF17=0,"",'[1]Tasa de Falla'!EF17)</f>
        <v>XXXX</v>
      </c>
      <c r="M17" s="834" t="str">
        <f>IF('[1]Tasa de Falla'!EG17=0,"",'[1]Tasa de Falla'!EG17)</f>
        <v>XXXX</v>
      </c>
      <c r="N17" s="834" t="str">
        <f>IF('[1]Tasa de Falla'!EH17=0,"",'[1]Tasa de Falla'!EH17)</f>
        <v>XXXX</v>
      </c>
      <c r="O17" s="834" t="str">
        <f>IF('[1]Tasa de Falla'!EI17=0,"",'[1]Tasa de Falla'!EI17)</f>
        <v>XXXX</v>
      </c>
      <c r="P17" s="834" t="str">
        <f>IF('[1]Tasa de Falla'!EJ17=0,"",'[1]Tasa de Falla'!EJ17)</f>
        <v>XXXX</v>
      </c>
      <c r="Q17" s="834" t="str">
        <f>IF('[1]Tasa de Falla'!EK17=0,"",'[1]Tasa de Falla'!EK17)</f>
        <v>XXXX</v>
      </c>
      <c r="R17" s="834" t="str">
        <f>IF('[1]Tasa de Falla'!EL17=0,"",'[1]Tasa de Falla'!EL17)</f>
        <v>XXXX</v>
      </c>
      <c r="S17" s="835"/>
      <c r="T17" s="3"/>
    </row>
    <row r="18" spans="2:20" ht="18" customHeight="1">
      <c r="B18" s="2"/>
      <c r="C18" s="836">
        <f>IF('[3]Tasa de Falla'!C17="","",'[3]Tasa de Falla'!C17)</f>
        <v>1</v>
      </c>
      <c r="D18" s="836" t="str">
        <f>IF('[3]Tasa de Falla'!D17="","",'[3]Tasa de Falla'!D17)</f>
        <v>AMEGHINO - COMODORO RIVADAVIA</v>
      </c>
      <c r="E18" s="836">
        <f>IF('[3]Tasa de Falla'!E17="","",'[3]Tasa de Falla'!E17)</f>
        <v>132</v>
      </c>
      <c r="F18" s="836">
        <f>IF('[3]Tasa de Falla'!F17="","",'[3]Tasa de Falla'!F17)</f>
        <v>305</v>
      </c>
      <c r="G18" s="837" t="str">
        <f>IF('[3]Tasa de Falla'!HP17="","",'[3]Tasa de Falla'!HP17)</f>
        <v>XXXX</v>
      </c>
      <c r="H18" s="837" t="str">
        <f>IF('[3]Tasa de Falla'!HQ17="","",'[3]Tasa de Falla'!HQ17)</f>
        <v>XXXX</v>
      </c>
      <c r="I18" s="837" t="str">
        <f>IF('[3]Tasa de Falla'!HR17="","",'[3]Tasa de Falla'!HR17)</f>
        <v>XXXX</v>
      </c>
      <c r="J18" s="837" t="str">
        <f>IF('[3]Tasa de Falla'!HS17="","",'[3]Tasa de Falla'!HS17)</f>
        <v>XXXX</v>
      </c>
      <c r="K18" s="837" t="str">
        <f>IF('[3]Tasa de Falla'!HT17="","",'[3]Tasa de Falla'!HT17)</f>
        <v>XXXX</v>
      </c>
      <c r="L18" s="837" t="str">
        <f>IF('[3]Tasa de Falla'!HU17="","",'[3]Tasa de Falla'!HU17)</f>
        <v>XXXX</v>
      </c>
      <c r="M18" s="837" t="str">
        <f>IF('[3]Tasa de Falla'!HV17="","",'[3]Tasa de Falla'!HV17)</f>
        <v>XXXX</v>
      </c>
      <c r="N18" s="837" t="str">
        <f>IF('[3]Tasa de Falla'!HW17="","",'[3]Tasa de Falla'!HW17)</f>
        <v>XXXX</v>
      </c>
      <c r="O18" s="837" t="str">
        <f>IF('[3]Tasa de Falla'!HX17="","",'[3]Tasa de Falla'!HX17)</f>
        <v>XXXX</v>
      </c>
      <c r="P18" s="837" t="str">
        <f>IF('[3]Tasa de Falla'!HY17="","",'[3]Tasa de Falla'!HY17)</f>
        <v>XXXX</v>
      </c>
      <c r="Q18" s="837" t="str">
        <f>IF('[3]Tasa de Falla'!HZ17="","",'[3]Tasa de Falla'!HZ17)</f>
        <v>XXXX</v>
      </c>
      <c r="R18" s="837" t="str">
        <f>IF('[3]Tasa de Falla'!IA17="","",'[3]Tasa de Falla'!IA17)</f>
        <v>XXXX</v>
      </c>
      <c r="S18" s="835"/>
      <c r="T18" s="3"/>
    </row>
    <row r="19" spans="2:20" ht="15" customHeight="1">
      <c r="B19" s="2"/>
      <c r="C19" s="838">
        <f>IF('[3]Tasa de Falla'!C18="","",'[3]Tasa de Falla'!C18)</f>
        <v>2</v>
      </c>
      <c r="D19" s="838" t="str">
        <f>IF('[3]Tasa de Falla'!D18="","",'[3]Tasa de Falla'!D18)</f>
        <v>AMEGHINO - ESTACION PATAGONIA</v>
      </c>
      <c r="E19" s="838">
        <f>IF('[3]Tasa de Falla'!E18="","",'[3]Tasa de Falla'!E18)</f>
        <v>132</v>
      </c>
      <c r="F19" s="838">
        <f>IF('[3]Tasa de Falla'!F18="","",'[3]Tasa de Falla'!F18)</f>
        <v>299.6</v>
      </c>
      <c r="G19" s="839">
        <f>IF('[3]Tasa de Falla'!HP18="","",'[3]Tasa de Falla'!HP18)</f>
        <v>1</v>
      </c>
      <c r="H19" s="839">
        <f>IF('[3]Tasa de Falla'!HQ18="","",'[3]Tasa de Falla'!HQ18)</f>
      </c>
      <c r="I19" s="839">
        <f>IF('[3]Tasa de Falla'!HR18="","",'[3]Tasa de Falla'!HR18)</f>
      </c>
      <c r="J19" s="839">
        <f>IF('[3]Tasa de Falla'!HS18="","",'[3]Tasa de Falla'!HS18)</f>
      </c>
      <c r="K19" s="839">
        <f>IF('[3]Tasa de Falla'!HT18="","",'[3]Tasa de Falla'!HT18)</f>
        <v>2</v>
      </c>
      <c r="L19" s="839">
        <f>IF('[3]Tasa de Falla'!HU18="","",'[3]Tasa de Falla'!HU18)</f>
      </c>
      <c r="M19" s="839">
        <f>IF('[3]Tasa de Falla'!HV18="","",'[3]Tasa de Falla'!HV18)</f>
      </c>
      <c r="N19" s="839">
        <f>IF('[3]Tasa de Falla'!HW18="","",'[3]Tasa de Falla'!HW18)</f>
        <v>1</v>
      </c>
      <c r="O19" s="839">
        <f>IF('[3]Tasa de Falla'!HX18="","",'[3]Tasa de Falla'!HX18)</f>
      </c>
      <c r="P19" s="839">
        <f>IF('[3]Tasa de Falla'!HY18="","",'[3]Tasa de Falla'!HY18)</f>
      </c>
      <c r="Q19" s="839">
        <f>IF('[3]Tasa de Falla'!HZ18="","",'[3]Tasa de Falla'!HZ18)</f>
      </c>
      <c r="R19" s="839">
        <f>IF('[3]Tasa de Falla'!IA18="","",'[3]Tasa de Falla'!IA18)</f>
      </c>
      <c r="S19" s="835"/>
      <c r="T19" s="3"/>
    </row>
    <row r="20" spans="2:20" ht="18" customHeight="1">
      <c r="B20" s="2"/>
      <c r="C20" s="836">
        <f>IF('[3]Tasa de Falla'!C19="","",'[3]Tasa de Falla'!C19)</f>
        <v>3</v>
      </c>
      <c r="D20" s="836" t="str">
        <f>IF('[3]Tasa de Falla'!D19="","",'[3]Tasa de Falla'!D19)</f>
        <v>AMEGHINO - TRELEW</v>
      </c>
      <c r="E20" s="836">
        <f>IF('[3]Tasa de Falla'!E19="","",'[3]Tasa de Falla'!E19)</f>
        <v>132</v>
      </c>
      <c r="F20" s="836">
        <f>IF('[3]Tasa de Falla'!F19="","",'[3]Tasa de Falla'!F19)</f>
        <v>112</v>
      </c>
      <c r="G20" s="837">
        <f>IF('[3]Tasa de Falla'!HP19="","",'[3]Tasa de Falla'!HP19)</f>
      </c>
      <c r="H20" s="837">
        <f>IF('[3]Tasa de Falla'!HQ19="","",'[3]Tasa de Falla'!HQ19)</f>
      </c>
      <c r="I20" s="837">
        <f>IF('[3]Tasa de Falla'!HR19="","",'[3]Tasa de Falla'!HR19)</f>
        <v>1</v>
      </c>
      <c r="J20" s="837">
        <f>IF('[3]Tasa de Falla'!HS19="","",'[3]Tasa de Falla'!HS19)</f>
      </c>
      <c r="K20" s="837">
        <f>IF('[3]Tasa de Falla'!HT19="","",'[3]Tasa de Falla'!HT19)</f>
      </c>
      <c r="L20" s="837">
        <f>IF('[3]Tasa de Falla'!HU19="","",'[3]Tasa de Falla'!HU19)</f>
      </c>
      <c r="M20" s="837">
        <f>IF('[3]Tasa de Falla'!HV19="","",'[3]Tasa de Falla'!HV19)</f>
      </c>
      <c r="N20" s="837">
        <f>IF('[3]Tasa de Falla'!HW19="","",'[3]Tasa de Falla'!HW19)</f>
      </c>
      <c r="O20" s="837">
        <f>IF('[3]Tasa de Falla'!HX19="","",'[3]Tasa de Falla'!HX19)</f>
      </c>
      <c r="P20" s="837">
        <f>IF('[3]Tasa de Falla'!HY19="","",'[3]Tasa de Falla'!HY19)</f>
      </c>
      <c r="Q20" s="837">
        <f>IF('[3]Tasa de Falla'!HZ19="","",'[3]Tasa de Falla'!HZ19)</f>
      </c>
      <c r="R20" s="837">
        <f>IF('[3]Tasa de Falla'!IA19="","",'[3]Tasa de Falla'!IA19)</f>
      </c>
      <c r="S20" s="835"/>
      <c r="T20" s="3"/>
    </row>
    <row r="21" spans="2:20" ht="15" customHeight="1">
      <c r="B21" s="2"/>
      <c r="C21" s="838">
        <f>IF('[3]Tasa de Falla'!C20="","",'[3]Tasa de Falla'!C20)</f>
        <v>4</v>
      </c>
      <c r="D21" s="838" t="str">
        <f>IF('[3]Tasa de Falla'!D20="","",'[3]Tasa de Falla'!D20)</f>
        <v>FUTALEUFU - ESQUEL</v>
      </c>
      <c r="E21" s="838">
        <f>IF('[3]Tasa de Falla'!E20="","",'[3]Tasa de Falla'!E20)</f>
        <v>132</v>
      </c>
      <c r="F21" s="838">
        <f>IF('[3]Tasa de Falla'!F20="","",'[3]Tasa de Falla'!F20)</f>
        <v>28.4</v>
      </c>
      <c r="G21" s="839">
        <f>IF('[3]Tasa de Falla'!HP20="","",'[3]Tasa de Falla'!HP20)</f>
      </c>
      <c r="H21" s="839">
        <f>IF('[3]Tasa de Falla'!HQ20="","",'[3]Tasa de Falla'!HQ20)</f>
      </c>
      <c r="I21" s="839">
        <f>IF('[3]Tasa de Falla'!HR20="","",'[3]Tasa de Falla'!HR20)</f>
      </c>
      <c r="J21" s="839">
        <f>IF('[3]Tasa de Falla'!HS20="","",'[3]Tasa de Falla'!HS20)</f>
      </c>
      <c r="K21" s="839">
        <f>IF('[3]Tasa de Falla'!HT20="","",'[3]Tasa de Falla'!HT20)</f>
      </c>
      <c r="L21" s="839">
        <f>IF('[3]Tasa de Falla'!HU20="","",'[3]Tasa de Falla'!HU20)</f>
      </c>
      <c r="M21" s="839">
        <f>IF('[3]Tasa de Falla'!HV20="","",'[3]Tasa de Falla'!HV20)</f>
      </c>
      <c r="N21" s="839">
        <f>IF('[3]Tasa de Falla'!HW20="","",'[3]Tasa de Falla'!HW20)</f>
      </c>
      <c r="O21" s="839">
        <f>IF('[3]Tasa de Falla'!HX20="","",'[3]Tasa de Falla'!HX20)</f>
        <v>1</v>
      </c>
      <c r="P21" s="839">
        <f>IF('[3]Tasa de Falla'!HY20="","",'[3]Tasa de Falla'!HY20)</f>
      </c>
      <c r="Q21" s="839">
        <f>IF('[3]Tasa de Falla'!HZ20="","",'[3]Tasa de Falla'!HZ20)</f>
      </c>
      <c r="R21" s="839">
        <f>IF('[3]Tasa de Falla'!IA20="","",'[3]Tasa de Falla'!IA20)</f>
      </c>
      <c r="S21" s="835"/>
      <c r="T21" s="3"/>
    </row>
    <row r="22" spans="2:20" ht="18" customHeight="1">
      <c r="B22" s="2"/>
      <c r="C22" s="836">
        <f>IF('[3]Tasa de Falla'!C21="","",'[3]Tasa de Falla'!C21)</f>
        <v>5</v>
      </c>
      <c r="D22" s="836" t="str">
        <f>IF('[3]Tasa de Falla'!D21="","",'[3]Tasa de Falla'!D21)</f>
        <v>BARRIO SAN MARTIN - ESTACION PATAGONIA</v>
      </c>
      <c r="E22" s="836">
        <f>IF('[3]Tasa de Falla'!E21="","",'[3]Tasa de Falla'!E21)</f>
        <v>132</v>
      </c>
      <c r="F22" s="836">
        <f>IF('[3]Tasa de Falla'!F21="","",'[3]Tasa de Falla'!F21)</f>
        <v>9.4</v>
      </c>
      <c r="G22" s="837">
        <f>IF('[3]Tasa de Falla'!HP21="","",'[3]Tasa de Falla'!HP21)</f>
      </c>
      <c r="H22" s="837">
        <f>IF('[3]Tasa de Falla'!HQ21="","",'[3]Tasa de Falla'!HQ21)</f>
      </c>
      <c r="I22" s="837">
        <f>IF('[3]Tasa de Falla'!HR21="","",'[3]Tasa de Falla'!HR21)</f>
      </c>
      <c r="J22" s="837">
        <f>IF('[3]Tasa de Falla'!HS21="","",'[3]Tasa de Falla'!HS21)</f>
      </c>
      <c r="K22" s="837">
        <f>IF('[3]Tasa de Falla'!HT21="","",'[3]Tasa de Falla'!HT21)</f>
      </c>
      <c r="L22" s="837">
        <f>IF('[3]Tasa de Falla'!HU21="","",'[3]Tasa de Falla'!HU21)</f>
      </c>
      <c r="M22" s="837">
        <f>IF('[3]Tasa de Falla'!HV21="","",'[3]Tasa de Falla'!HV21)</f>
      </c>
      <c r="N22" s="837">
        <f>IF('[3]Tasa de Falla'!HW21="","",'[3]Tasa de Falla'!HW21)</f>
      </c>
      <c r="O22" s="837">
        <f>IF('[3]Tasa de Falla'!HX21="","",'[3]Tasa de Falla'!HX21)</f>
      </c>
      <c r="P22" s="837">
        <f>IF('[3]Tasa de Falla'!HY21="","",'[3]Tasa de Falla'!HY21)</f>
      </c>
      <c r="Q22" s="837">
        <f>IF('[3]Tasa de Falla'!HZ21="","",'[3]Tasa de Falla'!HZ21)</f>
      </c>
      <c r="R22" s="837">
        <f>IF('[3]Tasa de Falla'!IA21="","",'[3]Tasa de Falla'!IA21)</f>
      </c>
      <c r="S22" s="835"/>
      <c r="T22" s="3"/>
    </row>
    <row r="23" spans="2:20" ht="15" customHeight="1">
      <c r="B23" s="2"/>
      <c r="C23" s="838">
        <f>IF('[3]Tasa de Falla'!C22="","",'[3]Tasa de Falla'!C22)</f>
        <v>6</v>
      </c>
      <c r="D23" s="838" t="str">
        <f>IF('[3]Tasa de Falla'!D22="","",'[3]Tasa de Falla'!D22)</f>
        <v>COMODORO RIVADAVIA - E.T. A1</v>
      </c>
      <c r="E23" s="838">
        <f>IF('[3]Tasa de Falla'!E22="","",'[3]Tasa de Falla'!E22)</f>
        <v>132</v>
      </c>
      <c r="F23" s="838">
        <f>IF('[3]Tasa de Falla'!F22="","",'[3]Tasa de Falla'!F22)</f>
        <v>0.5</v>
      </c>
      <c r="G23" s="839">
        <f>IF('[3]Tasa de Falla'!HP22="","",'[3]Tasa de Falla'!HP22)</f>
      </c>
      <c r="H23" s="839">
        <f>IF('[3]Tasa de Falla'!HQ22="","",'[3]Tasa de Falla'!HQ22)</f>
      </c>
      <c r="I23" s="839">
        <f>IF('[3]Tasa de Falla'!HR22="","",'[3]Tasa de Falla'!HR22)</f>
      </c>
      <c r="J23" s="839">
        <f>IF('[3]Tasa de Falla'!HS22="","",'[3]Tasa de Falla'!HS22)</f>
      </c>
      <c r="K23" s="839">
        <f>IF('[3]Tasa de Falla'!HT22="","",'[3]Tasa de Falla'!HT22)</f>
      </c>
      <c r="L23" s="839">
        <f>IF('[3]Tasa de Falla'!HU22="","",'[3]Tasa de Falla'!HU22)</f>
      </c>
      <c r="M23" s="839">
        <f>IF('[3]Tasa de Falla'!HV22="","",'[3]Tasa de Falla'!HV22)</f>
      </c>
      <c r="N23" s="839">
        <f>IF('[3]Tasa de Falla'!HW22="","",'[3]Tasa de Falla'!HW22)</f>
      </c>
      <c r="O23" s="839">
        <f>IF('[3]Tasa de Falla'!HX22="","",'[3]Tasa de Falla'!HX22)</f>
      </c>
      <c r="P23" s="839">
        <f>IF('[3]Tasa de Falla'!HY22="","",'[3]Tasa de Falla'!HY22)</f>
      </c>
      <c r="Q23" s="839">
        <f>IF('[3]Tasa de Falla'!HZ22="","",'[3]Tasa de Falla'!HZ22)</f>
      </c>
      <c r="R23" s="839">
        <f>IF('[3]Tasa de Falla'!IA22="","",'[3]Tasa de Falla'!IA22)</f>
      </c>
      <c r="S23" s="835"/>
      <c r="T23" s="3"/>
    </row>
    <row r="24" spans="2:20" ht="18" customHeight="1">
      <c r="B24" s="2"/>
      <c r="C24" s="836">
        <f>IF('[3]Tasa de Falla'!C23="","",'[3]Tasa de Falla'!C23)</f>
        <v>7</v>
      </c>
      <c r="D24" s="836" t="str">
        <f>IF('[3]Tasa de Falla'!D23="","",'[3]Tasa de Falla'!D23)</f>
        <v>COMODORO RIVADAVIA (A1) - ESTACION PATAGONIA</v>
      </c>
      <c r="E24" s="836">
        <f>IF('[3]Tasa de Falla'!E23="","",'[3]Tasa de Falla'!E23)</f>
        <v>132</v>
      </c>
      <c r="F24" s="836">
        <f>IF('[3]Tasa de Falla'!F23="","",'[3]Tasa de Falla'!F23)</f>
        <v>6.9</v>
      </c>
      <c r="G24" s="837">
        <f>IF('[3]Tasa de Falla'!HP23="","",'[3]Tasa de Falla'!HP23)</f>
      </c>
      <c r="H24" s="837">
        <f>IF('[3]Tasa de Falla'!HQ23="","",'[3]Tasa de Falla'!HQ23)</f>
      </c>
      <c r="I24" s="837">
        <f>IF('[3]Tasa de Falla'!HR23="","",'[3]Tasa de Falla'!HR23)</f>
      </c>
      <c r="J24" s="837">
        <f>IF('[3]Tasa de Falla'!HS23="","",'[3]Tasa de Falla'!HS23)</f>
      </c>
      <c r="K24" s="837">
        <f>IF('[3]Tasa de Falla'!HT23="","",'[3]Tasa de Falla'!HT23)</f>
      </c>
      <c r="L24" s="837">
        <f>IF('[3]Tasa de Falla'!HU23="","",'[3]Tasa de Falla'!HU23)</f>
      </c>
      <c r="M24" s="837">
        <f>IF('[3]Tasa de Falla'!HV23="","",'[3]Tasa de Falla'!HV23)</f>
      </c>
      <c r="N24" s="837">
        <f>IF('[3]Tasa de Falla'!HW23="","",'[3]Tasa de Falla'!HW23)</f>
      </c>
      <c r="O24" s="837">
        <f>IF('[3]Tasa de Falla'!HX23="","",'[3]Tasa de Falla'!HX23)</f>
      </c>
      <c r="P24" s="837">
        <f>IF('[3]Tasa de Falla'!HY23="","",'[3]Tasa de Falla'!HY23)</f>
      </c>
      <c r="Q24" s="837">
        <f>IF('[3]Tasa de Falla'!HZ23="","",'[3]Tasa de Falla'!HZ23)</f>
      </c>
      <c r="R24" s="837">
        <f>IF('[3]Tasa de Falla'!IA23="","",'[3]Tasa de Falla'!IA23)</f>
      </c>
      <c r="S24" s="835"/>
      <c r="T24" s="3"/>
    </row>
    <row r="25" spans="2:20" ht="15" customHeight="1">
      <c r="B25" s="2"/>
      <c r="C25" s="838">
        <f>IF('[3]Tasa de Falla'!C24="","",'[3]Tasa de Falla'!C24)</f>
        <v>8</v>
      </c>
      <c r="D25" s="838" t="str">
        <f>IF('[3]Tasa de Falla'!D24="","",'[3]Tasa de Falla'!D24)</f>
        <v>COMODORO RIVADAVIA - PICO TRUNCADO</v>
      </c>
      <c r="E25" s="838">
        <f>IF('[3]Tasa de Falla'!E24="","",'[3]Tasa de Falla'!E24)</f>
        <v>132</v>
      </c>
      <c r="F25" s="838">
        <f>IF('[3]Tasa de Falla'!F24="","",'[3]Tasa de Falla'!F24)</f>
        <v>138</v>
      </c>
      <c r="G25" s="839">
        <f>IF('[3]Tasa de Falla'!HP24="","",'[3]Tasa de Falla'!HP24)</f>
      </c>
      <c r="H25" s="839">
        <f>IF('[3]Tasa de Falla'!HQ24="","",'[3]Tasa de Falla'!HQ24)</f>
      </c>
      <c r="I25" s="839">
        <f>IF('[3]Tasa de Falla'!HR24="","",'[3]Tasa de Falla'!HR24)</f>
      </c>
      <c r="J25" s="839">
        <f>IF('[3]Tasa de Falla'!HS24="","",'[3]Tasa de Falla'!HS24)</f>
      </c>
      <c r="K25" s="839">
        <f>IF('[3]Tasa de Falla'!HT24="","",'[3]Tasa de Falla'!HT24)</f>
      </c>
      <c r="L25" s="839">
        <f>IF('[3]Tasa de Falla'!HU24="","",'[3]Tasa de Falla'!HU24)</f>
      </c>
      <c r="M25" s="839">
        <f>IF('[3]Tasa de Falla'!HV24="","",'[3]Tasa de Falla'!HV24)</f>
      </c>
      <c r="N25" s="839">
        <f>IF('[3]Tasa de Falla'!HW24="","",'[3]Tasa de Falla'!HW24)</f>
      </c>
      <c r="O25" s="839">
        <f>IF('[3]Tasa de Falla'!HX24="","",'[3]Tasa de Falla'!HX24)</f>
        <v>1</v>
      </c>
      <c r="P25" s="839">
        <f>IF('[3]Tasa de Falla'!HY24="","",'[3]Tasa de Falla'!HY24)</f>
      </c>
      <c r="Q25" s="839">
        <f>IF('[3]Tasa de Falla'!HZ24="","",'[3]Tasa de Falla'!HZ24)</f>
      </c>
      <c r="R25" s="839">
        <f>IF('[3]Tasa de Falla'!IA24="","",'[3]Tasa de Falla'!IA24)</f>
      </c>
      <c r="S25" s="835"/>
      <c r="T25" s="3"/>
    </row>
    <row r="26" spans="2:20" ht="18" customHeight="1">
      <c r="B26" s="2"/>
      <c r="C26" s="836">
        <f>IF('[3]Tasa de Falla'!C25="","",'[3]Tasa de Falla'!C25)</f>
        <v>9</v>
      </c>
      <c r="D26" s="836" t="str">
        <f>IF('[3]Tasa de Falla'!D25="","",'[3]Tasa de Falla'!D25)</f>
        <v>FUTALEUFÚ - PUERTO MADRYN 1</v>
      </c>
      <c r="E26" s="836">
        <f>IF('[3]Tasa de Falla'!E25="","",'[3]Tasa de Falla'!E25)</f>
        <v>330</v>
      </c>
      <c r="F26" s="836">
        <f>IF('[3]Tasa de Falla'!F25="","",'[3]Tasa de Falla'!F25)</f>
        <v>550</v>
      </c>
      <c r="G26" s="837">
        <f>IF('[3]Tasa de Falla'!HP25="","",'[3]Tasa de Falla'!HP25)</f>
      </c>
      <c r="H26" s="837">
        <f>IF('[3]Tasa de Falla'!HQ25="","",'[3]Tasa de Falla'!HQ25)</f>
      </c>
      <c r="I26" s="837">
        <f>IF('[3]Tasa de Falla'!HR25="","",'[3]Tasa de Falla'!HR25)</f>
      </c>
      <c r="J26" s="837">
        <f>IF('[3]Tasa de Falla'!HS25="","",'[3]Tasa de Falla'!HS25)</f>
      </c>
      <c r="K26" s="837">
        <f>IF('[3]Tasa de Falla'!HT25="","",'[3]Tasa de Falla'!HT25)</f>
      </c>
      <c r="L26" s="837">
        <f>IF('[3]Tasa de Falla'!HU25="","",'[3]Tasa de Falla'!HU25)</f>
      </c>
      <c r="M26" s="837">
        <f>IF('[3]Tasa de Falla'!HV25="","",'[3]Tasa de Falla'!HV25)</f>
      </c>
      <c r="N26" s="837">
        <f>IF('[3]Tasa de Falla'!HW25="","",'[3]Tasa de Falla'!HW25)</f>
        <v>1</v>
      </c>
      <c r="O26" s="837">
        <f>IF('[3]Tasa de Falla'!HX25="","",'[3]Tasa de Falla'!HX25)</f>
      </c>
      <c r="P26" s="837">
        <f>IF('[3]Tasa de Falla'!HY25="","",'[3]Tasa de Falla'!HY25)</f>
      </c>
      <c r="Q26" s="837">
        <f>IF('[3]Tasa de Falla'!HZ25="","",'[3]Tasa de Falla'!HZ25)</f>
      </c>
      <c r="R26" s="837">
        <f>IF('[3]Tasa de Falla'!IA25="","",'[3]Tasa de Falla'!IA25)</f>
      </c>
      <c r="S26" s="835"/>
      <c r="T26" s="3"/>
    </row>
    <row r="27" spans="2:20" ht="15" customHeight="1">
      <c r="B27" s="2"/>
      <c r="C27" s="838">
        <f>IF('[3]Tasa de Falla'!C26="","",'[3]Tasa de Falla'!C26)</f>
        <v>10</v>
      </c>
      <c r="D27" s="838" t="str">
        <f>IF('[3]Tasa de Falla'!D26="","",'[3]Tasa de Falla'!D26)</f>
        <v>FUTALEUFÚ - PUERTO MADRYN 2</v>
      </c>
      <c r="E27" s="838">
        <f>IF('[3]Tasa de Falla'!E26="","",'[3]Tasa de Falla'!E26)</f>
        <v>330</v>
      </c>
      <c r="F27" s="838">
        <f>IF('[3]Tasa de Falla'!F26="","",'[3]Tasa de Falla'!F26)</f>
        <v>550</v>
      </c>
      <c r="G27" s="839">
        <f>IF('[3]Tasa de Falla'!HP26="","",'[3]Tasa de Falla'!HP26)</f>
      </c>
      <c r="H27" s="839">
        <f>IF('[3]Tasa de Falla'!HQ26="","",'[3]Tasa de Falla'!HQ26)</f>
      </c>
      <c r="I27" s="839">
        <f>IF('[3]Tasa de Falla'!HR26="","",'[3]Tasa de Falla'!HR26)</f>
      </c>
      <c r="J27" s="839">
        <f>IF('[3]Tasa de Falla'!HS26="","",'[3]Tasa de Falla'!HS26)</f>
      </c>
      <c r="K27" s="839">
        <f>IF('[3]Tasa de Falla'!HT26="","",'[3]Tasa de Falla'!HT26)</f>
      </c>
      <c r="L27" s="839">
        <f>IF('[3]Tasa de Falla'!HU26="","",'[3]Tasa de Falla'!HU26)</f>
      </c>
      <c r="M27" s="839">
        <f>IF('[3]Tasa de Falla'!HV26="","",'[3]Tasa de Falla'!HV26)</f>
      </c>
      <c r="N27" s="839">
        <f>IF('[3]Tasa de Falla'!HW26="","",'[3]Tasa de Falla'!HW26)</f>
      </c>
      <c r="O27" s="839">
        <f>IF('[3]Tasa de Falla'!HX26="","",'[3]Tasa de Falla'!HX26)</f>
      </c>
      <c r="P27" s="839">
        <f>IF('[3]Tasa de Falla'!HY26="","",'[3]Tasa de Falla'!HY26)</f>
      </c>
      <c r="Q27" s="839">
        <f>IF('[3]Tasa de Falla'!HZ26="","",'[3]Tasa de Falla'!HZ26)</f>
      </c>
      <c r="R27" s="839">
        <f>IF('[3]Tasa de Falla'!IA26="","",'[3]Tasa de Falla'!IA26)</f>
      </c>
      <c r="S27" s="835"/>
      <c r="T27" s="3"/>
    </row>
    <row r="28" spans="2:20" ht="18" customHeight="1">
      <c r="B28" s="2"/>
      <c r="C28" s="836">
        <f>IF('[3]Tasa de Falla'!C27="","",'[3]Tasa de Falla'!C27)</f>
        <v>11</v>
      </c>
      <c r="D28" s="836" t="str">
        <f>IF('[3]Tasa de Falla'!D27="","",'[3]Tasa de Falla'!D27)</f>
        <v>PLANTA ALUMINIO APPA - PUERTO MADRYN 1</v>
      </c>
      <c r="E28" s="836">
        <f>IF('[3]Tasa de Falla'!E27="","",'[3]Tasa de Falla'!E27)</f>
        <v>330</v>
      </c>
      <c r="F28" s="836">
        <f>IF('[3]Tasa de Falla'!F27="","",'[3]Tasa de Falla'!F27)</f>
        <v>5.5</v>
      </c>
      <c r="G28" s="837">
        <f>IF('[3]Tasa de Falla'!HP27="","",'[3]Tasa de Falla'!HP27)</f>
      </c>
      <c r="H28" s="837">
        <f>IF('[3]Tasa de Falla'!HQ27="","",'[3]Tasa de Falla'!HQ27)</f>
        <v>1</v>
      </c>
      <c r="I28" s="837">
        <f>IF('[3]Tasa de Falla'!HR27="","",'[3]Tasa de Falla'!HR27)</f>
      </c>
      <c r="J28" s="837">
        <f>IF('[3]Tasa de Falla'!HS27="","",'[3]Tasa de Falla'!HS27)</f>
      </c>
      <c r="K28" s="837">
        <f>IF('[3]Tasa de Falla'!HT27="","",'[3]Tasa de Falla'!HT27)</f>
      </c>
      <c r="L28" s="837">
        <f>IF('[3]Tasa de Falla'!HU27="","",'[3]Tasa de Falla'!HU27)</f>
      </c>
      <c r="M28" s="837">
        <f>IF('[3]Tasa de Falla'!HV27="","",'[3]Tasa de Falla'!HV27)</f>
      </c>
      <c r="N28" s="837">
        <f>IF('[3]Tasa de Falla'!HW27="","",'[3]Tasa de Falla'!HW27)</f>
      </c>
      <c r="O28" s="837">
        <f>IF('[3]Tasa de Falla'!HX27="","",'[3]Tasa de Falla'!HX27)</f>
      </c>
      <c r="P28" s="837">
        <f>IF('[3]Tasa de Falla'!HY27="","",'[3]Tasa de Falla'!HY27)</f>
      </c>
      <c r="Q28" s="837">
        <f>IF('[3]Tasa de Falla'!HZ27="","",'[3]Tasa de Falla'!HZ27)</f>
      </c>
      <c r="R28" s="837">
        <f>IF('[3]Tasa de Falla'!IA27="","",'[3]Tasa de Falla'!IA27)</f>
      </c>
      <c r="S28" s="835"/>
      <c r="T28" s="3"/>
    </row>
    <row r="29" spans="2:20" ht="15" customHeight="1">
      <c r="B29" s="2"/>
      <c r="C29" s="838">
        <f>IF('[3]Tasa de Falla'!C28="","",'[3]Tasa de Falla'!C28)</f>
        <v>12</v>
      </c>
      <c r="D29" s="838" t="str">
        <f>IF('[3]Tasa de Falla'!D28="","",'[3]Tasa de Falla'!D28)</f>
        <v>PLANTA ALUMINIO APPA - PUERTO MADRYN 2</v>
      </c>
      <c r="E29" s="838">
        <f>IF('[3]Tasa de Falla'!E28="","",'[3]Tasa de Falla'!E28)</f>
        <v>330</v>
      </c>
      <c r="F29" s="838">
        <f>IF('[3]Tasa de Falla'!F28="","",'[3]Tasa de Falla'!F28)</f>
        <v>5.5</v>
      </c>
      <c r="G29" s="839">
        <f>IF('[3]Tasa de Falla'!HP28="","",'[3]Tasa de Falla'!HP28)</f>
      </c>
      <c r="H29" s="839">
        <f>IF('[3]Tasa de Falla'!HQ28="","",'[3]Tasa de Falla'!HQ28)</f>
      </c>
      <c r="I29" s="839">
        <f>IF('[3]Tasa de Falla'!HR28="","",'[3]Tasa de Falla'!HR28)</f>
      </c>
      <c r="J29" s="839">
        <f>IF('[3]Tasa de Falla'!HS28="","",'[3]Tasa de Falla'!HS28)</f>
      </c>
      <c r="K29" s="839">
        <f>IF('[3]Tasa de Falla'!HT28="","",'[3]Tasa de Falla'!HT28)</f>
      </c>
      <c r="L29" s="839">
        <f>IF('[3]Tasa de Falla'!HU28="","",'[3]Tasa de Falla'!HU28)</f>
      </c>
      <c r="M29" s="839">
        <f>IF('[3]Tasa de Falla'!HV28="","",'[3]Tasa de Falla'!HV28)</f>
      </c>
      <c r="N29" s="839">
        <f>IF('[3]Tasa de Falla'!HW28="","",'[3]Tasa de Falla'!HW28)</f>
      </c>
      <c r="O29" s="839">
        <f>IF('[3]Tasa de Falla'!HX28="","",'[3]Tasa de Falla'!HX28)</f>
      </c>
      <c r="P29" s="839">
        <f>IF('[3]Tasa de Falla'!HY28="","",'[3]Tasa de Falla'!HY28)</f>
      </c>
      <c r="Q29" s="839">
        <f>IF('[3]Tasa de Falla'!HZ28="","",'[3]Tasa de Falla'!HZ28)</f>
      </c>
      <c r="R29" s="839">
        <f>IF('[3]Tasa de Falla'!IA28="","",'[3]Tasa de Falla'!IA28)</f>
      </c>
      <c r="S29" s="835"/>
      <c r="T29" s="3"/>
    </row>
    <row r="30" spans="2:20" ht="18" customHeight="1">
      <c r="B30" s="2"/>
      <c r="C30" s="836">
        <f>IF('[3]Tasa de Falla'!C29="","",'[3]Tasa de Falla'!C29)</f>
        <v>13</v>
      </c>
      <c r="D30" s="836" t="str">
        <f>IF('[3]Tasa de Falla'!D29="","",'[3]Tasa de Falla'!D29)</f>
        <v>PICO TRUNCADO I - PICO TRUNCADO II</v>
      </c>
      <c r="E30" s="836">
        <f>IF('[3]Tasa de Falla'!E29="","",'[3]Tasa de Falla'!E29)</f>
        <v>132</v>
      </c>
      <c r="F30" s="836">
        <f>IF('[3]Tasa de Falla'!F29="","",'[3]Tasa de Falla'!F29)</f>
        <v>13.4</v>
      </c>
      <c r="G30" s="837">
        <f>IF('[3]Tasa de Falla'!HP29="","",'[3]Tasa de Falla'!HP29)</f>
      </c>
      <c r="H30" s="837">
        <f>IF('[3]Tasa de Falla'!HQ29="","",'[3]Tasa de Falla'!HQ29)</f>
      </c>
      <c r="I30" s="837">
        <f>IF('[3]Tasa de Falla'!HR29="","",'[3]Tasa de Falla'!HR29)</f>
      </c>
      <c r="J30" s="837">
        <f>IF('[3]Tasa de Falla'!HS29="","",'[3]Tasa de Falla'!HS29)</f>
      </c>
      <c r="K30" s="837">
        <f>IF('[3]Tasa de Falla'!HT29="","",'[3]Tasa de Falla'!HT29)</f>
      </c>
      <c r="L30" s="837">
        <f>IF('[3]Tasa de Falla'!HU29="","",'[3]Tasa de Falla'!HU29)</f>
      </c>
      <c r="M30" s="837">
        <f>IF('[3]Tasa de Falla'!HV29="","",'[3]Tasa de Falla'!HV29)</f>
      </c>
      <c r="N30" s="837">
        <f>IF('[3]Tasa de Falla'!HW29="","",'[3]Tasa de Falla'!HW29)</f>
      </c>
      <c r="O30" s="837">
        <f>IF('[3]Tasa de Falla'!HX29="","",'[3]Tasa de Falla'!HX29)</f>
      </c>
      <c r="P30" s="837">
        <f>IF('[3]Tasa de Falla'!HY29="","",'[3]Tasa de Falla'!HY29)</f>
      </c>
      <c r="Q30" s="837">
        <f>IF('[3]Tasa de Falla'!HZ29="","",'[3]Tasa de Falla'!HZ29)</f>
      </c>
      <c r="R30" s="837">
        <f>IF('[3]Tasa de Falla'!IA29="","",'[3]Tasa de Falla'!IA29)</f>
      </c>
      <c r="S30" s="835"/>
      <c r="T30" s="3"/>
    </row>
    <row r="31" spans="2:20" ht="15" customHeight="1">
      <c r="B31" s="2"/>
      <c r="C31" s="838">
        <f>IF('[3]Tasa de Falla'!C30="","",'[3]Tasa de Falla'!C30)</f>
        <v>14</v>
      </c>
      <c r="D31" s="838" t="str">
        <f>IF('[3]Tasa de Falla'!D30="","",'[3]Tasa de Falla'!D30)</f>
        <v>PLANTA ALUMINIO DGPA - PTO MADRYN</v>
      </c>
      <c r="E31" s="838">
        <f>IF('[3]Tasa de Falla'!E30="","",'[3]Tasa de Falla'!E30)</f>
        <v>132</v>
      </c>
      <c r="F31" s="838">
        <f>IF('[3]Tasa de Falla'!F30="","",'[3]Tasa de Falla'!F30)</f>
        <v>5.7</v>
      </c>
      <c r="G31" s="839">
        <f>IF('[3]Tasa de Falla'!HP30="","",'[3]Tasa de Falla'!HP30)</f>
      </c>
      <c r="H31" s="839">
        <f>IF('[3]Tasa de Falla'!HQ30="","",'[3]Tasa de Falla'!HQ30)</f>
      </c>
      <c r="I31" s="839">
        <f>IF('[3]Tasa de Falla'!HR30="","",'[3]Tasa de Falla'!HR30)</f>
      </c>
      <c r="J31" s="839">
        <f>IF('[3]Tasa de Falla'!HS30="","",'[3]Tasa de Falla'!HS30)</f>
      </c>
      <c r="K31" s="839">
        <f>IF('[3]Tasa de Falla'!HT30="","",'[3]Tasa de Falla'!HT30)</f>
      </c>
      <c r="L31" s="839">
        <f>IF('[3]Tasa de Falla'!HU30="","",'[3]Tasa de Falla'!HU30)</f>
      </c>
      <c r="M31" s="839">
        <f>IF('[3]Tasa de Falla'!HV30="","",'[3]Tasa de Falla'!HV30)</f>
      </c>
      <c r="N31" s="839">
        <f>IF('[3]Tasa de Falla'!HW30="","",'[3]Tasa de Falla'!HW30)</f>
      </c>
      <c r="O31" s="839">
        <f>IF('[3]Tasa de Falla'!HX30="","",'[3]Tasa de Falla'!HX30)</f>
      </c>
      <c r="P31" s="839">
        <f>IF('[3]Tasa de Falla'!HY30="","",'[3]Tasa de Falla'!HY30)</f>
      </c>
      <c r="Q31" s="839">
        <f>IF('[3]Tasa de Falla'!HZ30="","",'[3]Tasa de Falla'!HZ30)</f>
      </c>
      <c r="R31" s="839">
        <f>IF('[3]Tasa de Falla'!IA30="","",'[3]Tasa de Falla'!IA30)</f>
      </c>
      <c r="S31" s="835"/>
      <c r="T31" s="3"/>
    </row>
    <row r="32" spans="2:20" ht="18" customHeight="1">
      <c r="B32" s="2"/>
      <c r="C32" s="836">
        <f>IF('[3]Tasa de Falla'!C31="","",'[3]Tasa de Falla'!C31)</f>
        <v>15</v>
      </c>
      <c r="D32" s="836" t="str">
        <f>IF('[3]Tasa de Falla'!D31="","",'[3]Tasa de Falla'!D31)</f>
        <v>PLANTA ALUMINIO DGPA - SS.AA. PTO MADRYN</v>
      </c>
      <c r="E32" s="836">
        <f>IF('[3]Tasa de Falla'!E31="","",'[3]Tasa de Falla'!E31)</f>
        <v>33</v>
      </c>
      <c r="F32" s="836">
        <f>IF('[3]Tasa de Falla'!F31="","",'[3]Tasa de Falla'!F31)</f>
        <v>6</v>
      </c>
      <c r="G32" s="837" t="str">
        <f>IF('[3]Tasa de Falla'!HP31="","",'[3]Tasa de Falla'!HP31)</f>
        <v>XXXX</v>
      </c>
      <c r="H32" s="837" t="str">
        <f>IF('[3]Tasa de Falla'!HQ31="","",'[3]Tasa de Falla'!HQ31)</f>
        <v>XXXX</v>
      </c>
      <c r="I32" s="837" t="str">
        <f>IF('[3]Tasa de Falla'!HR31="","",'[3]Tasa de Falla'!HR31)</f>
        <v>XXXX</v>
      </c>
      <c r="J32" s="837" t="str">
        <f>IF('[3]Tasa de Falla'!HS31="","",'[3]Tasa de Falla'!HS31)</f>
        <v>XXXX</v>
      </c>
      <c r="K32" s="837" t="str">
        <f>IF('[3]Tasa de Falla'!HT31="","",'[3]Tasa de Falla'!HT31)</f>
        <v>XXXX</v>
      </c>
      <c r="L32" s="837" t="str">
        <f>IF('[3]Tasa de Falla'!HU31="","",'[3]Tasa de Falla'!HU31)</f>
        <v>XXXX</v>
      </c>
      <c r="M32" s="837" t="str">
        <f>IF('[3]Tasa de Falla'!HV31="","",'[3]Tasa de Falla'!HV31)</f>
        <v>XXXX</v>
      </c>
      <c r="N32" s="837" t="str">
        <f>IF('[3]Tasa de Falla'!HW31="","",'[3]Tasa de Falla'!HW31)</f>
        <v>XXXX</v>
      </c>
      <c r="O32" s="837" t="str">
        <f>IF('[3]Tasa de Falla'!HX31="","",'[3]Tasa de Falla'!HX31)</f>
        <v>XXXX</v>
      </c>
      <c r="P32" s="837" t="str">
        <f>IF('[3]Tasa de Falla'!HY31="","",'[3]Tasa de Falla'!HY31)</f>
        <v>XXXX</v>
      </c>
      <c r="Q32" s="837" t="str">
        <f>IF('[3]Tasa de Falla'!HZ31="","",'[3]Tasa de Falla'!HZ31)</f>
        <v>XXXX</v>
      </c>
      <c r="R32" s="837" t="str">
        <f>IF('[3]Tasa de Falla'!IA31="","",'[3]Tasa de Falla'!IA31)</f>
        <v>XXXX</v>
      </c>
      <c r="S32" s="835"/>
      <c r="T32" s="3"/>
    </row>
    <row r="33" spans="2:20" ht="15" customHeight="1">
      <c r="B33" s="2"/>
      <c r="C33" s="838">
        <f>IF('[3]Tasa de Falla'!C32="","",'[3]Tasa de Falla'!C32)</f>
        <v>16</v>
      </c>
      <c r="D33" s="838" t="str">
        <f>IF('[3]Tasa de Falla'!D32="","",'[3]Tasa de Falla'!D32)</f>
        <v>PLANTA ALUMINIO DGPA - TRELEW</v>
      </c>
      <c r="E33" s="838">
        <f>IF('[3]Tasa de Falla'!E32="","",'[3]Tasa de Falla'!E32)</f>
        <v>132</v>
      </c>
      <c r="F33" s="838">
        <f>IF('[3]Tasa de Falla'!F32="","",'[3]Tasa de Falla'!F32)</f>
        <v>62</v>
      </c>
      <c r="G33" s="839">
        <f>IF('[3]Tasa de Falla'!HP32="","",'[3]Tasa de Falla'!HP32)</f>
      </c>
      <c r="H33" s="839">
        <f>IF('[3]Tasa de Falla'!HQ32="","",'[3]Tasa de Falla'!HQ32)</f>
      </c>
      <c r="I33" s="839">
        <f>IF('[3]Tasa de Falla'!HR32="","",'[3]Tasa de Falla'!HR32)</f>
      </c>
      <c r="J33" s="839">
        <f>IF('[3]Tasa de Falla'!HS32="","",'[3]Tasa de Falla'!HS32)</f>
      </c>
      <c r="K33" s="839">
        <f>IF('[3]Tasa de Falla'!HT32="","",'[3]Tasa de Falla'!HT32)</f>
        <v>1</v>
      </c>
      <c r="L33" s="839">
        <f>IF('[3]Tasa de Falla'!HU32="","",'[3]Tasa de Falla'!HU32)</f>
      </c>
      <c r="M33" s="839">
        <f>IF('[3]Tasa de Falla'!HV32="","",'[3]Tasa de Falla'!HV32)</f>
      </c>
      <c r="N33" s="839">
        <f>IF('[3]Tasa de Falla'!HW32="","",'[3]Tasa de Falla'!HW32)</f>
      </c>
      <c r="O33" s="839">
        <f>IF('[3]Tasa de Falla'!HX32="","",'[3]Tasa de Falla'!HX32)</f>
      </c>
      <c r="P33" s="839">
        <f>IF('[3]Tasa de Falla'!HY32="","",'[3]Tasa de Falla'!HY32)</f>
      </c>
      <c r="Q33" s="839">
        <f>IF('[3]Tasa de Falla'!HZ32="","",'[3]Tasa de Falla'!HZ32)</f>
      </c>
      <c r="R33" s="839">
        <f>IF('[3]Tasa de Falla'!IA32="","",'[3]Tasa de Falla'!IA32)</f>
      </c>
      <c r="S33" s="835"/>
      <c r="T33" s="3"/>
    </row>
    <row r="34" spans="2:20" ht="18" customHeight="1">
      <c r="B34" s="2"/>
      <c r="C34" s="836">
        <f>IF('[3]Tasa de Falla'!C33="","",'[3]Tasa de Falla'!C33)</f>
        <v>17</v>
      </c>
      <c r="D34" s="836" t="str">
        <f>IF('[3]Tasa de Falla'!D33="","",'[3]Tasa de Falla'!D33)</f>
        <v>PUERTO MADRYN - SIERRA GRANDE</v>
      </c>
      <c r="E34" s="836">
        <f>IF('[3]Tasa de Falla'!E33="","",'[3]Tasa de Falla'!E33)</f>
        <v>132</v>
      </c>
      <c r="F34" s="836">
        <f>IF('[3]Tasa de Falla'!F33="","",'[3]Tasa de Falla'!F33)</f>
        <v>121.5</v>
      </c>
      <c r="G34" s="837">
        <f>IF('[3]Tasa de Falla'!HP33="","",'[3]Tasa de Falla'!HP33)</f>
      </c>
      <c r="H34" s="837">
        <f>IF('[3]Tasa de Falla'!HQ33="","",'[3]Tasa de Falla'!HQ33)</f>
        <v>1</v>
      </c>
      <c r="I34" s="837">
        <f>IF('[3]Tasa de Falla'!HR33="","",'[3]Tasa de Falla'!HR33)</f>
      </c>
      <c r="J34" s="837">
        <f>IF('[3]Tasa de Falla'!HS33="","",'[3]Tasa de Falla'!HS33)</f>
      </c>
      <c r="K34" s="837">
        <f>IF('[3]Tasa de Falla'!HT33="","",'[3]Tasa de Falla'!HT33)</f>
      </c>
      <c r="L34" s="837">
        <f>IF('[3]Tasa de Falla'!HU33="","",'[3]Tasa de Falla'!HU33)</f>
      </c>
      <c r="M34" s="837">
        <f>IF('[3]Tasa de Falla'!HV33="","",'[3]Tasa de Falla'!HV33)</f>
      </c>
      <c r="N34" s="837">
        <f>IF('[3]Tasa de Falla'!HW33="","",'[3]Tasa de Falla'!HW33)</f>
      </c>
      <c r="O34" s="837">
        <f>IF('[3]Tasa de Falla'!HX33="","",'[3]Tasa de Falla'!HX33)</f>
      </c>
      <c r="P34" s="837">
        <f>IF('[3]Tasa de Falla'!HY33="","",'[3]Tasa de Falla'!HY33)</f>
      </c>
      <c r="Q34" s="837">
        <f>IF('[3]Tasa de Falla'!HZ33="","",'[3]Tasa de Falla'!HZ33)</f>
      </c>
      <c r="R34" s="837">
        <f>IF('[3]Tasa de Falla'!IA33="","",'[3]Tasa de Falla'!IA33)</f>
      </c>
      <c r="S34" s="835"/>
      <c r="T34" s="3"/>
    </row>
    <row r="35" spans="2:20" ht="15" customHeight="1">
      <c r="B35" s="2"/>
      <c r="C35" s="838">
        <f>IF('[3]Tasa de Falla'!C34="","",'[3]Tasa de Falla'!C34)</f>
        <v>18</v>
      </c>
      <c r="D35" s="838" t="str">
        <f>IF('[3]Tasa de Falla'!D34="","",'[3]Tasa de Falla'!D34)</f>
        <v>BARRIO SAN MARTIN - A CONEXION "T"</v>
      </c>
      <c r="E35" s="838">
        <f>IF('[3]Tasa de Falla'!E34="","",'[3]Tasa de Falla'!E34)</f>
        <v>132</v>
      </c>
      <c r="F35" s="838">
        <f>IF('[3]Tasa de Falla'!F34="","",'[3]Tasa de Falla'!F34)</f>
        <v>7.5</v>
      </c>
      <c r="G35" s="839" t="str">
        <f>IF('[3]Tasa de Falla'!HP34="","",'[3]Tasa de Falla'!HP34)</f>
        <v>XXXX</v>
      </c>
      <c r="H35" s="839" t="str">
        <f>IF('[3]Tasa de Falla'!HQ34="","",'[3]Tasa de Falla'!HQ34)</f>
        <v>XXXX</v>
      </c>
      <c r="I35" s="839" t="str">
        <f>IF('[3]Tasa de Falla'!HR34="","",'[3]Tasa de Falla'!HR34)</f>
        <v>XXXX</v>
      </c>
      <c r="J35" s="839" t="str">
        <f>IF('[3]Tasa de Falla'!HS34="","",'[3]Tasa de Falla'!HS34)</f>
        <v>XXXX</v>
      </c>
      <c r="K35" s="839" t="str">
        <f>IF('[3]Tasa de Falla'!HT34="","",'[3]Tasa de Falla'!HT34)</f>
        <v>XXXX</v>
      </c>
      <c r="L35" s="839" t="str">
        <f>IF('[3]Tasa de Falla'!HU34="","",'[3]Tasa de Falla'!HU34)</f>
        <v>XXXX</v>
      </c>
      <c r="M35" s="839" t="str">
        <f>IF('[3]Tasa de Falla'!HV34="","",'[3]Tasa de Falla'!HV34)</f>
        <v>XXXX</v>
      </c>
      <c r="N35" s="839" t="str">
        <f>IF('[3]Tasa de Falla'!HW34="","",'[3]Tasa de Falla'!HW34)</f>
        <v>XXXX</v>
      </c>
      <c r="O35" s="839" t="str">
        <f>IF('[3]Tasa de Falla'!HX34="","",'[3]Tasa de Falla'!HX34)</f>
        <v>XXXX</v>
      </c>
      <c r="P35" s="839" t="str">
        <f>IF('[3]Tasa de Falla'!HY34="","",'[3]Tasa de Falla'!HY34)</f>
        <v>XXXX</v>
      </c>
      <c r="Q35" s="839" t="str">
        <f>IF('[3]Tasa de Falla'!HZ34="","",'[3]Tasa de Falla'!HZ34)</f>
        <v>XXXX</v>
      </c>
      <c r="R35" s="839" t="str">
        <f>IF('[3]Tasa de Falla'!IA34="","",'[3]Tasa de Falla'!IA34)</f>
        <v>XXXX</v>
      </c>
      <c r="S35" s="835"/>
      <c r="T35" s="3"/>
    </row>
    <row r="36" spans="2:20" ht="18" customHeight="1">
      <c r="B36" s="2"/>
      <c r="C36" s="836">
        <f>IF('[3]Tasa de Falla'!C35="","",'[3]Tasa de Falla'!C35)</f>
        <v>19</v>
      </c>
      <c r="D36" s="836" t="str">
        <f>IF('[3]Tasa de Falla'!D35="","",'[3]Tasa de Falla'!D35)</f>
        <v>PICO TRUNCADO I - LAS HERAS</v>
      </c>
      <c r="E36" s="836">
        <f>IF('[3]Tasa de Falla'!E35="","",'[3]Tasa de Falla'!E35)</f>
        <v>132</v>
      </c>
      <c r="F36" s="836">
        <f>IF('[3]Tasa de Falla'!F35="","",'[3]Tasa de Falla'!F35)</f>
        <v>82.5</v>
      </c>
      <c r="G36" s="837" t="str">
        <f>IF('[3]Tasa de Falla'!HP35="","",'[3]Tasa de Falla'!HP35)</f>
        <v>XXXX</v>
      </c>
      <c r="H36" s="837" t="str">
        <f>IF('[3]Tasa de Falla'!HQ35="","",'[3]Tasa de Falla'!HQ35)</f>
        <v>XXXX</v>
      </c>
      <c r="I36" s="837" t="str">
        <f>IF('[3]Tasa de Falla'!HR35="","",'[3]Tasa de Falla'!HR35)</f>
        <v>XXXX</v>
      </c>
      <c r="J36" s="837" t="str">
        <f>IF('[3]Tasa de Falla'!HS35="","",'[3]Tasa de Falla'!HS35)</f>
        <v>XXXX</v>
      </c>
      <c r="K36" s="837" t="str">
        <f>IF('[3]Tasa de Falla'!HT35="","",'[3]Tasa de Falla'!HT35)</f>
        <v>XXXX</v>
      </c>
      <c r="L36" s="837" t="str">
        <f>IF('[3]Tasa de Falla'!HU35="","",'[3]Tasa de Falla'!HU35)</f>
        <v>XXXX</v>
      </c>
      <c r="M36" s="837" t="str">
        <f>IF('[3]Tasa de Falla'!HV35="","",'[3]Tasa de Falla'!HV35)</f>
        <v>XXXX</v>
      </c>
      <c r="N36" s="837" t="str">
        <f>IF('[3]Tasa de Falla'!HW35="","",'[3]Tasa de Falla'!HW35)</f>
        <v>XXXX</v>
      </c>
      <c r="O36" s="837" t="str">
        <f>IF('[3]Tasa de Falla'!HX35="","",'[3]Tasa de Falla'!HX35)</f>
        <v>XXXX</v>
      </c>
      <c r="P36" s="837" t="str">
        <f>IF('[3]Tasa de Falla'!HY35="","",'[3]Tasa de Falla'!HY35)</f>
        <v>XXXX</v>
      </c>
      <c r="Q36" s="837" t="str">
        <f>IF('[3]Tasa de Falla'!HZ35="","",'[3]Tasa de Falla'!HZ35)</f>
        <v>XXXX</v>
      </c>
      <c r="R36" s="837" t="str">
        <f>IF('[3]Tasa de Falla'!IA35="","",'[3]Tasa de Falla'!IA35)</f>
        <v>XXXX</v>
      </c>
      <c r="S36" s="835"/>
      <c r="T36" s="3"/>
    </row>
    <row r="37" spans="2:20" ht="15" customHeight="1">
      <c r="B37" s="2"/>
      <c r="C37" s="838">
        <f>IF('[3]Tasa de Falla'!C36="","",'[3]Tasa de Falla'!C36)</f>
        <v>20</v>
      </c>
      <c r="D37" s="838" t="str">
        <f>IF('[3]Tasa de Falla'!D36="","",'[3]Tasa de Falla'!D36)</f>
        <v>LAS HERAS - LOS PERALES</v>
      </c>
      <c r="E37" s="838">
        <f>IF('[3]Tasa de Falla'!E36="","",'[3]Tasa de Falla'!E36)</f>
        <v>132</v>
      </c>
      <c r="F37" s="838">
        <f>IF('[3]Tasa de Falla'!F36="","",'[3]Tasa de Falla'!F36)</f>
        <v>47</v>
      </c>
      <c r="G37" s="839">
        <f>IF('[3]Tasa de Falla'!HP36="","",'[3]Tasa de Falla'!HP36)</f>
      </c>
      <c r="H37" s="839">
        <f>IF('[3]Tasa de Falla'!HQ36="","",'[3]Tasa de Falla'!HQ36)</f>
      </c>
      <c r="I37" s="839">
        <f>IF('[3]Tasa de Falla'!HR36="","",'[3]Tasa de Falla'!HR36)</f>
      </c>
      <c r="J37" s="839">
        <f>IF('[3]Tasa de Falla'!HS36="","",'[3]Tasa de Falla'!HS36)</f>
      </c>
      <c r="K37" s="839">
        <f>IF('[3]Tasa de Falla'!HT36="","",'[3]Tasa de Falla'!HT36)</f>
      </c>
      <c r="L37" s="839">
        <f>IF('[3]Tasa de Falla'!HU36="","",'[3]Tasa de Falla'!HU36)</f>
      </c>
      <c r="M37" s="839">
        <f>IF('[3]Tasa de Falla'!HV36="","",'[3]Tasa de Falla'!HV36)</f>
      </c>
      <c r="N37" s="839">
        <f>IF('[3]Tasa de Falla'!HW36="","",'[3]Tasa de Falla'!HW36)</f>
      </c>
      <c r="O37" s="839">
        <f>IF('[3]Tasa de Falla'!HX36="","",'[3]Tasa de Falla'!HX36)</f>
      </c>
      <c r="P37" s="839">
        <f>IF('[3]Tasa de Falla'!HY36="","",'[3]Tasa de Falla'!HY36)</f>
      </c>
      <c r="Q37" s="839">
        <f>IF('[3]Tasa de Falla'!HZ36="","",'[3]Tasa de Falla'!HZ36)</f>
      </c>
      <c r="R37" s="839">
        <f>IF('[3]Tasa de Falla'!IA36="","",'[3]Tasa de Falla'!IA36)</f>
      </c>
      <c r="S37" s="835"/>
      <c r="T37" s="3"/>
    </row>
    <row r="38" spans="2:20" ht="18" customHeight="1">
      <c r="B38" s="2"/>
      <c r="C38" s="836">
        <f>IF('[3]Tasa de Falla'!C37="","",'[3]Tasa de Falla'!C37)</f>
        <v>21</v>
      </c>
      <c r="D38" s="836" t="str">
        <f>IF('[3]Tasa de Falla'!D37="","",'[3]Tasa de Falla'!D37)</f>
        <v>N. P. MADRYN - P. MADRYN 330 kV</v>
      </c>
      <c r="E38" s="836">
        <f>IF('[3]Tasa de Falla'!E37="","",'[3]Tasa de Falla'!E37)</f>
        <v>330</v>
      </c>
      <c r="F38" s="836">
        <f>IF('[3]Tasa de Falla'!F37="","",'[3]Tasa de Falla'!F37)</f>
        <v>0.47</v>
      </c>
      <c r="G38" s="837">
        <f>IF('[3]Tasa de Falla'!HP37="","",'[3]Tasa de Falla'!HP37)</f>
      </c>
      <c r="H38" s="837">
        <f>IF('[3]Tasa de Falla'!HQ37="","",'[3]Tasa de Falla'!HQ37)</f>
      </c>
      <c r="I38" s="837">
        <f>IF('[3]Tasa de Falla'!HR37="","",'[3]Tasa de Falla'!HR37)</f>
      </c>
      <c r="J38" s="837">
        <f>IF('[3]Tasa de Falla'!HS37="","",'[3]Tasa de Falla'!HS37)</f>
      </c>
      <c r="K38" s="837">
        <f>IF('[3]Tasa de Falla'!HT37="","",'[3]Tasa de Falla'!HT37)</f>
      </c>
      <c r="L38" s="837">
        <f>IF('[3]Tasa de Falla'!HU37="","",'[3]Tasa de Falla'!HU37)</f>
      </c>
      <c r="M38" s="837">
        <f>IF('[3]Tasa de Falla'!HV37="","",'[3]Tasa de Falla'!HV37)</f>
      </c>
      <c r="N38" s="837">
        <f>IF('[3]Tasa de Falla'!HW37="","",'[3]Tasa de Falla'!HW37)</f>
      </c>
      <c r="O38" s="837">
        <f>IF('[3]Tasa de Falla'!HX37="","",'[3]Tasa de Falla'!HX37)</f>
      </c>
      <c r="P38" s="837">
        <f>IF('[3]Tasa de Falla'!HY37="","",'[3]Tasa de Falla'!HY37)</f>
      </c>
      <c r="Q38" s="837">
        <f>IF('[3]Tasa de Falla'!HZ37="","",'[3]Tasa de Falla'!HZ37)</f>
      </c>
      <c r="R38" s="837">
        <f>IF('[3]Tasa de Falla'!IA37="","",'[3]Tasa de Falla'!IA37)</f>
      </c>
      <c r="S38" s="835"/>
      <c r="T38" s="3"/>
    </row>
    <row r="39" spans="2:20" ht="15" customHeight="1">
      <c r="B39" s="2"/>
      <c r="C39" s="838">
        <f>IF('[3]Tasa de Falla'!C38="","",'[3]Tasa de Falla'!C38)</f>
        <v>31</v>
      </c>
      <c r="D39" s="838" t="str">
        <f>IF('[3]Tasa de Falla'!D38="","",'[3]Tasa de Falla'!D38)</f>
        <v>LAS HERAS - MINA SAN JOSE</v>
      </c>
      <c r="E39" s="838">
        <f>IF('[3]Tasa de Falla'!E38="","",'[3]Tasa de Falla'!E38)</f>
        <v>132</v>
      </c>
      <c r="F39" s="838">
        <f>IF('[3]Tasa de Falla'!F38="","",'[3]Tasa de Falla'!F38)</f>
        <v>128</v>
      </c>
      <c r="G39" s="839">
        <f>IF('[3]Tasa de Falla'!HP38="","",'[3]Tasa de Falla'!HP38)</f>
      </c>
      <c r="H39" s="839">
        <f>IF('[3]Tasa de Falla'!HQ38="","",'[3]Tasa de Falla'!HQ38)</f>
      </c>
      <c r="I39" s="839">
        <f>IF('[3]Tasa de Falla'!HR38="","",'[3]Tasa de Falla'!HR38)</f>
      </c>
      <c r="J39" s="839">
        <f>IF('[3]Tasa de Falla'!HS38="","",'[3]Tasa de Falla'!HS38)</f>
      </c>
      <c r="K39" s="839">
        <f>IF('[3]Tasa de Falla'!HT38="","",'[3]Tasa de Falla'!HT38)</f>
      </c>
      <c r="L39" s="839">
        <f>IF('[3]Tasa de Falla'!HU38="","",'[3]Tasa de Falla'!HU38)</f>
      </c>
      <c r="M39" s="839">
        <f>IF('[3]Tasa de Falla'!HV38="","",'[3]Tasa de Falla'!HV38)</f>
      </c>
      <c r="N39" s="839">
        <f>IF('[3]Tasa de Falla'!HW38="","",'[3]Tasa de Falla'!HW38)</f>
      </c>
      <c r="O39" s="839">
        <f>IF('[3]Tasa de Falla'!HX38="","",'[3]Tasa de Falla'!HX38)</f>
      </c>
      <c r="P39" s="839">
        <f>IF('[3]Tasa de Falla'!HY38="","",'[3]Tasa de Falla'!HY38)</f>
      </c>
      <c r="Q39" s="839">
        <f>IF('[3]Tasa de Falla'!HZ38="","",'[3]Tasa de Falla'!HZ38)</f>
      </c>
      <c r="R39" s="839">
        <f>IF('[3]Tasa de Falla'!IA38="","",'[3]Tasa de Falla'!IA38)</f>
      </c>
      <c r="S39" s="835"/>
      <c r="T39" s="3"/>
    </row>
    <row r="40" spans="2:20" ht="18" customHeight="1">
      <c r="B40" s="2"/>
      <c r="C40" s="836">
        <f>IF('[3]Tasa de Falla'!C39="","",'[3]Tasa de Falla'!C39)</f>
        <v>27</v>
      </c>
      <c r="D40" s="836" t="str">
        <f>IF('[3]Tasa de Falla'!D39="","",'[3]Tasa de Falla'!D39)</f>
        <v>PAMPA DEL CASTILLO - EL TORDILLO</v>
      </c>
      <c r="E40" s="836">
        <f>IF('[3]Tasa de Falla'!E39="","",'[3]Tasa de Falla'!E39)</f>
        <v>132</v>
      </c>
      <c r="F40" s="836">
        <f>IF('[3]Tasa de Falla'!F39="","",'[3]Tasa de Falla'!F39)</f>
        <v>8.9</v>
      </c>
      <c r="G40" s="837">
        <f>IF('[3]Tasa de Falla'!HP39="","",'[3]Tasa de Falla'!HP39)</f>
      </c>
      <c r="H40" s="837">
        <f>IF('[3]Tasa de Falla'!HQ39="","",'[3]Tasa de Falla'!HQ39)</f>
      </c>
      <c r="I40" s="837">
        <f>IF('[3]Tasa de Falla'!HR39="","",'[3]Tasa de Falla'!HR39)</f>
      </c>
      <c r="J40" s="837">
        <f>IF('[3]Tasa de Falla'!HS39="","",'[3]Tasa de Falla'!HS39)</f>
      </c>
      <c r="K40" s="837">
        <f>IF('[3]Tasa de Falla'!HT39="","",'[3]Tasa de Falla'!HT39)</f>
      </c>
      <c r="L40" s="837">
        <f>IF('[3]Tasa de Falla'!HU39="","",'[3]Tasa de Falla'!HU39)</f>
      </c>
      <c r="M40" s="837">
        <f>IF('[3]Tasa de Falla'!HV39="","",'[3]Tasa de Falla'!HV39)</f>
      </c>
      <c r="N40" s="837">
        <f>IF('[3]Tasa de Falla'!HW39="","",'[3]Tasa de Falla'!HW39)</f>
      </c>
      <c r="O40" s="837">
        <f>IF('[3]Tasa de Falla'!HX39="","",'[3]Tasa de Falla'!HX39)</f>
      </c>
      <c r="P40" s="837">
        <f>IF('[3]Tasa de Falla'!HY39="","",'[3]Tasa de Falla'!HY39)</f>
      </c>
      <c r="Q40" s="837">
        <f>IF('[3]Tasa de Falla'!HZ39="","",'[3]Tasa de Falla'!HZ39)</f>
      </c>
      <c r="R40" s="837">
        <f>IF('[3]Tasa de Falla'!IA39="","",'[3]Tasa de Falla'!IA39)</f>
      </c>
      <c r="S40" s="835"/>
      <c r="T40" s="3"/>
    </row>
    <row r="41" spans="2:20" ht="15" customHeight="1">
      <c r="B41" s="2"/>
      <c r="C41" s="838">
        <f>IF('[3]Tasa de Falla'!C40="","",'[3]Tasa de Falla'!C40)</f>
        <v>28</v>
      </c>
      <c r="D41" s="838" t="str">
        <f>IF('[3]Tasa de Falla'!D40="","",'[3]Tasa de Falla'!D40)</f>
        <v>PLANTA ALUMINIO APPA - PUERTO MADRYN 3</v>
      </c>
      <c r="E41" s="838">
        <f>IF('[3]Tasa de Falla'!E40="","",'[3]Tasa de Falla'!E40)</f>
        <v>330</v>
      </c>
      <c r="F41" s="838">
        <f>IF('[3]Tasa de Falla'!F40="","",'[3]Tasa de Falla'!F40)</f>
        <v>4.9</v>
      </c>
      <c r="G41" s="839">
        <f>IF('[3]Tasa de Falla'!HP40="","",'[3]Tasa de Falla'!HP40)</f>
      </c>
      <c r="H41" s="839">
        <f>IF('[3]Tasa de Falla'!HQ40="","",'[3]Tasa de Falla'!HQ40)</f>
      </c>
      <c r="I41" s="839">
        <f>IF('[3]Tasa de Falla'!HR40="","",'[3]Tasa de Falla'!HR40)</f>
      </c>
      <c r="J41" s="839">
        <f>IF('[3]Tasa de Falla'!HS40="","",'[3]Tasa de Falla'!HS40)</f>
      </c>
      <c r="K41" s="839">
        <f>IF('[3]Tasa de Falla'!HT40="","",'[3]Tasa de Falla'!HT40)</f>
      </c>
      <c r="L41" s="839">
        <f>IF('[3]Tasa de Falla'!HU40="","",'[3]Tasa de Falla'!HU40)</f>
      </c>
      <c r="M41" s="839">
        <f>IF('[3]Tasa de Falla'!HV40="","",'[3]Tasa de Falla'!HV40)</f>
      </c>
      <c r="N41" s="839">
        <f>IF('[3]Tasa de Falla'!HW40="","",'[3]Tasa de Falla'!HW40)</f>
      </c>
      <c r="O41" s="839">
        <f>IF('[3]Tasa de Falla'!HX40="","",'[3]Tasa de Falla'!HX40)</f>
      </c>
      <c r="P41" s="839">
        <f>IF('[3]Tasa de Falla'!HY40="","",'[3]Tasa de Falla'!HY40)</f>
      </c>
      <c r="Q41" s="839">
        <f>IF('[3]Tasa de Falla'!HZ40="","",'[3]Tasa de Falla'!HZ40)</f>
      </c>
      <c r="R41" s="839">
        <f>IF('[3]Tasa de Falla'!IA40="","",'[3]Tasa de Falla'!IA40)</f>
      </c>
      <c r="S41" s="835"/>
      <c r="T41" s="3"/>
    </row>
    <row r="42" spans="2:20" ht="18" customHeight="1">
      <c r="B42" s="2"/>
      <c r="C42" s="836">
        <f>IF('[3]Tasa de Falla'!C41="","",'[3]Tasa de Falla'!C41)</f>
        <v>30</v>
      </c>
      <c r="D42" s="836" t="str">
        <f>IF('[3]Tasa de Falla'!D41="","",'[3]Tasa de Falla'!D41)</f>
        <v>TRELEW - RAWSON</v>
      </c>
      <c r="E42" s="836">
        <f>IF('[3]Tasa de Falla'!E41="","",'[3]Tasa de Falla'!E41)</f>
        <v>132</v>
      </c>
      <c r="F42" s="836">
        <f>IF('[3]Tasa de Falla'!F41="","",'[3]Tasa de Falla'!F41)</f>
        <v>21.8</v>
      </c>
      <c r="G42" s="837">
        <f>IF('[3]Tasa de Falla'!HP41="","",'[3]Tasa de Falla'!HP41)</f>
      </c>
      <c r="H42" s="837">
        <f>IF('[3]Tasa de Falla'!HQ41="","",'[3]Tasa de Falla'!HQ41)</f>
      </c>
      <c r="I42" s="837">
        <f>IF('[3]Tasa de Falla'!HR41="","",'[3]Tasa de Falla'!HR41)</f>
        <v>1</v>
      </c>
      <c r="J42" s="837">
        <f>IF('[3]Tasa de Falla'!HS41="","",'[3]Tasa de Falla'!HS41)</f>
      </c>
      <c r="K42" s="837">
        <f>IF('[3]Tasa de Falla'!HT41="","",'[3]Tasa de Falla'!HT41)</f>
      </c>
      <c r="L42" s="837">
        <f>IF('[3]Tasa de Falla'!HU41="","",'[3]Tasa de Falla'!HU41)</f>
      </c>
      <c r="M42" s="837">
        <f>IF('[3]Tasa de Falla'!HV41="","",'[3]Tasa de Falla'!HV41)</f>
      </c>
      <c r="N42" s="837">
        <f>IF('[3]Tasa de Falla'!HW41="","",'[3]Tasa de Falla'!HW41)</f>
      </c>
      <c r="O42" s="837">
        <f>IF('[3]Tasa de Falla'!HX41="","",'[3]Tasa de Falla'!HX41)</f>
      </c>
      <c r="P42" s="837">
        <f>IF('[3]Tasa de Falla'!HY41="","",'[3]Tasa de Falla'!HY41)</f>
      </c>
      <c r="Q42" s="837">
        <f>IF('[3]Tasa de Falla'!HZ41="","",'[3]Tasa de Falla'!HZ41)</f>
      </c>
      <c r="R42" s="837">
        <f>IF('[3]Tasa de Falla'!IA41="","",'[3]Tasa de Falla'!IA41)</f>
      </c>
      <c r="S42" s="835"/>
      <c r="T42" s="3"/>
    </row>
    <row r="43" spans="2:20" ht="15" customHeight="1">
      <c r="B43" s="2"/>
      <c r="C43" s="838">
        <f>IF('[3]Tasa de Falla'!C42="","",'[3]Tasa de Falla'!C42)</f>
        <v>37</v>
      </c>
      <c r="D43" s="838" t="str">
        <f>IF('[3]Tasa de Falla'!D42="","",'[3]Tasa de Falla'!D42)</f>
        <v>PICO TRUNCADO 1 - SANTA CRUZ NORTE     1</v>
      </c>
      <c r="E43" s="838">
        <f>IF('[3]Tasa de Falla'!E42="","",'[3]Tasa de Falla'!E42)</f>
        <v>132</v>
      </c>
      <c r="F43" s="838">
        <f>IF('[3]Tasa de Falla'!F42="","",'[3]Tasa de Falla'!F42)</f>
        <v>2.5</v>
      </c>
      <c r="G43" s="839">
        <f>IF('[3]Tasa de Falla'!HP42="","",'[3]Tasa de Falla'!HP42)</f>
        <v>1</v>
      </c>
      <c r="H43" s="839">
        <f>IF('[3]Tasa de Falla'!HQ42="","",'[3]Tasa de Falla'!HQ42)</f>
      </c>
      <c r="I43" s="839">
        <f>IF('[3]Tasa de Falla'!HR42="","",'[3]Tasa de Falla'!HR42)</f>
      </c>
      <c r="J43" s="839">
        <f>IF('[3]Tasa de Falla'!HS42="","",'[3]Tasa de Falla'!HS42)</f>
      </c>
      <c r="K43" s="839">
        <f>IF('[3]Tasa de Falla'!HT42="","",'[3]Tasa de Falla'!HT42)</f>
      </c>
      <c r="L43" s="839">
        <f>IF('[3]Tasa de Falla'!HU42="","",'[3]Tasa de Falla'!HU42)</f>
      </c>
      <c r="M43" s="839">
        <f>IF('[3]Tasa de Falla'!HV42="","",'[3]Tasa de Falla'!HV42)</f>
      </c>
      <c r="N43" s="839">
        <f>IF('[3]Tasa de Falla'!HW42="","",'[3]Tasa de Falla'!HW42)</f>
      </c>
      <c r="O43" s="839">
        <f>IF('[3]Tasa de Falla'!HX42="","",'[3]Tasa de Falla'!HX42)</f>
      </c>
      <c r="P43" s="839">
        <f>IF('[3]Tasa de Falla'!HY42="","",'[3]Tasa de Falla'!HY42)</f>
      </c>
      <c r="Q43" s="839">
        <f>IF('[3]Tasa de Falla'!HZ42="","",'[3]Tasa de Falla'!HZ42)</f>
      </c>
      <c r="R43" s="839">
        <f>IF('[3]Tasa de Falla'!IA42="","",'[3]Tasa de Falla'!IA42)</f>
      </c>
      <c r="S43" s="835"/>
      <c r="T43" s="3"/>
    </row>
    <row r="44" spans="2:20" ht="18" customHeight="1">
      <c r="B44" s="2"/>
      <c r="C44" s="836">
        <f>IF('[3]Tasa de Falla'!C43="","",'[3]Tasa de Falla'!C43)</f>
        <v>38</v>
      </c>
      <c r="D44" s="836" t="str">
        <f>IF('[3]Tasa de Falla'!D43="","",'[3]Tasa de Falla'!D43)</f>
        <v>PICO TRUNCADO 1 - SANTA CRUZ NORTE     2</v>
      </c>
      <c r="E44" s="836">
        <f>IF('[3]Tasa de Falla'!E43="","",'[3]Tasa de Falla'!E43)</f>
        <v>132</v>
      </c>
      <c r="F44" s="836">
        <f>IF('[3]Tasa de Falla'!F43="","",'[3]Tasa de Falla'!F43)</f>
        <v>2.5</v>
      </c>
      <c r="G44" s="837">
        <f>IF('[3]Tasa de Falla'!HP43="","",'[3]Tasa de Falla'!HP43)</f>
      </c>
      <c r="H44" s="837">
        <f>IF('[3]Tasa de Falla'!HQ43="","",'[3]Tasa de Falla'!HQ43)</f>
      </c>
      <c r="I44" s="837">
        <f>IF('[3]Tasa de Falla'!HR43="","",'[3]Tasa de Falla'!HR43)</f>
      </c>
      <c r="J44" s="837">
        <f>IF('[3]Tasa de Falla'!HS43="","",'[3]Tasa de Falla'!HS43)</f>
      </c>
      <c r="K44" s="837">
        <f>IF('[3]Tasa de Falla'!HT43="","",'[3]Tasa de Falla'!HT43)</f>
      </c>
      <c r="L44" s="837">
        <f>IF('[3]Tasa de Falla'!HU43="","",'[3]Tasa de Falla'!HU43)</f>
      </c>
      <c r="M44" s="837">
        <f>IF('[3]Tasa de Falla'!HV43="","",'[3]Tasa de Falla'!HV43)</f>
      </c>
      <c r="N44" s="837">
        <f>IF('[3]Tasa de Falla'!HW43="","",'[3]Tasa de Falla'!HW43)</f>
      </c>
      <c r="O44" s="837">
        <f>IF('[3]Tasa de Falla'!HX43="","",'[3]Tasa de Falla'!HX43)</f>
      </c>
      <c r="P44" s="837">
        <f>IF('[3]Tasa de Falla'!HY43="","",'[3]Tasa de Falla'!HY43)</f>
      </c>
      <c r="Q44" s="837">
        <f>IF('[3]Tasa de Falla'!HZ43="","",'[3]Tasa de Falla'!HZ43)</f>
      </c>
      <c r="R44" s="837">
        <f>IF('[3]Tasa de Falla'!IA43="","",'[3]Tasa de Falla'!IA43)</f>
      </c>
      <c r="S44" s="835"/>
      <c r="T44" s="3"/>
    </row>
    <row r="45" spans="2:20" ht="15" customHeight="1">
      <c r="B45" s="2"/>
      <c r="C45" s="838">
        <f>IF('[3]Tasa de Falla'!C44="","",'[3]Tasa de Falla'!C44)</f>
        <v>39</v>
      </c>
      <c r="D45" s="838" t="str">
        <f>IF('[3]Tasa de Falla'!D44="","",'[3]Tasa de Falla'!D44)</f>
        <v>LAS HERAS - SANTA CRUZ NORTE</v>
      </c>
      <c r="E45" s="838">
        <f>IF('[3]Tasa de Falla'!E44="","",'[3]Tasa de Falla'!E44)</f>
        <v>132</v>
      </c>
      <c r="F45" s="838">
        <f>IF('[3]Tasa de Falla'!F44="","",'[3]Tasa de Falla'!F44)</f>
        <v>80</v>
      </c>
      <c r="G45" s="839">
        <f>IF('[3]Tasa de Falla'!HP44="","",'[3]Tasa de Falla'!HP44)</f>
      </c>
      <c r="H45" s="839">
        <f>IF('[3]Tasa de Falla'!HQ44="","",'[3]Tasa de Falla'!HQ44)</f>
      </c>
      <c r="I45" s="839">
        <f>IF('[3]Tasa de Falla'!HR44="","",'[3]Tasa de Falla'!HR44)</f>
      </c>
      <c r="J45" s="839">
        <f>IF('[3]Tasa de Falla'!HS44="","",'[3]Tasa de Falla'!HS44)</f>
      </c>
      <c r="K45" s="839">
        <f>IF('[3]Tasa de Falla'!HT44="","",'[3]Tasa de Falla'!HT44)</f>
      </c>
      <c r="L45" s="839">
        <f>IF('[3]Tasa de Falla'!HU44="","",'[3]Tasa de Falla'!HU44)</f>
      </c>
      <c r="M45" s="839">
        <f>IF('[3]Tasa de Falla'!HV44="","",'[3]Tasa de Falla'!HV44)</f>
      </c>
      <c r="N45" s="839">
        <f>IF('[3]Tasa de Falla'!HW44="","",'[3]Tasa de Falla'!HW44)</f>
      </c>
      <c r="O45" s="839">
        <f>IF('[3]Tasa de Falla'!HX44="","",'[3]Tasa de Falla'!HX44)</f>
      </c>
      <c r="P45" s="839">
        <f>IF('[3]Tasa de Falla'!HY44="","",'[3]Tasa de Falla'!HY44)</f>
      </c>
      <c r="Q45" s="839">
        <f>IF('[3]Tasa de Falla'!HZ44="","",'[3]Tasa de Falla'!HZ44)</f>
      </c>
      <c r="R45" s="839">
        <f>IF('[3]Tasa de Falla'!IA44="","",'[3]Tasa de Falla'!IA44)</f>
      </c>
      <c r="S45" s="835"/>
      <c r="T45" s="3"/>
    </row>
    <row r="46" spans="2:20" ht="15" customHeight="1">
      <c r="B46" s="2"/>
      <c r="C46" s="836">
        <f>IF('[3]Tasa de Falla'!C45="","",'[3]Tasa de Falla'!C45)</f>
        <v>40</v>
      </c>
      <c r="D46" s="836" t="str">
        <f>IF('[3]Tasa de Falla'!D45="","",'[3]Tasa de Falla'!D45)</f>
        <v>RAWSON-RAWSONG1 </v>
      </c>
      <c r="E46" s="836">
        <f>IF('[3]Tasa de Falla'!E45="","",'[3]Tasa de Falla'!E45)</f>
        <v>132</v>
      </c>
      <c r="F46" s="836">
        <f>IF('[3]Tasa de Falla'!F45="","",'[3]Tasa de Falla'!F45)</f>
        <v>7.2</v>
      </c>
      <c r="G46" s="837">
        <f>IF('[3]Tasa de Falla'!HP45="","",'[3]Tasa de Falla'!HP45)</f>
      </c>
      <c r="H46" s="837">
        <f>IF('[3]Tasa de Falla'!HQ45="","",'[3]Tasa de Falla'!HQ45)</f>
      </c>
      <c r="I46" s="837">
        <f>IF('[3]Tasa de Falla'!HR45="","",'[3]Tasa de Falla'!HR45)</f>
      </c>
      <c r="J46" s="837">
        <f>IF('[3]Tasa de Falla'!HS45="","",'[3]Tasa de Falla'!HS45)</f>
      </c>
      <c r="K46" s="837">
        <f>IF('[3]Tasa de Falla'!HT45="","",'[3]Tasa de Falla'!HT45)</f>
      </c>
      <c r="L46" s="837">
        <f>IF('[3]Tasa de Falla'!HU45="","",'[3]Tasa de Falla'!HU45)</f>
      </c>
      <c r="M46" s="837">
        <f>IF('[3]Tasa de Falla'!HV45="","",'[3]Tasa de Falla'!HV45)</f>
      </c>
      <c r="N46" s="837">
        <f>IF('[3]Tasa de Falla'!HW45="","",'[3]Tasa de Falla'!HW45)</f>
      </c>
      <c r="O46" s="837">
        <f>IF('[3]Tasa de Falla'!HX45="","",'[3]Tasa de Falla'!HX45)</f>
      </c>
      <c r="P46" s="837">
        <f>IF('[3]Tasa de Falla'!HY45="","",'[3]Tasa de Falla'!HY45)</f>
      </c>
      <c r="Q46" s="837">
        <f>IF('[3]Tasa de Falla'!HZ45="","",'[3]Tasa de Falla'!HZ45)</f>
      </c>
      <c r="R46" s="837">
        <f>IF('[3]Tasa de Falla'!IA45="","",'[3]Tasa de Falla'!IA45)</f>
      </c>
      <c r="S46" s="835"/>
      <c r="T46" s="3"/>
    </row>
    <row r="47" spans="2:20" ht="15" customHeight="1">
      <c r="B47" s="2"/>
      <c r="C47" s="836">
        <f>IF('[3]Tasa de Falla'!C46="","",'[3]Tasa de Falla'!C46)</f>
      </c>
      <c r="D47" s="836">
        <f>IF('[3]Tasa de Falla'!D46="","",'[3]Tasa de Falla'!D46)</f>
      </c>
      <c r="E47" s="836">
        <f>IF('[3]Tasa de Falla'!E46="","",'[3]Tasa de Falla'!E46)</f>
      </c>
      <c r="F47" s="836">
        <f>IF('[3]Tasa de Falla'!F46="","",'[3]Tasa de Falla'!F46)</f>
      </c>
      <c r="G47" s="837">
        <f>IF('[3]Tasa de Falla'!HP46="","",'[3]Tasa de Falla'!HP46)</f>
      </c>
      <c r="H47" s="837">
        <f>IF('[3]Tasa de Falla'!HQ46="","",'[3]Tasa de Falla'!HQ46)</f>
      </c>
      <c r="I47" s="837">
        <f>IF('[3]Tasa de Falla'!HR46="","",'[3]Tasa de Falla'!HR46)</f>
      </c>
      <c r="J47" s="837">
        <f>IF('[3]Tasa de Falla'!HS46="","",'[3]Tasa de Falla'!HS46)</f>
      </c>
      <c r="K47" s="837">
        <f>IF('[3]Tasa de Falla'!HT46="","",'[3]Tasa de Falla'!HT46)</f>
      </c>
      <c r="L47" s="837">
        <f>IF('[3]Tasa de Falla'!HU46="","",'[3]Tasa de Falla'!HU46)</f>
      </c>
      <c r="M47" s="837">
        <f>IF('[3]Tasa de Falla'!HV46="","",'[3]Tasa de Falla'!HV46)</f>
      </c>
      <c r="N47" s="837">
        <f>IF('[3]Tasa de Falla'!HW46="","",'[3]Tasa de Falla'!HW46)</f>
      </c>
      <c r="O47" s="837">
        <f>IF('[3]Tasa de Falla'!HX46="","",'[3]Tasa de Falla'!HX46)</f>
      </c>
      <c r="P47" s="837">
        <f>IF('[3]Tasa de Falla'!HY46="","",'[3]Tasa de Falla'!HY46)</f>
      </c>
      <c r="Q47" s="837">
        <f>IF('[3]Tasa de Falla'!HZ46="","",'[3]Tasa de Falla'!HZ46)</f>
      </c>
      <c r="R47" s="837">
        <f>IF('[3]Tasa de Falla'!IA46="","",'[3]Tasa de Falla'!IA46)</f>
      </c>
      <c r="S47" s="835"/>
      <c r="T47" s="3"/>
    </row>
    <row r="48" spans="2:20" ht="15" customHeight="1">
      <c r="B48" s="2"/>
      <c r="C48" s="838">
        <f>IF('[3]Tasa de Falla'!C47="","",'[3]Tasa de Falla'!C47)</f>
        <v>19</v>
      </c>
      <c r="D48" s="838" t="str">
        <f>IF('[3]Tasa de Falla'!D47="","",'[3]Tasa de Falla'!D47)</f>
        <v>PUNTA COLORADA - SIERRA GRANDE</v>
      </c>
      <c r="E48" s="838">
        <f>IF('[3]Tasa de Falla'!E47="","",'[3]Tasa de Falla'!E47)</f>
        <v>132</v>
      </c>
      <c r="F48" s="838">
        <f>IF('[3]Tasa de Falla'!F47="","",'[3]Tasa de Falla'!F47)</f>
        <v>31</v>
      </c>
      <c r="G48" s="839">
        <f>IF('[3]Tasa de Falla'!HP47="","",'[3]Tasa de Falla'!HP47)</f>
      </c>
      <c r="H48" s="839">
        <f>IF('[3]Tasa de Falla'!HQ47="","",'[3]Tasa de Falla'!HQ47)</f>
      </c>
      <c r="I48" s="839">
        <f>IF('[3]Tasa de Falla'!HR47="","",'[3]Tasa de Falla'!HR47)</f>
      </c>
      <c r="J48" s="839">
        <f>IF('[3]Tasa de Falla'!HS47="","",'[3]Tasa de Falla'!HS47)</f>
      </c>
      <c r="K48" s="839">
        <f>IF('[3]Tasa de Falla'!HT47="","",'[3]Tasa de Falla'!HT47)</f>
      </c>
      <c r="L48" s="839">
        <f>IF('[3]Tasa de Falla'!HU47="","",'[3]Tasa de Falla'!HU47)</f>
      </c>
      <c r="M48" s="839">
        <f>IF('[3]Tasa de Falla'!HV47="","",'[3]Tasa de Falla'!HV47)</f>
      </c>
      <c r="N48" s="839">
        <f>IF('[3]Tasa de Falla'!HW47="","",'[3]Tasa de Falla'!HW47)</f>
      </c>
      <c r="O48" s="839">
        <f>IF('[3]Tasa de Falla'!HX47="","",'[3]Tasa de Falla'!HX47)</f>
      </c>
      <c r="P48" s="839">
        <f>IF('[3]Tasa de Falla'!HY47="","",'[3]Tasa de Falla'!HY47)</f>
      </c>
      <c r="Q48" s="839">
        <f>IF('[3]Tasa de Falla'!HZ47="","",'[3]Tasa de Falla'!HZ47)</f>
      </c>
      <c r="R48" s="839">
        <f>IF('[3]Tasa de Falla'!IA47="","",'[3]Tasa de Falla'!IA47)</f>
      </c>
      <c r="S48" s="835"/>
      <c r="T48" s="3"/>
    </row>
    <row r="49" spans="2:20" ht="18" customHeight="1">
      <c r="B49" s="2"/>
      <c r="C49" s="836">
        <f>IF('[3]Tasa de Falla'!C48="","",'[3]Tasa de Falla'!C48)</f>
        <v>20</v>
      </c>
      <c r="D49" s="836" t="str">
        <f>IF('[3]Tasa de Falla'!D48="","",'[3]Tasa de Falla'!D48)</f>
        <v>CARMEN DE PATAGONES - VIEDMA</v>
      </c>
      <c r="E49" s="836">
        <f>IF('[3]Tasa de Falla'!E48="","",'[3]Tasa de Falla'!E48)</f>
        <v>132</v>
      </c>
      <c r="F49" s="836">
        <f>IF('[3]Tasa de Falla'!F48="","",'[3]Tasa de Falla'!F48)</f>
        <v>7</v>
      </c>
      <c r="G49" s="837" t="str">
        <f>IF('[3]Tasa de Falla'!HP48="","",'[3]Tasa de Falla'!HP48)</f>
        <v>XXXX</v>
      </c>
      <c r="H49" s="837" t="str">
        <f>IF('[3]Tasa de Falla'!HQ48="","",'[3]Tasa de Falla'!HQ48)</f>
        <v>XXXX</v>
      </c>
      <c r="I49" s="837" t="str">
        <f>IF('[3]Tasa de Falla'!HR48="","",'[3]Tasa de Falla'!HR48)</f>
        <v>XXXX</v>
      </c>
      <c r="J49" s="837" t="str">
        <f>IF('[3]Tasa de Falla'!HS48="","",'[3]Tasa de Falla'!HS48)</f>
        <v>XXXX</v>
      </c>
      <c r="K49" s="837" t="str">
        <f>IF('[3]Tasa de Falla'!HT48="","",'[3]Tasa de Falla'!HT48)</f>
        <v>XXXX</v>
      </c>
      <c r="L49" s="837" t="str">
        <f>IF('[3]Tasa de Falla'!HU48="","",'[3]Tasa de Falla'!HU48)</f>
        <v>XXXX</v>
      </c>
      <c r="M49" s="837" t="str">
        <f>IF('[3]Tasa de Falla'!HV48="","",'[3]Tasa de Falla'!HV48)</f>
        <v>XXXX</v>
      </c>
      <c r="N49" s="837" t="str">
        <f>IF('[3]Tasa de Falla'!HW48="","",'[3]Tasa de Falla'!HW48)</f>
        <v>XXXX</v>
      </c>
      <c r="O49" s="837" t="str">
        <f>IF('[3]Tasa de Falla'!HX48="","",'[3]Tasa de Falla'!HX48)</f>
        <v>XXXX</v>
      </c>
      <c r="P49" s="837" t="str">
        <f>IF('[3]Tasa de Falla'!HY48="","",'[3]Tasa de Falla'!HY48)</f>
        <v>XXXX</v>
      </c>
      <c r="Q49" s="837" t="str">
        <f>IF('[3]Tasa de Falla'!HZ48="","",'[3]Tasa de Falla'!HZ48)</f>
        <v>XXXX</v>
      </c>
      <c r="R49" s="837" t="str">
        <f>IF('[3]Tasa de Falla'!IA48="","",'[3]Tasa de Falla'!IA48)</f>
        <v>XXXX</v>
      </c>
      <c r="S49" s="835"/>
      <c r="T49" s="3"/>
    </row>
    <row r="50" spans="2:20" ht="15" customHeight="1">
      <c r="B50" s="2"/>
      <c r="C50" s="838">
        <f>IF('[3]Tasa de Falla'!C49="","",'[3]Tasa de Falla'!C49)</f>
      </c>
      <c r="D50" s="838" t="str">
        <f>IF('[3]Tasa de Falla'!D49="","",'[3]Tasa de Falla'!D49)</f>
        <v>CARMEN DE PATAGONES - VIEDMA</v>
      </c>
      <c r="E50" s="838">
        <f>IF('[3]Tasa de Falla'!E49="","",'[3]Tasa de Falla'!E49)</f>
        <v>132</v>
      </c>
      <c r="F50" s="838">
        <f>IF('[3]Tasa de Falla'!F49="","",'[3]Tasa de Falla'!F49)</f>
        <v>4.4</v>
      </c>
      <c r="G50" s="839">
        <f>IF('[3]Tasa de Falla'!HP49="","",'[3]Tasa de Falla'!HP49)</f>
      </c>
      <c r="H50" s="839">
        <f>IF('[3]Tasa de Falla'!HQ49="","",'[3]Tasa de Falla'!HQ49)</f>
      </c>
      <c r="I50" s="839">
        <f>IF('[3]Tasa de Falla'!HR49="","",'[3]Tasa de Falla'!HR49)</f>
      </c>
      <c r="J50" s="839">
        <f>IF('[3]Tasa de Falla'!HS49="","",'[3]Tasa de Falla'!HS49)</f>
      </c>
      <c r="K50" s="839">
        <f>IF('[3]Tasa de Falla'!HT49="","",'[3]Tasa de Falla'!HT49)</f>
      </c>
      <c r="L50" s="839">
        <f>IF('[3]Tasa de Falla'!HU49="","",'[3]Tasa de Falla'!HU49)</f>
      </c>
      <c r="M50" s="839">
        <f>IF('[3]Tasa de Falla'!HV49="","",'[3]Tasa de Falla'!HV49)</f>
      </c>
      <c r="N50" s="839">
        <f>IF('[3]Tasa de Falla'!HW49="","",'[3]Tasa de Falla'!HW49)</f>
      </c>
      <c r="O50" s="839">
        <f>IF('[3]Tasa de Falla'!HX49="","",'[3]Tasa de Falla'!HX49)</f>
      </c>
      <c r="P50" s="839">
        <f>IF('[3]Tasa de Falla'!HY49="","",'[3]Tasa de Falla'!HY49)</f>
      </c>
      <c r="Q50" s="839">
        <f>IF('[3]Tasa de Falla'!HZ49="","",'[3]Tasa de Falla'!HZ49)</f>
      </c>
      <c r="R50" s="839">
        <f>IF('[3]Tasa de Falla'!IA49="","",'[3]Tasa de Falla'!IA49)</f>
      </c>
      <c r="S50" s="835"/>
      <c r="T50" s="3"/>
    </row>
    <row r="51" spans="2:20" ht="18" customHeight="1">
      <c r="B51" s="2"/>
      <c r="C51" s="836">
        <f>IF('[3]Tasa de Falla'!C50="","",'[3]Tasa de Falla'!C50)</f>
        <v>21</v>
      </c>
      <c r="D51" s="836" t="str">
        <f>IF('[3]Tasa de Falla'!D50="","",'[3]Tasa de Falla'!D50)</f>
        <v>SAN ANTONIO OESTE - SIERRA GRANDE</v>
      </c>
      <c r="E51" s="836">
        <f>IF('[3]Tasa de Falla'!E50="","",'[3]Tasa de Falla'!E50)</f>
        <v>132</v>
      </c>
      <c r="F51" s="836">
        <f>IF('[3]Tasa de Falla'!F50="","",'[3]Tasa de Falla'!F50)</f>
        <v>110.3</v>
      </c>
      <c r="G51" s="837">
        <f>IF('[3]Tasa de Falla'!HP50="","",'[3]Tasa de Falla'!HP50)</f>
      </c>
      <c r="H51" s="837">
        <f>IF('[3]Tasa de Falla'!HQ50="","",'[3]Tasa de Falla'!HQ50)</f>
      </c>
      <c r="I51" s="837">
        <f>IF('[3]Tasa de Falla'!HR50="","",'[3]Tasa de Falla'!HR50)</f>
      </c>
      <c r="J51" s="837">
        <f>IF('[3]Tasa de Falla'!HS50="","",'[3]Tasa de Falla'!HS50)</f>
      </c>
      <c r="K51" s="837">
        <f>IF('[3]Tasa de Falla'!HT50="","",'[3]Tasa de Falla'!HT50)</f>
      </c>
      <c r="L51" s="837">
        <f>IF('[3]Tasa de Falla'!HU50="","",'[3]Tasa de Falla'!HU50)</f>
      </c>
      <c r="M51" s="837">
        <f>IF('[3]Tasa de Falla'!HV50="","",'[3]Tasa de Falla'!HV50)</f>
      </c>
      <c r="N51" s="837">
        <f>IF('[3]Tasa de Falla'!HW50="","",'[3]Tasa de Falla'!HW50)</f>
      </c>
      <c r="O51" s="837">
        <f>IF('[3]Tasa de Falla'!HX50="","",'[3]Tasa de Falla'!HX50)</f>
      </c>
      <c r="P51" s="837">
        <f>IF('[3]Tasa de Falla'!HY50="","",'[3]Tasa de Falla'!HY50)</f>
      </c>
      <c r="Q51" s="837">
        <f>IF('[3]Tasa de Falla'!HZ50="","",'[3]Tasa de Falla'!HZ50)</f>
      </c>
      <c r="R51" s="837">
        <f>IF('[3]Tasa de Falla'!IA50="","",'[3]Tasa de Falla'!IA50)</f>
        <v>1</v>
      </c>
      <c r="S51" s="835"/>
      <c r="T51" s="3"/>
    </row>
    <row r="52" spans="2:20" ht="15" customHeight="1">
      <c r="B52" s="2"/>
      <c r="C52" s="838">
        <f>IF('[3]Tasa de Falla'!C51="","",'[3]Tasa de Falla'!C51)</f>
        <v>22</v>
      </c>
      <c r="D52" s="838" t="str">
        <f>IF('[3]Tasa de Falla'!D51="","",'[3]Tasa de Falla'!D51)</f>
        <v>SAN ANTONIO OESTE -VIEDMA-SAN ANTONIO ESTE</v>
      </c>
      <c r="E52" s="838">
        <f>IF('[3]Tasa de Falla'!E51="","",'[3]Tasa de Falla'!E51)</f>
        <v>132</v>
      </c>
      <c r="F52" s="838">
        <f>IF('[3]Tasa de Falla'!F51="","",'[3]Tasa de Falla'!F51)</f>
        <v>185.6</v>
      </c>
      <c r="G52" s="839">
        <f>IF('[3]Tasa de Falla'!HP51="","",'[3]Tasa de Falla'!HP51)</f>
      </c>
      <c r="H52" s="839">
        <f>IF('[3]Tasa de Falla'!HQ51="","",'[3]Tasa de Falla'!HQ51)</f>
        <v>2</v>
      </c>
      <c r="I52" s="839">
        <f>IF('[3]Tasa de Falla'!HR51="","",'[3]Tasa de Falla'!HR51)</f>
      </c>
      <c r="J52" s="839">
        <f>IF('[3]Tasa de Falla'!HS51="","",'[3]Tasa de Falla'!HS51)</f>
        <v>1</v>
      </c>
      <c r="K52" s="839">
        <f>IF('[3]Tasa de Falla'!HT51="","",'[3]Tasa de Falla'!HT51)</f>
      </c>
      <c r="L52" s="839">
        <f>IF('[3]Tasa de Falla'!HU51="","",'[3]Tasa de Falla'!HU51)</f>
      </c>
      <c r="M52" s="839">
        <f>IF('[3]Tasa de Falla'!HV51="","",'[3]Tasa de Falla'!HV51)</f>
      </c>
      <c r="N52" s="839">
        <f>IF('[3]Tasa de Falla'!HW51="","",'[3]Tasa de Falla'!HW51)</f>
      </c>
      <c r="O52" s="839">
        <f>IF('[3]Tasa de Falla'!HX51="","",'[3]Tasa de Falla'!HX51)</f>
      </c>
      <c r="P52" s="839">
        <f>IF('[3]Tasa de Falla'!HY51="","",'[3]Tasa de Falla'!HY51)</f>
      </c>
      <c r="Q52" s="839">
        <f>IF('[3]Tasa de Falla'!HZ51="","",'[3]Tasa de Falla'!HZ51)</f>
      </c>
      <c r="R52" s="839">
        <f>IF('[3]Tasa de Falla'!IA51="","",'[3]Tasa de Falla'!IA51)</f>
      </c>
      <c r="S52" s="835"/>
      <c r="T52" s="3"/>
    </row>
    <row r="53" spans="2:20" ht="18" customHeight="1">
      <c r="B53" s="2"/>
      <c r="C53" s="836">
        <f>IF('[3]Tasa de Falla'!C52="","",'[3]Tasa de Falla'!C52)</f>
        <v>32</v>
      </c>
      <c r="D53" s="836" t="str">
        <f>IF('[3]Tasa de Falla'!D52="","",'[3]Tasa de Falla'!D52)</f>
        <v>SAN ANTONIO ESTE - VIEDMA</v>
      </c>
      <c r="E53" s="836">
        <f>IF('[3]Tasa de Falla'!E52="","",'[3]Tasa de Falla'!E52)</f>
        <v>132</v>
      </c>
      <c r="F53" s="836">
        <f>IF('[3]Tasa de Falla'!F52="","",'[3]Tasa de Falla'!F52)</f>
        <v>162.6</v>
      </c>
      <c r="G53" s="837" t="str">
        <f>IF('[3]Tasa de Falla'!HP52="","",'[3]Tasa de Falla'!HP52)</f>
        <v>XXXX</v>
      </c>
      <c r="H53" s="837" t="str">
        <f>IF('[3]Tasa de Falla'!HQ52="","",'[3]Tasa de Falla'!HQ52)</f>
        <v>XXXX</v>
      </c>
      <c r="I53" s="837" t="str">
        <f>IF('[3]Tasa de Falla'!HR52="","",'[3]Tasa de Falla'!HR52)</f>
        <v>XXXX</v>
      </c>
      <c r="J53" s="837" t="str">
        <f>IF('[3]Tasa de Falla'!HS52="","",'[3]Tasa de Falla'!HS52)</f>
        <v>XXXX</v>
      </c>
      <c r="K53" s="837" t="str">
        <f>IF('[3]Tasa de Falla'!HT52="","",'[3]Tasa de Falla'!HT52)</f>
        <v>XXXX</v>
      </c>
      <c r="L53" s="837" t="str">
        <f>IF('[3]Tasa de Falla'!HU52="","",'[3]Tasa de Falla'!HU52)</f>
        <v>XXXX</v>
      </c>
      <c r="M53" s="837" t="str">
        <f>IF('[3]Tasa de Falla'!HV52="","",'[3]Tasa de Falla'!HV52)</f>
        <v>XXXX</v>
      </c>
      <c r="N53" s="837" t="str">
        <f>IF('[3]Tasa de Falla'!HW52="","",'[3]Tasa de Falla'!HW52)</f>
        <v>XXXX</v>
      </c>
      <c r="O53" s="837" t="str">
        <f>IF('[3]Tasa de Falla'!HX52="","",'[3]Tasa de Falla'!HX52)</f>
        <v>XXXX</v>
      </c>
      <c r="P53" s="837" t="str">
        <f>IF('[3]Tasa de Falla'!HY52="","",'[3]Tasa de Falla'!HY52)</f>
        <v>XXXX</v>
      </c>
      <c r="Q53" s="837" t="str">
        <f>IF('[3]Tasa de Falla'!HZ52="","",'[3]Tasa de Falla'!HZ52)</f>
        <v>XXXX</v>
      </c>
      <c r="R53" s="837" t="str">
        <f>IF('[3]Tasa de Falla'!IA52="","",'[3]Tasa de Falla'!IA52)</f>
        <v>XXXX</v>
      </c>
      <c r="S53" s="835"/>
      <c r="T53" s="3"/>
    </row>
    <row r="54" spans="2:20" ht="15" customHeight="1">
      <c r="B54" s="2"/>
      <c r="C54" s="838">
        <f>IF('[3]Tasa de Falla'!C53="","",'[3]Tasa de Falla'!C53)</f>
      </c>
      <c r="D54" s="838">
        <f>IF('[3]Tasa de Falla'!D53="","",'[3]Tasa de Falla'!D53)</f>
      </c>
      <c r="E54" s="838">
        <f>IF('[3]Tasa de Falla'!E53="","",'[3]Tasa de Falla'!E53)</f>
      </c>
      <c r="F54" s="838">
        <f>IF('[3]Tasa de Falla'!F53="","",'[3]Tasa de Falla'!F53)</f>
      </c>
      <c r="G54" s="839">
        <f>IF('[3]Tasa de Falla'!HP53="","",'[3]Tasa de Falla'!HP53)</f>
      </c>
      <c r="H54" s="839">
        <f>IF('[3]Tasa de Falla'!HQ53="","",'[3]Tasa de Falla'!HQ53)</f>
      </c>
      <c r="I54" s="839">
        <f>IF('[3]Tasa de Falla'!HR53="","",'[3]Tasa de Falla'!HR53)</f>
      </c>
      <c r="J54" s="839">
        <f>IF('[3]Tasa de Falla'!HS53="","",'[3]Tasa de Falla'!HS53)</f>
      </c>
      <c r="K54" s="839">
        <f>IF('[3]Tasa de Falla'!HT53="","",'[3]Tasa de Falla'!HT53)</f>
      </c>
      <c r="L54" s="839">
        <f>IF('[3]Tasa de Falla'!HU53="","",'[3]Tasa de Falla'!HU53)</f>
      </c>
      <c r="M54" s="839">
        <f>IF('[3]Tasa de Falla'!HV53="","",'[3]Tasa de Falla'!HV53)</f>
      </c>
      <c r="N54" s="839">
        <f>IF('[3]Tasa de Falla'!HW53="","",'[3]Tasa de Falla'!HW53)</f>
      </c>
      <c r="O54" s="839">
        <f>IF('[3]Tasa de Falla'!HX53="","",'[3]Tasa de Falla'!HX53)</f>
      </c>
      <c r="P54" s="839">
        <f>IF('[3]Tasa de Falla'!HY53="","",'[3]Tasa de Falla'!HY53)</f>
      </c>
      <c r="Q54" s="839">
        <f>IF('[3]Tasa de Falla'!HZ53="","",'[3]Tasa de Falla'!HZ53)</f>
      </c>
      <c r="R54" s="839">
        <f>IF('[3]Tasa de Falla'!IA53="","",'[3]Tasa de Falla'!IA53)</f>
      </c>
      <c r="S54" s="835"/>
      <c r="T54" s="3"/>
    </row>
    <row r="55" spans="2:20" ht="18" customHeight="1">
      <c r="B55" s="2"/>
      <c r="C55" s="836">
        <f>IF('[3]Tasa de Falla'!C54="","",'[3]Tasa de Falla'!C54)</f>
        <v>23</v>
      </c>
      <c r="D55" s="836" t="str">
        <f>IF('[3]Tasa de Falla'!D54="","",'[3]Tasa de Falla'!D54)</f>
        <v>PICO TRUNCADO I - PUERTO DESEADO</v>
      </c>
      <c r="E55" s="836">
        <f>IF('[3]Tasa de Falla'!E54="","",'[3]Tasa de Falla'!E54)</f>
        <v>132</v>
      </c>
      <c r="F55" s="836">
        <f>IF('[3]Tasa de Falla'!F54="","",'[3]Tasa de Falla'!F54)</f>
        <v>209</v>
      </c>
      <c r="G55" s="837" t="str">
        <f>IF('[3]Tasa de Falla'!HP54="","",'[3]Tasa de Falla'!HP54)</f>
        <v>XXXX</v>
      </c>
      <c r="H55" s="837" t="str">
        <f>IF('[3]Tasa de Falla'!HQ54="","",'[3]Tasa de Falla'!HQ54)</f>
        <v>XXXX</v>
      </c>
      <c r="I55" s="837" t="str">
        <f>IF('[3]Tasa de Falla'!HR54="","",'[3]Tasa de Falla'!HR54)</f>
        <v>XXXX</v>
      </c>
      <c r="J55" s="837" t="str">
        <f>IF('[3]Tasa de Falla'!HS54="","",'[3]Tasa de Falla'!HS54)</f>
        <v>XXXX</v>
      </c>
      <c r="K55" s="837" t="str">
        <f>IF('[3]Tasa de Falla'!HT54="","",'[3]Tasa de Falla'!HT54)</f>
        <v>XXXX</v>
      </c>
      <c r="L55" s="837" t="str">
        <f>IF('[3]Tasa de Falla'!HU54="","",'[3]Tasa de Falla'!HU54)</f>
        <v>XXXX</v>
      </c>
      <c r="M55" s="837" t="str">
        <f>IF('[3]Tasa de Falla'!HV54="","",'[3]Tasa de Falla'!HV54)</f>
        <v>XXXX</v>
      </c>
      <c r="N55" s="837" t="str">
        <f>IF('[3]Tasa de Falla'!HW54="","",'[3]Tasa de Falla'!HW54)</f>
        <v>XXXX</v>
      </c>
      <c r="O55" s="837" t="str">
        <f>IF('[3]Tasa de Falla'!HX54="","",'[3]Tasa de Falla'!HX54)</f>
        <v>XXXX</v>
      </c>
      <c r="P55" s="837" t="str">
        <f>IF('[3]Tasa de Falla'!HY54="","",'[3]Tasa de Falla'!HY54)</f>
        <v>XXXX</v>
      </c>
      <c r="Q55" s="837" t="str">
        <f>IF('[3]Tasa de Falla'!HZ54="","",'[3]Tasa de Falla'!HZ54)</f>
        <v>XXXX</v>
      </c>
      <c r="R55" s="837" t="str">
        <f>IF('[3]Tasa de Falla'!IA54="","",'[3]Tasa de Falla'!IA54)</f>
        <v>XXXX</v>
      </c>
      <c r="S55" s="835"/>
      <c r="T55" s="3"/>
    </row>
    <row r="56" spans="2:20" ht="15" customHeight="1">
      <c r="B56" s="2"/>
      <c r="C56" s="838">
        <f>IF('[3]Tasa de Falla'!C55="","",'[3]Tasa de Falla'!C55)</f>
        <v>35</v>
      </c>
      <c r="D56" s="838" t="str">
        <f>IF('[3]Tasa de Falla'!D55="","",'[3]Tasa de Falla'!D55)</f>
        <v>PICO TRUNCADO I - PTQ C.RIVADAVIA</v>
      </c>
      <c r="E56" s="838">
        <f>IF('[3]Tasa de Falla'!E55="","",'[3]Tasa de Falla'!E55)</f>
        <v>132</v>
      </c>
      <c r="F56" s="838">
        <f>IF('[3]Tasa de Falla'!F55="","",'[3]Tasa de Falla'!F55)</f>
        <v>1.5</v>
      </c>
      <c r="G56" s="839">
        <f>IF('[3]Tasa de Falla'!HP55="","",'[3]Tasa de Falla'!HP55)</f>
      </c>
      <c r="H56" s="839">
        <f>IF('[3]Tasa de Falla'!HQ55="","",'[3]Tasa de Falla'!HQ55)</f>
      </c>
      <c r="I56" s="839">
        <f>IF('[3]Tasa de Falla'!HR55="","",'[3]Tasa de Falla'!HR55)</f>
      </c>
      <c r="J56" s="839">
        <f>IF('[3]Tasa de Falla'!HS55="","",'[3]Tasa de Falla'!HS55)</f>
      </c>
      <c r="K56" s="839">
        <f>IF('[3]Tasa de Falla'!HT55="","",'[3]Tasa de Falla'!HT55)</f>
      </c>
      <c r="L56" s="839">
        <f>IF('[3]Tasa de Falla'!HU55="","",'[3]Tasa de Falla'!HU55)</f>
      </c>
      <c r="M56" s="839">
        <f>IF('[3]Tasa de Falla'!HV55="","",'[3]Tasa de Falla'!HV55)</f>
      </c>
      <c r="N56" s="839">
        <f>IF('[3]Tasa de Falla'!HW55="","",'[3]Tasa de Falla'!HW55)</f>
      </c>
      <c r="O56" s="839">
        <f>IF('[3]Tasa de Falla'!HX55="","",'[3]Tasa de Falla'!HX55)</f>
      </c>
      <c r="P56" s="839">
        <f>IF('[3]Tasa de Falla'!HY55="","",'[3]Tasa de Falla'!HY55)</f>
      </c>
      <c r="Q56" s="839">
        <f>IF('[3]Tasa de Falla'!HZ55="","",'[3]Tasa de Falla'!HZ55)</f>
      </c>
      <c r="R56" s="839">
        <f>IF('[3]Tasa de Falla'!IA55="","",'[3]Tasa de Falla'!IA55)</f>
      </c>
      <c r="S56" s="835"/>
      <c r="T56" s="3"/>
    </row>
    <row r="57" spans="2:20" ht="18" customHeight="1">
      <c r="B57" s="2"/>
      <c r="C57" s="836">
        <f>IF('[3]Tasa de Falla'!C56="","",'[3]Tasa de Falla'!C56)</f>
        <v>36</v>
      </c>
      <c r="D57" s="836" t="str">
        <f>IF('[3]Tasa de Falla'!D56="","",'[3]Tasa de Falla'!D56)</f>
        <v>PTQ C.RIVADAVIA - P.DESEADO</v>
      </c>
      <c r="E57" s="836">
        <f>IF('[3]Tasa de Falla'!E56="","",'[3]Tasa de Falla'!E56)</f>
        <v>132</v>
      </c>
      <c r="F57" s="836">
        <f>IF('[3]Tasa de Falla'!F56="","",'[3]Tasa de Falla'!F56)</f>
        <v>207.5</v>
      </c>
      <c r="G57" s="837">
        <f>IF('[3]Tasa de Falla'!HP56="","",'[3]Tasa de Falla'!HP56)</f>
      </c>
      <c r="H57" s="837">
        <f>IF('[3]Tasa de Falla'!HQ56="","",'[3]Tasa de Falla'!HQ56)</f>
      </c>
      <c r="I57" s="837">
        <f>IF('[3]Tasa de Falla'!HR56="","",'[3]Tasa de Falla'!HR56)</f>
      </c>
      <c r="J57" s="837">
        <f>IF('[3]Tasa de Falla'!HS56="","",'[3]Tasa de Falla'!HS56)</f>
      </c>
      <c r="K57" s="837">
        <f>IF('[3]Tasa de Falla'!HT56="","",'[3]Tasa de Falla'!HT56)</f>
        <v>2</v>
      </c>
      <c r="L57" s="837">
        <f>IF('[3]Tasa de Falla'!HU56="","",'[3]Tasa de Falla'!HU56)</f>
      </c>
      <c r="M57" s="837">
        <f>IF('[3]Tasa de Falla'!HV56="","",'[3]Tasa de Falla'!HV56)</f>
      </c>
      <c r="N57" s="837">
        <f>IF('[3]Tasa de Falla'!HW56="","",'[3]Tasa de Falla'!HW56)</f>
      </c>
      <c r="O57" s="837">
        <f>IF('[3]Tasa de Falla'!HX56="","",'[3]Tasa de Falla'!HX56)</f>
      </c>
      <c r="P57" s="837">
        <f>IF('[3]Tasa de Falla'!HY56="","",'[3]Tasa de Falla'!HY56)</f>
      </c>
      <c r="Q57" s="837">
        <f>IF('[3]Tasa de Falla'!HZ56="","",'[3]Tasa de Falla'!HZ56)</f>
      </c>
      <c r="R57" s="837">
        <f>IF('[3]Tasa de Falla'!IA56="","",'[3]Tasa de Falla'!IA56)</f>
      </c>
      <c r="S57" s="835"/>
      <c r="T57" s="3"/>
    </row>
    <row r="58" spans="2:20" ht="15" customHeight="1">
      <c r="B58" s="2"/>
      <c r="C58" s="838">
        <f>IF('[3]Tasa de Falla'!C57="","",'[3]Tasa de Falla'!C57)</f>
      </c>
      <c r="D58" s="838">
        <f>IF('[3]Tasa de Falla'!D57="","",'[3]Tasa de Falla'!D57)</f>
      </c>
      <c r="E58" s="838">
        <f>IF('[3]Tasa de Falla'!E57="","",'[3]Tasa de Falla'!E57)</f>
      </c>
      <c r="F58" s="838">
        <f>IF('[3]Tasa de Falla'!F57="","",'[3]Tasa de Falla'!F57)</f>
      </c>
      <c r="G58" s="839">
        <f>IF('[3]Tasa de Falla'!HP57="","",'[3]Tasa de Falla'!HP57)</f>
      </c>
      <c r="H58" s="839">
        <f>IF('[3]Tasa de Falla'!HQ57="","",'[3]Tasa de Falla'!HQ57)</f>
      </c>
      <c r="I58" s="839">
        <f>IF('[3]Tasa de Falla'!HR57="","",'[3]Tasa de Falla'!HR57)</f>
      </c>
      <c r="J58" s="839">
        <f>IF('[3]Tasa de Falla'!HS57="","",'[3]Tasa de Falla'!HS57)</f>
      </c>
      <c r="K58" s="839">
        <f>IF('[3]Tasa de Falla'!HT57="","",'[3]Tasa de Falla'!HT57)</f>
      </c>
      <c r="L58" s="839">
        <f>IF('[3]Tasa de Falla'!HU57="","",'[3]Tasa de Falla'!HU57)</f>
      </c>
      <c r="M58" s="839">
        <f>IF('[3]Tasa de Falla'!HV57="","",'[3]Tasa de Falla'!HV57)</f>
      </c>
      <c r="N58" s="839">
        <f>IF('[3]Tasa de Falla'!HW57="","",'[3]Tasa de Falla'!HW57)</f>
      </c>
      <c r="O58" s="839">
        <f>IF('[3]Tasa de Falla'!HX57="","",'[3]Tasa de Falla'!HX57)</f>
      </c>
      <c r="P58" s="839">
        <f>IF('[3]Tasa de Falla'!HY57="","",'[3]Tasa de Falla'!HY57)</f>
      </c>
      <c r="Q58" s="839">
        <f>IF('[3]Tasa de Falla'!HZ57="","",'[3]Tasa de Falla'!HZ57)</f>
      </c>
      <c r="R58" s="839">
        <f>IF('[3]Tasa de Falla'!IA57="","",'[3]Tasa de Falla'!IA57)</f>
      </c>
      <c r="S58" s="835"/>
      <c r="T58" s="3"/>
    </row>
    <row r="59" spans="2:20" ht="18" customHeight="1">
      <c r="B59" s="2"/>
      <c r="C59" s="836">
        <f>IF('[3]Tasa de Falla'!C58="","",'[3]Tasa de Falla'!C58)</f>
        <v>24</v>
      </c>
      <c r="D59" s="836" t="str">
        <f>IF('[3]Tasa de Falla'!D58="","",'[3]Tasa de Falla'!D58)</f>
        <v>E.T. PATAGONIA - PAMPA DEL CASTILLO</v>
      </c>
      <c r="E59" s="836">
        <f>IF('[3]Tasa de Falla'!E58="","",'[3]Tasa de Falla'!E58)</f>
        <v>132</v>
      </c>
      <c r="F59" s="836">
        <f>IF('[3]Tasa de Falla'!F58="","",'[3]Tasa de Falla'!F58)</f>
        <v>42.6</v>
      </c>
      <c r="G59" s="837" t="str">
        <f>IF('[3]Tasa de Falla'!HP58="","",'[3]Tasa de Falla'!HP58)</f>
        <v>XXXX</v>
      </c>
      <c r="H59" s="837" t="str">
        <f>IF('[3]Tasa de Falla'!HQ58="","",'[3]Tasa de Falla'!HQ58)</f>
        <v>XXXX</v>
      </c>
      <c r="I59" s="837" t="str">
        <f>IF('[3]Tasa de Falla'!HR58="","",'[3]Tasa de Falla'!HR58)</f>
        <v>XXXX</v>
      </c>
      <c r="J59" s="837" t="str">
        <f>IF('[3]Tasa de Falla'!HS58="","",'[3]Tasa de Falla'!HS58)</f>
        <v>XXXX</v>
      </c>
      <c r="K59" s="837" t="str">
        <f>IF('[3]Tasa de Falla'!HT58="","",'[3]Tasa de Falla'!HT58)</f>
        <v>XXXX</v>
      </c>
      <c r="L59" s="837" t="str">
        <f>IF('[3]Tasa de Falla'!HU58="","",'[3]Tasa de Falla'!HU58)</f>
        <v>XXXX</v>
      </c>
      <c r="M59" s="837" t="str">
        <f>IF('[3]Tasa de Falla'!HV58="","",'[3]Tasa de Falla'!HV58)</f>
        <v>XXXX</v>
      </c>
      <c r="N59" s="837" t="str">
        <f>IF('[3]Tasa de Falla'!HW58="","",'[3]Tasa de Falla'!HW58)</f>
        <v>XXXX</v>
      </c>
      <c r="O59" s="837" t="str">
        <f>IF('[3]Tasa de Falla'!HX58="","",'[3]Tasa de Falla'!HX58)</f>
        <v>XXXX</v>
      </c>
      <c r="P59" s="837" t="str">
        <f>IF('[3]Tasa de Falla'!HY58="","",'[3]Tasa de Falla'!HY58)</f>
        <v>XXXX</v>
      </c>
      <c r="Q59" s="837" t="str">
        <f>IF('[3]Tasa de Falla'!HZ58="","",'[3]Tasa de Falla'!HZ58)</f>
        <v>XXXX</v>
      </c>
      <c r="R59" s="837" t="str">
        <f>IF('[3]Tasa de Falla'!IA58="","",'[3]Tasa de Falla'!IA58)</f>
        <v>XXXX</v>
      </c>
      <c r="S59" s="835"/>
      <c r="T59" s="3"/>
    </row>
    <row r="60" spans="2:20" ht="15" customHeight="1">
      <c r="B60" s="2"/>
      <c r="C60" s="838">
        <f>IF('[3]Tasa de Falla'!C59="","",'[3]Tasa de Falla'!C59)</f>
        <v>25</v>
      </c>
      <c r="D60" s="838" t="str">
        <f>IF('[3]Tasa de Falla'!D59="","",'[3]Tasa de Falla'!D59)</f>
        <v>PAMPA DEL CASTILLO - VALLE HERMOSO</v>
      </c>
      <c r="E60" s="838">
        <f>IF('[3]Tasa de Falla'!E59="","",'[3]Tasa de Falla'!E59)</f>
        <v>132</v>
      </c>
      <c r="F60" s="838">
        <f>IF('[3]Tasa de Falla'!F59="","",'[3]Tasa de Falla'!F59)</f>
        <v>33.6</v>
      </c>
      <c r="G60" s="839">
        <f>IF('[3]Tasa de Falla'!HP59="","",'[3]Tasa de Falla'!HP59)</f>
      </c>
      <c r="H60" s="839">
        <f>IF('[3]Tasa de Falla'!HQ59="","",'[3]Tasa de Falla'!HQ59)</f>
      </c>
      <c r="I60" s="839">
        <f>IF('[3]Tasa de Falla'!HR59="","",'[3]Tasa de Falla'!HR59)</f>
      </c>
      <c r="J60" s="839">
        <f>IF('[3]Tasa de Falla'!HS59="","",'[3]Tasa de Falla'!HS59)</f>
      </c>
      <c r="K60" s="839">
        <f>IF('[3]Tasa de Falla'!HT59="","",'[3]Tasa de Falla'!HT59)</f>
      </c>
      <c r="L60" s="839">
        <f>IF('[3]Tasa de Falla'!HU59="","",'[3]Tasa de Falla'!HU59)</f>
      </c>
      <c r="M60" s="839">
        <f>IF('[3]Tasa de Falla'!HV59="","",'[3]Tasa de Falla'!HV59)</f>
      </c>
      <c r="N60" s="839">
        <f>IF('[3]Tasa de Falla'!HW59="","",'[3]Tasa de Falla'!HW59)</f>
        <v>1</v>
      </c>
      <c r="O60" s="839">
        <f>IF('[3]Tasa de Falla'!HX59="","",'[3]Tasa de Falla'!HX59)</f>
      </c>
      <c r="P60" s="839">
        <f>IF('[3]Tasa de Falla'!HY59="","",'[3]Tasa de Falla'!HY59)</f>
      </c>
      <c r="Q60" s="839">
        <f>IF('[3]Tasa de Falla'!HZ59="","",'[3]Tasa de Falla'!HZ59)</f>
      </c>
      <c r="R60" s="839">
        <f>IF('[3]Tasa de Falla'!IA59="","",'[3]Tasa de Falla'!IA59)</f>
      </c>
      <c r="S60" s="835"/>
      <c r="T60" s="3"/>
    </row>
    <row r="61" spans="2:20" ht="18" customHeight="1">
      <c r="B61" s="2"/>
      <c r="C61" s="836">
        <f>IF('[3]Tasa de Falla'!C60="","",'[3]Tasa de Falla'!C60)</f>
        <v>26</v>
      </c>
      <c r="D61" s="836" t="str">
        <f>IF('[3]Tasa de Falla'!D60="","",'[3]Tasa de Falla'!D60)</f>
        <v>VALLE HERMOSO - CERRO NEGRO</v>
      </c>
      <c r="E61" s="836">
        <f>IF('[3]Tasa de Falla'!E60="","",'[3]Tasa de Falla'!E60)</f>
        <v>132</v>
      </c>
      <c r="F61" s="836">
        <f>IF('[3]Tasa de Falla'!F60="","",'[3]Tasa de Falla'!F60)</f>
        <v>41</v>
      </c>
      <c r="G61" s="837">
        <f>IF('[3]Tasa de Falla'!HP60="","",'[3]Tasa de Falla'!HP60)</f>
      </c>
      <c r="H61" s="837">
        <f>IF('[3]Tasa de Falla'!HQ60="","",'[3]Tasa de Falla'!HQ60)</f>
      </c>
      <c r="I61" s="837">
        <f>IF('[3]Tasa de Falla'!HR60="","",'[3]Tasa de Falla'!HR60)</f>
      </c>
      <c r="J61" s="837">
        <f>IF('[3]Tasa de Falla'!HS60="","",'[3]Tasa de Falla'!HS60)</f>
      </c>
      <c r="K61" s="837">
        <f>IF('[3]Tasa de Falla'!HT60="","",'[3]Tasa de Falla'!HT60)</f>
      </c>
      <c r="L61" s="837">
        <f>IF('[3]Tasa de Falla'!HU60="","",'[3]Tasa de Falla'!HU60)</f>
      </c>
      <c r="M61" s="837">
        <f>IF('[3]Tasa de Falla'!HV60="","",'[3]Tasa de Falla'!HV60)</f>
      </c>
      <c r="N61" s="837">
        <f>IF('[3]Tasa de Falla'!HW60="","",'[3]Tasa de Falla'!HW60)</f>
      </c>
      <c r="O61" s="837">
        <f>IF('[3]Tasa de Falla'!HX60="","",'[3]Tasa de Falla'!HX60)</f>
      </c>
      <c r="P61" s="837">
        <f>IF('[3]Tasa de Falla'!HY60="","",'[3]Tasa de Falla'!HY60)</f>
      </c>
      <c r="Q61" s="837">
        <f>IF('[3]Tasa de Falla'!HZ60="","",'[3]Tasa de Falla'!HZ60)</f>
      </c>
      <c r="R61" s="837">
        <f>IF('[3]Tasa de Falla'!IA60="","",'[3]Tasa de Falla'!IA60)</f>
      </c>
      <c r="S61" s="835"/>
      <c r="T61" s="3"/>
    </row>
    <row r="62" spans="2:20" ht="15" customHeight="1">
      <c r="B62" s="2"/>
      <c r="C62" s="838">
        <f>IF('[3]Tasa de Falla'!C61="","",'[3]Tasa de Falla'!C61)</f>
        <v>33</v>
      </c>
      <c r="D62" s="838" t="str">
        <f>IF('[3]Tasa de Falla'!D61="","",'[3]Tasa de Falla'!D61)</f>
        <v>E.T. PATAGONIA - DIADEMA</v>
      </c>
      <c r="E62" s="838">
        <f>IF('[3]Tasa de Falla'!E61="","",'[3]Tasa de Falla'!E61)</f>
        <v>132</v>
      </c>
      <c r="F62" s="838">
        <f>IF('[3]Tasa de Falla'!F61="","",'[3]Tasa de Falla'!F61)</f>
        <v>15</v>
      </c>
      <c r="G62" s="839">
        <f>IF('[3]Tasa de Falla'!HP61="","",'[3]Tasa de Falla'!HP61)</f>
      </c>
      <c r="H62" s="839">
        <f>IF('[3]Tasa de Falla'!HQ61="","",'[3]Tasa de Falla'!HQ61)</f>
      </c>
      <c r="I62" s="839">
        <f>IF('[3]Tasa de Falla'!HR61="","",'[3]Tasa de Falla'!HR61)</f>
      </c>
      <c r="J62" s="839">
        <f>IF('[3]Tasa de Falla'!HS61="","",'[3]Tasa de Falla'!HS61)</f>
      </c>
      <c r="K62" s="839">
        <f>IF('[3]Tasa de Falla'!HT61="","",'[3]Tasa de Falla'!HT61)</f>
      </c>
      <c r="L62" s="839">
        <f>IF('[3]Tasa de Falla'!HU61="","",'[3]Tasa de Falla'!HU61)</f>
      </c>
      <c r="M62" s="839">
        <f>IF('[3]Tasa de Falla'!HV61="","",'[3]Tasa de Falla'!HV61)</f>
      </c>
      <c r="N62" s="839">
        <f>IF('[3]Tasa de Falla'!HW61="","",'[3]Tasa de Falla'!HW61)</f>
      </c>
      <c r="O62" s="839">
        <f>IF('[3]Tasa de Falla'!HX61="","",'[3]Tasa de Falla'!HX61)</f>
      </c>
      <c r="P62" s="839">
        <f>IF('[3]Tasa de Falla'!HY61="","",'[3]Tasa de Falla'!HY61)</f>
      </c>
      <c r="Q62" s="839">
        <f>IF('[3]Tasa de Falla'!HZ61="","",'[3]Tasa de Falla'!HZ61)</f>
      </c>
      <c r="R62" s="839">
        <f>IF('[3]Tasa de Falla'!IA61="","",'[3]Tasa de Falla'!IA61)</f>
      </c>
      <c r="S62" s="835"/>
      <c r="T62" s="3"/>
    </row>
    <row r="63" spans="2:20" ht="18" customHeight="1">
      <c r="B63" s="2"/>
      <c r="C63" s="836">
        <f>IF('[3]Tasa de Falla'!C62="","",'[3]Tasa de Falla'!C62)</f>
        <v>34</v>
      </c>
      <c r="D63" s="836" t="str">
        <f>IF('[3]Tasa de Falla'!D62="","",'[3]Tasa de Falla'!D62)</f>
        <v>DIADEMA - PAMAPA DEL CASTILLO</v>
      </c>
      <c r="E63" s="836">
        <f>IF('[3]Tasa de Falla'!E62="","",'[3]Tasa de Falla'!E62)</f>
        <v>132</v>
      </c>
      <c r="F63" s="836">
        <f>IF('[3]Tasa de Falla'!F62="","",'[3]Tasa de Falla'!F62)</f>
        <v>27.6</v>
      </c>
      <c r="G63" s="837">
        <f>IF('[3]Tasa de Falla'!HP62="","",'[3]Tasa de Falla'!HP62)</f>
      </c>
      <c r="H63" s="837">
        <f>IF('[3]Tasa de Falla'!HQ62="","",'[3]Tasa de Falla'!HQ62)</f>
      </c>
      <c r="I63" s="837">
        <f>IF('[3]Tasa de Falla'!HR62="","",'[3]Tasa de Falla'!HR62)</f>
      </c>
      <c r="J63" s="837">
        <f>IF('[3]Tasa de Falla'!HS62="","",'[3]Tasa de Falla'!HS62)</f>
      </c>
      <c r="K63" s="837">
        <f>IF('[3]Tasa de Falla'!HT62="","",'[3]Tasa de Falla'!HT62)</f>
      </c>
      <c r="L63" s="837">
        <f>IF('[3]Tasa de Falla'!HU62="","",'[3]Tasa de Falla'!HU62)</f>
      </c>
      <c r="M63" s="837">
        <f>IF('[3]Tasa de Falla'!HV62="","",'[3]Tasa de Falla'!HV62)</f>
      </c>
      <c r="N63" s="837">
        <f>IF('[3]Tasa de Falla'!HW62="","",'[3]Tasa de Falla'!HW62)</f>
        <v>1</v>
      </c>
      <c r="O63" s="837">
        <f>IF('[3]Tasa de Falla'!HX62="","",'[3]Tasa de Falla'!HX62)</f>
      </c>
      <c r="P63" s="837">
        <f>IF('[3]Tasa de Falla'!HY62="","",'[3]Tasa de Falla'!HY62)</f>
      </c>
      <c r="Q63" s="837">
        <f>IF('[3]Tasa de Falla'!HZ62="","",'[3]Tasa de Falla'!HZ62)</f>
      </c>
      <c r="R63" s="837">
        <f>IF('[3]Tasa de Falla'!IA62="","",'[3]Tasa de Falla'!IA62)</f>
      </c>
      <c r="S63" s="835"/>
      <c r="T63" s="3"/>
    </row>
    <row r="64" spans="2:20" ht="15" customHeight="1">
      <c r="B64" s="2"/>
      <c r="C64" s="838">
        <f>IF('[3]Tasa de Falla'!C63="","",'[3]Tasa de Falla'!C63)</f>
        <v>29</v>
      </c>
      <c r="D64" s="838" t="str">
        <f>IF('[3]Tasa de Falla'!D63="","",'[3]Tasa de Falla'!D63)</f>
        <v>ESQUEL-EL COHIUE</v>
      </c>
      <c r="E64" s="838">
        <f>IF('[3]Tasa de Falla'!E63="","",'[3]Tasa de Falla'!E63)</f>
        <v>132</v>
      </c>
      <c r="F64" s="838">
        <f>IF('[3]Tasa de Falla'!F63="","",'[3]Tasa de Falla'!F63)</f>
        <v>127.98</v>
      </c>
      <c r="G64" s="839">
        <f>IF('[3]Tasa de Falla'!HP63="","",'[3]Tasa de Falla'!HP63)</f>
      </c>
      <c r="H64" s="839">
        <f>IF('[3]Tasa de Falla'!HQ63="","",'[3]Tasa de Falla'!HQ63)</f>
      </c>
      <c r="I64" s="839">
        <f>IF('[3]Tasa de Falla'!HR63="","",'[3]Tasa de Falla'!HR63)</f>
      </c>
      <c r="J64" s="839">
        <f>IF('[3]Tasa de Falla'!HS63="","",'[3]Tasa de Falla'!HS63)</f>
      </c>
      <c r="K64" s="839">
        <f>IF('[3]Tasa de Falla'!HT63="","",'[3]Tasa de Falla'!HT63)</f>
      </c>
      <c r="L64" s="839">
        <f>IF('[3]Tasa de Falla'!HU63="","",'[3]Tasa de Falla'!HU63)</f>
      </c>
      <c r="M64" s="839">
        <f>IF('[3]Tasa de Falla'!HV63="","",'[3]Tasa de Falla'!HV63)</f>
        <v>1</v>
      </c>
      <c r="N64" s="839">
        <f>IF('[3]Tasa de Falla'!HW63="","",'[3]Tasa de Falla'!HW63)</f>
      </c>
      <c r="O64" s="839">
        <f>IF('[3]Tasa de Falla'!HX63="","",'[3]Tasa de Falla'!HX63)</f>
        <v>1</v>
      </c>
      <c r="P64" s="839">
        <f>IF('[3]Tasa de Falla'!HY63="","",'[3]Tasa de Falla'!HY63)</f>
      </c>
      <c r="Q64" s="839">
        <f>IF('[3]Tasa de Falla'!HZ63="","",'[3]Tasa de Falla'!HZ63)</f>
      </c>
      <c r="R64" s="839">
        <f>IF('[3]Tasa de Falla'!IA63="","",'[3]Tasa de Falla'!IA63)</f>
      </c>
      <c r="S64" s="835"/>
      <c r="T64" s="3"/>
    </row>
    <row r="65" spans="2:20" ht="18" customHeight="1">
      <c r="B65" s="2"/>
      <c r="C65" s="836">
        <f>IF('[2]Tasa de Falla'!C63=0,"",'[2]Tasa de Falla'!C63)</f>
      </c>
      <c r="D65" s="836">
        <f>IF('[2]Tasa de Falla'!D63=0,"",'[2]Tasa de Falla'!D63)</f>
      </c>
      <c r="E65" s="836">
        <f>IF('[2]Tasa de Falla'!E63=0,"",'[2]Tasa de Falla'!E63)</f>
      </c>
      <c r="F65" s="836">
        <f>IF('[2]Tasa de Falla'!F63=0,"",'[2]Tasa de Falla'!F63)</f>
      </c>
      <c r="G65" s="837">
        <f>IF('[3]Tasa de Falla'!HP64="","",'[3]Tasa de Falla'!HP64)</f>
      </c>
      <c r="H65" s="837">
        <f>IF('[3]Tasa de Falla'!HQ64="","",'[3]Tasa de Falla'!HQ64)</f>
      </c>
      <c r="I65" s="837">
        <f>IF('[3]Tasa de Falla'!HR64="","",'[3]Tasa de Falla'!HR64)</f>
      </c>
      <c r="J65" s="837">
        <f>IF('[3]Tasa de Falla'!HS64="","",'[3]Tasa de Falla'!HS64)</f>
      </c>
      <c r="K65" s="837">
        <f>IF('[3]Tasa de Falla'!HT64="","",'[3]Tasa de Falla'!HT64)</f>
      </c>
      <c r="L65" s="837">
        <f>IF('[3]Tasa de Falla'!HU64="","",'[3]Tasa de Falla'!HU64)</f>
      </c>
      <c r="M65" s="837">
        <f>IF('[3]Tasa de Falla'!HV64="","",'[3]Tasa de Falla'!HV64)</f>
      </c>
      <c r="N65" s="837">
        <f>IF('[3]Tasa de Falla'!HW64="","",'[3]Tasa de Falla'!HW64)</f>
      </c>
      <c r="O65" s="837">
        <f>IF('[3]Tasa de Falla'!HX64="","",'[3]Tasa de Falla'!HX64)</f>
      </c>
      <c r="P65" s="837">
        <f>IF('[3]Tasa de Falla'!HY64="","",'[3]Tasa de Falla'!HY64)</f>
      </c>
      <c r="Q65" s="837">
        <f>IF('[3]Tasa de Falla'!HZ64="","",'[3]Tasa de Falla'!HZ64)</f>
      </c>
      <c r="R65" s="837">
        <f>IF('[3]Tasa de Falla'!IA64="","",'[3]Tasa de Falla'!IA64)</f>
      </c>
      <c r="S65" s="835"/>
      <c r="T65" s="3"/>
    </row>
    <row r="66" spans="2:20" ht="15" customHeight="1">
      <c r="B66" s="2"/>
      <c r="C66" s="838"/>
      <c r="D66" s="838">
        <f>IF('[2]Tasa de Falla'!D64=0,"",'[2]Tasa de Falla'!D64)</f>
      </c>
      <c r="E66" s="838">
        <f>IF('[2]Tasa de Falla'!E64=0,"",'[2]Tasa de Falla'!E64)</f>
      </c>
      <c r="F66" s="838">
        <f>IF('[2]Tasa de Falla'!F64=0,"",'[2]Tasa de Falla'!F64)</f>
      </c>
      <c r="G66" s="839">
        <f>IF('[3]Tasa de Falla'!HP65="","",'[3]Tasa de Falla'!HP65)</f>
      </c>
      <c r="H66" s="839">
        <f>IF('[3]Tasa de Falla'!HQ65="","",'[3]Tasa de Falla'!HQ65)</f>
      </c>
      <c r="I66" s="839">
        <f>IF('[3]Tasa de Falla'!HR65="","",'[3]Tasa de Falla'!HR65)</f>
      </c>
      <c r="J66" s="839">
        <f>IF('[3]Tasa de Falla'!HS65="","",'[3]Tasa de Falla'!HS65)</f>
      </c>
      <c r="K66" s="839">
        <f>IF('[3]Tasa de Falla'!HT65="","",'[3]Tasa de Falla'!HT65)</f>
      </c>
      <c r="L66" s="839">
        <f>IF('[3]Tasa de Falla'!HU65="","",'[3]Tasa de Falla'!HU65)</f>
      </c>
      <c r="M66" s="839">
        <f>IF('[3]Tasa de Falla'!HV65="","",'[3]Tasa de Falla'!HV65)</f>
      </c>
      <c r="N66" s="839">
        <f>IF('[3]Tasa de Falla'!HW65="","",'[3]Tasa de Falla'!HW65)</f>
      </c>
      <c r="O66" s="839">
        <f>IF('[3]Tasa de Falla'!HX65="","",'[3]Tasa de Falla'!HX65)</f>
      </c>
      <c r="P66" s="839">
        <f>IF('[3]Tasa de Falla'!HY65="","",'[3]Tasa de Falla'!HY65)</f>
      </c>
      <c r="Q66" s="839">
        <f>IF('[3]Tasa de Falla'!HZ65="","",'[3]Tasa de Falla'!HZ65)</f>
      </c>
      <c r="R66" s="839">
        <f>IF('[3]Tasa de Falla'!IA65="","",'[3]Tasa de Falla'!IA65)</f>
      </c>
      <c r="S66" s="835"/>
      <c r="T66" s="3"/>
    </row>
    <row r="67" spans="2:20" ht="15" customHeight="1" thickBot="1">
      <c r="B67" s="2"/>
      <c r="C67" s="840"/>
      <c r="D67" s="841"/>
      <c r="E67" s="842"/>
      <c r="F67" s="843"/>
      <c r="G67" s="843"/>
      <c r="H67" s="843"/>
      <c r="I67" s="843"/>
      <c r="J67" s="843"/>
      <c r="K67" s="843"/>
      <c r="L67" s="843"/>
      <c r="M67" s="843"/>
      <c r="N67" s="843"/>
      <c r="O67" s="843"/>
      <c r="P67" s="843"/>
      <c r="Q67" s="843"/>
      <c r="R67" s="843"/>
      <c r="S67" s="835"/>
      <c r="T67" s="3"/>
    </row>
    <row r="68" spans="2:20" ht="15" customHeight="1" thickBot="1" thickTop="1">
      <c r="B68" s="2"/>
      <c r="C68" s="77"/>
      <c r="D68" s="197"/>
      <c r="E68" s="844" t="s">
        <v>195</v>
      </c>
      <c r="F68" s="845">
        <f>SUM($F$17:$F$67)-SUMIF(R$17:R$67,"XXXX",$F$17:$F$67)</f>
        <v>2997.1499999999996</v>
      </c>
      <c r="G68" s="846"/>
      <c r="H68" s="846"/>
      <c r="I68" s="846"/>
      <c r="J68" s="846"/>
      <c r="K68" s="846"/>
      <c r="L68" s="846"/>
      <c r="M68" s="846"/>
      <c r="N68" s="846"/>
      <c r="O68" s="846"/>
      <c r="P68" s="846"/>
      <c r="Q68" s="846"/>
      <c r="R68" s="846"/>
      <c r="S68" s="835"/>
      <c r="T68" s="3"/>
    </row>
    <row r="69" spans="2:20" ht="15" customHeight="1" thickBot="1" thickTop="1">
      <c r="B69" s="2"/>
      <c r="C69" s="32"/>
      <c r="D69" s="39"/>
      <c r="E69" s="847"/>
      <c r="F69" s="848" t="s">
        <v>196</v>
      </c>
      <c r="G69" s="849">
        <f aca="true" t="shared" si="0" ref="G69:R69">SUM(G17:G66)</f>
        <v>2</v>
      </c>
      <c r="H69" s="849">
        <f t="shared" si="0"/>
        <v>4</v>
      </c>
      <c r="I69" s="849">
        <f t="shared" si="0"/>
        <v>2</v>
      </c>
      <c r="J69" s="849">
        <f t="shared" si="0"/>
        <v>1</v>
      </c>
      <c r="K69" s="849">
        <f t="shared" si="0"/>
        <v>5</v>
      </c>
      <c r="L69" s="849">
        <f t="shared" si="0"/>
        <v>0</v>
      </c>
      <c r="M69" s="849">
        <f t="shared" si="0"/>
        <v>1</v>
      </c>
      <c r="N69" s="849">
        <f t="shared" si="0"/>
        <v>4</v>
      </c>
      <c r="O69" s="849">
        <f t="shared" si="0"/>
        <v>3</v>
      </c>
      <c r="P69" s="849">
        <f t="shared" si="0"/>
        <v>0</v>
      </c>
      <c r="Q69" s="849">
        <f t="shared" si="0"/>
        <v>0</v>
      </c>
      <c r="R69" s="849">
        <f t="shared" si="0"/>
        <v>1</v>
      </c>
      <c r="S69" s="850"/>
      <c r="T69" s="3"/>
    </row>
    <row r="70" spans="2:20" ht="17.25" thickBot="1" thickTop="1">
      <c r="B70" s="2"/>
      <c r="C70" s="847"/>
      <c r="D70" s="847"/>
      <c r="E70" s="32"/>
      <c r="F70" s="851" t="s">
        <v>197</v>
      </c>
      <c r="G70" s="852">
        <f>'[3]Tasa de Falla'!HP73</f>
        <v>1</v>
      </c>
      <c r="H70" s="852">
        <f>'[3]Tasa de Falla'!HQ73</f>
        <v>0.87</v>
      </c>
      <c r="I70" s="852">
        <f>'[3]Tasa de Falla'!HR73</f>
        <v>0.83</v>
      </c>
      <c r="J70" s="852">
        <f>'[3]Tasa de Falla'!HS73</f>
        <v>0.77</v>
      </c>
      <c r="K70" s="852">
        <f>'[3]Tasa de Falla'!HT73</f>
        <v>0.73</v>
      </c>
      <c r="L70" s="852">
        <f>'[3]Tasa de Falla'!HU73</f>
        <v>0.9</v>
      </c>
      <c r="M70" s="852">
        <f>'[3]Tasa de Falla'!HV73</f>
        <v>0.83</v>
      </c>
      <c r="N70" s="852">
        <f>'[3]Tasa de Falla'!HW73</f>
        <v>0.8</v>
      </c>
      <c r="O70" s="852">
        <f>'[3]Tasa de Falla'!HX73</f>
        <v>0.9</v>
      </c>
      <c r="P70" s="852">
        <f>'[3]Tasa de Falla'!HY73</f>
        <v>0.9</v>
      </c>
      <c r="Q70" s="852">
        <f>'[3]Tasa de Falla'!HZ73</f>
        <v>0.9</v>
      </c>
      <c r="R70" s="852">
        <f>'[3]Tasa de Falla'!IA73</f>
        <v>0.8</v>
      </c>
      <c r="S70" s="852">
        <f>SUM(G69:R69)/F68*100</f>
        <v>0.7673956925746126</v>
      </c>
      <c r="T70" s="3"/>
    </row>
    <row r="71" spans="2:20" ht="18.75" customHeight="1" thickBot="1" thickTop="1">
      <c r="B71" s="2"/>
      <c r="C71" s="853" t="s">
        <v>198</v>
      </c>
      <c r="D71" s="32" t="s">
        <v>199</v>
      </c>
      <c r="E71" s="854"/>
      <c r="F71" s="855"/>
      <c r="G71" s="856"/>
      <c r="H71" s="856"/>
      <c r="I71" s="856"/>
      <c r="J71" s="856"/>
      <c r="K71" s="856"/>
      <c r="L71" s="856"/>
      <c r="M71" s="856"/>
      <c r="N71" s="856"/>
      <c r="O71" s="856"/>
      <c r="P71" s="856"/>
      <c r="Q71" s="856"/>
      <c r="R71" s="856"/>
      <c r="S71" s="856"/>
      <c r="T71" s="63"/>
    </row>
    <row r="72" spans="2:20" ht="17.25" thickBot="1" thickTop="1">
      <c r="B72" s="857"/>
      <c r="C72" s="858"/>
      <c r="D72" s="858"/>
      <c r="H72" s="865" t="s">
        <v>200</v>
      </c>
      <c r="I72" s="866"/>
      <c r="J72" s="859">
        <f>S70</f>
        <v>0.7673956925746126</v>
      </c>
      <c r="K72" s="867" t="s">
        <v>201</v>
      </c>
      <c r="L72" s="867"/>
      <c r="M72" s="868"/>
      <c r="N72" s="858"/>
      <c r="O72" s="858"/>
      <c r="P72" s="858"/>
      <c r="Q72" s="858"/>
      <c r="R72" s="858"/>
      <c r="S72" s="858"/>
      <c r="T72" s="3"/>
    </row>
    <row r="73" spans="2:20" ht="18.75" customHeight="1" thickBot="1" thickTop="1">
      <c r="B73" s="860"/>
      <c r="C73" s="861"/>
      <c r="D73" s="51"/>
      <c r="E73" s="51"/>
      <c r="F73" s="862"/>
      <c r="G73" s="863"/>
      <c r="H73" s="863"/>
      <c r="I73" s="863"/>
      <c r="J73" s="863"/>
      <c r="K73" s="863"/>
      <c r="L73" s="863"/>
      <c r="M73" s="863"/>
      <c r="N73" s="863"/>
      <c r="O73" s="863"/>
      <c r="P73" s="863"/>
      <c r="Q73" s="863"/>
      <c r="R73" s="863"/>
      <c r="S73" s="863"/>
      <c r="T73" s="864"/>
    </row>
    <row r="74" ht="13.5" thickTop="1"/>
  </sheetData>
  <sheetProtection/>
  <mergeCells count="2">
    <mergeCell ref="H72:I72"/>
    <mergeCell ref="K72:M72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A22" sqref="A22:IV26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6.2812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25" customFormat="1" ht="26.25">
      <c r="AB1" s="473"/>
    </row>
    <row r="2" spans="2:28" s="125" customFormat="1" ht="26.25">
      <c r="B2" s="126" t="str">
        <f>+'TOT-1213'!B2</f>
        <v>ANEXO VI al Memorándum  D.T.E.E.  N°       598    / 2014.-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3" s="128" customFormat="1" ht="11.25">
      <c r="A4" s="763" t="s">
        <v>17</v>
      </c>
      <c r="C4" s="762"/>
    </row>
    <row r="5" spans="1:3" s="128" customFormat="1" ht="11.25">
      <c r="A5" s="763" t="s">
        <v>143</v>
      </c>
      <c r="C5" s="762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41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42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0" customFormat="1" ht="20.25">
      <c r="A12" s="47"/>
      <c r="B12" s="129"/>
      <c r="C12" s="47"/>
      <c r="D12" s="47"/>
      <c r="E12" s="47"/>
      <c r="F12" s="23" t="s">
        <v>43</v>
      </c>
      <c r="G12" s="23"/>
      <c r="H12" s="47"/>
      <c r="I12" s="132"/>
      <c r="J12" s="132"/>
      <c r="K12" s="132"/>
      <c r="L12" s="132"/>
      <c r="M12" s="132"/>
      <c r="N12" s="132"/>
      <c r="O12" s="13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31"/>
    </row>
    <row r="13" spans="1:28" s="12" customFormat="1" ht="12.75">
      <c r="A13" s="10"/>
      <c r="B13" s="46"/>
      <c r="C13" s="10"/>
      <c r="D13" s="10"/>
      <c r="E13" s="10"/>
      <c r="F13" s="141"/>
      <c r="G13" s="139"/>
      <c r="H13" s="10"/>
      <c r="I13" s="138"/>
      <c r="J13" s="138"/>
      <c r="K13" s="138"/>
      <c r="L13" s="138"/>
      <c r="M13" s="138"/>
      <c r="N13" s="138"/>
      <c r="O13" s="13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</row>
    <row r="14" spans="1:28" s="137" customFormat="1" ht="19.5">
      <c r="A14" s="49"/>
      <c r="B14" s="103" t="str">
        <f>+'TOT-1213'!B14</f>
        <v>Desde el 01 al 31 de diciembre de 2013</v>
      </c>
      <c r="C14" s="133"/>
      <c r="D14" s="133"/>
      <c r="E14" s="133"/>
      <c r="F14" s="133"/>
      <c r="G14" s="134"/>
      <c r="H14" s="134"/>
      <c r="I14" s="135"/>
      <c r="J14" s="135"/>
      <c r="K14" s="135"/>
      <c r="L14" s="135"/>
      <c r="M14" s="135"/>
      <c r="N14" s="135"/>
      <c r="O14" s="135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6"/>
    </row>
    <row r="15" spans="1:28" s="12" customFormat="1" ht="13.5" thickBot="1">
      <c r="A15" s="10"/>
      <c r="B15" s="46"/>
      <c r="C15" s="10"/>
      <c r="D15" s="10"/>
      <c r="E15" s="10"/>
      <c r="F15" s="10"/>
      <c r="G15" s="139"/>
      <c r="H15" s="140"/>
      <c r="I15" s="138"/>
      <c r="J15" s="138"/>
      <c r="K15" s="138"/>
      <c r="L15" s="138"/>
      <c r="M15" s="138"/>
      <c r="N15" s="138"/>
      <c r="O15" s="13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</row>
    <row r="16" spans="1:28" s="111" customFormat="1" ht="16.5" customHeight="1" thickBot="1" thickTop="1">
      <c r="A16" s="107"/>
      <c r="B16" s="108"/>
      <c r="C16" s="107"/>
      <c r="D16" s="107"/>
      <c r="E16" s="107"/>
      <c r="F16" s="565" t="s">
        <v>44</v>
      </c>
      <c r="G16" s="566">
        <v>152.18335912113</v>
      </c>
      <c r="H16" s="567"/>
      <c r="I16" s="112"/>
      <c r="J16" s="112"/>
      <c r="K16" s="112"/>
      <c r="L16" s="112"/>
      <c r="M16" s="112"/>
      <c r="N16" s="112"/>
      <c r="O16" s="112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16.5" customHeight="1" thickBot="1" thickTop="1">
      <c r="A17" s="107"/>
      <c r="B17" s="108"/>
      <c r="C17" s="107"/>
      <c r="D17" s="107"/>
      <c r="E17" s="107"/>
      <c r="F17" s="565" t="s">
        <v>45</v>
      </c>
      <c r="G17" s="566">
        <v>145.41960366333</v>
      </c>
      <c r="H17" s="568"/>
      <c r="I17" s="107"/>
      <c r="K17" s="113" t="s">
        <v>46</v>
      </c>
      <c r="L17" s="114">
        <f>30*'TOT-1213'!B13</f>
        <v>30</v>
      </c>
      <c r="M17" s="272" t="str">
        <f>IF(L17=30," ",IF(L17=60,"Coeficiente duplicado por tasa de falla &gt;4 Sal. x año/100 km.","REVISAR COEFICIENTE"))</f>
        <v> 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790" customFormat="1" ht="14.25" thickBot="1" thickTop="1">
      <c r="A18" s="786"/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8">
        <v>23</v>
      </c>
      <c r="X18" s="788">
        <v>24</v>
      </c>
      <c r="Y18" s="788">
        <v>25</v>
      </c>
      <c r="Z18" s="788">
        <v>26</v>
      </c>
      <c r="AA18" s="788">
        <v>27</v>
      </c>
      <c r="AB18" s="789"/>
    </row>
    <row r="19" spans="1:28" s="124" customFormat="1" ht="33.75" customHeight="1" thickBot="1" thickTop="1">
      <c r="A19" s="115"/>
      <c r="B19" s="116"/>
      <c r="C19" s="117" t="s">
        <v>47</v>
      </c>
      <c r="D19" s="117" t="s">
        <v>142</v>
      </c>
      <c r="E19" s="117" t="s">
        <v>141</v>
      </c>
      <c r="F19" s="118" t="s">
        <v>20</v>
      </c>
      <c r="G19" s="119" t="s">
        <v>48</v>
      </c>
      <c r="H19" s="120" t="s">
        <v>49</v>
      </c>
      <c r="I19" s="303" t="s">
        <v>50</v>
      </c>
      <c r="J19" s="118" t="s">
        <v>51</v>
      </c>
      <c r="K19" s="118" t="s">
        <v>52</v>
      </c>
      <c r="L19" s="119" t="s">
        <v>53</v>
      </c>
      <c r="M19" s="119" t="s">
        <v>54</v>
      </c>
      <c r="N19" s="121" t="s">
        <v>55</v>
      </c>
      <c r="O19" s="119" t="s">
        <v>56</v>
      </c>
      <c r="P19" s="333" t="s">
        <v>57</v>
      </c>
      <c r="Q19" s="336" t="s">
        <v>58</v>
      </c>
      <c r="R19" s="339" t="s">
        <v>59</v>
      </c>
      <c r="S19" s="340"/>
      <c r="T19" s="341"/>
      <c r="U19" s="350" t="s">
        <v>60</v>
      </c>
      <c r="V19" s="351"/>
      <c r="W19" s="352"/>
      <c r="X19" s="360" t="s">
        <v>61</v>
      </c>
      <c r="Y19" s="363" t="s">
        <v>62</v>
      </c>
      <c r="Z19" s="122" t="s">
        <v>63</v>
      </c>
      <c r="AA19" s="122" t="s">
        <v>64</v>
      </c>
      <c r="AB19" s="123"/>
    </row>
    <row r="20" spans="1:28" ht="16.5" customHeight="1" thickTop="1">
      <c r="A20" s="1"/>
      <c r="B20" s="2"/>
      <c r="C20" s="53"/>
      <c r="D20" s="761"/>
      <c r="E20" s="761"/>
      <c r="F20" s="470"/>
      <c r="G20" s="55"/>
      <c r="H20" s="55"/>
      <c r="I20" s="458"/>
      <c r="J20" s="55"/>
      <c r="K20" s="56"/>
      <c r="L20" s="56"/>
      <c r="M20" s="56"/>
      <c r="N20" s="54"/>
      <c r="O20" s="55"/>
      <c r="P20" s="334"/>
      <c r="Q20" s="337"/>
      <c r="R20" s="342"/>
      <c r="S20" s="343"/>
      <c r="T20" s="344"/>
      <c r="U20" s="353"/>
      <c r="V20" s="354"/>
      <c r="W20" s="355"/>
      <c r="X20" s="361"/>
      <c r="Y20" s="364"/>
      <c r="Z20" s="348"/>
      <c r="AA20" s="471"/>
      <c r="AB20" s="3"/>
    </row>
    <row r="21" spans="1:28" ht="16.5" customHeight="1">
      <c r="A21" s="1"/>
      <c r="B21" s="2"/>
      <c r="C21" s="591"/>
      <c r="D21" s="759"/>
      <c r="E21" s="759"/>
      <c r="F21" s="591"/>
      <c r="G21" s="592"/>
      <c r="H21" s="592"/>
      <c r="I21" s="459"/>
      <c r="J21" s="591"/>
      <c r="K21" s="593"/>
      <c r="L21" s="106"/>
      <c r="M21" s="106"/>
      <c r="N21" s="594"/>
      <c r="O21" s="591"/>
      <c r="P21" s="595"/>
      <c r="Q21" s="596"/>
      <c r="R21" s="597"/>
      <c r="S21" s="598"/>
      <c r="T21" s="599"/>
      <c r="U21" s="600"/>
      <c r="V21" s="601"/>
      <c r="W21" s="602"/>
      <c r="X21" s="603"/>
      <c r="Y21" s="604"/>
      <c r="Z21" s="605"/>
      <c r="AA21" s="106"/>
      <c r="AB21" s="3"/>
    </row>
    <row r="22" spans="1:28" ht="16.5" customHeight="1">
      <c r="A22" s="1"/>
      <c r="B22" s="2"/>
      <c r="C22" s="569">
        <v>1</v>
      </c>
      <c r="D22" s="569">
        <v>268805</v>
      </c>
      <c r="E22" s="569">
        <v>2037</v>
      </c>
      <c r="F22" s="570" t="s">
        <v>147</v>
      </c>
      <c r="G22" s="571">
        <v>132</v>
      </c>
      <c r="H22" s="572">
        <v>9.430000305175781</v>
      </c>
      <c r="I22" s="460">
        <f>IF(H22&gt;25,H22,25)*IF(G22=330,$G$16,$G$17)/100</f>
        <v>36.3549009158325</v>
      </c>
      <c r="J22" s="577">
        <v>41616.225</v>
      </c>
      <c r="K22" s="577">
        <v>41616.53194444445</v>
      </c>
      <c r="L22" s="15">
        <f>IF(F22="","",(K22-J22)*24)</f>
        <v>7.366666666755918</v>
      </c>
      <c r="M22" s="16">
        <f>IF(F22="","",ROUND((K22-J22)*24*60,0))</f>
        <v>442</v>
      </c>
      <c r="N22" s="578" t="s">
        <v>148</v>
      </c>
      <c r="O22" s="781" t="s">
        <v>150</v>
      </c>
      <c r="P22" s="766">
        <f>IF(N22="P",ROUND(M22/60,2)*I22*$L$17*0.01,"--")</f>
        <v>80.38068592490566</v>
      </c>
      <c r="Q22" s="767" t="str">
        <f>IF(N22="RP",ROUND(M22/60,2)*I22*$L$17*0.01*O22/100,"--")</f>
        <v>--</v>
      </c>
      <c r="R22" s="768" t="str">
        <f>IF(N22="F",I22*$L$17,"--")</f>
        <v>--</v>
      </c>
      <c r="S22" s="769" t="str">
        <f>IF(AND(M22&gt;10,N22="F"),I22*$L$17*IF(M22&gt;180,3,ROUND(M22/60,2)),"--")</f>
        <v>--</v>
      </c>
      <c r="T22" s="770" t="str">
        <f>IF(AND(M22&gt;180,N22="F"),(ROUND(M22/60,2)-3)*I22*$L$17*0.1,"--")</f>
        <v>--</v>
      </c>
      <c r="U22" s="771" t="str">
        <f>IF(N22="R",I22*$L$17*O22/100,"--")</f>
        <v>--</v>
      </c>
      <c r="V22" s="772" t="str">
        <f>IF(AND(M22&gt;10,N22="R"),I22*$L$17*O22/100*IF(M22&gt;180,3,ROUND(M22/60,2)),"--")</f>
        <v>--</v>
      </c>
      <c r="W22" s="773" t="str">
        <f>IF(AND(M22&gt;180,N22="R"),(ROUND(M22/60,2)-3)*O22/100*I22*$L$17*0.1,"--")</f>
        <v>--</v>
      </c>
      <c r="X22" s="774" t="str">
        <f>IF(N22="RF",ROUND(M22/60,2)*I22*$L$17*0.1,"--")</f>
        <v>--</v>
      </c>
      <c r="Y22" s="775" t="str">
        <f>IF(N22="RR",ROUND(M22/60,2)*O22/100*I22*$L$17*0.1,"--")</f>
        <v>--</v>
      </c>
      <c r="Z22" s="776" t="s">
        <v>149</v>
      </c>
      <c r="AA22" s="57">
        <f>IF(F22="","",SUM(P22:Y22)*IF(Z22="SI",1,2))</f>
        <v>80.38068592490566</v>
      </c>
      <c r="AB22" s="3"/>
    </row>
    <row r="23" spans="1:28" ht="16.5" customHeight="1">
      <c r="A23" s="1"/>
      <c r="B23" s="2"/>
      <c r="C23" s="569">
        <v>2</v>
      </c>
      <c r="D23" s="569">
        <v>269068</v>
      </c>
      <c r="E23" s="569">
        <v>4748</v>
      </c>
      <c r="F23" s="570" t="s">
        <v>151</v>
      </c>
      <c r="G23" s="571">
        <v>132</v>
      </c>
      <c r="H23" s="572">
        <v>21.799999237060547</v>
      </c>
      <c r="I23" s="460">
        <f aca="true" t="shared" si="0" ref="I23:I38">IF(H23&gt;25,H23,25)*IF(G23=330,$G$16,$G$17)/100</f>
        <v>36.3549009158325</v>
      </c>
      <c r="J23" s="577">
        <v>41617.225694444445</v>
      </c>
      <c r="K23" s="577">
        <v>41617.30694444444</v>
      </c>
      <c r="L23" s="15">
        <f aca="true" t="shared" si="1" ref="L23:L38">IF(F23="","",(K23-J23)*24)</f>
        <v>1.9499999998952262</v>
      </c>
      <c r="M23" s="16">
        <f aca="true" t="shared" si="2" ref="M23:M38">IF(F23="","",ROUND((K23-J23)*24*60,0))</f>
        <v>117</v>
      </c>
      <c r="N23" s="578" t="s">
        <v>152</v>
      </c>
      <c r="O23" s="781" t="s">
        <v>150</v>
      </c>
      <c r="P23" s="766" t="str">
        <f aca="true" t="shared" si="3" ref="P23:P38">IF(N23="P",ROUND(M23/60,2)*I23*$L$17*0.01,"--")</f>
        <v>--</v>
      </c>
      <c r="Q23" s="767" t="str">
        <f aca="true" t="shared" si="4" ref="Q23:Q38">IF(N23="RP",ROUND(M23/60,2)*I23*$L$17*0.01*O23/100,"--")</f>
        <v>--</v>
      </c>
      <c r="R23" s="768">
        <f aca="true" t="shared" si="5" ref="R23:R38">IF(N23="F",I23*$L$17,"--")</f>
        <v>1090.647027474975</v>
      </c>
      <c r="S23" s="769">
        <f aca="true" t="shared" si="6" ref="S23:S38">IF(AND(M23&gt;10,N23="F"),I23*$L$17*IF(M23&gt;180,3,ROUND(M23/60,2)),"--")</f>
        <v>2126.761703576201</v>
      </c>
      <c r="T23" s="770" t="str">
        <f aca="true" t="shared" si="7" ref="T23:T38">IF(AND(M23&gt;180,N23="F"),(ROUND(M23/60,2)-3)*I23*$L$17*0.1,"--")</f>
        <v>--</v>
      </c>
      <c r="U23" s="771" t="str">
        <f aca="true" t="shared" si="8" ref="U23:U38">IF(N23="R",I23*$L$17*O23/100,"--")</f>
        <v>--</v>
      </c>
      <c r="V23" s="772" t="str">
        <f aca="true" t="shared" si="9" ref="V23:V38">IF(AND(M23&gt;10,N23="R"),I23*$L$17*O23/100*IF(M23&gt;180,3,ROUND(M23/60,2)),"--")</f>
        <v>--</v>
      </c>
      <c r="W23" s="773" t="str">
        <f aca="true" t="shared" si="10" ref="W23:W38">IF(AND(M23&gt;180,N23="R"),(ROUND(M23/60,2)-3)*O23/100*I23*$L$17*0.1,"--")</f>
        <v>--</v>
      </c>
      <c r="X23" s="774" t="str">
        <f aca="true" t="shared" si="11" ref="X23:X38">IF(N23="RF",ROUND(M23/60,2)*I23*$L$17*0.1,"--")</f>
        <v>--</v>
      </c>
      <c r="Y23" s="775" t="str">
        <f aca="true" t="shared" si="12" ref="Y23:Y38">IF(N23="RR",ROUND(M23/60,2)*O23/100*I23*$L$17*0.1,"--")</f>
        <v>--</v>
      </c>
      <c r="Z23" s="776" t="s">
        <v>149</v>
      </c>
      <c r="AA23" s="57">
        <f aca="true" t="shared" si="13" ref="AA23:AA38">IF(F23="","",SUM(P23:Y23)*IF(Z23="SI",1,2))</f>
        <v>3217.408731051176</v>
      </c>
      <c r="AB23" s="3"/>
    </row>
    <row r="24" spans="1:28" ht="16.5" customHeight="1">
      <c r="A24" s="1"/>
      <c r="B24" s="2"/>
      <c r="C24" s="569">
        <v>3</v>
      </c>
      <c r="D24" s="569">
        <v>269241</v>
      </c>
      <c r="E24" s="569">
        <v>1628</v>
      </c>
      <c r="F24" s="570" t="s">
        <v>153</v>
      </c>
      <c r="G24" s="571">
        <v>132</v>
      </c>
      <c r="H24" s="572">
        <v>112</v>
      </c>
      <c r="I24" s="460">
        <f t="shared" si="0"/>
        <v>162.86995610292962</v>
      </c>
      <c r="J24" s="577">
        <v>41625.29583333333</v>
      </c>
      <c r="K24" s="577">
        <v>41625.39444444444</v>
      </c>
      <c r="L24" s="15">
        <f t="shared" si="1"/>
        <v>2.3666666666977108</v>
      </c>
      <c r="M24" s="16">
        <f t="shared" si="2"/>
        <v>142</v>
      </c>
      <c r="N24" s="578" t="s">
        <v>148</v>
      </c>
      <c r="O24" s="781" t="s">
        <v>150</v>
      </c>
      <c r="P24" s="766">
        <f t="shared" si="3"/>
        <v>115.80053878918295</v>
      </c>
      <c r="Q24" s="767" t="str">
        <f t="shared" si="4"/>
        <v>--</v>
      </c>
      <c r="R24" s="768" t="str">
        <f t="shared" si="5"/>
        <v>--</v>
      </c>
      <c r="S24" s="769" t="str">
        <f t="shared" si="6"/>
        <v>--</v>
      </c>
      <c r="T24" s="770" t="str">
        <f t="shared" si="7"/>
        <v>--</v>
      </c>
      <c r="U24" s="771" t="str">
        <f t="shared" si="8"/>
        <v>--</v>
      </c>
      <c r="V24" s="772" t="str">
        <f t="shared" si="9"/>
        <v>--</v>
      </c>
      <c r="W24" s="773" t="str">
        <f t="shared" si="10"/>
        <v>--</v>
      </c>
      <c r="X24" s="774" t="str">
        <f t="shared" si="11"/>
        <v>--</v>
      </c>
      <c r="Y24" s="775" t="str">
        <f t="shared" si="12"/>
        <v>--</v>
      </c>
      <c r="Z24" s="776" t="s">
        <v>149</v>
      </c>
      <c r="AA24" s="57">
        <f t="shared" si="13"/>
        <v>115.80053878918295</v>
      </c>
      <c r="AB24" s="3"/>
    </row>
    <row r="25" spans="1:28" ht="16.5" customHeight="1">
      <c r="A25" s="1"/>
      <c r="B25" s="2"/>
      <c r="C25" s="569">
        <v>4</v>
      </c>
      <c r="D25" s="569">
        <v>269242</v>
      </c>
      <c r="E25" s="569">
        <v>1628</v>
      </c>
      <c r="F25" s="570" t="s">
        <v>153</v>
      </c>
      <c r="G25" s="571">
        <v>132</v>
      </c>
      <c r="H25" s="572">
        <v>112</v>
      </c>
      <c r="I25" s="460">
        <f t="shared" si="0"/>
        <v>162.86995610292962</v>
      </c>
      <c r="J25" s="577">
        <v>41625.53055555555</v>
      </c>
      <c r="K25" s="577">
        <v>41625.677083333336</v>
      </c>
      <c r="L25" s="15">
        <f t="shared" si="1"/>
        <v>3.5166666667792015</v>
      </c>
      <c r="M25" s="16">
        <f t="shared" si="2"/>
        <v>211</v>
      </c>
      <c r="N25" s="578" t="s">
        <v>148</v>
      </c>
      <c r="O25" s="781" t="s">
        <v>150</v>
      </c>
      <c r="P25" s="766">
        <f t="shared" si="3"/>
        <v>171.9906736446937</v>
      </c>
      <c r="Q25" s="767" t="str">
        <f t="shared" si="4"/>
        <v>--</v>
      </c>
      <c r="R25" s="768" t="str">
        <f t="shared" si="5"/>
        <v>--</v>
      </c>
      <c r="S25" s="769" t="str">
        <f t="shared" si="6"/>
        <v>--</v>
      </c>
      <c r="T25" s="770" t="str">
        <f t="shared" si="7"/>
        <v>--</v>
      </c>
      <c r="U25" s="771" t="str">
        <f t="shared" si="8"/>
        <v>--</v>
      </c>
      <c r="V25" s="772" t="str">
        <f t="shared" si="9"/>
        <v>--</v>
      </c>
      <c r="W25" s="773" t="str">
        <f t="shared" si="10"/>
        <v>--</v>
      </c>
      <c r="X25" s="774" t="str">
        <f t="shared" si="11"/>
        <v>--</v>
      </c>
      <c r="Y25" s="775" t="str">
        <f t="shared" si="12"/>
        <v>--</v>
      </c>
      <c r="Z25" s="776" t="s">
        <v>149</v>
      </c>
      <c r="AA25" s="57">
        <f t="shared" si="13"/>
        <v>171.9906736446937</v>
      </c>
      <c r="AB25" s="3"/>
    </row>
    <row r="26" spans="1:28" ht="16.5" customHeight="1">
      <c r="A26" s="1"/>
      <c r="B26" s="2"/>
      <c r="C26" s="569">
        <v>5</v>
      </c>
      <c r="D26" s="569">
        <v>269244</v>
      </c>
      <c r="E26" s="569">
        <v>2034</v>
      </c>
      <c r="F26" s="570" t="s">
        <v>154</v>
      </c>
      <c r="G26" s="571">
        <v>132</v>
      </c>
      <c r="H26" s="572">
        <v>299.6000061035156</v>
      </c>
      <c r="I26" s="460">
        <f t="shared" si="0"/>
        <v>435.677141451045</v>
      </c>
      <c r="J26" s="577">
        <v>41628.7125</v>
      </c>
      <c r="K26" s="577">
        <v>41628.919444444444</v>
      </c>
      <c r="L26" s="15">
        <f t="shared" si="1"/>
        <v>4.96666666661622</v>
      </c>
      <c r="M26" s="16">
        <f t="shared" si="2"/>
        <v>298</v>
      </c>
      <c r="N26" s="578" t="s">
        <v>152</v>
      </c>
      <c r="O26" s="781" t="s">
        <v>150</v>
      </c>
      <c r="P26" s="766" t="str">
        <f t="shared" si="3"/>
        <v>--</v>
      </c>
      <c r="Q26" s="767" t="str">
        <f t="shared" si="4"/>
        <v>--</v>
      </c>
      <c r="R26" s="768">
        <f t="shared" si="5"/>
        <v>13070.31424353135</v>
      </c>
      <c r="S26" s="769">
        <f t="shared" si="6"/>
        <v>39210.94273059405</v>
      </c>
      <c r="T26" s="770">
        <f t="shared" si="7"/>
        <v>2574.851905975676</v>
      </c>
      <c r="U26" s="771" t="str">
        <f t="shared" si="8"/>
        <v>--</v>
      </c>
      <c r="V26" s="772" t="str">
        <f t="shared" si="9"/>
        <v>--</v>
      </c>
      <c r="W26" s="773" t="str">
        <f t="shared" si="10"/>
        <v>--</v>
      </c>
      <c r="X26" s="774" t="str">
        <f t="shared" si="11"/>
        <v>--</v>
      </c>
      <c r="Y26" s="775" t="str">
        <f t="shared" si="12"/>
        <v>--</v>
      </c>
      <c r="Z26" s="776" t="s">
        <v>149</v>
      </c>
      <c r="AA26" s="57">
        <f t="shared" si="13"/>
        <v>54856.10888010107</v>
      </c>
      <c r="AB26" s="3"/>
    </row>
    <row r="27" spans="1:28" ht="16.5" customHeight="1">
      <c r="A27" s="1"/>
      <c r="B27" s="2"/>
      <c r="C27" s="569"/>
      <c r="D27" s="569"/>
      <c r="E27" s="569"/>
      <c r="F27" s="570"/>
      <c r="G27" s="571"/>
      <c r="H27" s="572"/>
      <c r="I27" s="460">
        <f t="shared" si="0"/>
        <v>36.3549009158325</v>
      </c>
      <c r="J27" s="577"/>
      <c r="K27" s="577"/>
      <c r="L27" s="15">
        <f t="shared" si="1"/>
      </c>
      <c r="M27" s="16">
        <f t="shared" si="2"/>
      </c>
      <c r="N27" s="578"/>
      <c r="O27" s="765">
        <f aca="true" t="shared" si="14" ref="O27:O38">IF(F27="","","--")</f>
      </c>
      <c r="P27" s="766" t="str">
        <f t="shared" si="3"/>
        <v>--</v>
      </c>
      <c r="Q27" s="767" t="str">
        <f t="shared" si="4"/>
        <v>--</v>
      </c>
      <c r="R27" s="768" t="str">
        <f t="shared" si="5"/>
        <v>--</v>
      </c>
      <c r="S27" s="769" t="str">
        <f t="shared" si="6"/>
        <v>--</v>
      </c>
      <c r="T27" s="770" t="str">
        <f t="shared" si="7"/>
        <v>--</v>
      </c>
      <c r="U27" s="771" t="str">
        <f t="shared" si="8"/>
        <v>--</v>
      </c>
      <c r="V27" s="772" t="str">
        <f t="shared" si="9"/>
        <v>--</v>
      </c>
      <c r="W27" s="773" t="str">
        <f t="shared" si="10"/>
        <v>--</v>
      </c>
      <c r="X27" s="774" t="str">
        <f t="shared" si="11"/>
        <v>--</v>
      </c>
      <c r="Y27" s="775" t="str">
        <f t="shared" si="12"/>
        <v>--</v>
      </c>
      <c r="Z27" s="776">
        <f aca="true" t="shared" si="15" ref="Z27:Z38">IF(F27="","","SI")</f>
      </c>
      <c r="AA27" s="57">
        <f t="shared" si="13"/>
      </c>
      <c r="AB27" s="3"/>
    </row>
    <row r="28" spans="1:28" ht="16.5" customHeight="1">
      <c r="A28" s="1"/>
      <c r="B28" s="2"/>
      <c r="C28" s="569"/>
      <c r="D28" s="569"/>
      <c r="E28" s="569"/>
      <c r="F28" s="570"/>
      <c r="G28" s="571"/>
      <c r="H28" s="572"/>
      <c r="I28" s="460">
        <f t="shared" si="0"/>
        <v>36.3549009158325</v>
      </c>
      <c r="J28" s="577"/>
      <c r="K28" s="577"/>
      <c r="L28" s="15">
        <f t="shared" si="1"/>
      </c>
      <c r="M28" s="16">
        <f t="shared" si="2"/>
      </c>
      <c r="N28" s="578"/>
      <c r="O28" s="765">
        <f t="shared" si="14"/>
      </c>
      <c r="P28" s="766" t="str">
        <f t="shared" si="3"/>
        <v>--</v>
      </c>
      <c r="Q28" s="767" t="str">
        <f t="shared" si="4"/>
        <v>--</v>
      </c>
      <c r="R28" s="768" t="str">
        <f t="shared" si="5"/>
        <v>--</v>
      </c>
      <c r="S28" s="769" t="str">
        <f t="shared" si="6"/>
        <v>--</v>
      </c>
      <c r="T28" s="770" t="str">
        <f t="shared" si="7"/>
        <v>--</v>
      </c>
      <c r="U28" s="771" t="str">
        <f t="shared" si="8"/>
        <v>--</v>
      </c>
      <c r="V28" s="772" t="str">
        <f t="shared" si="9"/>
        <v>--</v>
      </c>
      <c r="W28" s="773" t="str">
        <f t="shared" si="10"/>
        <v>--</v>
      </c>
      <c r="X28" s="774" t="str">
        <f t="shared" si="11"/>
        <v>--</v>
      </c>
      <c r="Y28" s="775" t="str">
        <f t="shared" si="12"/>
        <v>--</v>
      </c>
      <c r="Z28" s="776">
        <f t="shared" si="15"/>
      </c>
      <c r="AA28" s="57">
        <f t="shared" si="13"/>
      </c>
      <c r="AB28" s="3"/>
    </row>
    <row r="29" spans="1:28" ht="16.5" customHeight="1">
      <c r="A29" s="1"/>
      <c r="B29" s="2"/>
      <c r="C29" s="569"/>
      <c r="D29" s="569"/>
      <c r="E29" s="569"/>
      <c r="F29" s="570"/>
      <c r="G29" s="571"/>
      <c r="H29" s="572"/>
      <c r="I29" s="460">
        <f t="shared" si="0"/>
        <v>36.3549009158325</v>
      </c>
      <c r="J29" s="577"/>
      <c r="K29" s="577"/>
      <c r="L29" s="15">
        <f t="shared" si="1"/>
      </c>
      <c r="M29" s="16">
        <f t="shared" si="2"/>
      </c>
      <c r="N29" s="578"/>
      <c r="O29" s="765">
        <f t="shared" si="14"/>
      </c>
      <c r="P29" s="766" t="str">
        <f t="shared" si="3"/>
        <v>--</v>
      </c>
      <c r="Q29" s="767" t="str">
        <f t="shared" si="4"/>
        <v>--</v>
      </c>
      <c r="R29" s="768" t="str">
        <f t="shared" si="5"/>
        <v>--</v>
      </c>
      <c r="S29" s="769" t="str">
        <f t="shared" si="6"/>
        <v>--</v>
      </c>
      <c r="T29" s="770" t="str">
        <f t="shared" si="7"/>
        <v>--</v>
      </c>
      <c r="U29" s="771" t="str">
        <f t="shared" si="8"/>
        <v>--</v>
      </c>
      <c r="V29" s="772" t="str">
        <f t="shared" si="9"/>
        <v>--</v>
      </c>
      <c r="W29" s="773" t="str">
        <f t="shared" si="10"/>
        <v>--</v>
      </c>
      <c r="X29" s="774" t="str">
        <f t="shared" si="11"/>
        <v>--</v>
      </c>
      <c r="Y29" s="775" t="str">
        <f t="shared" si="12"/>
        <v>--</v>
      </c>
      <c r="Z29" s="776">
        <f t="shared" si="15"/>
      </c>
      <c r="AA29" s="57">
        <f t="shared" si="13"/>
      </c>
      <c r="AB29" s="3"/>
    </row>
    <row r="30" spans="1:28" ht="16.5" customHeight="1">
      <c r="A30" s="1"/>
      <c r="B30" s="2"/>
      <c r="C30" s="569"/>
      <c r="D30" s="569"/>
      <c r="E30" s="569"/>
      <c r="F30" s="570"/>
      <c r="G30" s="571"/>
      <c r="H30" s="572"/>
      <c r="I30" s="460">
        <f t="shared" si="0"/>
        <v>36.3549009158325</v>
      </c>
      <c r="J30" s="577"/>
      <c r="K30" s="577"/>
      <c r="L30" s="15">
        <f t="shared" si="1"/>
      </c>
      <c r="M30" s="16">
        <f t="shared" si="2"/>
      </c>
      <c r="N30" s="578"/>
      <c r="O30" s="765">
        <f t="shared" si="14"/>
      </c>
      <c r="P30" s="766" t="str">
        <f t="shared" si="3"/>
        <v>--</v>
      </c>
      <c r="Q30" s="767" t="str">
        <f t="shared" si="4"/>
        <v>--</v>
      </c>
      <c r="R30" s="768" t="str">
        <f t="shared" si="5"/>
        <v>--</v>
      </c>
      <c r="S30" s="769" t="str">
        <f t="shared" si="6"/>
        <v>--</v>
      </c>
      <c r="T30" s="770" t="str">
        <f t="shared" si="7"/>
        <v>--</v>
      </c>
      <c r="U30" s="771" t="str">
        <f t="shared" si="8"/>
        <v>--</v>
      </c>
      <c r="V30" s="772" t="str">
        <f t="shared" si="9"/>
        <v>--</v>
      </c>
      <c r="W30" s="773" t="str">
        <f t="shared" si="10"/>
        <v>--</v>
      </c>
      <c r="X30" s="774" t="str">
        <f t="shared" si="11"/>
        <v>--</v>
      </c>
      <c r="Y30" s="775" t="str">
        <f t="shared" si="12"/>
        <v>--</v>
      </c>
      <c r="Z30" s="776">
        <f t="shared" si="15"/>
      </c>
      <c r="AA30" s="57">
        <f t="shared" si="13"/>
      </c>
      <c r="AB30" s="3"/>
    </row>
    <row r="31" spans="1:28" ht="16.5" customHeight="1">
      <c r="A31" s="1"/>
      <c r="B31" s="2"/>
      <c r="C31" s="569"/>
      <c r="D31" s="569"/>
      <c r="E31" s="569"/>
      <c r="F31" s="570"/>
      <c r="G31" s="571"/>
      <c r="H31" s="572"/>
      <c r="I31" s="460">
        <f t="shared" si="0"/>
        <v>36.3549009158325</v>
      </c>
      <c r="J31" s="577"/>
      <c r="K31" s="577"/>
      <c r="L31" s="15">
        <f t="shared" si="1"/>
      </c>
      <c r="M31" s="16">
        <f t="shared" si="2"/>
      </c>
      <c r="N31" s="578"/>
      <c r="O31" s="765">
        <f t="shared" si="14"/>
      </c>
      <c r="P31" s="766" t="str">
        <f t="shared" si="3"/>
        <v>--</v>
      </c>
      <c r="Q31" s="767" t="str">
        <f t="shared" si="4"/>
        <v>--</v>
      </c>
      <c r="R31" s="768" t="str">
        <f t="shared" si="5"/>
        <v>--</v>
      </c>
      <c r="S31" s="769" t="str">
        <f t="shared" si="6"/>
        <v>--</v>
      </c>
      <c r="T31" s="770" t="str">
        <f t="shared" si="7"/>
        <v>--</v>
      </c>
      <c r="U31" s="771" t="str">
        <f t="shared" si="8"/>
        <v>--</v>
      </c>
      <c r="V31" s="772" t="str">
        <f t="shared" si="9"/>
        <v>--</v>
      </c>
      <c r="W31" s="773" t="str">
        <f t="shared" si="10"/>
        <v>--</v>
      </c>
      <c r="X31" s="774" t="str">
        <f t="shared" si="11"/>
        <v>--</v>
      </c>
      <c r="Y31" s="775" t="str">
        <f t="shared" si="12"/>
        <v>--</v>
      </c>
      <c r="Z31" s="776">
        <f t="shared" si="15"/>
      </c>
      <c r="AA31" s="57">
        <f t="shared" si="13"/>
      </c>
      <c r="AB31" s="3"/>
    </row>
    <row r="32" spans="1:28" ht="16.5" customHeight="1">
      <c r="A32" s="1"/>
      <c r="B32" s="2"/>
      <c r="C32" s="569"/>
      <c r="D32" s="569"/>
      <c r="E32" s="569"/>
      <c r="F32" s="570"/>
      <c r="G32" s="571"/>
      <c r="H32" s="572"/>
      <c r="I32" s="460">
        <f t="shared" si="0"/>
        <v>36.3549009158325</v>
      </c>
      <c r="J32" s="577"/>
      <c r="K32" s="577"/>
      <c r="L32" s="15">
        <f t="shared" si="1"/>
      </c>
      <c r="M32" s="16">
        <f t="shared" si="2"/>
      </c>
      <c r="N32" s="578"/>
      <c r="O32" s="765">
        <f t="shared" si="14"/>
      </c>
      <c r="P32" s="766" t="str">
        <f t="shared" si="3"/>
        <v>--</v>
      </c>
      <c r="Q32" s="767" t="str">
        <f t="shared" si="4"/>
        <v>--</v>
      </c>
      <c r="R32" s="768" t="str">
        <f t="shared" si="5"/>
        <v>--</v>
      </c>
      <c r="S32" s="769" t="str">
        <f t="shared" si="6"/>
        <v>--</v>
      </c>
      <c r="T32" s="770" t="str">
        <f t="shared" si="7"/>
        <v>--</v>
      </c>
      <c r="U32" s="771" t="str">
        <f t="shared" si="8"/>
        <v>--</v>
      </c>
      <c r="V32" s="772" t="str">
        <f t="shared" si="9"/>
        <v>--</v>
      </c>
      <c r="W32" s="773" t="str">
        <f t="shared" si="10"/>
        <v>--</v>
      </c>
      <c r="X32" s="774" t="str">
        <f t="shared" si="11"/>
        <v>--</v>
      </c>
      <c r="Y32" s="775" t="str">
        <f t="shared" si="12"/>
        <v>--</v>
      </c>
      <c r="Z32" s="776">
        <f t="shared" si="15"/>
      </c>
      <c r="AA32" s="57">
        <f t="shared" si="13"/>
      </c>
      <c r="AB32" s="3"/>
    </row>
    <row r="33" spans="1:28" ht="16.5" customHeight="1">
      <c r="A33" s="1"/>
      <c r="B33" s="2"/>
      <c r="C33" s="569"/>
      <c r="D33" s="569"/>
      <c r="E33" s="569"/>
      <c r="F33" s="570"/>
      <c r="G33" s="571"/>
      <c r="H33" s="572"/>
      <c r="I33" s="460">
        <f t="shared" si="0"/>
        <v>36.3549009158325</v>
      </c>
      <c r="J33" s="577"/>
      <c r="K33" s="577"/>
      <c r="L33" s="15">
        <f t="shared" si="1"/>
      </c>
      <c r="M33" s="16">
        <f t="shared" si="2"/>
      </c>
      <c r="N33" s="578"/>
      <c r="O33" s="765">
        <f t="shared" si="14"/>
      </c>
      <c r="P33" s="766" t="str">
        <f t="shared" si="3"/>
        <v>--</v>
      </c>
      <c r="Q33" s="767" t="str">
        <f t="shared" si="4"/>
        <v>--</v>
      </c>
      <c r="R33" s="768" t="str">
        <f t="shared" si="5"/>
        <v>--</v>
      </c>
      <c r="S33" s="769" t="str">
        <f t="shared" si="6"/>
        <v>--</v>
      </c>
      <c r="T33" s="770" t="str">
        <f t="shared" si="7"/>
        <v>--</v>
      </c>
      <c r="U33" s="771" t="str">
        <f t="shared" si="8"/>
        <v>--</v>
      </c>
      <c r="V33" s="772" t="str">
        <f t="shared" si="9"/>
        <v>--</v>
      </c>
      <c r="W33" s="773" t="str">
        <f t="shared" si="10"/>
        <v>--</v>
      </c>
      <c r="X33" s="774" t="str">
        <f t="shared" si="11"/>
        <v>--</v>
      </c>
      <c r="Y33" s="775" t="str">
        <f t="shared" si="12"/>
        <v>--</v>
      </c>
      <c r="Z33" s="776">
        <f t="shared" si="15"/>
      </c>
      <c r="AA33" s="57">
        <f t="shared" si="13"/>
      </c>
      <c r="AB33" s="3"/>
    </row>
    <row r="34" spans="1:28" ht="16.5" customHeight="1">
      <c r="A34" s="1"/>
      <c r="B34" s="2"/>
      <c r="C34" s="569"/>
      <c r="D34" s="569"/>
      <c r="E34" s="569"/>
      <c r="F34" s="570"/>
      <c r="G34" s="571"/>
      <c r="H34" s="572"/>
      <c r="I34" s="460">
        <f t="shared" si="0"/>
        <v>36.3549009158325</v>
      </c>
      <c r="J34" s="577"/>
      <c r="K34" s="577"/>
      <c r="L34" s="15">
        <f t="shared" si="1"/>
      </c>
      <c r="M34" s="16">
        <f t="shared" si="2"/>
      </c>
      <c r="N34" s="578"/>
      <c r="O34" s="765">
        <f t="shared" si="14"/>
      </c>
      <c r="P34" s="766" t="str">
        <f t="shared" si="3"/>
        <v>--</v>
      </c>
      <c r="Q34" s="767" t="str">
        <f t="shared" si="4"/>
        <v>--</v>
      </c>
      <c r="R34" s="768" t="str">
        <f t="shared" si="5"/>
        <v>--</v>
      </c>
      <c r="S34" s="769" t="str">
        <f t="shared" si="6"/>
        <v>--</v>
      </c>
      <c r="T34" s="770" t="str">
        <f t="shared" si="7"/>
        <v>--</v>
      </c>
      <c r="U34" s="771" t="str">
        <f t="shared" si="8"/>
        <v>--</v>
      </c>
      <c r="V34" s="772" t="str">
        <f t="shared" si="9"/>
        <v>--</v>
      </c>
      <c r="W34" s="773" t="str">
        <f t="shared" si="10"/>
        <v>--</v>
      </c>
      <c r="X34" s="774" t="str">
        <f t="shared" si="11"/>
        <v>--</v>
      </c>
      <c r="Y34" s="775" t="str">
        <f t="shared" si="12"/>
        <v>--</v>
      </c>
      <c r="Z34" s="776">
        <f t="shared" si="15"/>
      </c>
      <c r="AA34" s="57">
        <f t="shared" si="13"/>
      </c>
      <c r="AB34" s="3"/>
    </row>
    <row r="35" spans="1:28" ht="16.5" customHeight="1">
      <c r="A35" s="1"/>
      <c r="B35" s="2"/>
      <c r="C35" s="569"/>
      <c r="D35" s="569"/>
      <c r="E35" s="569"/>
      <c r="F35" s="570"/>
      <c r="G35" s="571"/>
      <c r="H35" s="572"/>
      <c r="I35" s="460">
        <f t="shared" si="0"/>
        <v>36.3549009158325</v>
      </c>
      <c r="J35" s="577"/>
      <c r="K35" s="577"/>
      <c r="L35" s="15">
        <f t="shared" si="1"/>
      </c>
      <c r="M35" s="16">
        <f t="shared" si="2"/>
      </c>
      <c r="N35" s="578"/>
      <c r="O35" s="765">
        <f t="shared" si="14"/>
      </c>
      <c r="P35" s="766" t="str">
        <f t="shared" si="3"/>
        <v>--</v>
      </c>
      <c r="Q35" s="767" t="str">
        <f t="shared" si="4"/>
        <v>--</v>
      </c>
      <c r="R35" s="768" t="str">
        <f t="shared" si="5"/>
        <v>--</v>
      </c>
      <c r="S35" s="769" t="str">
        <f t="shared" si="6"/>
        <v>--</v>
      </c>
      <c r="T35" s="770" t="str">
        <f t="shared" si="7"/>
        <v>--</v>
      </c>
      <c r="U35" s="771" t="str">
        <f t="shared" si="8"/>
        <v>--</v>
      </c>
      <c r="V35" s="772" t="str">
        <f t="shared" si="9"/>
        <v>--</v>
      </c>
      <c r="W35" s="773" t="str">
        <f t="shared" si="10"/>
        <v>--</v>
      </c>
      <c r="X35" s="774" t="str">
        <f t="shared" si="11"/>
        <v>--</v>
      </c>
      <c r="Y35" s="775" t="str">
        <f t="shared" si="12"/>
        <v>--</v>
      </c>
      <c r="Z35" s="776">
        <f t="shared" si="15"/>
      </c>
      <c r="AA35" s="57">
        <f t="shared" si="13"/>
      </c>
      <c r="AB35" s="3"/>
    </row>
    <row r="36" spans="1:28" ht="16.5" customHeight="1">
      <c r="A36" s="1"/>
      <c r="B36" s="2"/>
      <c r="C36" s="569"/>
      <c r="D36" s="569"/>
      <c r="E36" s="569"/>
      <c r="F36" s="570"/>
      <c r="G36" s="571"/>
      <c r="H36" s="572"/>
      <c r="I36" s="460">
        <f t="shared" si="0"/>
        <v>36.3549009158325</v>
      </c>
      <c r="J36" s="577"/>
      <c r="K36" s="577"/>
      <c r="L36" s="15">
        <f t="shared" si="1"/>
      </c>
      <c r="M36" s="16">
        <f t="shared" si="2"/>
      </c>
      <c r="N36" s="578"/>
      <c r="O36" s="765">
        <f t="shared" si="14"/>
      </c>
      <c r="P36" s="766" t="str">
        <f t="shared" si="3"/>
        <v>--</v>
      </c>
      <c r="Q36" s="767" t="str">
        <f t="shared" si="4"/>
        <v>--</v>
      </c>
      <c r="R36" s="768" t="str">
        <f t="shared" si="5"/>
        <v>--</v>
      </c>
      <c r="S36" s="769" t="str">
        <f t="shared" si="6"/>
        <v>--</v>
      </c>
      <c r="T36" s="770" t="str">
        <f t="shared" si="7"/>
        <v>--</v>
      </c>
      <c r="U36" s="771" t="str">
        <f t="shared" si="8"/>
        <v>--</v>
      </c>
      <c r="V36" s="772" t="str">
        <f t="shared" si="9"/>
        <v>--</v>
      </c>
      <c r="W36" s="773" t="str">
        <f t="shared" si="10"/>
        <v>--</v>
      </c>
      <c r="X36" s="774" t="str">
        <f t="shared" si="11"/>
        <v>--</v>
      </c>
      <c r="Y36" s="775" t="str">
        <f t="shared" si="12"/>
        <v>--</v>
      </c>
      <c r="Z36" s="776">
        <f t="shared" si="15"/>
      </c>
      <c r="AA36" s="57">
        <f t="shared" si="13"/>
      </c>
      <c r="AB36" s="3"/>
    </row>
    <row r="37" spans="1:28" ht="16.5" customHeight="1">
      <c r="A37" s="1"/>
      <c r="B37" s="2"/>
      <c r="C37" s="569"/>
      <c r="D37" s="569"/>
      <c r="E37" s="569"/>
      <c r="F37" s="570"/>
      <c r="G37" s="571"/>
      <c r="H37" s="572"/>
      <c r="I37" s="460">
        <f t="shared" si="0"/>
        <v>36.3549009158325</v>
      </c>
      <c r="J37" s="577"/>
      <c r="K37" s="577"/>
      <c r="L37" s="15">
        <f t="shared" si="1"/>
      </c>
      <c r="M37" s="16">
        <f t="shared" si="2"/>
      </c>
      <c r="N37" s="578"/>
      <c r="O37" s="765">
        <f t="shared" si="14"/>
      </c>
      <c r="P37" s="766" t="str">
        <f t="shared" si="3"/>
        <v>--</v>
      </c>
      <c r="Q37" s="767" t="str">
        <f t="shared" si="4"/>
        <v>--</v>
      </c>
      <c r="R37" s="768" t="str">
        <f t="shared" si="5"/>
        <v>--</v>
      </c>
      <c r="S37" s="769" t="str">
        <f t="shared" si="6"/>
        <v>--</v>
      </c>
      <c r="T37" s="770" t="str">
        <f t="shared" si="7"/>
        <v>--</v>
      </c>
      <c r="U37" s="771" t="str">
        <f t="shared" si="8"/>
        <v>--</v>
      </c>
      <c r="V37" s="772" t="str">
        <f t="shared" si="9"/>
        <v>--</v>
      </c>
      <c r="W37" s="773" t="str">
        <f t="shared" si="10"/>
        <v>--</v>
      </c>
      <c r="X37" s="774" t="str">
        <f t="shared" si="11"/>
        <v>--</v>
      </c>
      <c r="Y37" s="775" t="str">
        <f t="shared" si="12"/>
        <v>--</v>
      </c>
      <c r="Z37" s="776">
        <f t="shared" si="15"/>
      </c>
      <c r="AA37" s="57">
        <f t="shared" si="13"/>
      </c>
      <c r="AB37" s="3"/>
    </row>
    <row r="38" spans="2:28" ht="16.5" customHeight="1">
      <c r="B38" s="58"/>
      <c r="C38" s="569"/>
      <c r="D38" s="569"/>
      <c r="E38" s="569"/>
      <c r="F38" s="570"/>
      <c r="G38" s="571"/>
      <c r="H38" s="572"/>
      <c r="I38" s="460">
        <f t="shared" si="0"/>
        <v>36.3549009158325</v>
      </c>
      <c r="J38" s="577"/>
      <c r="K38" s="577"/>
      <c r="L38" s="15">
        <f t="shared" si="1"/>
      </c>
      <c r="M38" s="16">
        <f t="shared" si="2"/>
      </c>
      <c r="N38" s="578"/>
      <c r="O38" s="765">
        <f t="shared" si="14"/>
      </c>
      <c r="P38" s="766" t="str">
        <f t="shared" si="3"/>
        <v>--</v>
      </c>
      <c r="Q38" s="767" t="str">
        <f t="shared" si="4"/>
        <v>--</v>
      </c>
      <c r="R38" s="768" t="str">
        <f t="shared" si="5"/>
        <v>--</v>
      </c>
      <c r="S38" s="769" t="str">
        <f t="shared" si="6"/>
        <v>--</v>
      </c>
      <c r="T38" s="770" t="str">
        <f t="shared" si="7"/>
        <v>--</v>
      </c>
      <c r="U38" s="771" t="str">
        <f t="shared" si="8"/>
        <v>--</v>
      </c>
      <c r="V38" s="772" t="str">
        <f t="shared" si="9"/>
        <v>--</v>
      </c>
      <c r="W38" s="773" t="str">
        <f t="shared" si="10"/>
        <v>--</v>
      </c>
      <c r="X38" s="774" t="str">
        <f t="shared" si="11"/>
        <v>--</v>
      </c>
      <c r="Y38" s="775" t="str">
        <f t="shared" si="12"/>
        <v>--</v>
      </c>
      <c r="Z38" s="776">
        <f t="shared" si="15"/>
      </c>
      <c r="AA38" s="57">
        <f t="shared" si="13"/>
      </c>
      <c r="AB38" s="3"/>
    </row>
    <row r="39" spans="2:28" ht="16.5" customHeight="1">
      <c r="B39" s="58"/>
      <c r="C39" s="569"/>
      <c r="D39" s="569"/>
      <c r="E39" s="569"/>
      <c r="F39" s="570"/>
      <c r="G39" s="571"/>
      <c r="H39" s="572"/>
      <c r="I39" s="460">
        <f>IF(H39&gt;25,H39,25)*IF(G39=330,$G$16,$G$17)/100</f>
        <v>36.3549009158325</v>
      </c>
      <c r="J39" s="577"/>
      <c r="K39" s="577"/>
      <c r="L39" s="15">
        <f>IF(F39="","",(K39-J39)*24)</f>
      </c>
      <c r="M39" s="16">
        <f>IF(F39="","",ROUND((K39-J39)*24*60,0))</f>
      </c>
      <c r="N39" s="578"/>
      <c r="O39" s="765">
        <f>IF(F39="","","--")</f>
      </c>
      <c r="P39" s="766" t="str">
        <f>IF(N39="P",ROUND(M39/60,2)*I39*$L$17*0.01,"--")</f>
        <v>--</v>
      </c>
      <c r="Q39" s="767" t="str">
        <f>IF(N39="RP",ROUND(M39/60,2)*I39*$L$17*0.01*O39/100,"--")</f>
        <v>--</v>
      </c>
      <c r="R39" s="768" t="str">
        <f>IF(N39="F",I39*$L$17,"--")</f>
        <v>--</v>
      </c>
      <c r="S39" s="769" t="str">
        <f>IF(AND(M39&gt;10,N39="F"),I39*$L$17*IF(M39&gt;180,3,ROUND(M39/60,2)),"--")</f>
        <v>--</v>
      </c>
      <c r="T39" s="770" t="str">
        <f>IF(AND(M39&gt;180,N39="F"),(ROUND(M39/60,2)-3)*I39*$L$17*0.1,"--")</f>
        <v>--</v>
      </c>
      <c r="U39" s="771" t="str">
        <f>IF(N39="R",I39*$L$17*O39/100,"--")</f>
        <v>--</v>
      </c>
      <c r="V39" s="772" t="str">
        <f>IF(AND(M39&gt;10,N39="R"),I39*$L$17*O39/100*IF(M39&gt;180,3,ROUND(M39/60,2)),"--")</f>
        <v>--</v>
      </c>
      <c r="W39" s="773" t="str">
        <f>IF(AND(M39&gt;180,N39="R"),(ROUND(M39/60,2)-3)*O39/100*I39*$L$17*0.1,"--")</f>
        <v>--</v>
      </c>
      <c r="X39" s="774" t="str">
        <f>IF(N39="RF",ROUND(M39/60,2)*I39*$L$17*0.1,"--")</f>
        <v>--</v>
      </c>
      <c r="Y39" s="775" t="str">
        <f>IF(N39="RR",ROUND(M39/60,2)*O39/100*I39*$L$17*0.1,"--")</f>
        <v>--</v>
      </c>
      <c r="Z39" s="776">
        <f>IF(F39="","","SI")</f>
      </c>
      <c r="AA39" s="57">
        <f>IF(F39="","",SUM(P39:Y39)*IF(Z39="SI",1,2))</f>
      </c>
      <c r="AB39" s="3"/>
    </row>
    <row r="40" spans="2:28" ht="16.5" customHeight="1">
      <c r="B40" s="58"/>
      <c r="C40" s="569"/>
      <c r="D40" s="569"/>
      <c r="E40" s="569"/>
      <c r="F40" s="570"/>
      <c r="G40" s="571"/>
      <c r="H40" s="572"/>
      <c r="I40" s="460">
        <f>IF(H40&gt;25,H40,25)*IF(G40=330,$G$16,$G$17)/100</f>
        <v>36.3549009158325</v>
      </c>
      <c r="J40" s="577"/>
      <c r="K40" s="577"/>
      <c r="L40" s="15">
        <f>IF(F40="","",(K40-J40)*24)</f>
      </c>
      <c r="M40" s="16">
        <f>IF(F40="","",ROUND((K40-J40)*24*60,0))</f>
      </c>
      <c r="N40" s="578"/>
      <c r="O40" s="765">
        <f>IF(F40="","","--")</f>
      </c>
      <c r="P40" s="766" t="str">
        <f>IF(N40="P",ROUND(M40/60,2)*I40*$L$17*0.01,"--")</f>
        <v>--</v>
      </c>
      <c r="Q40" s="767" t="str">
        <f>IF(N40="RP",ROUND(M40/60,2)*I40*$L$17*0.01*O40/100,"--")</f>
        <v>--</v>
      </c>
      <c r="R40" s="768" t="str">
        <f>IF(N40="F",I40*$L$17,"--")</f>
        <v>--</v>
      </c>
      <c r="S40" s="769" t="str">
        <f>IF(AND(M40&gt;10,N40="F"),I40*$L$17*IF(M40&gt;180,3,ROUND(M40/60,2)),"--")</f>
        <v>--</v>
      </c>
      <c r="T40" s="770" t="str">
        <f>IF(AND(M40&gt;180,N40="F"),(ROUND(M40/60,2)-3)*I40*$L$17*0.1,"--")</f>
        <v>--</v>
      </c>
      <c r="U40" s="771" t="str">
        <f>IF(N40="R",I40*$L$17*O40/100,"--")</f>
        <v>--</v>
      </c>
      <c r="V40" s="772" t="str">
        <f>IF(AND(M40&gt;10,N40="R"),I40*$L$17*O40/100*IF(M40&gt;180,3,ROUND(M40/60,2)),"--")</f>
        <v>--</v>
      </c>
      <c r="W40" s="773" t="str">
        <f>IF(AND(M40&gt;180,N40="R"),(ROUND(M40/60,2)-3)*O40/100*I40*$L$17*0.1,"--")</f>
        <v>--</v>
      </c>
      <c r="X40" s="774" t="str">
        <f>IF(N40="RF",ROUND(M40/60,2)*I40*$L$17*0.1,"--")</f>
        <v>--</v>
      </c>
      <c r="Y40" s="775" t="str">
        <f>IF(N40="RR",ROUND(M40/60,2)*O40/100*I40*$L$17*0.1,"--")</f>
        <v>--</v>
      </c>
      <c r="Z40" s="776">
        <f>IF(F40="","","SI")</f>
      </c>
      <c r="AA40" s="57">
        <f>IF(F40="","",SUM(P40:Y40)*IF(Z40="SI",1,2))</f>
      </c>
      <c r="AB40" s="3"/>
    </row>
    <row r="41" spans="2:28" ht="16.5" customHeight="1">
      <c r="B41" s="58"/>
      <c r="C41" s="569"/>
      <c r="D41" s="569"/>
      <c r="E41" s="569"/>
      <c r="F41" s="570"/>
      <c r="G41" s="571"/>
      <c r="H41" s="572"/>
      <c r="I41" s="460">
        <f>IF(H41&gt;25,H41,25)*IF(G41=330,$G$16,$G$17)/100</f>
        <v>36.3549009158325</v>
      </c>
      <c r="J41" s="577"/>
      <c r="K41" s="577"/>
      <c r="L41" s="15">
        <f>IF(F41="","",(K41-J41)*24)</f>
      </c>
      <c r="M41" s="16">
        <f>IF(F41="","",ROUND((K41-J41)*24*60,0))</f>
      </c>
      <c r="N41" s="578"/>
      <c r="O41" s="765">
        <f>IF(F41="","","--")</f>
      </c>
      <c r="P41" s="766" t="str">
        <f>IF(N41="P",ROUND(M41/60,2)*I41*$L$17*0.01,"--")</f>
        <v>--</v>
      </c>
      <c r="Q41" s="767" t="str">
        <f>IF(N41="RP",ROUND(M41/60,2)*I41*$L$17*0.01*O41/100,"--")</f>
        <v>--</v>
      </c>
      <c r="R41" s="768" t="str">
        <f>IF(N41="F",I41*$L$17,"--")</f>
        <v>--</v>
      </c>
      <c r="S41" s="769" t="str">
        <f>IF(AND(M41&gt;10,N41="F"),I41*$L$17*IF(M41&gt;180,3,ROUND(M41/60,2)),"--")</f>
        <v>--</v>
      </c>
      <c r="T41" s="770" t="str">
        <f>IF(AND(M41&gt;180,N41="F"),(ROUND(M41/60,2)-3)*I41*$L$17*0.1,"--")</f>
        <v>--</v>
      </c>
      <c r="U41" s="771" t="str">
        <f>IF(N41="R",I41*$L$17*O41/100,"--")</f>
        <v>--</v>
      </c>
      <c r="V41" s="772" t="str">
        <f>IF(AND(M41&gt;10,N41="R"),I41*$L$17*O41/100*IF(M41&gt;180,3,ROUND(M41/60,2)),"--")</f>
        <v>--</v>
      </c>
      <c r="W41" s="773" t="str">
        <f>IF(AND(M41&gt;180,N41="R"),(ROUND(M41/60,2)-3)*O41/100*I41*$L$17*0.1,"--")</f>
        <v>--</v>
      </c>
      <c r="X41" s="774" t="str">
        <f>IF(N41="RF",ROUND(M41/60,2)*I41*$L$17*0.1,"--")</f>
        <v>--</v>
      </c>
      <c r="Y41" s="775" t="str">
        <f>IF(N41="RR",ROUND(M41/60,2)*O41/100*I41*$L$17*0.1,"--")</f>
        <v>--</v>
      </c>
      <c r="Z41" s="776">
        <f>IF(F41="","","SI")</f>
      </c>
      <c r="AA41" s="57">
        <f>IF(F41="","",SUM(P41:Y41)*IF(Z41="SI",1,2))</f>
      </c>
      <c r="AB41" s="3"/>
    </row>
    <row r="42" spans="1:28" ht="16.5" customHeight="1" thickBot="1">
      <c r="A42" s="1"/>
      <c r="B42" s="2"/>
      <c r="C42" s="573"/>
      <c r="D42" s="573"/>
      <c r="E42" s="573"/>
      <c r="F42" s="574"/>
      <c r="G42" s="575"/>
      <c r="H42" s="576"/>
      <c r="I42" s="461"/>
      <c r="J42" s="576"/>
      <c r="K42" s="576"/>
      <c r="L42" s="17"/>
      <c r="M42" s="17"/>
      <c r="N42" s="576"/>
      <c r="O42" s="579"/>
      <c r="P42" s="580"/>
      <c r="Q42" s="581"/>
      <c r="R42" s="582"/>
      <c r="S42" s="583"/>
      <c r="T42" s="584"/>
      <c r="U42" s="585"/>
      <c r="V42" s="586"/>
      <c r="W42" s="587"/>
      <c r="X42" s="588"/>
      <c r="Y42" s="589"/>
      <c r="Z42" s="590"/>
      <c r="AA42" s="59"/>
      <c r="AB42" s="3"/>
    </row>
    <row r="43" spans="1:28" ht="16.5" customHeight="1" thickBot="1" thickTop="1">
      <c r="A43" s="1"/>
      <c r="B43" s="2"/>
      <c r="C43" s="276" t="s">
        <v>65</v>
      </c>
      <c r="D43" s="800" t="s">
        <v>188</v>
      </c>
      <c r="E43" s="760"/>
      <c r="F43" s="277"/>
      <c r="G43" s="18"/>
      <c r="H43" s="19"/>
      <c r="I43" s="60"/>
      <c r="J43" s="60"/>
      <c r="K43" s="60"/>
      <c r="L43" s="60"/>
      <c r="M43" s="60"/>
      <c r="N43" s="60"/>
      <c r="O43" s="61"/>
      <c r="P43" s="366">
        <f aca="true" t="shared" si="16" ref="P43:Y43">ROUND(SUM(P20:P42),2)</f>
        <v>368.17</v>
      </c>
      <c r="Q43" s="367">
        <f t="shared" si="16"/>
        <v>0</v>
      </c>
      <c r="R43" s="368">
        <f t="shared" si="16"/>
        <v>14160.96</v>
      </c>
      <c r="S43" s="368">
        <f t="shared" si="16"/>
        <v>41337.7</v>
      </c>
      <c r="T43" s="369">
        <f t="shared" si="16"/>
        <v>2574.85</v>
      </c>
      <c r="U43" s="370">
        <f t="shared" si="16"/>
        <v>0</v>
      </c>
      <c r="V43" s="370">
        <f t="shared" si="16"/>
        <v>0</v>
      </c>
      <c r="W43" s="371">
        <f t="shared" si="16"/>
        <v>0</v>
      </c>
      <c r="X43" s="372">
        <f t="shared" si="16"/>
        <v>0</v>
      </c>
      <c r="Y43" s="373">
        <f t="shared" si="16"/>
        <v>0</v>
      </c>
      <c r="Z43" s="62"/>
      <c r="AA43" s="764">
        <f>ROUND(SUM(AA20:AA42),2)</f>
        <v>58441.69</v>
      </c>
      <c r="AB43" s="63"/>
    </row>
    <row r="44" spans="1:28" s="291" customFormat="1" ht="9.75" thickTop="1">
      <c r="A44" s="280"/>
      <c r="B44" s="281"/>
      <c r="C44" s="278"/>
      <c r="D44" s="278"/>
      <c r="E44" s="278"/>
      <c r="F44" s="279"/>
      <c r="G44" s="282"/>
      <c r="H44" s="283"/>
      <c r="I44" s="284"/>
      <c r="J44" s="284"/>
      <c r="K44" s="284"/>
      <c r="L44" s="284"/>
      <c r="M44" s="284"/>
      <c r="N44" s="284"/>
      <c r="O44" s="285"/>
      <c r="P44" s="286"/>
      <c r="Q44" s="286"/>
      <c r="R44" s="287"/>
      <c r="S44" s="287"/>
      <c r="T44" s="288"/>
      <c r="U44" s="288"/>
      <c r="V44" s="288"/>
      <c r="W44" s="288"/>
      <c r="X44" s="288"/>
      <c r="Y44" s="288"/>
      <c r="Z44" s="288"/>
      <c r="AA44" s="289"/>
      <c r="AB44" s="290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A22" sqref="A22:IV24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6.2812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25" customFormat="1" ht="26.25">
      <c r="AB1" s="473"/>
    </row>
    <row r="2" spans="2:28" s="125" customFormat="1" ht="26.25">
      <c r="B2" s="126" t="str">
        <f>+'TOT-1213'!B2</f>
        <v>ANEXO VI al Memorándum  D.T.E.E.  N°       598    / 2014.-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="12" customFormat="1" ht="12.75"/>
    <row r="4" spans="1:4" s="128" customFormat="1" ht="11.25">
      <c r="A4" s="763" t="s">
        <v>17</v>
      </c>
      <c r="C4" s="762"/>
      <c r="D4" s="762"/>
    </row>
    <row r="5" spans="1:4" s="128" customFormat="1" ht="11.25">
      <c r="A5" s="763" t="s">
        <v>143</v>
      </c>
      <c r="C5" s="762"/>
      <c r="D5" s="762"/>
    </row>
    <row r="6" s="12" customFormat="1" ht="13.5" thickBot="1"/>
    <row r="7" spans="1:28" s="12" customFormat="1" ht="13.5" thickTop="1">
      <c r="A7" s="10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s="130" customFormat="1" ht="20.25">
      <c r="A8" s="47"/>
      <c r="B8" s="129"/>
      <c r="C8" s="47"/>
      <c r="D8" s="47"/>
      <c r="E8" s="47"/>
      <c r="F8" s="23" t="s">
        <v>41</v>
      </c>
      <c r="G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31"/>
    </row>
    <row r="9" spans="1:28" s="12" customFormat="1" ht="12.75">
      <c r="A9" s="10"/>
      <c r="B9" s="46"/>
      <c r="C9" s="10"/>
      <c r="D9" s="10"/>
      <c r="E9" s="10"/>
      <c r="F9" s="142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30" customFormat="1" ht="20.25">
      <c r="A10" s="47"/>
      <c r="B10" s="129"/>
      <c r="C10" s="47"/>
      <c r="D10" s="47"/>
      <c r="E10" s="47"/>
      <c r="F10" s="23" t="s">
        <v>140</v>
      </c>
      <c r="G10" s="23"/>
      <c r="H10" s="47"/>
      <c r="I10" s="132"/>
      <c r="J10" s="132"/>
      <c r="K10" s="132"/>
      <c r="L10" s="132"/>
      <c r="M10" s="132"/>
      <c r="N10" s="132"/>
      <c r="O10" s="132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131"/>
    </row>
    <row r="11" spans="1:28" s="12" customFormat="1" ht="12.75">
      <c r="A11" s="10"/>
      <c r="B11" s="46"/>
      <c r="C11" s="10"/>
      <c r="D11" s="10"/>
      <c r="E11" s="10"/>
      <c r="F11" s="141"/>
      <c r="G11" s="139"/>
      <c r="H11" s="10"/>
      <c r="I11" s="138"/>
      <c r="J11" s="138"/>
      <c r="K11" s="138"/>
      <c r="L11" s="138"/>
      <c r="M11" s="138"/>
      <c r="N11" s="138"/>
      <c r="O11" s="13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7" customFormat="1" ht="19.5">
      <c r="A12" s="49"/>
      <c r="B12" s="103" t="str">
        <f>+'TOT-1213'!B14</f>
        <v>Desde el 01 al 31 de diciembre de 2013</v>
      </c>
      <c r="C12" s="133"/>
      <c r="D12" s="133"/>
      <c r="E12" s="133"/>
      <c r="F12" s="133"/>
      <c r="G12" s="134"/>
      <c r="H12" s="134"/>
      <c r="I12" s="135"/>
      <c r="J12" s="135"/>
      <c r="K12" s="135"/>
      <c r="L12" s="135"/>
      <c r="M12" s="135"/>
      <c r="N12" s="135"/>
      <c r="O12" s="135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6"/>
    </row>
    <row r="13" spans="1:28" s="137" customFormat="1" ht="7.5" customHeight="1">
      <c r="A13" s="49"/>
      <c r="B13" s="103"/>
      <c r="C13" s="133"/>
      <c r="D13" s="133"/>
      <c r="E13" s="133"/>
      <c r="F13" s="133"/>
      <c r="G13" s="134"/>
      <c r="H13" s="134"/>
      <c r="I13" s="135"/>
      <c r="J13" s="135"/>
      <c r="K13" s="135"/>
      <c r="L13" s="135"/>
      <c r="M13" s="135"/>
      <c r="N13" s="135"/>
      <c r="O13" s="135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6"/>
    </row>
    <row r="14" spans="1:28" s="12" customFormat="1" ht="7.5" customHeight="1" thickBot="1">
      <c r="A14" s="10"/>
      <c r="B14" s="46"/>
      <c r="C14" s="10"/>
      <c r="D14" s="10"/>
      <c r="E14" s="10"/>
      <c r="F14" s="10"/>
      <c r="G14" s="139"/>
      <c r="H14" s="140"/>
      <c r="I14" s="138"/>
      <c r="J14" s="138"/>
      <c r="K14" s="138"/>
      <c r="L14" s="138"/>
      <c r="M14" s="138"/>
      <c r="N14" s="138"/>
      <c r="O14" s="13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1" customFormat="1" ht="16.5" customHeight="1" thickBot="1" thickTop="1">
      <c r="A15" s="107"/>
      <c r="B15" s="108"/>
      <c r="C15" s="107"/>
      <c r="D15" s="107"/>
      <c r="E15" s="107"/>
      <c r="F15" s="565" t="s">
        <v>44</v>
      </c>
      <c r="G15" s="566" t="s">
        <v>187</v>
      </c>
      <c r="H15" s="275"/>
      <c r="I15" s="112"/>
      <c r="J15" s="112"/>
      <c r="K15" s="112"/>
      <c r="L15" s="112"/>
      <c r="M15" s="112"/>
      <c r="N15" s="112"/>
      <c r="O15" s="11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10"/>
    </row>
    <row r="16" spans="1:28" s="111" customFormat="1" ht="16.5" customHeight="1" thickBot="1" thickTop="1">
      <c r="A16" s="107"/>
      <c r="B16" s="108"/>
      <c r="C16" s="107"/>
      <c r="D16" s="107"/>
      <c r="E16" s="107"/>
      <c r="F16" s="565" t="s">
        <v>45</v>
      </c>
      <c r="G16" s="566">
        <v>145.41960366333</v>
      </c>
      <c r="H16" s="568"/>
      <c r="I16" s="107"/>
      <c r="K16" s="113" t="s">
        <v>46</v>
      </c>
      <c r="L16" s="114">
        <f>30*'TOT-1213'!B13</f>
        <v>30</v>
      </c>
      <c r="M16" s="272" t="str">
        <f>IF(L16=30," ",IF(L16=60,"Coeficiente duplicado por tasa de falla &gt;4 Sal. x año/100 km.","REVISAR COEFICIENTE"))</f>
        <v> 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10"/>
    </row>
    <row r="17" spans="1:28" s="111" customFormat="1" ht="7.5" customHeight="1" thickTop="1">
      <c r="A17" s="107"/>
      <c r="B17" s="108"/>
      <c r="C17" s="107"/>
      <c r="D17" s="107"/>
      <c r="E17" s="107"/>
      <c r="F17" s="751"/>
      <c r="G17" s="752"/>
      <c r="H17" s="753"/>
      <c r="I17" s="107"/>
      <c r="K17" s="113"/>
      <c r="L17" s="114"/>
      <c r="M17" s="272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</row>
    <row r="18" spans="1:28" s="790" customFormat="1" ht="15" customHeight="1" thickBot="1">
      <c r="A18" s="786"/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8">
        <v>23</v>
      </c>
      <c r="X18" s="788">
        <v>24</v>
      </c>
      <c r="Y18" s="788">
        <v>25</v>
      </c>
      <c r="Z18" s="788">
        <v>26</v>
      </c>
      <c r="AA18" s="788">
        <v>27</v>
      </c>
      <c r="AB18" s="789"/>
    </row>
    <row r="19" spans="1:28" s="124" customFormat="1" ht="33.75" customHeight="1" thickBot="1" thickTop="1">
      <c r="A19" s="115"/>
      <c r="B19" s="116"/>
      <c r="C19" s="117" t="s">
        <v>47</v>
      </c>
      <c r="D19" s="117" t="s">
        <v>142</v>
      </c>
      <c r="E19" s="117" t="s">
        <v>141</v>
      </c>
      <c r="F19" s="118" t="s">
        <v>20</v>
      </c>
      <c r="G19" s="119" t="s">
        <v>48</v>
      </c>
      <c r="H19" s="120" t="s">
        <v>49</v>
      </c>
      <c r="I19" s="303" t="s">
        <v>50</v>
      </c>
      <c r="J19" s="118" t="s">
        <v>51</v>
      </c>
      <c r="K19" s="118" t="s">
        <v>52</v>
      </c>
      <c r="L19" s="119" t="s">
        <v>53</v>
      </c>
      <c r="M19" s="119" t="s">
        <v>54</v>
      </c>
      <c r="N19" s="121" t="s">
        <v>55</v>
      </c>
      <c r="O19" s="119" t="s">
        <v>56</v>
      </c>
      <c r="P19" s="333" t="s">
        <v>57</v>
      </c>
      <c r="Q19" s="336" t="s">
        <v>58</v>
      </c>
      <c r="R19" s="339" t="s">
        <v>59</v>
      </c>
      <c r="S19" s="340"/>
      <c r="T19" s="341"/>
      <c r="U19" s="350" t="s">
        <v>60</v>
      </c>
      <c r="V19" s="351"/>
      <c r="W19" s="352"/>
      <c r="X19" s="360" t="s">
        <v>61</v>
      </c>
      <c r="Y19" s="363" t="s">
        <v>62</v>
      </c>
      <c r="Z19" s="122" t="s">
        <v>63</v>
      </c>
      <c r="AA19" s="122" t="s">
        <v>64</v>
      </c>
      <c r="AB19" s="123"/>
    </row>
    <row r="20" spans="1:28" ht="16.5" customHeight="1" thickTop="1">
      <c r="A20" s="1"/>
      <c r="B20" s="2"/>
      <c r="C20" s="53"/>
      <c r="D20" s="104"/>
      <c r="E20" s="104"/>
      <c r="F20" s="54"/>
      <c r="G20" s="55"/>
      <c r="H20" s="55"/>
      <c r="I20" s="304"/>
      <c r="J20" s="55"/>
      <c r="K20" s="56"/>
      <c r="L20" s="56"/>
      <c r="M20" s="56"/>
      <c r="N20" s="54"/>
      <c r="O20" s="55"/>
      <c r="P20" s="334"/>
      <c r="Q20" s="337"/>
      <c r="R20" s="342"/>
      <c r="S20" s="343"/>
      <c r="T20" s="344"/>
      <c r="U20" s="353"/>
      <c r="V20" s="354"/>
      <c r="W20" s="355"/>
      <c r="X20" s="361"/>
      <c r="Y20" s="364"/>
      <c r="Z20" s="348"/>
      <c r="AA20" s="56"/>
      <c r="AB20" s="3"/>
    </row>
    <row r="21" spans="1:28" ht="16.5" customHeight="1">
      <c r="A21" s="1"/>
      <c r="B21" s="2"/>
      <c r="C21" s="53"/>
      <c r="D21" s="53"/>
      <c r="E21" s="53"/>
      <c r="F21" s="53"/>
      <c r="G21" s="105"/>
      <c r="H21" s="105"/>
      <c r="I21" s="305"/>
      <c r="J21" s="53"/>
      <c r="K21" s="106"/>
      <c r="L21" s="106"/>
      <c r="M21" s="106"/>
      <c r="N21" s="104"/>
      <c r="O21" s="53"/>
      <c r="P21" s="335"/>
      <c r="Q21" s="338"/>
      <c r="R21" s="345"/>
      <c r="S21" s="346"/>
      <c r="T21" s="347"/>
      <c r="U21" s="356"/>
      <c r="V21" s="357"/>
      <c r="W21" s="358"/>
      <c r="X21" s="362"/>
      <c r="Y21" s="365"/>
      <c r="Z21" s="349"/>
      <c r="AA21" s="106"/>
      <c r="AB21" s="3"/>
    </row>
    <row r="22" spans="1:28" ht="16.5" customHeight="1">
      <c r="A22" s="1"/>
      <c r="B22" s="2"/>
      <c r="C22" s="569">
        <v>6</v>
      </c>
      <c r="D22" s="569">
        <v>269248</v>
      </c>
      <c r="E22" s="569">
        <v>1632</v>
      </c>
      <c r="F22" s="570" t="s">
        <v>4</v>
      </c>
      <c r="G22" s="571">
        <v>132</v>
      </c>
      <c r="H22" s="572">
        <v>31</v>
      </c>
      <c r="I22" s="306">
        <f>IF(H22&gt;25,H22,25)*IF(G22=330,$G$15,$G$16)/100</f>
        <v>45.0800771356323</v>
      </c>
      <c r="J22" s="577">
        <v>41629.475694444445</v>
      </c>
      <c r="K22" s="577">
        <v>41629.524305555555</v>
      </c>
      <c r="L22" s="15">
        <f aca="true" t="shared" si="0" ref="L22:L41">IF(F22="","",(K22-J22)*24)</f>
        <v>1.1666666666278616</v>
      </c>
      <c r="M22" s="16">
        <f aca="true" t="shared" si="1" ref="M22:M41">IF(F22="","",ROUND((K22-J22)*24*60,0))</f>
        <v>70</v>
      </c>
      <c r="N22" s="578" t="s">
        <v>152</v>
      </c>
      <c r="O22" s="781" t="s">
        <v>150</v>
      </c>
      <c r="P22" s="766" t="str">
        <f aca="true" t="shared" si="2" ref="P22:P41">IF(N22="P",ROUND(M22/60,2)*I22*$L$16*0.01,"--")</f>
        <v>--</v>
      </c>
      <c r="Q22" s="767" t="str">
        <f>IF(N22="RP",ROUND(M22/60,2)*I22*$L$16*0.01*O22/100,"--")</f>
        <v>--</v>
      </c>
      <c r="R22" s="768">
        <f aca="true" t="shared" si="3" ref="R22:R41">IF(N22="F",I22*$L$16,"--")</f>
        <v>1352.402314068969</v>
      </c>
      <c r="S22" s="769">
        <f aca="true" t="shared" si="4" ref="S22:S41">IF(AND(M22&gt;10,N22="F"),I22*$L$16*IF(M22&gt;180,3,ROUND(M22/60,2)),"--")</f>
        <v>1582.3107074606935</v>
      </c>
      <c r="T22" s="770" t="str">
        <f aca="true" t="shared" si="5" ref="T22:T41">IF(AND(M22&gt;180,N22="F"),(ROUND(M22/60,2)-3)*I22*$L$16*0.1,"--")</f>
        <v>--</v>
      </c>
      <c r="U22" s="771" t="str">
        <f aca="true" t="shared" si="6" ref="U22:U41">IF(N22="R",I22*$L$16*O22/100,"--")</f>
        <v>--</v>
      </c>
      <c r="V22" s="772" t="str">
        <f aca="true" t="shared" si="7" ref="V22:V41">IF(AND(M22&gt;10,N22="R"),I22*$L$16*O22/100*IF(M22&gt;180,3,ROUND(M22/60,2)),"--")</f>
        <v>--</v>
      </c>
      <c r="W22" s="773" t="str">
        <f aca="true" t="shared" si="8" ref="W22:W41">IF(AND(M22&gt;180,N22="R"),(ROUND(M22/60,2)-3)*O22/100*I22*$L$16*0.1,"--")</f>
        <v>--</v>
      </c>
      <c r="X22" s="774" t="str">
        <f aca="true" t="shared" si="9" ref="X22:X41">IF(N22="RF",ROUND(M22/60,2)*I22*$L$16*0.1,"--")</f>
        <v>--</v>
      </c>
      <c r="Y22" s="775" t="str">
        <f aca="true" t="shared" si="10" ref="Y22:Y41">IF(N22="RR",ROUND(M22/60,2)*O22/100*I22*$L$16*0.1,"--")</f>
        <v>--</v>
      </c>
      <c r="Z22" s="776" t="s">
        <v>149</v>
      </c>
      <c r="AA22" s="57">
        <f aca="true" t="shared" si="11" ref="AA22:AA41">IF(F22="","",SUM(P22:Y22)*IF(Z22="SI",1,2))</f>
        <v>2934.7130215296625</v>
      </c>
      <c r="AB22" s="3"/>
    </row>
    <row r="23" spans="1:28" ht="16.5" customHeight="1">
      <c r="A23" s="1"/>
      <c r="B23" s="2"/>
      <c r="C23" s="569">
        <v>7</v>
      </c>
      <c r="D23" s="569">
        <v>269251</v>
      </c>
      <c r="E23" s="569">
        <v>1636</v>
      </c>
      <c r="F23" s="570" t="s">
        <v>7</v>
      </c>
      <c r="G23" s="571">
        <v>132</v>
      </c>
      <c r="H23" s="572">
        <v>4.400000095367432</v>
      </c>
      <c r="I23" s="306">
        <f aca="true" t="shared" si="12" ref="I23:I38">IF(H23&gt;25,H23,25)*IF(G23=330,$G$15,$G$16)/100</f>
        <v>36.3549009158325</v>
      </c>
      <c r="J23" s="577">
        <v>41630.08611111111</v>
      </c>
      <c r="K23" s="577">
        <v>41630.44652777778</v>
      </c>
      <c r="L23" s="15">
        <f t="shared" si="0"/>
        <v>8.65000000008149</v>
      </c>
      <c r="M23" s="16">
        <f t="shared" si="1"/>
        <v>519</v>
      </c>
      <c r="N23" s="578" t="s">
        <v>152</v>
      </c>
      <c r="O23" s="781" t="s">
        <v>150</v>
      </c>
      <c r="P23" s="766" t="str">
        <f t="shared" si="2"/>
        <v>--</v>
      </c>
      <c r="Q23" s="767" t="str">
        <f aca="true" t="shared" si="13" ref="Q23:Q38">IF(N23="RP",ROUND(M23/60,2)*I23*$L$16*0.01*O23/100,"--")</f>
        <v>--</v>
      </c>
      <c r="R23" s="768">
        <f t="shared" si="3"/>
        <v>1090.647027474975</v>
      </c>
      <c r="S23" s="769">
        <f t="shared" si="4"/>
        <v>3271.941082424925</v>
      </c>
      <c r="T23" s="770">
        <f t="shared" si="5"/>
        <v>616.215570523361</v>
      </c>
      <c r="U23" s="771" t="str">
        <f t="shared" si="6"/>
        <v>--</v>
      </c>
      <c r="V23" s="772" t="str">
        <f t="shared" si="7"/>
        <v>--</v>
      </c>
      <c r="W23" s="773" t="str">
        <f t="shared" si="8"/>
        <v>--</v>
      </c>
      <c r="X23" s="774" t="str">
        <f t="shared" si="9"/>
        <v>--</v>
      </c>
      <c r="Y23" s="775" t="str">
        <f t="shared" si="10"/>
        <v>--</v>
      </c>
      <c r="Z23" s="776" t="s">
        <v>149</v>
      </c>
      <c r="AA23" s="57">
        <f t="shared" si="11"/>
        <v>4978.803680423261</v>
      </c>
      <c r="AB23" s="3"/>
    </row>
    <row r="24" spans="1:28" ht="16.5" customHeight="1">
      <c r="A24" s="1"/>
      <c r="B24" s="2"/>
      <c r="C24" s="569">
        <v>8</v>
      </c>
      <c r="D24" s="569">
        <v>269267</v>
      </c>
      <c r="E24" s="569">
        <v>1635</v>
      </c>
      <c r="F24" s="570" t="s">
        <v>155</v>
      </c>
      <c r="G24" s="571">
        <v>132</v>
      </c>
      <c r="H24" s="572">
        <v>162.60000610351562</v>
      </c>
      <c r="I24" s="306">
        <f t="shared" si="12"/>
        <v>236.45228443228282</v>
      </c>
      <c r="J24" s="577">
        <v>41630.29791666667</v>
      </c>
      <c r="K24" s="577">
        <v>41630.58263888889</v>
      </c>
      <c r="L24" s="15">
        <f t="shared" si="0"/>
        <v>6.833333333255723</v>
      </c>
      <c r="M24" s="16">
        <f t="shared" si="1"/>
        <v>410</v>
      </c>
      <c r="N24" s="578" t="s">
        <v>152</v>
      </c>
      <c r="O24" s="781" t="s">
        <v>150</v>
      </c>
      <c r="P24" s="766" t="str">
        <f t="shared" si="2"/>
        <v>--</v>
      </c>
      <c r="Q24" s="767" t="str">
        <f t="shared" si="13"/>
        <v>--</v>
      </c>
      <c r="R24" s="768">
        <f t="shared" si="3"/>
        <v>7093.568532968485</v>
      </c>
      <c r="S24" s="769">
        <f t="shared" si="4"/>
        <v>21280.705598905453</v>
      </c>
      <c r="T24" s="770">
        <f t="shared" si="5"/>
        <v>2716.83674812693</v>
      </c>
      <c r="U24" s="771" t="str">
        <f t="shared" si="6"/>
        <v>--</v>
      </c>
      <c r="V24" s="772" t="str">
        <f t="shared" si="7"/>
        <v>--</v>
      </c>
      <c r="W24" s="773" t="str">
        <f t="shared" si="8"/>
        <v>--</v>
      </c>
      <c r="X24" s="774" t="str">
        <f t="shared" si="9"/>
        <v>--</v>
      </c>
      <c r="Y24" s="775" t="str">
        <f t="shared" si="10"/>
        <v>--</v>
      </c>
      <c r="Z24" s="776" t="s">
        <v>149</v>
      </c>
      <c r="AA24" s="57">
        <f t="shared" si="11"/>
        <v>31091.11088000087</v>
      </c>
      <c r="AB24" s="3"/>
    </row>
    <row r="25" spans="1:28" ht="16.5" customHeight="1">
      <c r="A25" s="1"/>
      <c r="B25" s="2"/>
      <c r="C25" s="569"/>
      <c r="D25" s="569"/>
      <c r="E25" s="569"/>
      <c r="F25" s="570"/>
      <c r="G25" s="571"/>
      <c r="H25" s="572"/>
      <c r="I25" s="306">
        <f t="shared" si="12"/>
        <v>36.3549009158325</v>
      </c>
      <c r="J25" s="577"/>
      <c r="K25" s="577"/>
      <c r="L25" s="15">
        <f t="shared" si="0"/>
      </c>
      <c r="M25" s="16">
        <f t="shared" si="1"/>
      </c>
      <c r="N25" s="578"/>
      <c r="O25" s="765">
        <f aca="true" t="shared" si="14" ref="O25:O41">IF(F25="","","--")</f>
      </c>
      <c r="P25" s="766" t="str">
        <f t="shared" si="2"/>
        <v>--</v>
      </c>
      <c r="Q25" s="767" t="str">
        <f t="shared" si="13"/>
        <v>--</v>
      </c>
      <c r="R25" s="768" t="str">
        <f t="shared" si="3"/>
        <v>--</v>
      </c>
      <c r="S25" s="769" t="str">
        <f t="shared" si="4"/>
        <v>--</v>
      </c>
      <c r="T25" s="770" t="str">
        <f t="shared" si="5"/>
        <v>--</v>
      </c>
      <c r="U25" s="771" t="str">
        <f t="shared" si="6"/>
        <v>--</v>
      </c>
      <c r="V25" s="772" t="str">
        <f t="shared" si="7"/>
        <v>--</v>
      </c>
      <c r="W25" s="773" t="str">
        <f t="shared" si="8"/>
        <v>--</v>
      </c>
      <c r="X25" s="774" t="str">
        <f t="shared" si="9"/>
        <v>--</v>
      </c>
      <c r="Y25" s="775" t="str">
        <f t="shared" si="10"/>
        <v>--</v>
      </c>
      <c r="Z25" s="776">
        <f aca="true" t="shared" si="15" ref="Z25:Z41">IF(F25="","","SI")</f>
      </c>
      <c r="AA25" s="57">
        <f t="shared" si="11"/>
      </c>
      <c r="AB25" s="3"/>
    </row>
    <row r="26" spans="1:28" ht="16.5" customHeight="1">
      <c r="A26" s="1"/>
      <c r="B26" s="2"/>
      <c r="C26" s="569"/>
      <c r="D26" s="569"/>
      <c r="E26" s="569"/>
      <c r="F26" s="570"/>
      <c r="G26" s="571"/>
      <c r="H26" s="572"/>
      <c r="I26" s="306">
        <f t="shared" si="12"/>
        <v>36.3549009158325</v>
      </c>
      <c r="J26" s="577"/>
      <c r="K26" s="577"/>
      <c r="L26" s="15">
        <f t="shared" si="0"/>
      </c>
      <c r="M26" s="16">
        <f t="shared" si="1"/>
      </c>
      <c r="N26" s="578"/>
      <c r="O26" s="765">
        <f t="shared" si="14"/>
      </c>
      <c r="P26" s="766" t="str">
        <f t="shared" si="2"/>
        <v>--</v>
      </c>
      <c r="Q26" s="767" t="str">
        <f t="shared" si="13"/>
        <v>--</v>
      </c>
      <c r="R26" s="768" t="str">
        <f t="shared" si="3"/>
        <v>--</v>
      </c>
      <c r="S26" s="769" t="str">
        <f t="shared" si="4"/>
        <v>--</v>
      </c>
      <c r="T26" s="770" t="str">
        <f t="shared" si="5"/>
        <v>--</v>
      </c>
      <c r="U26" s="771" t="str">
        <f t="shared" si="6"/>
        <v>--</v>
      </c>
      <c r="V26" s="772" t="str">
        <f t="shared" si="7"/>
        <v>--</v>
      </c>
      <c r="W26" s="773" t="str">
        <f t="shared" si="8"/>
        <v>--</v>
      </c>
      <c r="X26" s="774" t="str">
        <f t="shared" si="9"/>
        <v>--</v>
      </c>
      <c r="Y26" s="775" t="str">
        <f t="shared" si="10"/>
        <v>--</v>
      </c>
      <c r="Z26" s="776">
        <f t="shared" si="15"/>
      </c>
      <c r="AA26" s="57">
        <f t="shared" si="11"/>
      </c>
      <c r="AB26" s="3"/>
    </row>
    <row r="27" spans="1:28" ht="16.5" customHeight="1">
      <c r="A27" s="1"/>
      <c r="B27" s="2"/>
      <c r="C27" s="569"/>
      <c r="D27" s="569"/>
      <c r="E27" s="569"/>
      <c r="F27" s="570"/>
      <c r="G27" s="571"/>
      <c r="H27" s="572"/>
      <c r="I27" s="306">
        <f t="shared" si="12"/>
        <v>36.3549009158325</v>
      </c>
      <c r="J27" s="577"/>
      <c r="K27" s="577"/>
      <c r="L27" s="15">
        <f t="shared" si="0"/>
      </c>
      <c r="M27" s="16">
        <f t="shared" si="1"/>
      </c>
      <c r="N27" s="578"/>
      <c r="O27" s="765">
        <f t="shared" si="14"/>
      </c>
      <c r="P27" s="766" t="str">
        <f t="shared" si="2"/>
        <v>--</v>
      </c>
      <c r="Q27" s="767" t="str">
        <f t="shared" si="13"/>
        <v>--</v>
      </c>
      <c r="R27" s="768" t="str">
        <f t="shared" si="3"/>
        <v>--</v>
      </c>
      <c r="S27" s="769" t="str">
        <f t="shared" si="4"/>
        <v>--</v>
      </c>
      <c r="T27" s="770" t="str">
        <f t="shared" si="5"/>
        <v>--</v>
      </c>
      <c r="U27" s="771" t="str">
        <f t="shared" si="6"/>
        <v>--</v>
      </c>
      <c r="V27" s="772" t="str">
        <f t="shared" si="7"/>
        <v>--</v>
      </c>
      <c r="W27" s="773" t="str">
        <f t="shared" si="8"/>
        <v>--</v>
      </c>
      <c r="X27" s="774" t="str">
        <f t="shared" si="9"/>
        <v>--</v>
      </c>
      <c r="Y27" s="775" t="str">
        <f t="shared" si="10"/>
        <v>--</v>
      </c>
      <c r="Z27" s="776">
        <f t="shared" si="15"/>
      </c>
      <c r="AA27" s="57">
        <f t="shared" si="11"/>
      </c>
      <c r="AB27" s="3"/>
    </row>
    <row r="28" spans="1:28" ht="16.5" customHeight="1">
      <c r="A28" s="1"/>
      <c r="B28" s="2"/>
      <c r="C28" s="569"/>
      <c r="D28" s="569"/>
      <c r="E28" s="569"/>
      <c r="F28" s="570"/>
      <c r="G28" s="571"/>
      <c r="H28" s="572"/>
      <c r="I28" s="306">
        <f t="shared" si="12"/>
        <v>36.3549009158325</v>
      </c>
      <c r="J28" s="577"/>
      <c r="K28" s="577"/>
      <c r="L28" s="15">
        <f t="shared" si="0"/>
      </c>
      <c r="M28" s="16">
        <f t="shared" si="1"/>
      </c>
      <c r="N28" s="578"/>
      <c r="O28" s="765">
        <f t="shared" si="14"/>
      </c>
      <c r="P28" s="766" t="str">
        <f t="shared" si="2"/>
        <v>--</v>
      </c>
      <c r="Q28" s="767" t="str">
        <f t="shared" si="13"/>
        <v>--</v>
      </c>
      <c r="R28" s="768" t="str">
        <f t="shared" si="3"/>
        <v>--</v>
      </c>
      <c r="S28" s="769" t="str">
        <f t="shared" si="4"/>
        <v>--</v>
      </c>
      <c r="T28" s="770" t="str">
        <f t="shared" si="5"/>
        <v>--</v>
      </c>
      <c r="U28" s="771" t="str">
        <f t="shared" si="6"/>
        <v>--</v>
      </c>
      <c r="V28" s="772" t="str">
        <f t="shared" si="7"/>
        <v>--</v>
      </c>
      <c r="W28" s="773" t="str">
        <f t="shared" si="8"/>
        <v>--</v>
      </c>
      <c r="X28" s="774" t="str">
        <f t="shared" si="9"/>
        <v>--</v>
      </c>
      <c r="Y28" s="775" t="str">
        <f t="shared" si="10"/>
        <v>--</v>
      </c>
      <c r="Z28" s="776">
        <f t="shared" si="15"/>
      </c>
      <c r="AA28" s="57">
        <f t="shared" si="11"/>
      </c>
      <c r="AB28" s="3"/>
    </row>
    <row r="29" spans="1:28" ht="16.5" customHeight="1">
      <c r="A29" s="1"/>
      <c r="B29" s="2"/>
      <c r="C29" s="569"/>
      <c r="D29" s="569"/>
      <c r="E29" s="569"/>
      <c r="F29" s="570"/>
      <c r="G29" s="571"/>
      <c r="H29" s="572"/>
      <c r="I29" s="306">
        <f t="shared" si="12"/>
        <v>36.3549009158325</v>
      </c>
      <c r="J29" s="577"/>
      <c r="K29" s="577"/>
      <c r="L29" s="15">
        <f t="shared" si="0"/>
      </c>
      <c r="M29" s="16">
        <f t="shared" si="1"/>
      </c>
      <c r="N29" s="578"/>
      <c r="O29" s="765">
        <f t="shared" si="14"/>
      </c>
      <c r="P29" s="766" t="str">
        <f t="shared" si="2"/>
        <v>--</v>
      </c>
      <c r="Q29" s="767" t="str">
        <f t="shared" si="13"/>
        <v>--</v>
      </c>
      <c r="R29" s="768" t="str">
        <f t="shared" si="3"/>
        <v>--</v>
      </c>
      <c r="S29" s="769" t="str">
        <f t="shared" si="4"/>
        <v>--</v>
      </c>
      <c r="T29" s="770" t="str">
        <f t="shared" si="5"/>
        <v>--</v>
      </c>
      <c r="U29" s="771" t="str">
        <f t="shared" si="6"/>
        <v>--</v>
      </c>
      <c r="V29" s="772" t="str">
        <f t="shared" si="7"/>
        <v>--</v>
      </c>
      <c r="W29" s="773" t="str">
        <f t="shared" si="8"/>
        <v>--</v>
      </c>
      <c r="X29" s="774" t="str">
        <f t="shared" si="9"/>
        <v>--</v>
      </c>
      <c r="Y29" s="775" t="str">
        <f t="shared" si="10"/>
        <v>--</v>
      </c>
      <c r="Z29" s="776">
        <f t="shared" si="15"/>
      </c>
      <c r="AA29" s="57">
        <f t="shared" si="11"/>
      </c>
      <c r="AB29" s="3"/>
    </row>
    <row r="30" spans="1:28" ht="16.5" customHeight="1">
      <c r="A30" s="1"/>
      <c r="B30" s="2"/>
      <c r="C30" s="569"/>
      <c r="D30" s="569"/>
      <c r="E30" s="569"/>
      <c r="F30" s="570"/>
      <c r="G30" s="571"/>
      <c r="H30" s="572"/>
      <c r="I30" s="306">
        <f t="shared" si="12"/>
        <v>36.3549009158325</v>
      </c>
      <c r="J30" s="577"/>
      <c r="K30" s="577"/>
      <c r="L30" s="15">
        <f t="shared" si="0"/>
      </c>
      <c r="M30" s="16">
        <f t="shared" si="1"/>
      </c>
      <c r="N30" s="578"/>
      <c r="O30" s="765">
        <f t="shared" si="14"/>
      </c>
      <c r="P30" s="766" t="str">
        <f t="shared" si="2"/>
        <v>--</v>
      </c>
      <c r="Q30" s="767" t="str">
        <f t="shared" si="13"/>
        <v>--</v>
      </c>
      <c r="R30" s="768" t="str">
        <f t="shared" si="3"/>
        <v>--</v>
      </c>
      <c r="S30" s="769" t="str">
        <f t="shared" si="4"/>
        <v>--</v>
      </c>
      <c r="T30" s="770" t="str">
        <f t="shared" si="5"/>
        <v>--</v>
      </c>
      <c r="U30" s="771" t="str">
        <f t="shared" si="6"/>
        <v>--</v>
      </c>
      <c r="V30" s="772" t="str">
        <f t="shared" si="7"/>
        <v>--</v>
      </c>
      <c r="W30" s="773" t="str">
        <f t="shared" si="8"/>
        <v>--</v>
      </c>
      <c r="X30" s="774" t="str">
        <f t="shared" si="9"/>
        <v>--</v>
      </c>
      <c r="Y30" s="775" t="str">
        <f t="shared" si="10"/>
        <v>--</v>
      </c>
      <c r="Z30" s="776">
        <f t="shared" si="15"/>
      </c>
      <c r="AA30" s="57">
        <f t="shared" si="11"/>
      </c>
      <c r="AB30" s="3"/>
    </row>
    <row r="31" spans="1:28" ht="16.5" customHeight="1">
      <c r="A31" s="1"/>
      <c r="B31" s="2"/>
      <c r="C31" s="569"/>
      <c r="D31" s="569"/>
      <c r="E31" s="569"/>
      <c r="F31" s="570"/>
      <c r="G31" s="571"/>
      <c r="H31" s="572"/>
      <c r="I31" s="306">
        <f t="shared" si="12"/>
        <v>36.3549009158325</v>
      </c>
      <c r="J31" s="577"/>
      <c r="K31" s="577"/>
      <c r="L31" s="15">
        <f t="shared" si="0"/>
      </c>
      <c r="M31" s="16">
        <f t="shared" si="1"/>
      </c>
      <c r="N31" s="578"/>
      <c r="O31" s="765">
        <f t="shared" si="14"/>
      </c>
      <c r="P31" s="766" t="str">
        <f t="shared" si="2"/>
        <v>--</v>
      </c>
      <c r="Q31" s="767" t="str">
        <f t="shared" si="13"/>
        <v>--</v>
      </c>
      <c r="R31" s="768" t="str">
        <f t="shared" si="3"/>
        <v>--</v>
      </c>
      <c r="S31" s="769" t="str">
        <f t="shared" si="4"/>
        <v>--</v>
      </c>
      <c r="T31" s="770" t="str">
        <f t="shared" si="5"/>
        <v>--</v>
      </c>
      <c r="U31" s="771" t="str">
        <f t="shared" si="6"/>
        <v>--</v>
      </c>
      <c r="V31" s="772" t="str">
        <f t="shared" si="7"/>
        <v>--</v>
      </c>
      <c r="W31" s="773" t="str">
        <f t="shared" si="8"/>
        <v>--</v>
      </c>
      <c r="X31" s="774" t="str">
        <f t="shared" si="9"/>
        <v>--</v>
      </c>
      <c r="Y31" s="775" t="str">
        <f t="shared" si="10"/>
        <v>--</v>
      </c>
      <c r="Z31" s="776">
        <f t="shared" si="15"/>
      </c>
      <c r="AA31" s="57">
        <f t="shared" si="11"/>
      </c>
      <c r="AB31" s="3"/>
    </row>
    <row r="32" spans="1:28" ht="16.5" customHeight="1">
      <c r="A32" s="1"/>
      <c r="B32" s="2"/>
      <c r="C32" s="569"/>
      <c r="D32" s="569"/>
      <c r="E32" s="569"/>
      <c r="F32" s="570"/>
      <c r="G32" s="571"/>
      <c r="H32" s="572"/>
      <c r="I32" s="306">
        <f t="shared" si="12"/>
        <v>36.3549009158325</v>
      </c>
      <c r="J32" s="577"/>
      <c r="K32" s="577"/>
      <c r="L32" s="15">
        <f t="shared" si="0"/>
      </c>
      <c r="M32" s="16">
        <f t="shared" si="1"/>
      </c>
      <c r="N32" s="578"/>
      <c r="O32" s="765">
        <f t="shared" si="14"/>
      </c>
      <c r="P32" s="766" t="str">
        <f t="shared" si="2"/>
        <v>--</v>
      </c>
      <c r="Q32" s="767" t="str">
        <f t="shared" si="13"/>
        <v>--</v>
      </c>
      <c r="R32" s="768" t="str">
        <f t="shared" si="3"/>
        <v>--</v>
      </c>
      <c r="S32" s="769" t="str">
        <f t="shared" si="4"/>
        <v>--</v>
      </c>
      <c r="T32" s="770" t="str">
        <f t="shared" si="5"/>
        <v>--</v>
      </c>
      <c r="U32" s="771" t="str">
        <f t="shared" si="6"/>
        <v>--</v>
      </c>
      <c r="V32" s="772" t="str">
        <f t="shared" si="7"/>
        <v>--</v>
      </c>
      <c r="W32" s="773" t="str">
        <f t="shared" si="8"/>
        <v>--</v>
      </c>
      <c r="X32" s="774" t="str">
        <f t="shared" si="9"/>
        <v>--</v>
      </c>
      <c r="Y32" s="775" t="str">
        <f t="shared" si="10"/>
        <v>--</v>
      </c>
      <c r="Z32" s="776">
        <f t="shared" si="15"/>
      </c>
      <c r="AA32" s="57">
        <f t="shared" si="11"/>
      </c>
      <c r="AB32" s="3"/>
    </row>
    <row r="33" spans="1:28" ht="16.5" customHeight="1">
      <c r="A33" s="1"/>
      <c r="B33" s="2"/>
      <c r="C33" s="569"/>
      <c r="D33" s="569"/>
      <c r="E33" s="569"/>
      <c r="F33" s="570"/>
      <c r="G33" s="571"/>
      <c r="H33" s="572"/>
      <c r="I33" s="306">
        <f t="shared" si="12"/>
        <v>36.3549009158325</v>
      </c>
      <c r="J33" s="577"/>
      <c r="K33" s="577"/>
      <c r="L33" s="15">
        <f t="shared" si="0"/>
      </c>
      <c r="M33" s="16">
        <f t="shared" si="1"/>
      </c>
      <c r="N33" s="578"/>
      <c r="O33" s="765">
        <f t="shared" si="14"/>
      </c>
      <c r="P33" s="766" t="str">
        <f t="shared" si="2"/>
        <v>--</v>
      </c>
      <c r="Q33" s="767" t="str">
        <f t="shared" si="13"/>
        <v>--</v>
      </c>
      <c r="R33" s="768" t="str">
        <f t="shared" si="3"/>
        <v>--</v>
      </c>
      <c r="S33" s="769" t="str">
        <f t="shared" si="4"/>
        <v>--</v>
      </c>
      <c r="T33" s="770" t="str">
        <f t="shared" si="5"/>
        <v>--</v>
      </c>
      <c r="U33" s="771" t="str">
        <f t="shared" si="6"/>
        <v>--</v>
      </c>
      <c r="V33" s="772" t="str">
        <f t="shared" si="7"/>
        <v>--</v>
      </c>
      <c r="W33" s="773" t="str">
        <f t="shared" si="8"/>
        <v>--</v>
      </c>
      <c r="X33" s="774" t="str">
        <f t="shared" si="9"/>
        <v>--</v>
      </c>
      <c r="Y33" s="775" t="str">
        <f t="shared" si="10"/>
        <v>--</v>
      </c>
      <c r="Z33" s="776">
        <f t="shared" si="15"/>
      </c>
      <c r="AA33" s="57">
        <f t="shared" si="11"/>
      </c>
      <c r="AB33" s="3"/>
    </row>
    <row r="34" spans="1:28" ht="16.5" customHeight="1">
      <c r="A34" s="1"/>
      <c r="B34" s="2"/>
      <c r="C34" s="569"/>
      <c r="D34" s="569"/>
      <c r="E34" s="569"/>
      <c r="F34" s="570"/>
      <c r="G34" s="571"/>
      <c r="H34" s="572"/>
      <c r="I34" s="306">
        <f t="shared" si="12"/>
        <v>36.3549009158325</v>
      </c>
      <c r="J34" s="577"/>
      <c r="K34" s="577"/>
      <c r="L34" s="15">
        <f t="shared" si="0"/>
      </c>
      <c r="M34" s="16">
        <f t="shared" si="1"/>
      </c>
      <c r="N34" s="578"/>
      <c r="O34" s="765">
        <f t="shared" si="14"/>
      </c>
      <c r="P34" s="766" t="str">
        <f t="shared" si="2"/>
        <v>--</v>
      </c>
      <c r="Q34" s="767" t="str">
        <f t="shared" si="13"/>
        <v>--</v>
      </c>
      <c r="R34" s="768" t="str">
        <f t="shared" si="3"/>
        <v>--</v>
      </c>
      <c r="S34" s="769" t="str">
        <f t="shared" si="4"/>
        <v>--</v>
      </c>
      <c r="T34" s="770" t="str">
        <f t="shared" si="5"/>
        <v>--</v>
      </c>
      <c r="U34" s="771" t="str">
        <f t="shared" si="6"/>
        <v>--</v>
      </c>
      <c r="V34" s="772" t="str">
        <f t="shared" si="7"/>
        <v>--</v>
      </c>
      <c r="W34" s="773" t="str">
        <f t="shared" si="8"/>
        <v>--</v>
      </c>
      <c r="X34" s="774" t="str">
        <f t="shared" si="9"/>
        <v>--</v>
      </c>
      <c r="Y34" s="775" t="str">
        <f t="shared" si="10"/>
        <v>--</v>
      </c>
      <c r="Z34" s="776">
        <f t="shared" si="15"/>
      </c>
      <c r="AA34" s="57">
        <f t="shared" si="11"/>
      </c>
      <c r="AB34" s="3"/>
    </row>
    <row r="35" spans="1:28" ht="16.5" customHeight="1">
      <c r="A35" s="1"/>
      <c r="B35" s="2"/>
      <c r="C35" s="569"/>
      <c r="D35" s="569"/>
      <c r="E35" s="569"/>
      <c r="F35" s="570"/>
      <c r="G35" s="571"/>
      <c r="H35" s="572"/>
      <c r="I35" s="306">
        <f t="shared" si="12"/>
        <v>36.3549009158325</v>
      </c>
      <c r="J35" s="577"/>
      <c r="K35" s="577"/>
      <c r="L35" s="15">
        <f t="shared" si="0"/>
      </c>
      <c r="M35" s="16">
        <f t="shared" si="1"/>
      </c>
      <c r="N35" s="578"/>
      <c r="O35" s="765">
        <f t="shared" si="14"/>
      </c>
      <c r="P35" s="766" t="str">
        <f t="shared" si="2"/>
        <v>--</v>
      </c>
      <c r="Q35" s="767" t="str">
        <f t="shared" si="13"/>
        <v>--</v>
      </c>
      <c r="R35" s="768" t="str">
        <f t="shared" si="3"/>
        <v>--</v>
      </c>
      <c r="S35" s="769" t="str">
        <f t="shared" si="4"/>
        <v>--</v>
      </c>
      <c r="T35" s="770" t="str">
        <f t="shared" si="5"/>
        <v>--</v>
      </c>
      <c r="U35" s="771" t="str">
        <f t="shared" si="6"/>
        <v>--</v>
      </c>
      <c r="V35" s="772" t="str">
        <f t="shared" si="7"/>
        <v>--</v>
      </c>
      <c r="W35" s="773" t="str">
        <f t="shared" si="8"/>
        <v>--</v>
      </c>
      <c r="X35" s="774" t="str">
        <f t="shared" si="9"/>
        <v>--</v>
      </c>
      <c r="Y35" s="775" t="str">
        <f t="shared" si="10"/>
        <v>--</v>
      </c>
      <c r="Z35" s="776">
        <f t="shared" si="15"/>
      </c>
      <c r="AA35" s="57">
        <f t="shared" si="11"/>
      </c>
      <c r="AB35" s="3"/>
    </row>
    <row r="36" spans="1:28" ht="16.5" customHeight="1">
      <c r="A36" s="1"/>
      <c r="B36" s="2"/>
      <c r="C36" s="569"/>
      <c r="D36" s="569"/>
      <c r="E36" s="569"/>
      <c r="F36" s="570"/>
      <c r="G36" s="571"/>
      <c r="H36" s="572"/>
      <c r="I36" s="306">
        <f t="shared" si="12"/>
        <v>36.3549009158325</v>
      </c>
      <c r="J36" s="577"/>
      <c r="K36" s="577"/>
      <c r="L36" s="15">
        <f t="shared" si="0"/>
      </c>
      <c r="M36" s="16">
        <f t="shared" si="1"/>
      </c>
      <c r="N36" s="578"/>
      <c r="O36" s="765">
        <f t="shared" si="14"/>
      </c>
      <c r="P36" s="766" t="str">
        <f t="shared" si="2"/>
        <v>--</v>
      </c>
      <c r="Q36" s="767" t="str">
        <f t="shared" si="13"/>
        <v>--</v>
      </c>
      <c r="R36" s="768" t="str">
        <f t="shared" si="3"/>
        <v>--</v>
      </c>
      <c r="S36" s="769" t="str">
        <f t="shared" si="4"/>
        <v>--</v>
      </c>
      <c r="T36" s="770" t="str">
        <f t="shared" si="5"/>
        <v>--</v>
      </c>
      <c r="U36" s="771" t="str">
        <f t="shared" si="6"/>
        <v>--</v>
      </c>
      <c r="V36" s="772" t="str">
        <f t="shared" si="7"/>
        <v>--</v>
      </c>
      <c r="W36" s="773" t="str">
        <f t="shared" si="8"/>
        <v>--</v>
      </c>
      <c r="X36" s="774" t="str">
        <f t="shared" si="9"/>
        <v>--</v>
      </c>
      <c r="Y36" s="775" t="str">
        <f t="shared" si="10"/>
        <v>--</v>
      </c>
      <c r="Z36" s="776">
        <f t="shared" si="15"/>
      </c>
      <c r="AA36" s="57">
        <f t="shared" si="11"/>
      </c>
      <c r="AB36" s="3"/>
    </row>
    <row r="37" spans="1:28" ht="16.5" customHeight="1">
      <c r="A37" s="1"/>
      <c r="B37" s="2"/>
      <c r="C37" s="569"/>
      <c r="D37" s="569"/>
      <c r="E37" s="569"/>
      <c r="F37" s="570"/>
      <c r="G37" s="571"/>
      <c r="H37" s="572"/>
      <c r="I37" s="306">
        <f t="shared" si="12"/>
        <v>36.3549009158325</v>
      </c>
      <c r="J37" s="577"/>
      <c r="K37" s="577"/>
      <c r="L37" s="15">
        <f t="shared" si="0"/>
      </c>
      <c r="M37" s="16">
        <f t="shared" si="1"/>
      </c>
      <c r="N37" s="578"/>
      <c r="O37" s="765">
        <f t="shared" si="14"/>
      </c>
      <c r="P37" s="766" t="str">
        <f t="shared" si="2"/>
        <v>--</v>
      </c>
      <c r="Q37" s="767" t="str">
        <f t="shared" si="13"/>
        <v>--</v>
      </c>
      <c r="R37" s="768" t="str">
        <f t="shared" si="3"/>
        <v>--</v>
      </c>
      <c r="S37" s="769" t="str">
        <f t="shared" si="4"/>
        <v>--</v>
      </c>
      <c r="T37" s="770" t="str">
        <f t="shared" si="5"/>
        <v>--</v>
      </c>
      <c r="U37" s="771" t="str">
        <f t="shared" si="6"/>
        <v>--</v>
      </c>
      <c r="V37" s="772" t="str">
        <f t="shared" si="7"/>
        <v>--</v>
      </c>
      <c r="W37" s="773" t="str">
        <f t="shared" si="8"/>
        <v>--</v>
      </c>
      <c r="X37" s="774" t="str">
        <f t="shared" si="9"/>
        <v>--</v>
      </c>
      <c r="Y37" s="775" t="str">
        <f t="shared" si="10"/>
        <v>--</v>
      </c>
      <c r="Z37" s="776">
        <f t="shared" si="15"/>
      </c>
      <c r="AA37" s="57">
        <f t="shared" si="11"/>
      </c>
      <c r="AB37" s="3"/>
    </row>
    <row r="38" spans="2:28" ht="16.5" customHeight="1">
      <c r="B38" s="58"/>
      <c r="C38" s="569"/>
      <c r="D38" s="569"/>
      <c r="E38" s="569"/>
      <c r="F38" s="570"/>
      <c r="G38" s="571"/>
      <c r="H38" s="572"/>
      <c r="I38" s="306">
        <f t="shared" si="12"/>
        <v>36.3549009158325</v>
      </c>
      <c r="J38" s="577"/>
      <c r="K38" s="577"/>
      <c r="L38" s="15">
        <f t="shared" si="0"/>
      </c>
      <c r="M38" s="16">
        <f t="shared" si="1"/>
      </c>
      <c r="N38" s="578"/>
      <c r="O38" s="765">
        <f t="shared" si="14"/>
      </c>
      <c r="P38" s="766" t="str">
        <f t="shared" si="2"/>
        <v>--</v>
      </c>
      <c r="Q38" s="767" t="str">
        <f t="shared" si="13"/>
        <v>--</v>
      </c>
      <c r="R38" s="768" t="str">
        <f t="shared" si="3"/>
        <v>--</v>
      </c>
      <c r="S38" s="769" t="str">
        <f t="shared" si="4"/>
        <v>--</v>
      </c>
      <c r="T38" s="770" t="str">
        <f t="shared" si="5"/>
        <v>--</v>
      </c>
      <c r="U38" s="771" t="str">
        <f t="shared" si="6"/>
        <v>--</v>
      </c>
      <c r="V38" s="772" t="str">
        <f t="shared" si="7"/>
        <v>--</v>
      </c>
      <c r="W38" s="773" t="str">
        <f t="shared" si="8"/>
        <v>--</v>
      </c>
      <c r="X38" s="774" t="str">
        <f t="shared" si="9"/>
        <v>--</v>
      </c>
      <c r="Y38" s="775" t="str">
        <f t="shared" si="10"/>
        <v>--</v>
      </c>
      <c r="Z38" s="776">
        <f t="shared" si="15"/>
      </c>
      <c r="AA38" s="57">
        <f t="shared" si="11"/>
      </c>
      <c r="AB38" s="3"/>
    </row>
    <row r="39" spans="2:28" ht="16.5" customHeight="1">
      <c r="B39" s="58"/>
      <c r="C39" s="569"/>
      <c r="D39" s="569"/>
      <c r="E39" s="569"/>
      <c r="F39" s="570"/>
      <c r="G39" s="571"/>
      <c r="H39" s="572"/>
      <c r="I39" s="306">
        <f>IF(H39&gt;25,H39,25)*IF(G39=330,$G$15,$G$16)/100</f>
        <v>36.3549009158325</v>
      </c>
      <c r="J39" s="577"/>
      <c r="K39" s="577"/>
      <c r="L39" s="15">
        <f t="shared" si="0"/>
      </c>
      <c r="M39" s="16">
        <f t="shared" si="1"/>
      </c>
      <c r="N39" s="578"/>
      <c r="O39" s="765">
        <f t="shared" si="14"/>
      </c>
      <c r="P39" s="766" t="str">
        <f t="shared" si="2"/>
        <v>--</v>
      </c>
      <c r="Q39" s="767" t="str">
        <f>IF(N39="RP",ROUND(M39/60,2)*I39*$L$16*0.01*O39/100,"--")</f>
        <v>--</v>
      </c>
      <c r="R39" s="768" t="str">
        <f t="shared" si="3"/>
        <v>--</v>
      </c>
      <c r="S39" s="769" t="str">
        <f t="shared" si="4"/>
        <v>--</v>
      </c>
      <c r="T39" s="770" t="str">
        <f t="shared" si="5"/>
        <v>--</v>
      </c>
      <c r="U39" s="771" t="str">
        <f t="shared" si="6"/>
        <v>--</v>
      </c>
      <c r="V39" s="772" t="str">
        <f t="shared" si="7"/>
        <v>--</v>
      </c>
      <c r="W39" s="773" t="str">
        <f t="shared" si="8"/>
        <v>--</v>
      </c>
      <c r="X39" s="774" t="str">
        <f t="shared" si="9"/>
        <v>--</v>
      </c>
      <c r="Y39" s="775" t="str">
        <f t="shared" si="10"/>
        <v>--</v>
      </c>
      <c r="Z39" s="776">
        <f t="shared" si="15"/>
      </c>
      <c r="AA39" s="57">
        <f t="shared" si="11"/>
      </c>
      <c r="AB39" s="3"/>
    </row>
    <row r="40" spans="2:28" ht="16.5" customHeight="1">
      <c r="B40" s="58"/>
      <c r="C40" s="569"/>
      <c r="D40" s="569"/>
      <c r="E40" s="569"/>
      <c r="F40" s="570"/>
      <c r="G40" s="571"/>
      <c r="H40" s="572"/>
      <c r="I40" s="306">
        <f>IF(H40&gt;25,H40,25)*IF(G40=330,$G$15,$G$16)/100</f>
        <v>36.3549009158325</v>
      </c>
      <c r="J40" s="577"/>
      <c r="K40" s="577"/>
      <c r="L40" s="15">
        <f t="shared" si="0"/>
      </c>
      <c r="M40" s="16">
        <f t="shared" si="1"/>
      </c>
      <c r="N40" s="578"/>
      <c r="O40" s="765">
        <f t="shared" si="14"/>
      </c>
      <c r="P40" s="766" t="str">
        <f t="shared" si="2"/>
        <v>--</v>
      </c>
      <c r="Q40" s="767" t="str">
        <f>IF(N40="RP",ROUND(M40/60,2)*I40*$L$16*0.01*O40/100,"--")</f>
        <v>--</v>
      </c>
      <c r="R40" s="768" t="str">
        <f t="shared" si="3"/>
        <v>--</v>
      </c>
      <c r="S40" s="769" t="str">
        <f t="shared" si="4"/>
        <v>--</v>
      </c>
      <c r="T40" s="770" t="str">
        <f t="shared" si="5"/>
        <v>--</v>
      </c>
      <c r="U40" s="771" t="str">
        <f t="shared" si="6"/>
        <v>--</v>
      </c>
      <c r="V40" s="772" t="str">
        <f t="shared" si="7"/>
        <v>--</v>
      </c>
      <c r="W40" s="773" t="str">
        <f t="shared" si="8"/>
        <v>--</v>
      </c>
      <c r="X40" s="774" t="str">
        <f t="shared" si="9"/>
        <v>--</v>
      </c>
      <c r="Y40" s="775" t="str">
        <f t="shared" si="10"/>
        <v>--</v>
      </c>
      <c r="Z40" s="776">
        <f t="shared" si="15"/>
      </c>
      <c r="AA40" s="57">
        <f t="shared" si="11"/>
      </c>
      <c r="AB40" s="3"/>
    </row>
    <row r="41" spans="2:28" ht="16.5" customHeight="1">
      <c r="B41" s="58"/>
      <c r="C41" s="569"/>
      <c r="D41" s="569"/>
      <c r="E41" s="569"/>
      <c r="F41" s="570"/>
      <c r="G41" s="571"/>
      <c r="H41" s="572"/>
      <c r="I41" s="306">
        <f>IF(H41&gt;25,H41,25)*IF(G41=330,$G$15,$G$16)/100</f>
        <v>36.3549009158325</v>
      </c>
      <c r="J41" s="577"/>
      <c r="K41" s="577"/>
      <c r="L41" s="15">
        <f t="shared" si="0"/>
      </c>
      <c r="M41" s="16">
        <f t="shared" si="1"/>
      </c>
      <c r="N41" s="578"/>
      <c r="O41" s="765">
        <f t="shared" si="14"/>
      </c>
      <c r="P41" s="766" t="str">
        <f t="shared" si="2"/>
        <v>--</v>
      </c>
      <c r="Q41" s="767" t="str">
        <f>IF(N41="RP",ROUND(M41/60,2)*I41*$L$16*0.01*O41/100,"--")</f>
        <v>--</v>
      </c>
      <c r="R41" s="768" t="str">
        <f t="shared" si="3"/>
        <v>--</v>
      </c>
      <c r="S41" s="769" t="str">
        <f t="shared" si="4"/>
        <v>--</v>
      </c>
      <c r="T41" s="770" t="str">
        <f t="shared" si="5"/>
        <v>--</v>
      </c>
      <c r="U41" s="771" t="str">
        <f t="shared" si="6"/>
        <v>--</v>
      </c>
      <c r="V41" s="772" t="str">
        <f t="shared" si="7"/>
        <v>--</v>
      </c>
      <c r="W41" s="773" t="str">
        <f t="shared" si="8"/>
        <v>--</v>
      </c>
      <c r="X41" s="774" t="str">
        <f t="shared" si="9"/>
        <v>--</v>
      </c>
      <c r="Y41" s="775" t="str">
        <f t="shared" si="10"/>
        <v>--</v>
      </c>
      <c r="Z41" s="776">
        <f t="shared" si="15"/>
      </c>
      <c r="AA41" s="57">
        <f t="shared" si="11"/>
      </c>
      <c r="AB41" s="3"/>
    </row>
    <row r="42" spans="1:28" ht="16.5" customHeight="1" thickBot="1">
      <c r="A42" s="1"/>
      <c r="B42" s="2"/>
      <c r="C42" s="573"/>
      <c r="D42" s="573"/>
      <c r="E42" s="573"/>
      <c r="F42" s="574"/>
      <c r="G42" s="575"/>
      <c r="H42" s="576"/>
      <c r="I42" s="307"/>
      <c r="J42" s="576"/>
      <c r="K42" s="576"/>
      <c r="L42" s="17"/>
      <c r="M42" s="17"/>
      <c r="N42" s="576"/>
      <c r="O42" s="579"/>
      <c r="P42" s="580"/>
      <c r="Q42" s="581"/>
      <c r="R42" s="582"/>
      <c r="S42" s="583"/>
      <c r="T42" s="584"/>
      <c r="U42" s="585"/>
      <c r="V42" s="586"/>
      <c r="W42" s="587"/>
      <c r="X42" s="588"/>
      <c r="Y42" s="589"/>
      <c r="Z42" s="590"/>
      <c r="AA42" s="59"/>
      <c r="AB42" s="3"/>
    </row>
    <row r="43" spans="1:28" ht="16.5" customHeight="1" thickBot="1" thickTop="1">
      <c r="A43" s="1"/>
      <c r="B43" s="2"/>
      <c r="C43" s="276" t="s">
        <v>65</v>
      </c>
      <c r="D43" s="800" t="s">
        <v>189</v>
      </c>
      <c r="E43" s="760"/>
      <c r="F43" s="277"/>
      <c r="G43" s="18"/>
      <c r="H43" s="19"/>
      <c r="I43" s="60"/>
      <c r="J43" s="60"/>
      <c r="K43" s="60"/>
      <c r="L43" s="60"/>
      <c r="M43" s="60"/>
      <c r="N43" s="60"/>
      <c r="O43" s="61"/>
      <c r="P43" s="366">
        <f aca="true" t="shared" si="16" ref="P43:Y43">ROUND(SUM(P20:P42),2)</f>
        <v>0</v>
      </c>
      <c r="Q43" s="367">
        <f t="shared" si="16"/>
        <v>0</v>
      </c>
      <c r="R43" s="368">
        <f t="shared" si="16"/>
        <v>9536.62</v>
      </c>
      <c r="S43" s="368">
        <f t="shared" si="16"/>
        <v>26134.96</v>
      </c>
      <c r="T43" s="369">
        <f t="shared" si="16"/>
        <v>3333.05</v>
      </c>
      <c r="U43" s="370">
        <f t="shared" si="16"/>
        <v>0</v>
      </c>
      <c r="V43" s="370">
        <f t="shared" si="16"/>
        <v>0</v>
      </c>
      <c r="W43" s="371">
        <f t="shared" si="16"/>
        <v>0</v>
      </c>
      <c r="X43" s="372">
        <f t="shared" si="16"/>
        <v>0</v>
      </c>
      <c r="Y43" s="373">
        <f t="shared" si="16"/>
        <v>0</v>
      </c>
      <c r="Z43" s="62"/>
      <c r="AA43" s="764">
        <f>ROUND(SUM(AA20:AA42),2)</f>
        <v>39004.63</v>
      </c>
      <c r="AB43" s="63"/>
    </row>
    <row r="44" spans="1:28" s="291" customFormat="1" ht="9.75" thickTop="1">
      <c r="A44" s="280"/>
      <c r="B44" s="281"/>
      <c r="C44" s="278"/>
      <c r="D44" s="278"/>
      <c r="E44" s="278"/>
      <c r="F44" s="279"/>
      <c r="G44" s="282"/>
      <c r="H44" s="283"/>
      <c r="I44" s="284"/>
      <c r="J44" s="284"/>
      <c r="K44" s="284"/>
      <c r="L44" s="284"/>
      <c r="M44" s="284"/>
      <c r="N44" s="284"/>
      <c r="O44" s="285"/>
      <c r="P44" s="286"/>
      <c r="Q44" s="286"/>
      <c r="R44" s="287"/>
      <c r="S44" s="287"/>
      <c r="T44" s="288"/>
      <c r="U44" s="288"/>
      <c r="V44" s="288"/>
      <c r="W44" s="288"/>
      <c r="X44" s="288"/>
      <c r="Y44" s="288"/>
      <c r="Z44" s="288"/>
      <c r="AA44" s="289"/>
      <c r="AB44" s="290"/>
    </row>
    <row r="45" spans="1:28" s="12" customFormat="1" ht="16.5" customHeight="1" thickBot="1">
      <c r="A45" s="1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zoomScalePageLayoutView="0" workbookViewId="0" topLeftCell="A1">
      <selection activeCell="A24" sqref="A24:IV28"/>
    </sheetView>
  </sheetViews>
  <sheetFormatPr defaultColWidth="11.421875" defaultRowHeight="12.75"/>
  <cols>
    <col min="1" max="2" width="4.140625" style="702" customWidth="1"/>
    <col min="3" max="3" width="5.57421875" style="702" customWidth="1"/>
    <col min="4" max="5" width="13.7109375" style="702" customWidth="1"/>
    <col min="6" max="7" width="25.7109375" style="702" customWidth="1"/>
    <col min="8" max="8" width="7.7109375" style="702" customWidth="1"/>
    <col min="9" max="9" width="12.7109375" style="702" customWidth="1"/>
    <col min="10" max="10" width="11.8515625" style="702" hidden="1" customWidth="1"/>
    <col min="11" max="11" width="16.421875" style="702" customWidth="1"/>
    <col min="12" max="12" width="16.28125" style="702" customWidth="1"/>
    <col min="13" max="15" width="9.7109375" style="702" customWidth="1"/>
    <col min="16" max="16" width="5.8515625" style="702" customWidth="1"/>
    <col min="17" max="18" width="7.00390625" style="702" customWidth="1"/>
    <col min="19" max="19" width="11.7109375" style="702" hidden="1" customWidth="1"/>
    <col min="20" max="21" width="14.00390625" style="702" hidden="1" customWidth="1"/>
    <col min="22" max="22" width="14.28125" style="702" hidden="1" customWidth="1"/>
    <col min="23" max="27" width="14.140625" style="702" hidden="1" customWidth="1"/>
    <col min="28" max="28" width="9.00390625" style="702" customWidth="1"/>
    <col min="29" max="29" width="15.7109375" style="702" customWidth="1"/>
    <col min="30" max="30" width="4.140625" style="702" customWidth="1"/>
    <col min="31" max="16384" width="11.421875" style="702" customWidth="1"/>
  </cols>
  <sheetData>
    <row r="1" spans="1:30" s="608" customFormat="1" ht="26.25">
      <c r="A1" s="125"/>
      <c r="B1" s="125"/>
      <c r="C1" s="125"/>
      <c r="D1" s="125"/>
      <c r="E1" s="125"/>
      <c r="F1" s="125"/>
      <c r="G1" s="125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7"/>
    </row>
    <row r="2" spans="1:30" s="608" customFormat="1" ht="26.25">
      <c r="A2" s="125"/>
      <c r="B2" s="126" t="str">
        <f>+'TOT-1213'!B2</f>
        <v>ANEXO VI al Memorándum  D.T.E.E.  N°       598    / 2014.-</v>
      </c>
      <c r="C2" s="127"/>
      <c r="D2" s="127"/>
      <c r="E2" s="127"/>
      <c r="F2" s="127"/>
      <c r="G2" s="127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</row>
    <row r="3" spans="1:30" s="611" customFormat="1" ht="12.75">
      <c r="A3" s="12"/>
      <c r="B3" s="12"/>
      <c r="C3" s="12"/>
      <c r="D3" s="12"/>
      <c r="E3" s="12"/>
      <c r="F3" s="12"/>
      <c r="G3" s="12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1:30" s="613" customFormat="1" ht="11.25">
      <c r="A4" s="763" t="s">
        <v>17</v>
      </c>
      <c r="B4" s="128"/>
      <c r="C4" s="762"/>
      <c r="D4" s="762"/>
      <c r="E4" s="762"/>
      <c r="F4" s="128"/>
      <c r="G4" s="128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</row>
    <row r="5" spans="1:30" s="613" customFormat="1" ht="11.25">
      <c r="A5" s="763" t="s">
        <v>143</v>
      </c>
      <c r="B5" s="128"/>
      <c r="C5" s="762"/>
      <c r="D5" s="762"/>
      <c r="E5" s="762"/>
      <c r="F5" s="128"/>
      <c r="G5" s="128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</row>
    <row r="6" spans="1:30" s="611" customFormat="1" ht="13.5" thickBot="1">
      <c r="A6" s="610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</row>
    <row r="7" spans="1:30" s="611" customFormat="1" ht="13.5" thickTop="1">
      <c r="A7" s="610"/>
      <c r="B7" s="614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6"/>
    </row>
    <row r="8" spans="1:30" s="620" customFormat="1" ht="20.25">
      <c r="A8" s="617"/>
      <c r="B8" s="618"/>
      <c r="C8" s="210"/>
      <c r="D8" s="210"/>
      <c r="E8" s="210"/>
      <c r="F8" s="619" t="s">
        <v>41</v>
      </c>
      <c r="H8" s="210"/>
      <c r="I8" s="617"/>
      <c r="J8" s="617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621"/>
    </row>
    <row r="9" spans="1:30" s="611" customFormat="1" ht="12.75">
      <c r="A9" s="610"/>
      <c r="B9" s="622"/>
      <c r="C9" s="196"/>
      <c r="D9" s="196"/>
      <c r="E9" s="196"/>
      <c r="F9" s="196"/>
      <c r="G9" s="196"/>
      <c r="H9" s="196"/>
      <c r="I9" s="610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623"/>
    </row>
    <row r="10" spans="1:30" s="620" customFormat="1" ht="20.25">
      <c r="A10" s="617"/>
      <c r="B10" s="618"/>
      <c r="C10" s="210"/>
      <c r="D10" s="210"/>
      <c r="E10" s="210"/>
      <c r="F10" s="619" t="s">
        <v>66</v>
      </c>
      <c r="G10" s="210"/>
      <c r="H10" s="210"/>
      <c r="I10" s="617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621"/>
    </row>
    <row r="11" spans="1:30" s="611" customFormat="1" ht="12.75">
      <c r="A11" s="610"/>
      <c r="B11" s="622"/>
      <c r="C11" s="196"/>
      <c r="D11" s="196"/>
      <c r="E11" s="196"/>
      <c r="F11" s="624"/>
      <c r="G11" s="196"/>
      <c r="H11" s="196"/>
      <c r="I11" s="610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623"/>
    </row>
    <row r="12" spans="1:30" s="620" customFormat="1" ht="20.25">
      <c r="A12" s="617"/>
      <c r="B12" s="618"/>
      <c r="C12" s="210"/>
      <c r="D12" s="210"/>
      <c r="E12" s="210"/>
      <c r="F12" s="619" t="s">
        <v>67</v>
      </c>
      <c r="G12" s="625"/>
      <c r="H12" s="617"/>
      <c r="I12" s="617"/>
      <c r="J12" s="210"/>
      <c r="K12" s="210"/>
      <c r="L12" s="617"/>
      <c r="M12" s="617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621"/>
    </row>
    <row r="13" spans="1:30" s="611" customFormat="1" ht="12.75">
      <c r="A13" s="610"/>
      <c r="B13" s="622"/>
      <c r="C13" s="196"/>
      <c r="D13" s="196"/>
      <c r="E13" s="196"/>
      <c r="F13" s="626"/>
      <c r="G13" s="627"/>
      <c r="H13" s="610"/>
      <c r="I13" s="610"/>
      <c r="J13" s="196"/>
      <c r="K13" s="196"/>
      <c r="L13" s="610"/>
      <c r="M13" s="610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623"/>
    </row>
    <row r="14" spans="1:30" s="620" customFormat="1" ht="20.25">
      <c r="A14" s="617"/>
      <c r="B14" s="618"/>
      <c r="C14" s="210"/>
      <c r="D14" s="210"/>
      <c r="E14" s="210"/>
      <c r="F14" s="619" t="s">
        <v>68</v>
      </c>
      <c r="G14" s="211"/>
      <c r="H14" s="211"/>
      <c r="I14" s="212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621"/>
    </row>
    <row r="15" spans="1:30" s="611" customFormat="1" ht="12.75">
      <c r="A15" s="610"/>
      <c r="B15" s="622"/>
      <c r="C15" s="196"/>
      <c r="D15" s="196"/>
      <c r="E15" s="196"/>
      <c r="F15" s="628"/>
      <c r="G15" s="197"/>
      <c r="H15" s="197"/>
      <c r="I15" s="198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623"/>
    </row>
    <row r="16" spans="1:30" s="634" customFormat="1" ht="19.5">
      <c r="A16" s="629"/>
      <c r="B16" s="103" t="str">
        <f>+'TOT-1213'!B14</f>
        <v>Desde el 01 al 31 de diciembre de 2013</v>
      </c>
      <c r="C16" s="630"/>
      <c r="D16" s="630"/>
      <c r="E16" s="630"/>
      <c r="F16" s="630"/>
      <c r="G16" s="630"/>
      <c r="H16" s="630"/>
      <c r="I16" s="631"/>
      <c r="J16" s="630"/>
      <c r="K16" s="632"/>
      <c r="L16" s="632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3"/>
    </row>
    <row r="17" spans="1:30" s="611" customFormat="1" ht="14.25" thickBot="1">
      <c r="A17" s="610"/>
      <c r="B17" s="622"/>
      <c r="C17" s="196"/>
      <c r="D17" s="196"/>
      <c r="E17" s="196"/>
      <c r="F17" s="196"/>
      <c r="G17" s="196"/>
      <c r="H17" s="196"/>
      <c r="I17" s="39"/>
      <c r="J17" s="196"/>
      <c r="K17" s="635"/>
      <c r="L17" s="63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623"/>
    </row>
    <row r="18" spans="1:30" s="611" customFormat="1" ht="16.5" customHeight="1" thickBot="1" thickTop="1">
      <c r="A18" s="610"/>
      <c r="B18" s="622"/>
      <c r="C18" s="196"/>
      <c r="D18" s="196"/>
      <c r="E18" s="196"/>
      <c r="F18" s="217" t="s">
        <v>69</v>
      </c>
      <c r="G18" s="218"/>
      <c r="H18" s="637"/>
      <c r="I18" s="638">
        <v>0.507</v>
      </c>
      <c r="J18" s="610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623"/>
    </row>
    <row r="19" spans="1:30" s="611" customFormat="1" ht="16.5" customHeight="1" thickBot="1" thickTop="1">
      <c r="A19" s="610"/>
      <c r="B19" s="622"/>
      <c r="C19" s="196"/>
      <c r="D19" s="196"/>
      <c r="E19" s="196"/>
      <c r="F19" s="221" t="s">
        <v>70</v>
      </c>
      <c r="G19" s="222"/>
      <c r="H19" s="222"/>
      <c r="I19" s="223">
        <v>30</v>
      </c>
      <c r="J19" s="196"/>
      <c r="K19" s="272" t="str">
        <f>IF(I19=30," ",IF(I19=60,"Coeficiente duplicado por tasa de falla &gt;4 Sal. x año/100 km.","REVISAR COEFICIENTE"))</f>
        <v> </v>
      </c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639"/>
      <c r="X19" s="639"/>
      <c r="Y19" s="639"/>
      <c r="Z19" s="639"/>
      <c r="AA19" s="639"/>
      <c r="AB19" s="639"/>
      <c r="AC19" s="639"/>
      <c r="AD19" s="623"/>
    </row>
    <row r="20" spans="1:30" s="795" customFormat="1" ht="16.5" customHeight="1" thickBot="1" thickTop="1">
      <c r="A20" s="791"/>
      <c r="B20" s="792"/>
      <c r="C20" s="793">
        <v>3</v>
      </c>
      <c r="D20" s="793">
        <v>4</v>
      </c>
      <c r="E20" s="793">
        <v>5</v>
      </c>
      <c r="F20" s="793">
        <v>6</v>
      </c>
      <c r="G20" s="793">
        <v>7</v>
      </c>
      <c r="H20" s="793">
        <v>8</v>
      </c>
      <c r="I20" s="793">
        <v>9</v>
      </c>
      <c r="J20" s="793">
        <v>10</v>
      </c>
      <c r="K20" s="793">
        <v>11</v>
      </c>
      <c r="L20" s="793">
        <v>12</v>
      </c>
      <c r="M20" s="793">
        <v>13</v>
      </c>
      <c r="N20" s="793">
        <v>14</v>
      </c>
      <c r="O20" s="793">
        <v>15</v>
      </c>
      <c r="P20" s="793">
        <v>16</v>
      </c>
      <c r="Q20" s="793">
        <v>17</v>
      </c>
      <c r="R20" s="793">
        <v>18</v>
      </c>
      <c r="S20" s="793">
        <v>19</v>
      </c>
      <c r="T20" s="793">
        <v>20</v>
      </c>
      <c r="U20" s="793">
        <v>21</v>
      </c>
      <c r="V20" s="793">
        <v>22</v>
      </c>
      <c r="W20" s="793">
        <v>23</v>
      </c>
      <c r="X20" s="793">
        <v>24</v>
      </c>
      <c r="Y20" s="793">
        <v>25</v>
      </c>
      <c r="Z20" s="793">
        <v>26</v>
      </c>
      <c r="AA20" s="793">
        <v>27</v>
      </c>
      <c r="AB20" s="793">
        <v>28</v>
      </c>
      <c r="AC20" s="793">
        <v>29</v>
      </c>
      <c r="AD20" s="794"/>
    </row>
    <row r="21" spans="1:30" s="649" customFormat="1" ht="33.75" customHeight="1" thickBot="1" thickTop="1">
      <c r="A21" s="640"/>
      <c r="B21" s="641"/>
      <c r="C21" s="233" t="s">
        <v>47</v>
      </c>
      <c r="D21" s="117" t="s">
        <v>142</v>
      </c>
      <c r="E21" s="117" t="s">
        <v>141</v>
      </c>
      <c r="F21" s="232" t="s">
        <v>71</v>
      </c>
      <c r="G21" s="228" t="s">
        <v>15</v>
      </c>
      <c r="H21" s="229" t="s">
        <v>72</v>
      </c>
      <c r="I21" s="232" t="s">
        <v>48</v>
      </c>
      <c r="J21" s="303" t="s">
        <v>50</v>
      </c>
      <c r="K21" s="231" t="s">
        <v>73</v>
      </c>
      <c r="L21" s="231" t="s">
        <v>74</v>
      </c>
      <c r="M21" s="232" t="s">
        <v>75</v>
      </c>
      <c r="N21" s="232" t="s">
        <v>76</v>
      </c>
      <c r="O21" s="121" t="s">
        <v>55</v>
      </c>
      <c r="P21" s="233" t="s">
        <v>77</v>
      </c>
      <c r="Q21" s="232" t="s">
        <v>78</v>
      </c>
      <c r="R21" s="228" t="s">
        <v>79</v>
      </c>
      <c r="S21" s="374" t="s">
        <v>80</v>
      </c>
      <c r="T21" s="642" t="s">
        <v>57</v>
      </c>
      <c r="U21" s="643" t="s">
        <v>58</v>
      </c>
      <c r="V21" s="390" t="s">
        <v>81</v>
      </c>
      <c r="W21" s="644"/>
      <c r="X21" s="399" t="s">
        <v>81</v>
      </c>
      <c r="Y21" s="645"/>
      <c r="Z21" s="646" t="s">
        <v>61</v>
      </c>
      <c r="AA21" s="647" t="s">
        <v>62</v>
      </c>
      <c r="AB21" s="232" t="s">
        <v>63</v>
      </c>
      <c r="AC21" s="232" t="s">
        <v>64</v>
      </c>
      <c r="AD21" s="648"/>
    </row>
    <row r="22" spans="1:30" s="611" customFormat="1" ht="16.5" customHeight="1" thickTop="1">
      <c r="A22" s="610"/>
      <c r="B22" s="622"/>
      <c r="C22" s="650"/>
      <c r="D22" s="650"/>
      <c r="E22" s="650"/>
      <c r="F22" s="651"/>
      <c r="G22" s="652"/>
      <c r="H22" s="652"/>
      <c r="I22" s="652"/>
      <c r="J22" s="653"/>
      <c r="K22" s="651"/>
      <c r="L22" s="652"/>
      <c r="M22" s="651"/>
      <c r="N22" s="651"/>
      <c r="O22" s="652"/>
      <c r="P22" s="652"/>
      <c r="Q22" s="652"/>
      <c r="R22" s="652"/>
      <c r="S22" s="654"/>
      <c r="T22" s="655"/>
      <c r="U22" s="656"/>
      <c r="V22" s="657"/>
      <c r="W22" s="658"/>
      <c r="X22" s="659"/>
      <c r="Y22" s="660"/>
      <c r="Z22" s="661"/>
      <c r="AA22" s="662"/>
      <c r="AB22" s="652"/>
      <c r="AC22" s="663"/>
      <c r="AD22" s="623"/>
    </row>
    <row r="23" spans="1:30" s="611" customFormat="1" ht="16.5" customHeight="1">
      <c r="A23" s="610"/>
      <c r="B23" s="622"/>
      <c r="C23" s="650"/>
      <c r="D23" s="650"/>
      <c r="E23" s="650"/>
      <c r="F23" s="664"/>
      <c r="G23" s="664"/>
      <c r="H23" s="664"/>
      <c r="I23" s="664"/>
      <c r="J23" s="665"/>
      <c r="K23" s="666"/>
      <c r="L23" s="664"/>
      <c r="M23" s="666"/>
      <c r="N23" s="666"/>
      <c r="O23" s="664"/>
      <c r="P23" s="664"/>
      <c r="Q23" s="664"/>
      <c r="R23" s="664"/>
      <c r="S23" s="667"/>
      <c r="T23" s="668"/>
      <c r="U23" s="669"/>
      <c r="V23" s="670"/>
      <c r="W23" s="671"/>
      <c r="X23" s="672"/>
      <c r="Y23" s="673"/>
      <c r="Z23" s="674"/>
      <c r="AA23" s="675"/>
      <c r="AB23" s="664"/>
      <c r="AC23" s="676"/>
      <c r="AD23" s="623"/>
    </row>
    <row r="24" spans="1:30" s="611" customFormat="1" ht="16.5" customHeight="1">
      <c r="A24" s="610"/>
      <c r="B24" s="622"/>
      <c r="C24" s="705">
        <v>10</v>
      </c>
      <c r="D24" s="705">
        <v>268401</v>
      </c>
      <c r="E24" s="705">
        <v>1810</v>
      </c>
      <c r="F24" s="570" t="s">
        <v>157</v>
      </c>
      <c r="G24" s="569" t="s">
        <v>158</v>
      </c>
      <c r="H24" s="706">
        <v>30</v>
      </c>
      <c r="I24" s="756" t="s">
        <v>156</v>
      </c>
      <c r="J24" s="306">
        <f aca="true" t="shared" si="0" ref="J24:J38">H24*$I$18</f>
        <v>15.21</v>
      </c>
      <c r="K24" s="709">
        <v>41609.85138888889</v>
      </c>
      <c r="L24" s="709">
        <v>41610.59305555555</v>
      </c>
      <c r="M24" s="28">
        <f aca="true" t="shared" si="1" ref="M24:M38">IF(F24="","",(L24-K24)*24)</f>
        <v>17.799999999871943</v>
      </c>
      <c r="N24" s="29">
        <f aca="true" t="shared" si="2" ref="N24:N38">IF(F24="","",ROUND((L24-K24)*24*60,0))</f>
        <v>1068</v>
      </c>
      <c r="O24" s="710" t="s">
        <v>152</v>
      </c>
      <c r="P24" s="27" t="str">
        <f aca="true" t="shared" si="3" ref="P24:P42">IF(F24="","",IF(OR(O24="P",O24="RP"),"--","NO"))</f>
        <v>NO</v>
      </c>
      <c r="Q24" s="777" t="str">
        <f aca="true" t="shared" si="4" ref="Q24:Q42">IF(F24="","","--")</f>
        <v>--</v>
      </c>
      <c r="R24" s="27" t="str">
        <f aca="true" t="shared" si="5" ref="R24:R42">IF(F24="","","NO")</f>
        <v>NO</v>
      </c>
      <c r="S24" s="377">
        <f aca="true" t="shared" si="6" ref="S24:S38">$I$19*IF(OR(O24="P",O24="RP"),0.1,1)*IF(R24="SI",1,0.1)</f>
        <v>3</v>
      </c>
      <c r="T24" s="778" t="str">
        <f aca="true" t="shared" si="7" ref="T24:T38">IF(O24="P",J24*S24*ROUND(N24/60,2),"--")</f>
        <v>--</v>
      </c>
      <c r="U24" s="779" t="str">
        <f aca="true" t="shared" si="8" ref="U24:U38">IF(O24="RP",J24*S24*ROUND(N24/60,2)*Q24/100,"--")</f>
        <v>--</v>
      </c>
      <c r="V24" s="396">
        <f aca="true" t="shared" si="9" ref="V24:V38">IF(AND(O24="F",P24="NO"),J24*S24,"--")</f>
        <v>45.63</v>
      </c>
      <c r="W24" s="397">
        <f aca="true" t="shared" si="10" ref="W24:W38">IF(O24="F",J24*S24*ROUND(N24/60,2),"--")</f>
        <v>812.214</v>
      </c>
      <c r="X24" s="405" t="str">
        <f aca="true" t="shared" si="11" ref="X24:X38">IF(AND(O24="R",P24="NO"),J24*S24*Q24/100,"--")</f>
        <v>--</v>
      </c>
      <c r="Y24" s="406" t="str">
        <f aca="true" t="shared" si="12" ref="Y24:Y38">IF(O24="R",J24*S24*ROUND(N24/60,2)*Q24/100,"--")</f>
        <v>--</v>
      </c>
      <c r="Z24" s="411" t="str">
        <f aca="true" t="shared" si="13" ref="Z24:Z38">IF(O24="RF",J24*S24*ROUND(N24/60,2),"--")</f>
        <v>--</v>
      </c>
      <c r="AA24" s="417" t="str">
        <f aca="true" t="shared" si="14" ref="AA24:AA38">IF(O24="RR",J24*S24*ROUND(N24/60,2)*Q24/100,"--")</f>
        <v>--</v>
      </c>
      <c r="AB24" s="27" t="s">
        <v>149</v>
      </c>
      <c r="AC24" s="677">
        <f aca="true" t="shared" si="15" ref="AC24:AC38">IF(F24="","",SUM(T24:AA24)*IF(AB24="SI",1,2))</f>
        <v>857.844</v>
      </c>
      <c r="AD24" s="678"/>
    </row>
    <row r="25" spans="1:30" s="611" customFormat="1" ht="16.5" customHeight="1">
      <c r="A25" s="610"/>
      <c r="B25" s="622"/>
      <c r="C25" s="705">
        <v>11</v>
      </c>
      <c r="D25" s="705">
        <v>268402</v>
      </c>
      <c r="E25" s="705">
        <v>1809</v>
      </c>
      <c r="F25" s="570" t="s">
        <v>157</v>
      </c>
      <c r="G25" s="569" t="s">
        <v>159</v>
      </c>
      <c r="H25" s="706">
        <v>30</v>
      </c>
      <c r="I25" s="756" t="s">
        <v>156</v>
      </c>
      <c r="J25" s="306">
        <f t="shared" si="0"/>
        <v>15.21</v>
      </c>
      <c r="K25" s="709">
        <v>41609.854166666664</v>
      </c>
      <c r="L25" s="709">
        <v>41609.875</v>
      </c>
      <c r="M25" s="28">
        <f t="shared" si="1"/>
        <v>0.5000000000582077</v>
      </c>
      <c r="N25" s="29">
        <f t="shared" si="2"/>
        <v>30</v>
      </c>
      <c r="O25" s="710" t="s">
        <v>152</v>
      </c>
      <c r="P25" s="27" t="str">
        <f t="shared" si="3"/>
        <v>NO</v>
      </c>
      <c r="Q25" s="777" t="str">
        <f t="shared" si="4"/>
        <v>--</v>
      </c>
      <c r="R25" s="27" t="s">
        <v>149</v>
      </c>
      <c r="S25" s="377">
        <f t="shared" si="6"/>
        <v>30</v>
      </c>
      <c r="T25" s="778" t="str">
        <f t="shared" si="7"/>
        <v>--</v>
      </c>
      <c r="U25" s="779" t="str">
        <f t="shared" si="8"/>
        <v>--</v>
      </c>
      <c r="V25" s="396">
        <f t="shared" si="9"/>
        <v>456.3</v>
      </c>
      <c r="W25" s="397">
        <f t="shared" si="10"/>
        <v>228.15</v>
      </c>
      <c r="X25" s="405" t="str">
        <f t="shared" si="11"/>
        <v>--</v>
      </c>
      <c r="Y25" s="406" t="str">
        <f t="shared" si="12"/>
        <v>--</v>
      </c>
      <c r="Z25" s="411" t="str">
        <f t="shared" si="13"/>
        <v>--</v>
      </c>
      <c r="AA25" s="417" t="str">
        <f t="shared" si="14"/>
        <v>--</v>
      </c>
      <c r="AB25" s="27" t="s">
        <v>149</v>
      </c>
      <c r="AC25" s="677">
        <f t="shared" si="15"/>
        <v>684.45</v>
      </c>
      <c r="AD25" s="678"/>
    </row>
    <row r="26" spans="1:30" s="611" customFormat="1" ht="16.5" customHeight="1">
      <c r="A26" s="610"/>
      <c r="B26" s="622"/>
      <c r="C26" s="705">
        <v>12</v>
      </c>
      <c r="D26" s="705">
        <v>268403</v>
      </c>
      <c r="E26" s="705">
        <v>1811</v>
      </c>
      <c r="F26" s="570" t="s">
        <v>157</v>
      </c>
      <c r="G26" s="569" t="s">
        <v>160</v>
      </c>
      <c r="H26" s="706">
        <v>15</v>
      </c>
      <c r="I26" s="756" t="s">
        <v>156</v>
      </c>
      <c r="J26" s="306">
        <f t="shared" si="0"/>
        <v>7.605</v>
      </c>
      <c r="K26" s="709">
        <v>41609.854166666664</v>
      </c>
      <c r="L26" s="709">
        <v>41609.87569444445</v>
      </c>
      <c r="M26" s="28">
        <f t="shared" si="1"/>
        <v>0.5166666667792015</v>
      </c>
      <c r="N26" s="29">
        <f t="shared" si="2"/>
        <v>31</v>
      </c>
      <c r="O26" s="710" t="s">
        <v>152</v>
      </c>
      <c r="P26" s="27" t="str">
        <f t="shared" si="3"/>
        <v>NO</v>
      </c>
      <c r="Q26" s="777" t="str">
        <f t="shared" si="4"/>
        <v>--</v>
      </c>
      <c r="R26" s="27" t="s">
        <v>149</v>
      </c>
      <c r="S26" s="377">
        <f t="shared" si="6"/>
        <v>30</v>
      </c>
      <c r="T26" s="778" t="str">
        <f t="shared" si="7"/>
        <v>--</v>
      </c>
      <c r="U26" s="779" t="str">
        <f t="shared" si="8"/>
        <v>--</v>
      </c>
      <c r="V26" s="396">
        <f t="shared" si="9"/>
        <v>228.15</v>
      </c>
      <c r="W26" s="397">
        <f t="shared" si="10"/>
        <v>118.638</v>
      </c>
      <c r="X26" s="405" t="str">
        <f t="shared" si="11"/>
        <v>--</v>
      </c>
      <c r="Y26" s="406" t="str">
        <f t="shared" si="12"/>
        <v>--</v>
      </c>
      <c r="Z26" s="411" t="str">
        <f t="shared" si="13"/>
        <v>--</v>
      </c>
      <c r="AA26" s="417" t="str">
        <f t="shared" si="14"/>
        <v>--</v>
      </c>
      <c r="AB26" s="27" t="s">
        <v>149</v>
      </c>
      <c r="AC26" s="677">
        <f t="shared" si="15"/>
        <v>346.788</v>
      </c>
      <c r="AD26" s="678"/>
    </row>
    <row r="27" spans="1:30" s="611" customFormat="1" ht="16.5" customHeight="1">
      <c r="A27" s="610"/>
      <c r="B27" s="622"/>
      <c r="C27" s="705">
        <v>13</v>
      </c>
      <c r="D27" s="705">
        <v>268819</v>
      </c>
      <c r="E27" s="705">
        <v>3833</v>
      </c>
      <c r="F27" s="570" t="s">
        <v>161</v>
      </c>
      <c r="G27" s="569" t="s">
        <v>8</v>
      </c>
      <c r="H27" s="706">
        <v>30</v>
      </c>
      <c r="I27" s="756" t="s">
        <v>156</v>
      </c>
      <c r="J27" s="306">
        <f t="shared" si="0"/>
        <v>15.21</v>
      </c>
      <c r="K27" s="709">
        <v>41616.225</v>
      </c>
      <c r="L27" s="709">
        <v>41616.53194444445</v>
      </c>
      <c r="M27" s="28">
        <f t="shared" si="1"/>
        <v>7.366666666755918</v>
      </c>
      <c r="N27" s="29">
        <f t="shared" si="2"/>
        <v>442</v>
      </c>
      <c r="O27" s="710" t="s">
        <v>148</v>
      </c>
      <c r="P27" s="27" t="str">
        <f t="shared" si="3"/>
        <v>--</v>
      </c>
      <c r="Q27" s="777" t="str">
        <f t="shared" si="4"/>
        <v>--</v>
      </c>
      <c r="R27" s="27" t="s">
        <v>149</v>
      </c>
      <c r="S27" s="377">
        <f t="shared" si="6"/>
        <v>3</v>
      </c>
      <c r="T27" s="778">
        <f t="shared" si="7"/>
        <v>336.29310000000004</v>
      </c>
      <c r="U27" s="779" t="str">
        <f t="shared" si="8"/>
        <v>--</v>
      </c>
      <c r="V27" s="396" t="str">
        <f t="shared" si="9"/>
        <v>--</v>
      </c>
      <c r="W27" s="397" t="str">
        <f t="shared" si="10"/>
        <v>--</v>
      </c>
      <c r="X27" s="405" t="str">
        <f t="shared" si="11"/>
        <v>--</v>
      </c>
      <c r="Y27" s="406" t="str">
        <f t="shared" si="12"/>
        <v>--</v>
      </c>
      <c r="Z27" s="411" t="str">
        <f t="shared" si="13"/>
        <v>--</v>
      </c>
      <c r="AA27" s="417" t="str">
        <f t="shared" si="14"/>
        <v>--</v>
      </c>
      <c r="AB27" s="27" t="s">
        <v>149</v>
      </c>
      <c r="AC27" s="677">
        <f t="shared" si="15"/>
        <v>336.29310000000004</v>
      </c>
      <c r="AD27" s="678"/>
    </row>
    <row r="28" spans="1:30" s="611" customFormat="1" ht="16.5" customHeight="1">
      <c r="A28" s="610"/>
      <c r="B28" s="622"/>
      <c r="C28" s="705">
        <v>14</v>
      </c>
      <c r="D28" s="705">
        <v>268820</v>
      </c>
      <c r="E28" s="705">
        <v>1782</v>
      </c>
      <c r="F28" s="570" t="s">
        <v>161</v>
      </c>
      <c r="G28" s="569" t="s">
        <v>158</v>
      </c>
      <c r="H28" s="706">
        <v>15</v>
      </c>
      <c r="I28" s="756" t="s">
        <v>156</v>
      </c>
      <c r="J28" s="306">
        <f t="shared" si="0"/>
        <v>7.605</v>
      </c>
      <c r="K28" s="709">
        <v>41616.225</v>
      </c>
      <c r="L28" s="709">
        <v>41616.53194444445</v>
      </c>
      <c r="M28" s="28">
        <f t="shared" si="1"/>
        <v>7.366666666755918</v>
      </c>
      <c r="N28" s="29">
        <f t="shared" si="2"/>
        <v>442</v>
      </c>
      <c r="O28" s="710" t="s">
        <v>148</v>
      </c>
      <c r="P28" s="27" t="str">
        <f t="shared" si="3"/>
        <v>--</v>
      </c>
      <c r="Q28" s="777" t="str">
        <f t="shared" si="4"/>
        <v>--</v>
      </c>
      <c r="R28" s="27" t="s">
        <v>149</v>
      </c>
      <c r="S28" s="377">
        <f t="shared" si="6"/>
        <v>3</v>
      </c>
      <c r="T28" s="778">
        <f t="shared" si="7"/>
        <v>168.14655000000002</v>
      </c>
      <c r="U28" s="779" t="str">
        <f t="shared" si="8"/>
        <v>--</v>
      </c>
      <c r="V28" s="396" t="str">
        <f t="shared" si="9"/>
        <v>--</v>
      </c>
      <c r="W28" s="397" t="str">
        <f t="shared" si="10"/>
        <v>--</v>
      </c>
      <c r="X28" s="405" t="str">
        <f t="shared" si="11"/>
        <v>--</v>
      </c>
      <c r="Y28" s="406" t="str">
        <f t="shared" si="12"/>
        <v>--</v>
      </c>
      <c r="Z28" s="411" t="str">
        <f t="shared" si="13"/>
        <v>--</v>
      </c>
      <c r="AA28" s="417" t="str">
        <f t="shared" si="14"/>
        <v>--</v>
      </c>
      <c r="AB28" s="27" t="s">
        <v>149</v>
      </c>
      <c r="AC28" s="677">
        <f t="shared" si="15"/>
        <v>168.14655000000002</v>
      </c>
      <c r="AD28" s="678"/>
    </row>
    <row r="29" spans="1:30" s="611" customFormat="1" ht="16.5" customHeight="1">
      <c r="A29" s="610"/>
      <c r="B29" s="622"/>
      <c r="C29" s="705"/>
      <c r="D29" s="705"/>
      <c r="E29" s="705"/>
      <c r="F29" s="570"/>
      <c r="G29" s="569"/>
      <c r="H29" s="706"/>
      <c r="I29" s="756"/>
      <c r="J29" s="306">
        <f t="shared" si="0"/>
        <v>0</v>
      </c>
      <c r="K29" s="709"/>
      <c r="L29" s="709"/>
      <c r="M29" s="28">
        <f t="shared" si="1"/>
      </c>
      <c r="N29" s="29">
        <f t="shared" si="2"/>
      </c>
      <c r="O29" s="710"/>
      <c r="P29" s="27">
        <f t="shared" si="3"/>
      </c>
      <c r="Q29" s="777">
        <f t="shared" si="4"/>
      </c>
      <c r="R29" s="27">
        <f t="shared" si="5"/>
      </c>
      <c r="S29" s="377">
        <f t="shared" si="6"/>
        <v>3</v>
      </c>
      <c r="T29" s="778" t="str">
        <f t="shared" si="7"/>
        <v>--</v>
      </c>
      <c r="U29" s="779" t="str">
        <f t="shared" si="8"/>
        <v>--</v>
      </c>
      <c r="V29" s="396" t="str">
        <f t="shared" si="9"/>
        <v>--</v>
      </c>
      <c r="W29" s="397" t="str">
        <f t="shared" si="10"/>
        <v>--</v>
      </c>
      <c r="X29" s="405" t="str">
        <f t="shared" si="11"/>
        <v>--</v>
      </c>
      <c r="Y29" s="406" t="str">
        <f t="shared" si="12"/>
        <v>--</v>
      </c>
      <c r="Z29" s="411" t="str">
        <f t="shared" si="13"/>
        <v>--</v>
      </c>
      <c r="AA29" s="417" t="str">
        <f t="shared" si="14"/>
        <v>--</v>
      </c>
      <c r="AB29" s="27">
        <f aca="true" t="shared" si="16" ref="AB29:AB38">IF(F29="","","SI")</f>
      </c>
      <c r="AC29" s="677">
        <f t="shared" si="15"/>
      </c>
      <c r="AD29" s="678"/>
    </row>
    <row r="30" spans="1:30" s="611" customFormat="1" ht="16.5" customHeight="1">
      <c r="A30" s="610"/>
      <c r="B30" s="622"/>
      <c r="C30" s="705"/>
      <c r="D30" s="705"/>
      <c r="E30" s="705"/>
      <c r="F30" s="570"/>
      <c r="G30" s="569"/>
      <c r="H30" s="706"/>
      <c r="I30" s="707"/>
      <c r="J30" s="306">
        <f t="shared" si="0"/>
        <v>0</v>
      </c>
      <c r="K30" s="709"/>
      <c r="L30" s="709"/>
      <c r="M30" s="28">
        <f t="shared" si="1"/>
      </c>
      <c r="N30" s="29">
        <f t="shared" si="2"/>
      </c>
      <c r="O30" s="710"/>
      <c r="P30" s="27">
        <f t="shared" si="3"/>
      </c>
      <c r="Q30" s="777">
        <f t="shared" si="4"/>
      </c>
      <c r="R30" s="27">
        <f t="shared" si="5"/>
      </c>
      <c r="S30" s="377">
        <f t="shared" si="6"/>
        <v>3</v>
      </c>
      <c r="T30" s="778" t="str">
        <f t="shared" si="7"/>
        <v>--</v>
      </c>
      <c r="U30" s="779" t="str">
        <f t="shared" si="8"/>
        <v>--</v>
      </c>
      <c r="V30" s="396" t="str">
        <f t="shared" si="9"/>
        <v>--</v>
      </c>
      <c r="W30" s="397" t="str">
        <f t="shared" si="10"/>
        <v>--</v>
      </c>
      <c r="X30" s="405" t="str">
        <f t="shared" si="11"/>
        <v>--</v>
      </c>
      <c r="Y30" s="406" t="str">
        <f t="shared" si="12"/>
        <v>--</v>
      </c>
      <c r="Z30" s="411" t="str">
        <f t="shared" si="13"/>
        <v>--</v>
      </c>
      <c r="AA30" s="417" t="str">
        <f t="shared" si="14"/>
        <v>--</v>
      </c>
      <c r="AB30" s="27">
        <f t="shared" si="16"/>
      </c>
      <c r="AC30" s="677">
        <f t="shared" si="15"/>
      </c>
      <c r="AD30" s="678"/>
    </row>
    <row r="31" spans="1:30" s="611" customFormat="1" ht="16.5" customHeight="1">
      <c r="A31" s="610"/>
      <c r="B31" s="622"/>
      <c r="C31" s="705"/>
      <c r="D31" s="705"/>
      <c r="E31" s="705"/>
      <c r="F31" s="570"/>
      <c r="G31" s="569"/>
      <c r="H31" s="706"/>
      <c r="I31" s="707"/>
      <c r="J31" s="306">
        <f t="shared" si="0"/>
        <v>0</v>
      </c>
      <c r="K31" s="709"/>
      <c r="L31" s="709"/>
      <c r="M31" s="28">
        <f t="shared" si="1"/>
      </c>
      <c r="N31" s="29">
        <f t="shared" si="2"/>
      </c>
      <c r="O31" s="710"/>
      <c r="P31" s="27">
        <f t="shared" si="3"/>
      </c>
      <c r="Q31" s="777">
        <f t="shared" si="4"/>
      </c>
      <c r="R31" s="27">
        <f t="shared" si="5"/>
      </c>
      <c r="S31" s="377">
        <f t="shared" si="6"/>
        <v>3</v>
      </c>
      <c r="T31" s="778" t="str">
        <f t="shared" si="7"/>
        <v>--</v>
      </c>
      <c r="U31" s="779" t="str">
        <f t="shared" si="8"/>
        <v>--</v>
      </c>
      <c r="V31" s="396" t="str">
        <f t="shared" si="9"/>
        <v>--</v>
      </c>
      <c r="W31" s="397" t="str">
        <f t="shared" si="10"/>
        <v>--</v>
      </c>
      <c r="X31" s="405" t="str">
        <f t="shared" si="11"/>
        <v>--</v>
      </c>
      <c r="Y31" s="406" t="str">
        <f t="shared" si="12"/>
        <v>--</v>
      </c>
      <c r="Z31" s="411" t="str">
        <f t="shared" si="13"/>
        <v>--</v>
      </c>
      <c r="AA31" s="417" t="str">
        <f t="shared" si="14"/>
        <v>--</v>
      </c>
      <c r="AB31" s="27">
        <f t="shared" si="16"/>
      </c>
      <c r="AC31" s="677">
        <f t="shared" si="15"/>
      </c>
      <c r="AD31" s="623"/>
    </row>
    <row r="32" spans="1:30" s="611" customFormat="1" ht="16.5" customHeight="1">
      <c r="A32" s="610"/>
      <c r="B32" s="622"/>
      <c r="C32" s="705"/>
      <c r="D32" s="705"/>
      <c r="E32" s="705"/>
      <c r="F32" s="570"/>
      <c r="G32" s="569"/>
      <c r="H32" s="706"/>
      <c r="I32" s="707"/>
      <c r="J32" s="306">
        <f t="shared" si="0"/>
        <v>0</v>
      </c>
      <c r="K32" s="709"/>
      <c r="L32" s="709"/>
      <c r="M32" s="28">
        <f t="shared" si="1"/>
      </c>
      <c r="N32" s="29">
        <f t="shared" si="2"/>
      </c>
      <c r="O32" s="710"/>
      <c r="P32" s="27">
        <f t="shared" si="3"/>
      </c>
      <c r="Q32" s="777">
        <f t="shared" si="4"/>
      </c>
      <c r="R32" s="27">
        <f t="shared" si="5"/>
      </c>
      <c r="S32" s="377">
        <f t="shared" si="6"/>
        <v>3</v>
      </c>
      <c r="T32" s="778" t="str">
        <f t="shared" si="7"/>
        <v>--</v>
      </c>
      <c r="U32" s="779" t="str">
        <f t="shared" si="8"/>
        <v>--</v>
      </c>
      <c r="V32" s="396" t="str">
        <f t="shared" si="9"/>
        <v>--</v>
      </c>
      <c r="W32" s="397" t="str">
        <f t="shared" si="10"/>
        <v>--</v>
      </c>
      <c r="X32" s="405" t="str">
        <f t="shared" si="11"/>
        <v>--</v>
      </c>
      <c r="Y32" s="406" t="str">
        <f t="shared" si="12"/>
        <v>--</v>
      </c>
      <c r="Z32" s="411" t="str">
        <f t="shared" si="13"/>
        <v>--</v>
      </c>
      <c r="AA32" s="417" t="str">
        <f t="shared" si="14"/>
        <v>--</v>
      </c>
      <c r="AB32" s="27">
        <f t="shared" si="16"/>
      </c>
      <c r="AC32" s="677">
        <f t="shared" si="15"/>
      </c>
      <c r="AD32" s="623"/>
    </row>
    <row r="33" spans="1:30" s="611" customFormat="1" ht="16.5" customHeight="1">
      <c r="A33" s="610"/>
      <c r="B33" s="622"/>
      <c r="C33" s="705"/>
      <c r="D33" s="705"/>
      <c r="E33" s="705"/>
      <c r="F33" s="570"/>
      <c r="G33" s="569"/>
      <c r="H33" s="706"/>
      <c r="I33" s="707"/>
      <c r="J33" s="306">
        <f t="shared" si="0"/>
        <v>0</v>
      </c>
      <c r="K33" s="709"/>
      <c r="L33" s="709"/>
      <c r="M33" s="28">
        <f t="shared" si="1"/>
      </c>
      <c r="N33" s="29">
        <f t="shared" si="2"/>
      </c>
      <c r="O33" s="710"/>
      <c r="P33" s="27">
        <f t="shared" si="3"/>
      </c>
      <c r="Q33" s="777">
        <f t="shared" si="4"/>
      </c>
      <c r="R33" s="27">
        <f t="shared" si="5"/>
      </c>
      <c r="S33" s="377">
        <f t="shared" si="6"/>
        <v>3</v>
      </c>
      <c r="T33" s="778" t="str">
        <f t="shared" si="7"/>
        <v>--</v>
      </c>
      <c r="U33" s="779" t="str">
        <f t="shared" si="8"/>
        <v>--</v>
      </c>
      <c r="V33" s="396" t="str">
        <f t="shared" si="9"/>
        <v>--</v>
      </c>
      <c r="W33" s="397" t="str">
        <f t="shared" si="10"/>
        <v>--</v>
      </c>
      <c r="X33" s="405" t="str">
        <f t="shared" si="11"/>
        <v>--</v>
      </c>
      <c r="Y33" s="406" t="str">
        <f t="shared" si="12"/>
        <v>--</v>
      </c>
      <c r="Z33" s="411" t="str">
        <f t="shared" si="13"/>
        <v>--</v>
      </c>
      <c r="AA33" s="417" t="str">
        <f t="shared" si="14"/>
        <v>--</v>
      </c>
      <c r="AB33" s="27">
        <f t="shared" si="16"/>
      </c>
      <c r="AC33" s="677">
        <f t="shared" si="15"/>
      </c>
      <c r="AD33" s="623"/>
    </row>
    <row r="34" spans="1:30" s="611" customFormat="1" ht="16.5" customHeight="1">
      <c r="A34" s="610"/>
      <c r="B34" s="622"/>
      <c r="C34" s="705"/>
      <c r="D34" s="705"/>
      <c r="E34" s="705"/>
      <c r="F34" s="570"/>
      <c r="G34" s="569"/>
      <c r="H34" s="706"/>
      <c r="I34" s="707"/>
      <c r="J34" s="306">
        <f t="shared" si="0"/>
        <v>0</v>
      </c>
      <c r="K34" s="709"/>
      <c r="L34" s="709"/>
      <c r="M34" s="28">
        <f t="shared" si="1"/>
      </c>
      <c r="N34" s="29">
        <f t="shared" si="2"/>
      </c>
      <c r="O34" s="710"/>
      <c r="P34" s="27">
        <f t="shared" si="3"/>
      </c>
      <c r="Q34" s="777">
        <f t="shared" si="4"/>
      </c>
      <c r="R34" s="27">
        <f t="shared" si="5"/>
      </c>
      <c r="S34" s="377">
        <f t="shared" si="6"/>
        <v>3</v>
      </c>
      <c r="T34" s="778" t="str">
        <f t="shared" si="7"/>
        <v>--</v>
      </c>
      <c r="U34" s="779" t="str">
        <f t="shared" si="8"/>
        <v>--</v>
      </c>
      <c r="V34" s="396" t="str">
        <f t="shared" si="9"/>
        <v>--</v>
      </c>
      <c r="W34" s="397" t="str">
        <f t="shared" si="10"/>
        <v>--</v>
      </c>
      <c r="X34" s="405" t="str">
        <f t="shared" si="11"/>
        <v>--</v>
      </c>
      <c r="Y34" s="406" t="str">
        <f t="shared" si="12"/>
        <v>--</v>
      </c>
      <c r="Z34" s="411" t="str">
        <f t="shared" si="13"/>
        <v>--</v>
      </c>
      <c r="AA34" s="417" t="str">
        <f t="shared" si="14"/>
        <v>--</v>
      </c>
      <c r="AB34" s="27">
        <f t="shared" si="16"/>
      </c>
      <c r="AC34" s="677">
        <f t="shared" si="15"/>
      </c>
      <c r="AD34" s="623"/>
    </row>
    <row r="35" spans="1:30" s="611" customFormat="1" ht="16.5" customHeight="1">
      <c r="A35" s="610"/>
      <c r="B35" s="622"/>
      <c r="C35" s="705"/>
      <c r="D35" s="705"/>
      <c r="E35" s="705"/>
      <c r="F35" s="570"/>
      <c r="G35" s="569"/>
      <c r="H35" s="706"/>
      <c r="I35" s="707"/>
      <c r="J35" s="306">
        <f t="shared" si="0"/>
        <v>0</v>
      </c>
      <c r="K35" s="709"/>
      <c r="L35" s="709"/>
      <c r="M35" s="28">
        <f t="shared" si="1"/>
      </c>
      <c r="N35" s="29">
        <f t="shared" si="2"/>
      </c>
      <c r="O35" s="710"/>
      <c r="P35" s="27">
        <f t="shared" si="3"/>
      </c>
      <c r="Q35" s="777">
        <f t="shared" si="4"/>
      </c>
      <c r="R35" s="27">
        <f t="shared" si="5"/>
      </c>
      <c r="S35" s="377">
        <f t="shared" si="6"/>
        <v>3</v>
      </c>
      <c r="T35" s="778" t="str">
        <f t="shared" si="7"/>
        <v>--</v>
      </c>
      <c r="U35" s="779" t="str">
        <f t="shared" si="8"/>
        <v>--</v>
      </c>
      <c r="V35" s="396" t="str">
        <f t="shared" si="9"/>
        <v>--</v>
      </c>
      <c r="W35" s="397" t="str">
        <f t="shared" si="10"/>
        <v>--</v>
      </c>
      <c r="X35" s="405" t="str">
        <f t="shared" si="11"/>
        <v>--</v>
      </c>
      <c r="Y35" s="406" t="str">
        <f t="shared" si="12"/>
        <v>--</v>
      </c>
      <c r="Z35" s="411" t="str">
        <f t="shared" si="13"/>
        <v>--</v>
      </c>
      <c r="AA35" s="417" t="str">
        <f t="shared" si="14"/>
        <v>--</v>
      </c>
      <c r="AB35" s="27">
        <f t="shared" si="16"/>
      </c>
      <c r="AC35" s="677">
        <f t="shared" si="15"/>
      </c>
      <c r="AD35" s="623"/>
    </row>
    <row r="36" spans="1:30" s="611" customFormat="1" ht="16.5" customHeight="1">
      <c r="A36" s="610"/>
      <c r="B36" s="622"/>
      <c r="C36" s="705"/>
      <c r="D36" s="705"/>
      <c r="E36" s="705"/>
      <c r="F36" s="570"/>
      <c r="G36" s="569"/>
      <c r="H36" s="706"/>
      <c r="I36" s="707"/>
      <c r="J36" s="306">
        <f t="shared" si="0"/>
        <v>0</v>
      </c>
      <c r="K36" s="709"/>
      <c r="L36" s="709"/>
      <c r="M36" s="28">
        <f t="shared" si="1"/>
      </c>
      <c r="N36" s="29">
        <f t="shared" si="2"/>
      </c>
      <c r="O36" s="710"/>
      <c r="P36" s="27">
        <f t="shared" si="3"/>
      </c>
      <c r="Q36" s="777">
        <f t="shared" si="4"/>
      </c>
      <c r="R36" s="27">
        <f t="shared" si="5"/>
      </c>
      <c r="S36" s="377">
        <f t="shared" si="6"/>
        <v>3</v>
      </c>
      <c r="T36" s="778" t="str">
        <f t="shared" si="7"/>
        <v>--</v>
      </c>
      <c r="U36" s="779" t="str">
        <f t="shared" si="8"/>
        <v>--</v>
      </c>
      <c r="V36" s="396" t="str">
        <f t="shared" si="9"/>
        <v>--</v>
      </c>
      <c r="W36" s="397" t="str">
        <f t="shared" si="10"/>
        <v>--</v>
      </c>
      <c r="X36" s="405" t="str">
        <f t="shared" si="11"/>
        <v>--</v>
      </c>
      <c r="Y36" s="406" t="str">
        <f t="shared" si="12"/>
        <v>--</v>
      </c>
      <c r="Z36" s="411" t="str">
        <f t="shared" si="13"/>
        <v>--</v>
      </c>
      <c r="AA36" s="417" t="str">
        <f t="shared" si="14"/>
        <v>--</v>
      </c>
      <c r="AB36" s="27">
        <f t="shared" si="16"/>
      </c>
      <c r="AC36" s="677">
        <f t="shared" si="15"/>
      </c>
      <c r="AD36" s="623"/>
    </row>
    <row r="37" spans="1:30" s="611" customFormat="1" ht="16.5" customHeight="1">
      <c r="A37" s="610"/>
      <c r="B37" s="622"/>
      <c r="C37" s="705"/>
      <c r="D37" s="705"/>
      <c r="E37" s="705"/>
      <c r="F37" s="570"/>
      <c r="G37" s="569"/>
      <c r="H37" s="706"/>
      <c r="I37" s="707"/>
      <c r="J37" s="306">
        <f t="shared" si="0"/>
        <v>0</v>
      </c>
      <c r="K37" s="709"/>
      <c r="L37" s="709"/>
      <c r="M37" s="28">
        <f t="shared" si="1"/>
      </c>
      <c r="N37" s="29">
        <f t="shared" si="2"/>
      </c>
      <c r="O37" s="710"/>
      <c r="P37" s="27">
        <f t="shared" si="3"/>
      </c>
      <c r="Q37" s="777">
        <f t="shared" si="4"/>
      </c>
      <c r="R37" s="27">
        <f t="shared" si="5"/>
      </c>
      <c r="S37" s="377">
        <f t="shared" si="6"/>
        <v>3</v>
      </c>
      <c r="T37" s="778" t="str">
        <f t="shared" si="7"/>
        <v>--</v>
      </c>
      <c r="U37" s="779" t="str">
        <f t="shared" si="8"/>
        <v>--</v>
      </c>
      <c r="V37" s="396" t="str">
        <f t="shared" si="9"/>
        <v>--</v>
      </c>
      <c r="W37" s="397" t="str">
        <f t="shared" si="10"/>
        <v>--</v>
      </c>
      <c r="X37" s="405" t="str">
        <f t="shared" si="11"/>
        <v>--</v>
      </c>
      <c r="Y37" s="406" t="str">
        <f t="shared" si="12"/>
        <v>--</v>
      </c>
      <c r="Z37" s="411" t="str">
        <f t="shared" si="13"/>
        <v>--</v>
      </c>
      <c r="AA37" s="417" t="str">
        <f t="shared" si="14"/>
        <v>--</v>
      </c>
      <c r="AB37" s="27">
        <f t="shared" si="16"/>
      </c>
      <c r="AC37" s="677">
        <f t="shared" si="15"/>
      </c>
      <c r="AD37" s="623"/>
    </row>
    <row r="38" spans="1:30" s="611" customFormat="1" ht="16.5" customHeight="1">
      <c r="A38" s="610"/>
      <c r="B38" s="622"/>
      <c r="C38" s="705"/>
      <c r="D38" s="705"/>
      <c r="E38" s="705"/>
      <c r="F38" s="570"/>
      <c r="G38" s="569"/>
      <c r="H38" s="706"/>
      <c r="I38" s="707"/>
      <c r="J38" s="306">
        <f t="shared" si="0"/>
        <v>0</v>
      </c>
      <c r="K38" s="709"/>
      <c r="L38" s="709"/>
      <c r="M38" s="28">
        <f t="shared" si="1"/>
      </c>
      <c r="N38" s="29">
        <f t="shared" si="2"/>
      </c>
      <c r="O38" s="710"/>
      <c r="P38" s="27">
        <f t="shared" si="3"/>
      </c>
      <c r="Q38" s="777">
        <f t="shared" si="4"/>
      </c>
      <c r="R38" s="27">
        <f t="shared" si="5"/>
      </c>
      <c r="S38" s="377">
        <f t="shared" si="6"/>
        <v>3</v>
      </c>
      <c r="T38" s="778" t="str">
        <f t="shared" si="7"/>
        <v>--</v>
      </c>
      <c r="U38" s="779" t="str">
        <f t="shared" si="8"/>
        <v>--</v>
      </c>
      <c r="V38" s="396" t="str">
        <f t="shared" si="9"/>
        <v>--</v>
      </c>
      <c r="W38" s="397" t="str">
        <f t="shared" si="10"/>
        <v>--</v>
      </c>
      <c r="X38" s="405" t="str">
        <f t="shared" si="11"/>
        <v>--</v>
      </c>
      <c r="Y38" s="406" t="str">
        <f t="shared" si="12"/>
        <v>--</v>
      </c>
      <c r="Z38" s="411" t="str">
        <f t="shared" si="13"/>
        <v>--</v>
      </c>
      <c r="AA38" s="417" t="str">
        <f t="shared" si="14"/>
        <v>--</v>
      </c>
      <c r="AB38" s="27">
        <f t="shared" si="16"/>
      </c>
      <c r="AC38" s="677">
        <f t="shared" si="15"/>
      </c>
      <c r="AD38" s="623"/>
    </row>
    <row r="39" spans="1:30" s="611" customFormat="1" ht="16.5" customHeight="1">
      <c r="A39" s="610"/>
      <c r="B39" s="622"/>
      <c r="C39" s="705"/>
      <c r="D39" s="705"/>
      <c r="E39" s="705"/>
      <c r="F39" s="570"/>
      <c r="G39" s="569"/>
      <c r="H39" s="706"/>
      <c r="I39" s="707"/>
      <c r="J39" s="306">
        <f>H39*$I$18</f>
        <v>0</v>
      </c>
      <c r="K39" s="709"/>
      <c r="L39" s="709"/>
      <c r="M39" s="28">
        <f>IF(F39="","",(L39-K39)*24)</f>
      </c>
      <c r="N39" s="29">
        <f>IF(F39="","",ROUND((L39-K39)*24*60,0))</f>
      </c>
      <c r="O39" s="710"/>
      <c r="P39" s="27">
        <f t="shared" si="3"/>
      </c>
      <c r="Q39" s="777">
        <f t="shared" si="4"/>
      </c>
      <c r="R39" s="27">
        <f t="shared" si="5"/>
      </c>
      <c r="S39" s="377">
        <f>$I$19*IF(OR(O39="P",O39="RP"),0.1,1)*IF(R39="SI",1,0.1)</f>
        <v>3</v>
      </c>
      <c r="T39" s="778" t="str">
        <f>IF(O39="P",J39*S39*ROUND(N39/60,2),"--")</f>
        <v>--</v>
      </c>
      <c r="U39" s="779" t="str">
        <f>IF(O39="RP",J39*S39*ROUND(N39/60,2)*Q39/100,"--")</f>
        <v>--</v>
      </c>
      <c r="V39" s="396" t="str">
        <f>IF(AND(O39="F",P39="NO"),J39*S39,"--")</f>
        <v>--</v>
      </c>
      <c r="W39" s="397" t="str">
        <f>IF(O39="F",J39*S39*ROUND(N39/60,2),"--")</f>
        <v>--</v>
      </c>
      <c r="X39" s="405" t="str">
        <f>IF(AND(O39="R",P39="NO"),J39*S39*Q39/100,"--")</f>
        <v>--</v>
      </c>
      <c r="Y39" s="406" t="str">
        <f>IF(O39="R",J39*S39*ROUND(N39/60,2)*Q39/100,"--")</f>
        <v>--</v>
      </c>
      <c r="Z39" s="411" t="str">
        <f>IF(O39="RF",J39*S39*ROUND(N39/60,2),"--")</f>
        <v>--</v>
      </c>
      <c r="AA39" s="417" t="str">
        <f>IF(O39="RR",J39*S39*ROUND(N39/60,2)*Q39/100,"--")</f>
        <v>--</v>
      </c>
      <c r="AB39" s="27">
        <f>IF(F39="","","SI")</f>
      </c>
      <c r="AC39" s="677">
        <f>IF(F39="","",SUM(T39:AA39)*IF(AB39="SI",1,2))</f>
      </c>
      <c r="AD39" s="623"/>
    </row>
    <row r="40" spans="1:30" s="611" customFormat="1" ht="16.5" customHeight="1">
      <c r="A40" s="610"/>
      <c r="B40" s="622"/>
      <c r="C40" s="705"/>
      <c r="D40" s="705"/>
      <c r="E40" s="705"/>
      <c r="F40" s="570"/>
      <c r="G40" s="569"/>
      <c r="H40" s="706"/>
      <c r="I40" s="707"/>
      <c r="J40" s="306">
        <f>H40*$I$18</f>
        <v>0</v>
      </c>
      <c r="K40" s="709"/>
      <c r="L40" s="709"/>
      <c r="M40" s="28">
        <f>IF(F40="","",(L40-K40)*24)</f>
      </c>
      <c r="N40" s="29">
        <f>IF(F40="","",ROUND((L40-K40)*24*60,0))</f>
      </c>
      <c r="O40" s="710"/>
      <c r="P40" s="27">
        <f t="shared" si="3"/>
      </c>
      <c r="Q40" s="777">
        <f t="shared" si="4"/>
      </c>
      <c r="R40" s="27">
        <f t="shared" si="5"/>
      </c>
      <c r="S40" s="377">
        <f>$I$19*IF(OR(O40="P",O40="RP"),0.1,1)*IF(R40="SI",1,0.1)</f>
        <v>3</v>
      </c>
      <c r="T40" s="778" t="str">
        <f>IF(O40="P",J40*S40*ROUND(N40/60,2),"--")</f>
        <v>--</v>
      </c>
      <c r="U40" s="779" t="str">
        <f>IF(O40="RP",J40*S40*ROUND(N40/60,2)*Q40/100,"--")</f>
        <v>--</v>
      </c>
      <c r="V40" s="396" t="str">
        <f>IF(AND(O40="F",P40="NO"),J40*S40,"--")</f>
        <v>--</v>
      </c>
      <c r="W40" s="397" t="str">
        <f>IF(O40="F",J40*S40*ROUND(N40/60,2),"--")</f>
        <v>--</v>
      </c>
      <c r="X40" s="405" t="str">
        <f>IF(AND(O40="R",P40="NO"),J40*S40*Q40/100,"--")</f>
        <v>--</v>
      </c>
      <c r="Y40" s="406" t="str">
        <f>IF(O40="R",J40*S40*ROUND(N40/60,2)*Q40/100,"--")</f>
        <v>--</v>
      </c>
      <c r="Z40" s="411" t="str">
        <f>IF(O40="RF",J40*S40*ROUND(N40/60,2),"--")</f>
        <v>--</v>
      </c>
      <c r="AA40" s="417" t="str">
        <f>IF(O40="RR",J40*S40*ROUND(N40/60,2)*Q40/100,"--")</f>
        <v>--</v>
      </c>
      <c r="AB40" s="27">
        <f>IF(F40="","","SI")</f>
      </c>
      <c r="AC40" s="677">
        <f>IF(F40="","",SUM(T40:AA40)*IF(AB40="SI",1,2))</f>
      </c>
      <c r="AD40" s="623"/>
    </row>
    <row r="41" spans="1:30" s="611" customFormat="1" ht="16.5" customHeight="1">
      <c r="A41" s="610"/>
      <c r="B41" s="622"/>
      <c r="C41" s="705"/>
      <c r="D41" s="705"/>
      <c r="E41" s="705"/>
      <c r="F41" s="570"/>
      <c r="G41" s="569"/>
      <c r="H41" s="706"/>
      <c r="I41" s="707"/>
      <c r="J41" s="306">
        <f>H41*$I$18</f>
        <v>0</v>
      </c>
      <c r="K41" s="709"/>
      <c r="L41" s="709"/>
      <c r="M41" s="28">
        <f>IF(F41="","",(L41-K41)*24)</f>
      </c>
      <c r="N41" s="29">
        <f>IF(F41="","",ROUND((L41-K41)*24*60,0))</f>
      </c>
      <c r="O41" s="710"/>
      <c r="P41" s="27">
        <f t="shared" si="3"/>
      </c>
      <c r="Q41" s="777">
        <f t="shared" si="4"/>
      </c>
      <c r="R41" s="27">
        <f t="shared" si="5"/>
      </c>
      <c r="S41" s="377">
        <f>$I$19*IF(OR(O41="P",O41="RP"),0.1,1)*IF(R41="SI",1,0.1)</f>
        <v>3</v>
      </c>
      <c r="T41" s="778" t="str">
        <f>IF(O41="P",J41*S41*ROUND(N41/60,2),"--")</f>
        <v>--</v>
      </c>
      <c r="U41" s="779" t="str">
        <f>IF(O41="RP",J41*S41*ROUND(N41/60,2)*Q41/100,"--")</f>
        <v>--</v>
      </c>
      <c r="V41" s="396" t="str">
        <f>IF(AND(O41="F",P41="NO"),J41*S41,"--")</f>
        <v>--</v>
      </c>
      <c r="W41" s="397" t="str">
        <f>IF(O41="F",J41*S41*ROUND(N41/60,2),"--")</f>
        <v>--</v>
      </c>
      <c r="X41" s="405" t="str">
        <f>IF(AND(O41="R",P41="NO"),J41*S41*Q41/100,"--")</f>
        <v>--</v>
      </c>
      <c r="Y41" s="406" t="str">
        <f>IF(O41="R",J41*S41*ROUND(N41/60,2)*Q41/100,"--")</f>
        <v>--</v>
      </c>
      <c r="Z41" s="411" t="str">
        <f>IF(O41="RF",J41*S41*ROUND(N41/60,2),"--")</f>
        <v>--</v>
      </c>
      <c r="AA41" s="417" t="str">
        <f>IF(O41="RR",J41*S41*ROUND(N41/60,2)*Q41/100,"--")</f>
        <v>--</v>
      </c>
      <c r="AB41" s="27">
        <f>IF(F41="","","SI")</f>
      </c>
      <c r="AC41" s="677">
        <f>IF(F41="","",SUM(T41:AA41)*IF(AB41="SI",1,2))</f>
      </c>
      <c r="AD41" s="623"/>
    </row>
    <row r="42" spans="1:30" s="611" customFormat="1" ht="16.5" customHeight="1">
      <c r="A42" s="610"/>
      <c r="B42" s="622"/>
      <c r="C42" s="705"/>
      <c r="D42" s="705"/>
      <c r="E42" s="705"/>
      <c r="F42" s="570"/>
      <c r="G42" s="569"/>
      <c r="H42" s="706"/>
      <c r="I42" s="707"/>
      <c r="J42" s="306">
        <f>H42*$I$18</f>
        <v>0</v>
      </c>
      <c r="K42" s="709"/>
      <c r="L42" s="709"/>
      <c r="M42" s="28">
        <f>IF(F42="","",(L42-K42)*24)</f>
      </c>
      <c r="N42" s="29">
        <f>IF(F42="","",ROUND((L42-K42)*24*60,0))</f>
      </c>
      <c r="O42" s="710"/>
      <c r="P42" s="27">
        <f t="shared" si="3"/>
      </c>
      <c r="Q42" s="777">
        <f t="shared" si="4"/>
      </c>
      <c r="R42" s="27">
        <f t="shared" si="5"/>
      </c>
      <c r="S42" s="377">
        <f>$I$19*IF(OR(O42="P",O42="RP"),0.1,1)*IF(R42="SI",1,0.1)</f>
        <v>3</v>
      </c>
      <c r="T42" s="778" t="str">
        <f>IF(O42="P",J42*S42*ROUND(N42/60,2),"--")</f>
        <v>--</v>
      </c>
      <c r="U42" s="779" t="str">
        <f>IF(O42="RP",J42*S42*ROUND(N42/60,2)*Q42/100,"--")</f>
        <v>--</v>
      </c>
      <c r="V42" s="396" t="str">
        <f>IF(AND(O42="F",P42="NO"),J42*S42,"--")</f>
        <v>--</v>
      </c>
      <c r="W42" s="397" t="str">
        <f>IF(O42="F",J42*S42*ROUND(N42/60,2),"--")</f>
        <v>--</v>
      </c>
      <c r="X42" s="405" t="str">
        <f>IF(AND(O42="R",P42="NO"),J42*S42*Q42/100,"--")</f>
        <v>--</v>
      </c>
      <c r="Y42" s="406" t="str">
        <f>IF(O42="R",J42*S42*ROUND(N42/60,2)*Q42/100,"--")</f>
        <v>--</v>
      </c>
      <c r="Z42" s="411" t="str">
        <f>IF(O42="RF",J42*S42*ROUND(N42/60,2),"--")</f>
        <v>--</v>
      </c>
      <c r="AA42" s="417" t="str">
        <f>IF(O42="RR",J42*S42*ROUND(N42/60,2)*Q42/100,"--")</f>
        <v>--</v>
      </c>
      <c r="AB42" s="27">
        <f>IF(F42="","","SI")</f>
      </c>
      <c r="AC42" s="677">
        <f>IF(F42="","",SUM(T42:AA42)*IF(AB42="SI",1,2))</f>
      </c>
      <c r="AD42" s="623"/>
    </row>
    <row r="43" spans="1:30" s="611" customFormat="1" ht="16.5" customHeight="1" thickBot="1">
      <c r="A43" s="610"/>
      <c r="B43" s="622"/>
      <c r="C43" s="708"/>
      <c r="D43" s="708"/>
      <c r="E43" s="708"/>
      <c r="F43" s="708"/>
      <c r="G43" s="708"/>
      <c r="H43" s="708"/>
      <c r="I43" s="708"/>
      <c r="J43" s="680"/>
      <c r="K43" s="708"/>
      <c r="L43" s="708"/>
      <c r="M43" s="679"/>
      <c r="N43" s="679"/>
      <c r="O43" s="708"/>
      <c r="P43" s="708"/>
      <c r="Q43" s="708"/>
      <c r="R43" s="708"/>
      <c r="S43" s="711"/>
      <c r="T43" s="712"/>
      <c r="U43" s="713"/>
      <c r="V43" s="714"/>
      <c r="W43" s="715"/>
      <c r="X43" s="716"/>
      <c r="Y43" s="717"/>
      <c r="Z43" s="718"/>
      <c r="AA43" s="719"/>
      <c r="AB43" s="708"/>
      <c r="AC43" s="681"/>
      <c r="AD43" s="623"/>
    </row>
    <row r="44" spans="1:30" s="611" customFormat="1" ht="16.5" customHeight="1" thickBot="1" thickTop="1">
      <c r="A44" s="610"/>
      <c r="B44" s="622"/>
      <c r="C44" s="682" t="s">
        <v>65</v>
      </c>
      <c r="D44" s="800" t="s">
        <v>188</v>
      </c>
      <c r="E44" s="282"/>
      <c r="F44" s="277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683">
        <f aca="true" t="shared" si="17" ref="T44:AA44">SUM(T22:T43)</f>
        <v>504.43965000000003</v>
      </c>
      <c r="U44" s="684">
        <f t="shared" si="17"/>
        <v>0</v>
      </c>
      <c r="V44" s="685">
        <f t="shared" si="17"/>
        <v>730.08</v>
      </c>
      <c r="W44" s="685">
        <f t="shared" si="17"/>
        <v>1159.002</v>
      </c>
      <c r="X44" s="686">
        <f t="shared" si="17"/>
        <v>0</v>
      </c>
      <c r="Y44" s="686">
        <f t="shared" si="17"/>
        <v>0</v>
      </c>
      <c r="Z44" s="687">
        <f t="shared" si="17"/>
        <v>0</v>
      </c>
      <c r="AA44" s="688">
        <f t="shared" si="17"/>
        <v>0</v>
      </c>
      <c r="AB44" s="689"/>
      <c r="AC44" s="690">
        <f>ROUND(SUM(AC22:AC43),2)</f>
        <v>2393.52</v>
      </c>
      <c r="AD44" s="623"/>
    </row>
    <row r="45" spans="1:30" s="698" customFormat="1" ht="9.75" thickTop="1">
      <c r="A45" s="691"/>
      <c r="B45" s="692"/>
      <c r="C45" s="693"/>
      <c r="D45" s="693"/>
      <c r="E45" s="693"/>
      <c r="F45" s="279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5"/>
      <c r="U45" s="695"/>
      <c r="V45" s="695"/>
      <c r="W45" s="695"/>
      <c r="X45" s="695"/>
      <c r="Y45" s="695"/>
      <c r="Z45" s="695"/>
      <c r="AA45" s="695"/>
      <c r="AB45" s="694"/>
      <c r="AC45" s="696"/>
      <c r="AD45" s="697"/>
    </row>
    <row r="46" spans="1:30" s="611" customFormat="1" ht="16.5" customHeight="1" thickBot="1">
      <c r="A46" s="610"/>
      <c r="B46" s="699"/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0"/>
      <c r="P46" s="700"/>
      <c r="Q46" s="700"/>
      <c r="R46" s="700"/>
      <c r="S46" s="700"/>
      <c r="T46" s="700"/>
      <c r="U46" s="700"/>
      <c r="V46" s="700"/>
      <c r="W46" s="700"/>
      <c r="X46" s="700"/>
      <c r="Y46" s="700"/>
      <c r="Z46" s="700"/>
      <c r="AA46" s="700"/>
      <c r="AB46" s="700"/>
      <c r="AC46" s="700"/>
      <c r="AD46" s="701"/>
    </row>
    <row r="47" spans="2:30" ht="16.5" customHeight="1" thickTop="1">
      <c r="B47" s="703"/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A24" sqref="A24:IV25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6.2812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25" customFormat="1" ht="26.25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564"/>
    </row>
    <row r="2" spans="2:30" s="125" customFormat="1" ht="26.25">
      <c r="B2" s="126" t="str">
        <f>+'TOT-1213'!B2</f>
        <v>ANEXO VI al Memorándum  D.T.E.E.  N°       598    / 2014.-</v>
      </c>
      <c r="C2" s="127"/>
      <c r="D2" s="127"/>
      <c r="E2" s="189"/>
      <c r="F2" s="189"/>
      <c r="G2" s="126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5:30" s="12" customFormat="1" ht="12.75"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</row>
    <row r="4" spans="1:30" s="128" customFormat="1" ht="11.25">
      <c r="A4" s="763" t="s">
        <v>17</v>
      </c>
      <c r="C4" s="762"/>
      <c r="D4" s="762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128" customFormat="1" ht="11.25">
      <c r="A5" s="763" t="s">
        <v>143</v>
      </c>
      <c r="C5" s="762"/>
      <c r="D5" s="762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0" s="12" customFormat="1" ht="13.5" thickBo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</row>
    <row r="7" spans="1:30" s="12" customFormat="1" ht="13.5" thickTop="1">
      <c r="A7" s="187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2"/>
    </row>
    <row r="8" spans="1:30" s="130" customFormat="1" ht="20.25">
      <c r="A8" s="207"/>
      <c r="B8" s="208"/>
      <c r="C8" s="195"/>
      <c r="D8" s="195"/>
      <c r="E8" s="195"/>
      <c r="F8" s="23" t="s">
        <v>41</v>
      </c>
      <c r="H8" s="195"/>
      <c r="I8" s="207"/>
      <c r="J8" s="207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209"/>
    </row>
    <row r="9" spans="1:30" s="130" customFormat="1" ht="7.5" customHeight="1">
      <c r="A9" s="207"/>
      <c r="B9" s="208"/>
      <c r="C9" s="195"/>
      <c r="D9" s="195"/>
      <c r="E9" s="195"/>
      <c r="F9" s="23"/>
      <c r="H9" s="195"/>
      <c r="I9" s="207"/>
      <c r="J9" s="207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209"/>
    </row>
    <row r="10" spans="1:30" s="12" customFormat="1" ht="7.5" customHeight="1">
      <c r="A10" s="187"/>
      <c r="B10" s="193"/>
      <c r="C10" s="32"/>
      <c r="D10" s="32"/>
      <c r="E10" s="32"/>
      <c r="F10" s="32"/>
      <c r="G10" s="32"/>
      <c r="H10" s="32"/>
      <c r="I10" s="18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30" customFormat="1" ht="20.25">
      <c r="A11" s="207"/>
      <c r="B11" s="208"/>
      <c r="C11" s="195"/>
      <c r="D11" s="195"/>
      <c r="E11" s="195"/>
      <c r="F11" s="237" t="s">
        <v>82</v>
      </c>
      <c r="G11" s="195"/>
      <c r="H11" s="195"/>
      <c r="I11" s="207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209"/>
    </row>
    <row r="12" spans="1:30" s="130" customFormat="1" ht="8.25" customHeight="1">
      <c r="A12" s="207"/>
      <c r="B12" s="208"/>
      <c r="C12" s="195"/>
      <c r="D12" s="195"/>
      <c r="E12" s="195"/>
      <c r="F12" s="237"/>
      <c r="G12" s="195"/>
      <c r="H12" s="195"/>
      <c r="I12" s="207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209"/>
    </row>
    <row r="13" spans="1:30" s="12" customFormat="1" ht="8.25" customHeight="1">
      <c r="A13" s="187"/>
      <c r="B13" s="193"/>
      <c r="C13" s="32"/>
      <c r="D13" s="32"/>
      <c r="E13" s="32"/>
      <c r="F13" s="139"/>
      <c r="G13" s="197"/>
      <c r="H13" s="197"/>
      <c r="I13" s="198"/>
      <c r="J13" s="19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37" customFormat="1" ht="19.5">
      <c r="A14" s="213"/>
      <c r="B14" s="103" t="str">
        <f>+'TOT-1213'!B14</f>
        <v>Desde el 01 al 31 de diciembre de 2013</v>
      </c>
      <c r="C14" s="214"/>
      <c r="D14" s="214"/>
      <c r="E14" s="214"/>
      <c r="F14" s="214"/>
      <c r="G14" s="214"/>
      <c r="H14" s="214"/>
      <c r="I14" s="215"/>
      <c r="J14" s="214"/>
      <c r="K14" s="134"/>
      <c r="L14" s="13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6"/>
    </row>
    <row r="15" spans="1:30" s="111" customFormat="1" ht="8.25" customHeight="1">
      <c r="A15" s="107"/>
      <c r="B15" s="108"/>
      <c r="C15" s="107"/>
      <c r="D15" s="107"/>
      <c r="E15" s="107"/>
      <c r="F15" s="751"/>
      <c r="G15" s="752"/>
      <c r="H15" s="753"/>
      <c r="I15" s="107"/>
      <c r="K15" s="113"/>
      <c r="L15" s="114"/>
      <c r="M15" s="272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10"/>
    </row>
    <row r="16" spans="1:30" s="12" customFormat="1" ht="8.25" customHeight="1" thickBot="1">
      <c r="A16" s="187"/>
      <c r="B16" s="193"/>
      <c r="C16" s="32"/>
      <c r="D16" s="32"/>
      <c r="E16" s="32"/>
      <c r="F16" s="32"/>
      <c r="G16" s="32"/>
      <c r="H16" s="32"/>
      <c r="I16" s="77"/>
      <c r="J16" s="32"/>
      <c r="K16" s="204"/>
      <c r="L16" s="205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40"/>
    </row>
    <row r="17" spans="1:30" s="12" customFormat="1" ht="16.5" customHeight="1" thickBot="1" thickTop="1">
      <c r="A17" s="187"/>
      <c r="B17" s="193"/>
      <c r="C17" s="32"/>
      <c r="D17" s="32"/>
      <c r="E17" s="32"/>
      <c r="F17" s="217" t="s">
        <v>69</v>
      </c>
      <c r="G17" s="218"/>
      <c r="H17" s="219"/>
      <c r="I17" s="220">
        <v>0.507</v>
      </c>
      <c r="J17" s="18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40"/>
    </row>
    <row r="18" spans="1:30" s="12" customFormat="1" ht="16.5" customHeight="1" thickBot="1" thickTop="1">
      <c r="A18" s="187"/>
      <c r="B18" s="193"/>
      <c r="C18" s="32"/>
      <c r="D18" s="32"/>
      <c r="E18" s="32"/>
      <c r="F18" s="221" t="s">
        <v>70</v>
      </c>
      <c r="G18" s="222"/>
      <c r="H18" s="222"/>
      <c r="I18" s="223">
        <f>30*'TOT-1213'!B13</f>
        <v>30</v>
      </c>
      <c r="J18" s="32"/>
      <c r="K18" s="272" t="str">
        <f>IF(I18=30," ",IF(I18=60,"Coeficiente duplicado por tasa de falla &gt;4 Sal. x año/100 km.","REVISAR COEFICIENTE"))</f>
        <v> 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99"/>
      <c r="X18" s="199"/>
      <c r="Y18" s="199"/>
      <c r="Z18" s="199"/>
      <c r="AA18" s="199"/>
      <c r="AB18" s="199"/>
      <c r="AC18" s="199"/>
      <c r="AD18" s="40"/>
    </row>
    <row r="19" spans="1:30" s="111" customFormat="1" ht="8.25" customHeight="1" thickTop="1">
      <c r="A19" s="107"/>
      <c r="B19" s="108"/>
      <c r="C19" s="107"/>
      <c r="D19" s="107"/>
      <c r="E19" s="107"/>
      <c r="F19" s="751"/>
      <c r="G19" s="752"/>
      <c r="H19" s="753"/>
      <c r="I19" s="107"/>
      <c r="K19" s="113"/>
      <c r="L19" s="114"/>
      <c r="M19" s="272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10"/>
    </row>
    <row r="20" spans="1:30" s="790" customFormat="1" ht="15" customHeight="1" thickBot="1">
      <c r="A20" s="796"/>
      <c r="B20" s="797"/>
      <c r="C20" s="798">
        <v>3</v>
      </c>
      <c r="D20" s="798">
        <v>4</v>
      </c>
      <c r="E20" s="798">
        <v>5</v>
      </c>
      <c r="F20" s="798">
        <v>6</v>
      </c>
      <c r="G20" s="798">
        <v>7</v>
      </c>
      <c r="H20" s="798">
        <v>8</v>
      </c>
      <c r="I20" s="798">
        <v>9</v>
      </c>
      <c r="J20" s="798">
        <v>10</v>
      </c>
      <c r="K20" s="798">
        <v>11</v>
      </c>
      <c r="L20" s="798">
        <v>12</v>
      </c>
      <c r="M20" s="798">
        <v>13</v>
      </c>
      <c r="N20" s="798">
        <v>14</v>
      </c>
      <c r="O20" s="798">
        <v>15</v>
      </c>
      <c r="P20" s="798">
        <v>16</v>
      </c>
      <c r="Q20" s="798">
        <v>17</v>
      </c>
      <c r="R20" s="798">
        <v>18</v>
      </c>
      <c r="S20" s="798">
        <v>19</v>
      </c>
      <c r="T20" s="798">
        <v>20</v>
      </c>
      <c r="U20" s="798">
        <v>21</v>
      </c>
      <c r="V20" s="798">
        <v>22</v>
      </c>
      <c r="W20" s="798">
        <v>23</v>
      </c>
      <c r="X20" s="798">
        <v>24</v>
      </c>
      <c r="Y20" s="798">
        <v>25</v>
      </c>
      <c r="Z20" s="798">
        <v>26</v>
      </c>
      <c r="AA20" s="798">
        <v>27</v>
      </c>
      <c r="AB20" s="798">
        <v>28</v>
      </c>
      <c r="AC20" s="798">
        <v>29</v>
      </c>
      <c r="AD20" s="799"/>
    </row>
    <row r="21" spans="1:30" s="124" customFormat="1" ht="33.75" customHeight="1" thickBot="1" thickTop="1">
      <c r="A21" s="224"/>
      <c r="B21" s="225"/>
      <c r="C21" s="227" t="s">
        <v>47</v>
      </c>
      <c r="D21" s="117" t="s">
        <v>142</v>
      </c>
      <c r="E21" s="117" t="s">
        <v>141</v>
      </c>
      <c r="F21" s="232" t="s">
        <v>71</v>
      </c>
      <c r="G21" s="228" t="s">
        <v>15</v>
      </c>
      <c r="H21" s="229" t="s">
        <v>72</v>
      </c>
      <c r="I21" s="230" t="s">
        <v>48</v>
      </c>
      <c r="J21" s="303" t="s">
        <v>50</v>
      </c>
      <c r="K21" s="231" t="s">
        <v>73</v>
      </c>
      <c r="L21" s="231" t="s">
        <v>74</v>
      </c>
      <c r="M21" s="232" t="s">
        <v>75</v>
      </c>
      <c r="N21" s="232" t="s">
        <v>76</v>
      </c>
      <c r="O21" s="121" t="s">
        <v>55</v>
      </c>
      <c r="P21" s="233" t="s">
        <v>77</v>
      </c>
      <c r="Q21" s="232" t="s">
        <v>78</v>
      </c>
      <c r="R21" s="228" t="s">
        <v>79</v>
      </c>
      <c r="S21" s="374" t="s">
        <v>80</v>
      </c>
      <c r="T21" s="360" t="s">
        <v>57</v>
      </c>
      <c r="U21" s="384" t="s">
        <v>58</v>
      </c>
      <c r="V21" s="390" t="s">
        <v>81</v>
      </c>
      <c r="W21" s="391"/>
      <c r="X21" s="399" t="s">
        <v>81</v>
      </c>
      <c r="Y21" s="400"/>
      <c r="Z21" s="408" t="s">
        <v>61</v>
      </c>
      <c r="AA21" s="414" t="s">
        <v>62</v>
      </c>
      <c r="AB21" s="230" t="s">
        <v>63</v>
      </c>
      <c r="AC21" s="230" t="s">
        <v>64</v>
      </c>
      <c r="AD21" s="226"/>
    </row>
    <row r="22" spans="1:30" s="12" customFormat="1" ht="16.5" customHeight="1" thickTop="1">
      <c r="A22" s="187"/>
      <c r="B22" s="193"/>
      <c r="C22" s="20"/>
      <c r="D22" s="20"/>
      <c r="E22" s="20"/>
      <c r="F22" s="25"/>
      <c r="G22" s="25"/>
      <c r="H22" s="25"/>
      <c r="I22" s="25"/>
      <c r="J22" s="308"/>
      <c r="K22" s="26"/>
      <c r="L22" s="25"/>
      <c r="M22" s="26"/>
      <c r="N22" s="26"/>
      <c r="O22" s="25"/>
      <c r="P22" s="25"/>
      <c r="Q22" s="25"/>
      <c r="R22" s="25"/>
      <c r="S22" s="375"/>
      <c r="T22" s="379"/>
      <c r="U22" s="385"/>
      <c r="V22" s="392"/>
      <c r="W22" s="393"/>
      <c r="X22" s="401"/>
      <c r="Y22" s="402"/>
      <c r="Z22" s="409"/>
      <c r="AA22" s="415"/>
      <c r="AB22" s="25"/>
      <c r="AC22" s="64"/>
      <c r="AD22" s="40"/>
    </row>
    <row r="23" spans="1:30" s="12" customFormat="1" ht="16.5" customHeight="1">
      <c r="A23" s="187"/>
      <c r="B23" s="193"/>
      <c r="C23" s="20"/>
      <c r="D23" s="20"/>
      <c r="E23" s="20"/>
      <c r="F23" s="21"/>
      <c r="G23" s="21"/>
      <c r="H23" s="21"/>
      <c r="I23" s="21"/>
      <c r="J23" s="309"/>
      <c r="K23" s="22"/>
      <c r="L23" s="21"/>
      <c r="M23" s="22"/>
      <c r="N23" s="22"/>
      <c r="O23" s="21"/>
      <c r="P23" s="21"/>
      <c r="Q23" s="21"/>
      <c r="R23" s="21"/>
      <c r="S23" s="376"/>
      <c r="T23" s="380"/>
      <c r="U23" s="386"/>
      <c r="V23" s="394"/>
      <c r="W23" s="395"/>
      <c r="X23" s="403"/>
      <c r="Y23" s="404"/>
      <c r="Z23" s="410"/>
      <c r="AA23" s="416"/>
      <c r="AB23" s="21"/>
      <c r="AC23" s="235"/>
      <c r="AD23" s="40"/>
    </row>
    <row r="24" spans="1:30" s="12" customFormat="1" ht="16.5" customHeight="1">
      <c r="A24" s="187"/>
      <c r="B24" s="193"/>
      <c r="C24" s="705">
        <v>15</v>
      </c>
      <c r="D24" s="705">
        <v>269245</v>
      </c>
      <c r="E24" s="705">
        <v>4970</v>
      </c>
      <c r="F24" s="570" t="s">
        <v>175</v>
      </c>
      <c r="G24" s="569" t="s">
        <v>9</v>
      </c>
      <c r="H24" s="706">
        <v>15</v>
      </c>
      <c r="I24" s="756" t="s">
        <v>156</v>
      </c>
      <c r="J24" s="306">
        <f aca="true" t="shared" si="0" ref="J24:J43">H24*$I$17</f>
        <v>7.605</v>
      </c>
      <c r="K24" s="709">
        <v>41625.09166666667</v>
      </c>
      <c r="L24" s="709">
        <v>41625.1625</v>
      </c>
      <c r="M24" s="28">
        <f aca="true" t="shared" si="1" ref="M24:M43">IF(F24="","",(L24-K24)*24)</f>
        <v>1.6999999999534339</v>
      </c>
      <c r="N24" s="29">
        <f aca="true" t="shared" si="2" ref="N24:N43">IF(F24="","",ROUND((L24-K24)*24*60,0))</f>
        <v>102</v>
      </c>
      <c r="O24" s="710" t="s">
        <v>152</v>
      </c>
      <c r="P24" s="27" t="str">
        <f>IF(F24="","",IF(OR(O24="P",O24="RP"),"--","NO"))</f>
        <v>NO</v>
      </c>
      <c r="Q24" s="777" t="str">
        <f aca="true" t="shared" si="3" ref="Q24:Q43">IF(F24="","","--")</f>
        <v>--</v>
      </c>
      <c r="R24" s="27" t="s">
        <v>149</v>
      </c>
      <c r="S24" s="377">
        <f aca="true" t="shared" si="4" ref="S24:S43">$I$18*IF(OR(O24="P",O24="RP"),0.1,1)*IF(R24="SI",1,0.1)</f>
        <v>30</v>
      </c>
      <c r="T24" s="381" t="str">
        <f aca="true" t="shared" si="5" ref="T24:T43">IF(O24="P",J24*S24*ROUND(N24/60,2),"--")</f>
        <v>--</v>
      </c>
      <c r="U24" s="387" t="str">
        <f aca="true" t="shared" si="6" ref="U24:U43">IF(O24="RP",J24*S24*ROUND(N24/60,2)*Q24/100,"--")</f>
        <v>--</v>
      </c>
      <c r="V24" s="396">
        <f aca="true" t="shared" si="7" ref="V24:V43">IF(AND(O24="F",P24="NO"),J24*S24,"--")</f>
        <v>228.15</v>
      </c>
      <c r="W24" s="397">
        <f aca="true" t="shared" si="8" ref="W24:W43">IF(O24="F",J24*S24*ROUND(N24/60,2),"--")</f>
        <v>387.855</v>
      </c>
      <c r="X24" s="405" t="str">
        <f aca="true" t="shared" si="9" ref="X24:X43">IF(AND(O24="R",P24="NO"),J24*S24*Q24/100,"--")</f>
        <v>--</v>
      </c>
      <c r="Y24" s="406" t="str">
        <f aca="true" t="shared" si="10" ref="Y24:Y43">IF(O24="R",J24*S24*ROUND(N24/60,2)*Q24/100,"--")</f>
        <v>--</v>
      </c>
      <c r="Z24" s="411" t="str">
        <f aca="true" t="shared" si="11" ref="Z24:Z43">IF(O24="RF",J24*S24*ROUND(N24/60,2),"--")</f>
        <v>--</v>
      </c>
      <c r="AA24" s="417" t="str">
        <f aca="true" t="shared" si="12" ref="AA24:AA43">IF(O24="RR",J24*S24*ROUND(N24/60,2)*Q24/100,"--")</f>
        <v>--</v>
      </c>
      <c r="AB24" s="27" t="str">
        <f aca="true" t="shared" si="13" ref="AB24:AB43">IF(F24="","","SI")</f>
        <v>SI</v>
      </c>
      <c r="AC24" s="65">
        <f aca="true" t="shared" si="14" ref="AC24:AC43">IF(F24="","",SUM(T24:AA24)*IF(AB24="SI",1,2))</f>
        <v>616.005</v>
      </c>
      <c r="AD24" s="462"/>
    </row>
    <row r="25" spans="1:30" s="12" customFormat="1" ht="16.5" customHeight="1">
      <c r="A25" s="187"/>
      <c r="B25" s="193"/>
      <c r="C25" s="705">
        <v>16</v>
      </c>
      <c r="D25" s="705">
        <v>268417</v>
      </c>
      <c r="E25" s="705">
        <v>1813</v>
      </c>
      <c r="F25" s="570" t="s">
        <v>14</v>
      </c>
      <c r="G25" s="569" t="s">
        <v>176</v>
      </c>
      <c r="H25" s="706">
        <v>15</v>
      </c>
      <c r="I25" s="756" t="s">
        <v>156</v>
      </c>
      <c r="J25" s="306">
        <f t="shared" si="0"/>
        <v>7.605</v>
      </c>
      <c r="K25" s="709">
        <v>41609</v>
      </c>
      <c r="L25" s="709">
        <v>41609.21944444445</v>
      </c>
      <c r="M25" s="28">
        <f t="shared" si="1"/>
        <v>5.266666666720994</v>
      </c>
      <c r="N25" s="29">
        <f t="shared" si="2"/>
        <v>316</v>
      </c>
      <c r="O25" s="710" t="s">
        <v>177</v>
      </c>
      <c r="P25" s="27" t="str">
        <f aca="true" t="shared" si="15" ref="P25:P43">IF(F25="","",IF(OR(O25="P",O25="RP"),"--","NO"))</f>
        <v>NO</v>
      </c>
      <c r="Q25" s="777">
        <v>60</v>
      </c>
      <c r="R25" s="27" t="str">
        <f aca="true" t="shared" si="16" ref="R25:R43">IF(F25="","","NO")</f>
        <v>NO</v>
      </c>
      <c r="S25" s="377">
        <f t="shared" si="4"/>
        <v>3</v>
      </c>
      <c r="T25" s="381" t="str">
        <f t="shared" si="5"/>
        <v>--</v>
      </c>
      <c r="U25" s="387" t="str">
        <f t="shared" si="6"/>
        <v>--</v>
      </c>
      <c r="V25" s="396" t="str">
        <f t="shared" si="7"/>
        <v>--</v>
      </c>
      <c r="W25" s="397" t="str">
        <f t="shared" si="8"/>
        <v>--</v>
      </c>
      <c r="X25" s="405" t="str">
        <f t="shared" si="9"/>
        <v>--</v>
      </c>
      <c r="Y25" s="406" t="str">
        <f t="shared" si="10"/>
        <v>--</v>
      </c>
      <c r="Z25" s="411" t="str">
        <f t="shared" si="11"/>
        <v>--</v>
      </c>
      <c r="AA25" s="417">
        <f t="shared" si="12"/>
        <v>72.14103</v>
      </c>
      <c r="AB25" s="27" t="str">
        <f t="shared" si="13"/>
        <v>SI</v>
      </c>
      <c r="AC25" s="65">
        <f t="shared" si="14"/>
        <v>72.14103</v>
      </c>
      <c r="AD25" s="462"/>
    </row>
    <row r="26" spans="1:30" s="12" customFormat="1" ht="16.5" customHeight="1">
      <c r="A26" s="187"/>
      <c r="B26" s="193"/>
      <c r="C26" s="705"/>
      <c r="D26" s="705"/>
      <c r="E26" s="705"/>
      <c r="F26" s="570"/>
      <c r="G26" s="569"/>
      <c r="H26" s="706"/>
      <c r="I26" s="707"/>
      <c r="J26" s="306">
        <f t="shared" si="0"/>
        <v>0</v>
      </c>
      <c r="K26" s="709"/>
      <c r="L26" s="709"/>
      <c r="M26" s="28">
        <f t="shared" si="1"/>
      </c>
      <c r="N26" s="29">
        <f t="shared" si="2"/>
      </c>
      <c r="O26" s="710"/>
      <c r="P26" s="27">
        <f t="shared" si="15"/>
      </c>
      <c r="Q26" s="777">
        <f t="shared" si="3"/>
      </c>
      <c r="R26" s="27">
        <f t="shared" si="16"/>
      </c>
      <c r="S26" s="377">
        <f t="shared" si="4"/>
        <v>3</v>
      </c>
      <c r="T26" s="381" t="str">
        <f t="shared" si="5"/>
        <v>--</v>
      </c>
      <c r="U26" s="387" t="str">
        <f t="shared" si="6"/>
        <v>--</v>
      </c>
      <c r="V26" s="396" t="str">
        <f t="shared" si="7"/>
        <v>--</v>
      </c>
      <c r="W26" s="397" t="str">
        <f t="shared" si="8"/>
        <v>--</v>
      </c>
      <c r="X26" s="405" t="str">
        <f t="shared" si="9"/>
        <v>--</v>
      </c>
      <c r="Y26" s="406" t="str">
        <f t="shared" si="10"/>
        <v>--</v>
      </c>
      <c r="Z26" s="411" t="str">
        <f t="shared" si="11"/>
        <v>--</v>
      </c>
      <c r="AA26" s="417" t="str">
        <f t="shared" si="12"/>
        <v>--</v>
      </c>
      <c r="AB26" s="27">
        <f t="shared" si="13"/>
      </c>
      <c r="AC26" s="65">
        <f t="shared" si="14"/>
      </c>
      <c r="AD26" s="462"/>
    </row>
    <row r="27" spans="1:30" s="12" customFormat="1" ht="16.5" customHeight="1">
      <c r="A27" s="187"/>
      <c r="B27" s="193"/>
      <c r="C27" s="705"/>
      <c r="D27" s="705"/>
      <c r="E27" s="705"/>
      <c r="F27" s="570"/>
      <c r="G27" s="569"/>
      <c r="H27" s="706"/>
      <c r="I27" s="707"/>
      <c r="J27" s="306">
        <f t="shared" si="0"/>
        <v>0</v>
      </c>
      <c r="K27" s="709"/>
      <c r="L27" s="709"/>
      <c r="M27" s="28">
        <f t="shared" si="1"/>
      </c>
      <c r="N27" s="29">
        <f t="shared" si="2"/>
      </c>
      <c r="O27" s="710"/>
      <c r="P27" s="27">
        <f t="shared" si="15"/>
      </c>
      <c r="Q27" s="777">
        <f t="shared" si="3"/>
      </c>
      <c r="R27" s="27">
        <f t="shared" si="16"/>
      </c>
      <c r="S27" s="377">
        <f t="shared" si="4"/>
        <v>3</v>
      </c>
      <c r="T27" s="381" t="str">
        <f t="shared" si="5"/>
        <v>--</v>
      </c>
      <c r="U27" s="387" t="str">
        <f t="shared" si="6"/>
        <v>--</v>
      </c>
      <c r="V27" s="396" t="str">
        <f t="shared" si="7"/>
        <v>--</v>
      </c>
      <c r="W27" s="397" t="str">
        <f t="shared" si="8"/>
        <v>--</v>
      </c>
      <c r="X27" s="405" t="str">
        <f t="shared" si="9"/>
        <v>--</v>
      </c>
      <c r="Y27" s="406" t="str">
        <f t="shared" si="10"/>
        <v>--</v>
      </c>
      <c r="Z27" s="411" t="str">
        <f t="shared" si="11"/>
        <v>--</v>
      </c>
      <c r="AA27" s="417" t="str">
        <f t="shared" si="12"/>
        <v>--</v>
      </c>
      <c r="AB27" s="27">
        <f t="shared" si="13"/>
      </c>
      <c r="AC27" s="65">
        <f t="shared" si="14"/>
      </c>
      <c r="AD27" s="462"/>
    </row>
    <row r="28" spans="1:30" s="12" customFormat="1" ht="16.5" customHeight="1">
      <c r="A28" s="187"/>
      <c r="B28" s="193"/>
      <c r="C28" s="705"/>
      <c r="D28" s="705"/>
      <c r="E28" s="705"/>
      <c r="F28" s="570"/>
      <c r="G28" s="569"/>
      <c r="H28" s="706"/>
      <c r="I28" s="707"/>
      <c r="J28" s="306">
        <f t="shared" si="0"/>
        <v>0</v>
      </c>
      <c r="K28" s="709"/>
      <c r="L28" s="709"/>
      <c r="M28" s="28">
        <f t="shared" si="1"/>
      </c>
      <c r="N28" s="29">
        <f t="shared" si="2"/>
      </c>
      <c r="O28" s="710"/>
      <c r="P28" s="27">
        <f t="shared" si="15"/>
      </c>
      <c r="Q28" s="777">
        <f t="shared" si="3"/>
      </c>
      <c r="R28" s="27">
        <f t="shared" si="16"/>
      </c>
      <c r="S28" s="377">
        <f t="shared" si="4"/>
        <v>3</v>
      </c>
      <c r="T28" s="381" t="str">
        <f t="shared" si="5"/>
        <v>--</v>
      </c>
      <c r="U28" s="387" t="str">
        <f t="shared" si="6"/>
        <v>--</v>
      </c>
      <c r="V28" s="396" t="str">
        <f t="shared" si="7"/>
        <v>--</v>
      </c>
      <c r="W28" s="397" t="str">
        <f t="shared" si="8"/>
        <v>--</v>
      </c>
      <c r="X28" s="405" t="str">
        <f t="shared" si="9"/>
        <v>--</v>
      </c>
      <c r="Y28" s="406" t="str">
        <f t="shared" si="10"/>
        <v>--</v>
      </c>
      <c r="Z28" s="411" t="str">
        <f t="shared" si="11"/>
        <v>--</v>
      </c>
      <c r="AA28" s="417" t="str">
        <f t="shared" si="12"/>
        <v>--</v>
      </c>
      <c r="AB28" s="27">
        <f t="shared" si="13"/>
      </c>
      <c r="AC28" s="65">
        <f t="shared" si="14"/>
      </c>
      <c r="AD28" s="462"/>
    </row>
    <row r="29" spans="1:30" s="12" customFormat="1" ht="16.5" customHeight="1">
      <c r="A29" s="187"/>
      <c r="B29" s="193"/>
      <c r="C29" s="705"/>
      <c r="D29" s="705"/>
      <c r="E29" s="705"/>
      <c r="F29" s="570"/>
      <c r="G29" s="569"/>
      <c r="H29" s="706"/>
      <c r="I29" s="707"/>
      <c r="J29" s="306">
        <f t="shared" si="0"/>
        <v>0</v>
      </c>
      <c r="K29" s="709"/>
      <c r="L29" s="709"/>
      <c r="M29" s="28">
        <f t="shared" si="1"/>
      </c>
      <c r="N29" s="29">
        <f t="shared" si="2"/>
      </c>
      <c r="O29" s="710"/>
      <c r="P29" s="27">
        <f t="shared" si="15"/>
      </c>
      <c r="Q29" s="777">
        <f t="shared" si="3"/>
      </c>
      <c r="R29" s="27">
        <f t="shared" si="16"/>
      </c>
      <c r="S29" s="377">
        <f t="shared" si="4"/>
        <v>3</v>
      </c>
      <c r="T29" s="381" t="str">
        <f t="shared" si="5"/>
        <v>--</v>
      </c>
      <c r="U29" s="387" t="str">
        <f t="shared" si="6"/>
        <v>--</v>
      </c>
      <c r="V29" s="396" t="str">
        <f t="shared" si="7"/>
        <v>--</v>
      </c>
      <c r="W29" s="397" t="str">
        <f t="shared" si="8"/>
        <v>--</v>
      </c>
      <c r="X29" s="405" t="str">
        <f t="shared" si="9"/>
        <v>--</v>
      </c>
      <c r="Y29" s="406" t="str">
        <f t="shared" si="10"/>
        <v>--</v>
      </c>
      <c r="Z29" s="411" t="str">
        <f t="shared" si="11"/>
        <v>--</v>
      </c>
      <c r="AA29" s="417" t="str">
        <f t="shared" si="12"/>
        <v>--</v>
      </c>
      <c r="AB29" s="27">
        <f t="shared" si="13"/>
      </c>
      <c r="AC29" s="65">
        <f t="shared" si="14"/>
      </c>
      <c r="AD29" s="462"/>
    </row>
    <row r="30" spans="1:30" s="12" customFormat="1" ht="16.5" customHeight="1">
      <c r="A30" s="187"/>
      <c r="B30" s="193"/>
      <c r="C30" s="705"/>
      <c r="D30" s="705"/>
      <c r="E30" s="705"/>
      <c r="F30" s="570"/>
      <c r="G30" s="569"/>
      <c r="H30" s="706"/>
      <c r="I30" s="707"/>
      <c r="J30" s="306">
        <f t="shared" si="0"/>
        <v>0</v>
      </c>
      <c r="K30" s="709"/>
      <c r="L30" s="709"/>
      <c r="M30" s="28">
        <f t="shared" si="1"/>
      </c>
      <c r="N30" s="29">
        <f t="shared" si="2"/>
      </c>
      <c r="O30" s="710"/>
      <c r="P30" s="27">
        <f t="shared" si="15"/>
      </c>
      <c r="Q30" s="777">
        <f t="shared" si="3"/>
      </c>
      <c r="R30" s="27">
        <f t="shared" si="16"/>
      </c>
      <c r="S30" s="377">
        <f t="shared" si="4"/>
        <v>3</v>
      </c>
      <c r="T30" s="381" t="str">
        <f t="shared" si="5"/>
        <v>--</v>
      </c>
      <c r="U30" s="387" t="str">
        <f t="shared" si="6"/>
        <v>--</v>
      </c>
      <c r="V30" s="396" t="str">
        <f t="shared" si="7"/>
        <v>--</v>
      </c>
      <c r="W30" s="397" t="str">
        <f t="shared" si="8"/>
        <v>--</v>
      </c>
      <c r="X30" s="405" t="str">
        <f t="shared" si="9"/>
        <v>--</v>
      </c>
      <c r="Y30" s="406" t="str">
        <f t="shared" si="10"/>
        <v>--</v>
      </c>
      <c r="Z30" s="411" t="str">
        <f t="shared" si="11"/>
        <v>--</v>
      </c>
      <c r="AA30" s="417" t="str">
        <f t="shared" si="12"/>
        <v>--</v>
      </c>
      <c r="AB30" s="27">
        <f t="shared" si="13"/>
      </c>
      <c r="AC30" s="65">
        <f t="shared" si="14"/>
      </c>
      <c r="AD30" s="40"/>
    </row>
    <row r="31" spans="1:30" s="12" customFormat="1" ht="16.5" customHeight="1">
      <c r="A31" s="187"/>
      <c r="B31" s="193"/>
      <c r="C31" s="705"/>
      <c r="D31" s="705"/>
      <c r="E31" s="705"/>
      <c r="F31" s="570"/>
      <c r="G31" s="569"/>
      <c r="H31" s="706"/>
      <c r="I31" s="707"/>
      <c r="J31" s="306">
        <f t="shared" si="0"/>
        <v>0</v>
      </c>
      <c r="K31" s="709"/>
      <c r="L31" s="709"/>
      <c r="M31" s="28">
        <f t="shared" si="1"/>
      </c>
      <c r="N31" s="29">
        <f t="shared" si="2"/>
      </c>
      <c r="O31" s="710"/>
      <c r="P31" s="27">
        <f t="shared" si="15"/>
      </c>
      <c r="Q31" s="777">
        <f t="shared" si="3"/>
      </c>
      <c r="R31" s="27">
        <f t="shared" si="16"/>
      </c>
      <c r="S31" s="377">
        <f t="shared" si="4"/>
        <v>3</v>
      </c>
      <c r="T31" s="381" t="str">
        <f t="shared" si="5"/>
        <v>--</v>
      </c>
      <c r="U31" s="387" t="str">
        <f t="shared" si="6"/>
        <v>--</v>
      </c>
      <c r="V31" s="396" t="str">
        <f t="shared" si="7"/>
        <v>--</v>
      </c>
      <c r="W31" s="397" t="str">
        <f t="shared" si="8"/>
        <v>--</v>
      </c>
      <c r="X31" s="405" t="str">
        <f t="shared" si="9"/>
        <v>--</v>
      </c>
      <c r="Y31" s="406" t="str">
        <f t="shared" si="10"/>
        <v>--</v>
      </c>
      <c r="Z31" s="411" t="str">
        <f t="shared" si="11"/>
        <v>--</v>
      </c>
      <c r="AA31" s="417" t="str">
        <f t="shared" si="12"/>
        <v>--</v>
      </c>
      <c r="AB31" s="27">
        <f t="shared" si="13"/>
      </c>
      <c r="AC31" s="65">
        <f t="shared" si="14"/>
      </c>
      <c r="AD31" s="40"/>
    </row>
    <row r="32" spans="1:30" s="12" customFormat="1" ht="16.5" customHeight="1">
      <c r="A32" s="187"/>
      <c r="B32" s="193"/>
      <c r="C32" s="705"/>
      <c r="D32" s="705"/>
      <c r="E32" s="705"/>
      <c r="F32" s="570"/>
      <c r="G32" s="569"/>
      <c r="H32" s="706"/>
      <c r="I32" s="707"/>
      <c r="J32" s="306">
        <f t="shared" si="0"/>
        <v>0</v>
      </c>
      <c r="K32" s="709"/>
      <c r="L32" s="709"/>
      <c r="M32" s="28">
        <f t="shared" si="1"/>
      </c>
      <c r="N32" s="29">
        <f t="shared" si="2"/>
      </c>
      <c r="O32" s="710"/>
      <c r="P32" s="27">
        <f t="shared" si="15"/>
      </c>
      <c r="Q32" s="777">
        <f t="shared" si="3"/>
      </c>
      <c r="R32" s="27">
        <f t="shared" si="16"/>
      </c>
      <c r="S32" s="377">
        <f t="shared" si="4"/>
        <v>3</v>
      </c>
      <c r="T32" s="381" t="str">
        <f t="shared" si="5"/>
        <v>--</v>
      </c>
      <c r="U32" s="387" t="str">
        <f t="shared" si="6"/>
        <v>--</v>
      </c>
      <c r="V32" s="396" t="str">
        <f t="shared" si="7"/>
        <v>--</v>
      </c>
      <c r="W32" s="397" t="str">
        <f t="shared" si="8"/>
        <v>--</v>
      </c>
      <c r="X32" s="405" t="str">
        <f t="shared" si="9"/>
        <v>--</v>
      </c>
      <c r="Y32" s="406" t="str">
        <f t="shared" si="10"/>
        <v>--</v>
      </c>
      <c r="Z32" s="411" t="str">
        <f t="shared" si="11"/>
        <v>--</v>
      </c>
      <c r="AA32" s="417" t="str">
        <f t="shared" si="12"/>
        <v>--</v>
      </c>
      <c r="AB32" s="27">
        <f t="shared" si="13"/>
      </c>
      <c r="AC32" s="65">
        <f t="shared" si="14"/>
      </c>
      <c r="AD32" s="40"/>
    </row>
    <row r="33" spans="1:30" s="12" customFormat="1" ht="16.5" customHeight="1">
      <c r="A33" s="187"/>
      <c r="B33" s="193"/>
      <c r="C33" s="705"/>
      <c r="D33" s="705"/>
      <c r="E33" s="705"/>
      <c r="F33" s="570"/>
      <c r="G33" s="569"/>
      <c r="H33" s="706"/>
      <c r="I33" s="707"/>
      <c r="J33" s="306">
        <f t="shared" si="0"/>
        <v>0</v>
      </c>
      <c r="K33" s="709"/>
      <c r="L33" s="709"/>
      <c r="M33" s="28">
        <f t="shared" si="1"/>
      </c>
      <c r="N33" s="29">
        <f t="shared" si="2"/>
      </c>
      <c r="O33" s="710"/>
      <c r="P33" s="27">
        <f t="shared" si="15"/>
      </c>
      <c r="Q33" s="777">
        <f t="shared" si="3"/>
      </c>
      <c r="R33" s="27">
        <f t="shared" si="16"/>
      </c>
      <c r="S33" s="377">
        <f t="shared" si="4"/>
        <v>3</v>
      </c>
      <c r="T33" s="381" t="str">
        <f t="shared" si="5"/>
        <v>--</v>
      </c>
      <c r="U33" s="387" t="str">
        <f t="shared" si="6"/>
        <v>--</v>
      </c>
      <c r="V33" s="396" t="str">
        <f t="shared" si="7"/>
        <v>--</v>
      </c>
      <c r="W33" s="397" t="str">
        <f t="shared" si="8"/>
        <v>--</v>
      </c>
      <c r="X33" s="405" t="str">
        <f t="shared" si="9"/>
        <v>--</v>
      </c>
      <c r="Y33" s="406" t="str">
        <f t="shared" si="10"/>
        <v>--</v>
      </c>
      <c r="Z33" s="411" t="str">
        <f t="shared" si="11"/>
        <v>--</v>
      </c>
      <c r="AA33" s="417" t="str">
        <f t="shared" si="12"/>
        <v>--</v>
      </c>
      <c r="AB33" s="27">
        <f t="shared" si="13"/>
      </c>
      <c r="AC33" s="65">
        <f t="shared" si="14"/>
      </c>
      <c r="AD33" s="40"/>
    </row>
    <row r="34" spans="1:30" s="12" customFormat="1" ht="16.5" customHeight="1">
      <c r="A34" s="187"/>
      <c r="B34" s="193"/>
      <c r="C34" s="705"/>
      <c r="D34" s="705"/>
      <c r="E34" s="705"/>
      <c r="F34" s="570"/>
      <c r="G34" s="569"/>
      <c r="H34" s="706"/>
      <c r="I34" s="707"/>
      <c r="J34" s="306">
        <f t="shared" si="0"/>
        <v>0</v>
      </c>
      <c r="K34" s="709"/>
      <c r="L34" s="709"/>
      <c r="M34" s="28">
        <f t="shared" si="1"/>
      </c>
      <c r="N34" s="29">
        <f t="shared" si="2"/>
      </c>
      <c r="O34" s="710"/>
      <c r="P34" s="27">
        <f t="shared" si="15"/>
      </c>
      <c r="Q34" s="777">
        <f t="shared" si="3"/>
      </c>
      <c r="R34" s="27">
        <f t="shared" si="16"/>
      </c>
      <c r="S34" s="377">
        <f t="shared" si="4"/>
        <v>3</v>
      </c>
      <c r="T34" s="381" t="str">
        <f t="shared" si="5"/>
        <v>--</v>
      </c>
      <c r="U34" s="387" t="str">
        <f t="shared" si="6"/>
        <v>--</v>
      </c>
      <c r="V34" s="396" t="str">
        <f t="shared" si="7"/>
        <v>--</v>
      </c>
      <c r="W34" s="397" t="str">
        <f t="shared" si="8"/>
        <v>--</v>
      </c>
      <c r="X34" s="405" t="str">
        <f t="shared" si="9"/>
        <v>--</v>
      </c>
      <c r="Y34" s="406" t="str">
        <f t="shared" si="10"/>
        <v>--</v>
      </c>
      <c r="Z34" s="411" t="str">
        <f t="shared" si="11"/>
        <v>--</v>
      </c>
      <c r="AA34" s="417" t="str">
        <f t="shared" si="12"/>
        <v>--</v>
      </c>
      <c r="AB34" s="27">
        <f t="shared" si="13"/>
      </c>
      <c r="AC34" s="65">
        <f t="shared" si="14"/>
      </c>
      <c r="AD34" s="40"/>
    </row>
    <row r="35" spans="1:30" s="12" customFormat="1" ht="16.5" customHeight="1">
      <c r="A35" s="187"/>
      <c r="B35" s="193"/>
      <c r="C35" s="705"/>
      <c r="D35" s="705"/>
      <c r="E35" s="705"/>
      <c r="F35" s="570"/>
      <c r="G35" s="569"/>
      <c r="H35" s="706"/>
      <c r="I35" s="707"/>
      <c r="J35" s="306">
        <f t="shared" si="0"/>
        <v>0</v>
      </c>
      <c r="K35" s="709"/>
      <c r="L35" s="709"/>
      <c r="M35" s="28">
        <f t="shared" si="1"/>
      </c>
      <c r="N35" s="29">
        <f t="shared" si="2"/>
      </c>
      <c r="O35" s="710"/>
      <c r="P35" s="27">
        <f t="shared" si="15"/>
      </c>
      <c r="Q35" s="777">
        <f t="shared" si="3"/>
      </c>
      <c r="R35" s="27">
        <f t="shared" si="16"/>
      </c>
      <c r="S35" s="377">
        <f t="shared" si="4"/>
        <v>3</v>
      </c>
      <c r="T35" s="381" t="str">
        <f t="shared" si="5"/>
        <v>--</v>
      </c>
      <c r="U35" s="387" t="str">
        <f t="shared" si="6"/>
        <v>--</v>
      </c>
      <c r="V35" s="396" t="str">
        <f t="shared" si="7"/>
        <v>--</v>
      </c>
      <c r="W35" s="397" t="str">
        <f t="shared" si="8"/>
        <v>--</v>
      </c>
      <c r="X35" s="405" t="str">
        <f t="shared" si="9"/>
        <v>--</v>
      </c>
      <c r="Y35" s="406" t="str">
        <f t="shared" si="10"/>
        <v>--</v>
      </c>
      <c r="Z35" s="411" t="str">
        <f t="shared" si="11"/>
        <v>--</v>
      </c>
      <c r="AA35" s="417" t="str">
        <f t="shared" si="12"/>
        <v>--</v>
      </c>
      <c r="AB35" s="27">
        <f t="shared" si="13"/>
      </c>
      <c r="AC35" s="65">
        <f t="shared" si="14"/>
      </c>
      <c r="AD35" s="40"/>
    </row>
    <row r="36" spans="1:30" s="12" customFormat="1" ht="16.5" customHeight="1">
      <c r="A36" s="187"/>
      <c r="B36" s="193"/>
      <c r="C36" s="705"/>
      <c r="D36" s="705"/>
      <c r="E36" s="705"/>
      <c r="F36" s="570"/>
      <c r="G36" s="569"/>
      <c r="H36" s="706"/>
      <c r="I36" s="707"/>
      <c r="J36" s="306">
        <f t="shared" si="0"/>
        <v>0</v>
      </c>
      <c r="K36" s="709"/>
      <c r="L36" s="709"/>
      <c r="M36" s="28">
        <f t="shared" si="1"/>
      </c>
      <c r="N36" s="29">
        <f t="shared" si="2"/>
      </c>
      <c r="O36" s="710"/>
      <c r="P36" s="27">
        <f t="shared" si="15"/>
      </c>
      <c r="Q36" s="777">
        <f t="shared" si="3"/>
      </c>
      <c r="R36" s="27">
        <f t="shared" si="16"/>
      </c>
      <c r="S36" s="377">
        <f t="shared" si="4"/>
        <v>3</v>
      </c>
      <c r="T36" s="381" t="str">
        <f t="shared" si="5"/>
        <v>--</v>
      </c>
      <c r="U36" s="387" t="str">
        <f t="shared" si="6"/>
        <v>--</v>
      </c>
      <c r="V36" s="396" t="str">
        <f t="shared" si="7"/>
        <v>--</v>
      </c>
      <c r="W36" s="397" t="str">
        <f t="shared" si="8"/>
        <v>--</v>
      </c>
      <c r="X36" s="405" t="str">
        <f t="shared" si="9"/>
        <v>--</v>
      </c>
      <c r="Y36" s="406" t="str">
        <f t="shared" si="10"/>
        <v>--</v>
      </c>
      <c r="Z36" s="411" t="str">
        <f t="shared" si="11"/>
        <v>--</v>
      </c>
      <c r="AA36" s="417" t="str">
        <f t="shared" si="12"/>
        <v>--</v>
      </c>
      <c r="AB36" s="27">
        <f t="shared" si="13"/>
      </c>
      <c r="AC36" s="65">
        <f t="shared" si="14"/>
      </c>
      <c r="AD36" s="40"/>
    </row>
    <row r="37" spans="1:30" s="12" customFormat="1" ht="16.5" customHeight="1">
      <c r="A37" s="187"/>
      <c r="B37" s="193"/>
      <c r="C37" s="705"/>
      <c r="D37" s="705"/>
      <c r="E37" s="705"/>
      <c r="F37" s="570"/>
      <c r="G37" s="569"/>
      <c r="H37" s="706"/>
      <c r="I37" s="707"/>
      <c r="J37" s="306">
        <f t="shared" si="0"/>
        <v>0</v>
      </c>
      <c r="K37" s="709"/>
      <c r="L37" s="709"/>
      <c r="M37" s="28">
        <f t="shared" si="1"/>
      </c>
      <c r="N37" s="29">
        <f t="shared" si="2"/>
      </c>
      <c r="O37" s="710"/>
      <c r="P37" s="27">
        <f t="shared" si="15"/>
      </c>
      <c r="Q37" s="777">
        <f t="shared" si="3"/>
      </c>
      <c r="R37" s="27">
        <f t="shared" si="16"/>
      </c>
      <c r="S37" s="377">
        <f t="shared" si="4"/>
        <v>3</v>
      </c>
      <c r="T37" s="381" t="str">
        <f t="shared" si="5"/>
        <v>--</v>
      </c>
      <c r="U37" s="387" t="str">
        <f t="shared" si="6"/>
        <v>--</v>
      </c>
      <c r="V37" s="396" t="str">
        <f t="shared" si="7"/>
        <v>--</v>
      </c>
      <c r="W37" s="397" t="str">
        <f t="shared" si="8"/>
        <v>--</v>
      </c>
      <c r="X37" s="405" t="str">
        <f t="shared" si="9"/>
        <v>--</v>
      </c>
      <c r="Y37" s="406" t="str">
        <f t="shared" si="10"/>
        <v>--</v>
      </c>
      <c r="Z37" s="411" t="str">
        <f t="shared" si="11"/>
        <v>--</v>
      </c>
      <c r="AA37" s="417" t="str">
        <f t="shared" si="12"/>
        <v>--</v>
      </c>
      <c r="AB37" s="27">
        <f t="shared" si="13"/>
      </c>
      <c r="AC37" s="65">
        <f t="shared" si="14"/>
      </c>
      <c r="AD37" s="40"/>
    </row>
    <row r="38" spans="1:30" s="12" customFormat="1" ht="16.5" customHeight="1">
      <c r="A38" s="187"/>
      <c r="B38" s="193"/>
      <c r="C38" s="705"/>
      <c r="D38" s="705"/>
      <c r="E38" s="705"/>
      <c r="F38" s="570"/>
      <c r="G38" s="569"/>
      <c r="H38" s="706"/>
      <c r="I38" s="707"/>
      <c r="J38" s="306">
        <f t="shared" si="0"/>
        <v>0</v>
      </c>
      <c r="K38" s="709"/>
      <c r="L38" s="709"/>
      <c r="M38" s="28">
        <f t="shared" si="1"/>
      </c>
      <c r="N38" s="29">
        <f t="shared" si="2"/>
      </c>
      <c r="O38" s="710"/>
      <c r="P38" s="27">
        <f t="shared" si="15"/>
      </c>
      <c r="Q38" s="777">
        <f t="shared" si="3"/>
      </c>
      <c r="R38" s="27">
        <f t="shared" si="16"/>
      </c>
      <c r="S38" s="377">
        <f t="shared" si="4"/>
        <v>3</v>
      </c>
      <c r="T38" s="381" t="str">
        <f t="shared" si="5"/>
        <v>--</v>
      </c>
      <c r="U38" s="387" t="str">
        <f t="shared" si="6"/>
        <v>--</v>
      </c>
      <c r="V38" s="396" t="str">
        <f t="shared" si="7"/>
        <v>--</v>
      </c>
      <c r="W38" s="397" t="str">
        <f t="shared" si="8"/>
        <v>--</v>
      </c>
      <c r="X38" s="405" t="str">
        <f t="shared" si="9"/>
        <v>--</v>
      </c>
      <c r="Y38" s="406" t="str">
        <f t="shared" si="10"/>
        <v>--</v>
      </c>
      <c r="Z38" s="411" t="str">
        <f t="shared" si="11"/>
        <v>--</v>
      </c>
      <c r="AA38" s="417" t="str">
        <f t="shared" si="12"/>
        <v>--</v>
      </c>
      <c r="AB38" s="27">
        <f t="shared" si="13"/>
      </c>
      <c r="AC38" s="65">
        <f t="shared" si="14"/>
      </c>
      <c r="AD38" s="40"/>
    </row>
    <row r="39" spans="1:30" s="12" customFormat="1" ht="16.5" customHeight="1">
      <c r="A39" s="187"/>
      <c r="B39" s="193"/>
      <c r="C39" s="705"/>
      <c r="D39" s="705"/>
      <c r="E39" s="705"/>
      <c r="F39" s="570"/>
      <c r="G39" s="569"/>
      <c r="H39" s="706"/>
      <c r="I39" s="707"/>
      <c r="J39" s="306">
        <f t="shared" si="0"/>
        <v>0</v>
      </c>
      <c r="K39" s="709"/>
      <c r="L39" s="709"/>
      <c r="M39" s="28">
        <f t="shared" si="1"/>
      </c>
      <c r="N39" s="29">
        <f t="shared" si="2"/>
      </c>
      <c r="O39" s="710"/>
      <c r="P39" s="27">
        <f t="shared" si="15"/>
      </c>
      <c r="Q39" s="777">
        <f t="shared" si="3"/>
      </c>
      <c r="R39" s="27">
        <f t="shared" si="16"/>
      </c>
      <c r="S39" s="377">
        <f t="shared" si="4"/>
        <v>3</v>
      </c>
      <c r="T39" s="381" t="str">
        <f t="shared" si="5"/>
        <v>--</v>
      </c>
      <c r="U39" s="387" t="str">
        <f t="shared" si="6"/>
        <v>--</v>
      </c>
      <c r="V39" s="396" t="str">
        <f t="shared" si="7"/>
        <v>--</v>
      </c>
      <c r="W39" s="397" t="str">
        <f t="shared" si="8"/>
        <v>--</v>
      </c>
      <c r="X39" s="405" t="str">
        <f t="shared" si="9"/>
        <v>--</v>
      </c>
      <c r="Y39" s="406" t="str">
        <f t="shared" si="10"/>
        <v>--</v>
      </c>
      <c r="Z39" s="411" t="str">
        <f t="shared" si="11"/>
        <v>--</v>
      </c>
      <c r="AA39" s="417" t="str">
        <f t="shared" si="12"/>
        <v>--</v>
      </c>
      <c r="AB39" s="27">
        <f t="shared" si="13"/>
      </c>
      <c r="AC39" s="65">
        <f t="shared" si="14"/>
      </c>
      <c r="AD39" s="40"/>
    </row>
    <row r="40" spans="1:30" s="12" customFormat="1" ht="16.5" customHeight="1">
      <c r="A40" s="187"/>
      <c r="B40" s="193"/>
      <c r="C40" s="705"/>
      <c r="D40" s="705"/>
      <c r="E40" s="705"/>
      <c r="F40" s="570"/>
      <c r="G40" s="569"/>
      <c r="H40" s="706"/>
      <c r="I40" s="707"/>
      <c r="J40" s="306">
        <f t="shared" si="0"/>
        <v>0</v>
      </c>
      <c r="K40" s="709"/>
      <c r="L40" s="709"/>
      <c r="M40" s="28">
        <f t="shared" si="1"/>
      </c>
      <c r="N40" s="29">
        <f t="shared" si="2"/>
      </c>
      <c r="O40" s="710"/>
      <c r="P40" s="27">
        <f t="shared" si="15"/>
      </c>
      <c r="Q40" s="777">
        <f t="shared" si="3"/>
      </c>
      <c r="R40" s="27">
        <f t="shared" si="16"/>
      </c>
      <c r="S40" s="377">
        <f t="shared" si="4"/>
        <v>3</v>
      </c>
      <c r="T40" s="381" t="str">
        <f t="shared" si="5"/>
        <v>--</v>
      </c>
      <c r="U40" s="387" t="str">
        <f t="shared" si="6"/>
        <v>--</v>
      </c>
      <c r="V40" s="396" t="str">
        <f t="shared" si="7"/>
        <v>--</v>
      </c>
      <c r="W40" s="397" t="str">
        <f t="shared" si="8"/>
        <v>--</v>
      </c>
      <c r="X40" s="405" t="str">
        <f t="shared" si="9"/>
        <v>--</v>
      </c>
      <c r="Y40" s="406" t="str">
        <f t="shared" si="10"/>
        <v>--</v>
      </c>
      <c r="Z40" s="411" t="str">
        <f t="shared" si="11"/>
        <v>--</v>
      </c>
      <c r="AA40" s="417" t="str">
        <f t="shared" si="12"/>
        <v>--</v>
      </c>
      <c r="AB40" s="27">
        <f t="shared" si="13"/>
      </c>
      <c r="AC40" s="65">
        <f t="shared" si="14"/>
      </c>
      <c r="AD40" s="40"/>
    </row>
    <row r="41" spans="1:30" s="12" customFormat="1" ht="16.5" customHeight="1">
      <c r="A41" s="187"/>
      <c r="B41" s="193"/>
      <c r="C41" s="705"/>
      <c r="D41" s="705"/>
      <c r="E41" s="705"/>
      <c r="F41" s="570"/>
      <c r="G41" s="569"/>
      <c r="H41" s="706"/>
      <c r="I41" s="707"/>
      <c r="J41" s="306">
        <f t="shared" si="0"/>
        <v>0</v>
      </c>
      <c r="K41" s="709"/>
      <c r="L41" s="709"/>
      <c r="M41" s="28">
        <f t="shared" si="1"/>
      </c>
      <c r="N41" s="29">
        <f t="shared" si="2"/>
      </c>
      <c r="O41" s="710"/>
      <c r="P41" s="27">
        <f t="shared" si="15"/>
      </c>
      <c r="Q41" s="777">
        <f t="shared" si="3"/>
      </c>
      <c r="R41" s="27">
        <f t="shared" si="16"/>
      </c>
      <c r="S41" s="377">
        <f t="shared" si="4"/>
        <v>3</v>
      </c>
      <c r="T41" s="381" t="str">
        <f t="shared" si="5"/>
        <v>--</v>
      </c>
      <c r="U41" s="387" t="str">
        <f t="shared" si="6"/>
        <v>--</v>
      </c>
      <c r="V41" s="396" t="str">
        <f t="shared" si="7"/>
        <v>--</v>
      </c>
      <c r="W41" s="397" t="str">
        <f t="shared" si="8"/>
        <v>--</v>
      </c>
      <c r="X41" s="405" t="str">
        <f t="shared" si="9"/>
        <v>--</v>
      </c>
      <c r="Y41" s="406" t="str">
        <f t="shared" si="10"/>
        <v>--</v>
      </c>
      <c r="Z41" s="411" t="str">
        <f t="shared" si="11"/>
        <v>--</v>
      </c>
      <c r="AA41" s="417" t="str">
        <f t="shared" si="12"/>
        <v>--</v>
      </c>
      <c r="AB41" s="27">
        <f t="shared" si="13"/>
      </c>
      <c r="AC41" s="65">
        <f t="shared" si="14"/>
      </c>
      <c r="AD41" s="40"/>
    </row>
    <row r="42" spans="1:30" s="12" customFormat="1" ht="16.5" customHeight="1">
      <c r="A42" s="187"/>
      <c r="B42" s="193"/>
      <c r="C42" s="705"/>
      <c r="D42" s="705"/>
      <c r="E42" s="705"/>
      <c r="F42" s="570"/>
      <c r="G42" s="569"/>
      <c r="H42" s="706"/>
      <c r="I42" s="707"/>
      <c r="J42" s="306">
        <f t="shared" si="0"/>
        <v>0</v>
      </c>
      <c r="K42" s="709"/>
      <c r="L42" s="709"/>
      <c r="M42" s="28">
        <f t="shared" si="1"/>
      </c>
      <c r="N42" s="29">
        <f t="shared" si="2"/>
      </c>
      <c r="O42" s="710"/>
      <c r="P42" s="27">
        <f t="shared" si="15"/>
      </c>
      <c r="Q42" s="777">
        <f t="shared" si="3"/>
      </c>
      <c r="R42" s="27">
        <f t="shared" si="16"/>
      </c>
      <c r="S42" s="377">
        <f t="shared" si="4"/>
        <v>3</v>
      </c>
      <c r="T42" s="381" t="str">
        <f t="shared" si="5"/>
        <v>--</v>
      </c>
      <c r="U42" s="387" t="str">
        <f t="shared" si="6"/>
        <v>--</v>
      </c>
      <c r="V42" s="396" t="str">
        <f t="shared" si="7"/>
        <v>--</v>
      </c>
      <c r="W42" s="397" t="str">
        <f t="shared" si="8"/>
        <v>--</v>
      </c>
      <c r="X42" s="405" t="str">
        <f t="shared" si="9"/>
        <v>--</v>
      </c>
      <c r="Y42" s="406" t="str">
        <f t="shared" si="10"/>
        <v>--</v>
      </c>
      <c r="Z42" s="411" t="str">
        <f t="shared" si="11"/>
        <v>--</v>
      </c>
      <c r="AA42" s="417" t="str">
        <f t="shared" si="12"/>
        <v>--</v>
      </c>
      <c r="AB42" s="27">
        <f t="shared" si="13"/>
      </c>
      <c r="AC42" s="65">
        <f t="shared" si="14"/>
      </c>
      <c r="AD42" s="40"/>
    </row>
    <row r="43" spans="1:30" s="12" customFormat="1" ht="16.5" customHeight="1">
      <c r="A43" s="187"/>
      <c r="B43" s="193"/>
      <c r="C43" s="705"/>
      <c r="D43" s="705"/>
      <c r="E43" s="705"/>
      <c r="F43" s="570"/>
      <c r="G43" s="569"/>
      <c r="H43" s="706"/>
      <c r="I43" s="707"/>
      <c r="J43" s="306">
        <f t="shared" si="0"/>
        <v>0</v>
      </c>
      <c r="K43" s="709"/>
      <c r="L43" s="709"/>
      <c r="M43" s="28">
        <f t="shared" si="1"/>
      </c>
      <c r="N43" s="29">
        <f t="shared" si="2"/>
      </c>
      <c r="O43" s="710"/>
      <c r="P43" s="27">
        <f t="shared" si="15"/>
      </c>
      <c r="Q43" s="777">
        <f t="shared" si="3"/>
      </c>
      <c r="R43" s="27">
        <f t="shared" si="16"/>
      </c>
      <c r="S43" s="377">
        <f t="shared" si="4"/>
        <v>3</v>
      </c>
      <c r="T43" s="381" t="str">
        <f t="shared" si="5"/>
        <v>--</v>
      </c>
      <c r="U43" s="387" t="str">
        <f t="shared" si="6"/>
        <v>--</v>
      </c>
      <c r="V43" s="396" t="str">
        <f t="shared" si="7"/>
        <v>--</v>
      </c>
      <c r="W43" s="397" t="str">
        <f t="shared" si="8"/>
        <v>--</v>
      </c>
      <c r="X43" s="405" t="str">
        <f t="shared" si="9"/>
        <v>--</v>
      </c>
      <c r="Y43" s="406" t="str">
        <f t="shared" si="10"/>
        <v>--</v>
      </c>
      <c r="Z43" s="411" t="str">
        <f t="shared" si="11"/>
        <v>--</v>
      </c>
      <c r="AA43" s="417" t="str">
        <f t="shared" si="12"/>
        <v>--</v>
      </c>
      <c r="AB43" s="27">
        <f t="shared" si="13"/>
      </c>
      <c r="AC43" s="65">
        <f t="shared" si="14"/>
      </c>
      <c r="AD43" s="40"/>
    </row>
    <row r="44" spans="1:30" s="12" customFormat="1" ht="16.5" customHeight="1" thickBot="1">
      <c r="A44" s="187"/>
      <c r="B44" s="193"/>
      <c r="C44" s="708"/>
      <c r="D44" s="708"/>
      <c r="E44" s="708"/>
      <c r="F44" s="708"/>
      <c r="G44" s="708"/>
      <c r="H44" s="708"/>
      <c r="I44" s="708"/>
      <c r="J44" s="310"/>
      <c r="K44" s="708"/>
      <c r="L44" s="708"/>
      <c r="M44" s="31"/>
      <c r="N44" s="31"/>
      <c r="O44" s="708"/>
      <c r="P44" s="708"/>
      <c r="Q44" s="708"/>
      <c r="R44" s="708"/>
      <c r="S44" s="378"/>
      <c r="T44" s="382"/>
      <c r="U44" s="388"/>
      <c r="V44" s="420"/>
      <c r="W44" s="421"/>
      <c r="X44" s="422"/>
      <c r="Y44" s="423"/>
      <c r="Z44" s="412"/>
      <c r="AA44" s="418"/>
      <c r="AB44" s="31"/>
      <c r="AC44" s="236"/>
      <c r="AD44" s="40"/>
    </row>
    <row r="45" spans="1:30" s="12" customFormat="1" ht="16.5" customHeight="1" thickBot="1" thickTop="1">
      <c r="A45" s="187"/>
      <c r="B45" s="193"/>
      <c r="C45" s="276" t="s">
        <v>65</v>
      </c>
      <c r="D45" s="800" t="s">
        <v>190</v>
      </c>
      <c r="E45" s="760"/>
      <c r="F45" s="277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83">
        <f aca="true" t="shared" si="17" ref="T45:AA45">SUM(T22:T44)</f>
        <v>0</v>
      </c>
      <c r="U45" s="389">
        <f t="shared" si="17"/>
        <v>0</v>
      </c>
      <c r="V45" s="398">
        <f t="shared" si="17"/>
        <v>228.15</v>
      </c>
      <c r="W45" s="398">
        <f t="shared" si="17"/>
        <v>387.855</v>
      </c>
      <c r="X45" s="407">
        <f t="shared" si="17"/>
        <v>0</v>
      </c>
      <c r="Y45" s="407">
        <f t="shared" si="17"/>
        <v>0</v>
      </c>
      <c r="Z45" s="413">
        <f t="shared" si="17"/>
        <v>0</v>
      </c>
      <c r="AA45" s="419">
        <f t="shared" si="17"/>
        <v>72.14103</v>
      </c>
      <c r="AB45" s="33"/>
      <c r="AC45" s="292">
        <f>ROUND(SUM(AC22:AC44),2)</f>
        <v>688.15</v>
      </c>
      <c r="AD45" s="40"/>
    </row>
    <row r="46" spans="1:30" s="295" customFormat="1" ht="9.75" thickTop="1">
      <c r="A46" s="296"/>
      <c r="B46" s="297"/>
      <c r="C46" s="278"/>
      <c r="D46" s="278"/>
      <c r="E46" s="278"/>
      <c r="F46" s="27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9"/>
      <c r="U46" s="299"/>
      <c r="V46" s="299"/>
      <c r="W46" s="299"/>
      <c r="X46" s="299"/>
      <c r="Y46" s="299"/>
      <c r="Z46" s="299"/>
      <c r="AA46" s="299"/>
      <c r="AB46" s="298"/>
      <c r="AC46" s="300"/>
      <c r="AD46" s="301"/>
    </row>
    <row r="47" spans="1:30" s="12" customFormat="1" ht="16.5" customHeight="1" thickBot="1">
      <c r="A47" s="187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2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zoomScalePageLayoutView="0" workbookViewId="0" topLeftCell="A10">
      <selection activeCell="A24" sqref="A24:IV3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0" width="16.421875" style="0" customWidth="1"/>
    <col min="11" max="11" width="16.2812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3"/>
    </row>
    <row r="2" spans="2:23" s="125" customFormat="1" ht="26.25">
      <c r="B2" s="126" t="str">
        <f>+'TOT-1213'!B2</f>
        <v>ANEXO VI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17</v>
      </c>
      <c r="C4" s="762"/>
      <c r="D4" s="762"/>
    </row>
    <row r="5" spans="1:4" s="128" customFormat="1" ht="11.25">
      <c r="A5" s="763" t="s">
        <v>143</v>
      </c>
      <c r="C5" s="762"/>
      <c r="D5" s="762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41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83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203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0" customFormat="1" ht="20.25">
      <c r="B12" s="129"/>
      <c r="C12" s="47"/>
      <c r="D12" s="47"/>
      <c r="E12" s="47"/>
      <c r="F12" s="23" t="s">
        <v>84</v>
      </c>
      <c r="G12" s="23"/>
      <c r="H12" s="47"/>
      <c r="I12" s="23"/>
      <c r="J12" s="23"/>
      <c r="K12" s="23"/>
      <c r="L12" s="23"/>
      <c r="M12" s="23"/>
      <c r="P12" s="47"/>
      <c r="Q12" s="47"/>
      <c r="R12" s="47"/>
      <c r="S12" s="47"/>
      <c r="T12" s="47"/>
      <c r="U12" s="47"/>
      <c r="V12" s="47"/>
      <c r="W12" s="131"/>
    </row>
    <row r="13" spans="2:23" s="12" customFormat="1" ht="12.75">
      <c r="B13" s="46"/>
      <c r="C13" s="10"/>
      <c r="D13" s="10"/>
      <c r="E13" s="10"/>
      <c r="F13" s="141"/>
      <c r="G13" s="139"/>
      <c r="H13" s="10"/>
      <c r="I13" s="139"/>
      <c r="J13" s="139"/>
      <c r="K13" s="139"/>
      <c r="L13" s="139"/>
      <c r="M13" s="139"/>
      <c r="P13" s="10"/>
      <c r="Q13" s="10"/>
      <c r="R13" s="10"/>
      <c r="S13" s="10"/>
      <c r="T13" s="10"/>
      <c r="U13" s="10"/>
      <c r="V13" s="10"/>
      <c r="W13" s="13"/>
    </row>
    <row r="14" spans="2:23" s="137" customFormat="1" ht="19.5">
      <c r="B14" s="103" t="str">
        <f>+'TOT-1213'!B14</f>
        <v>Desde el 01 al 31 de diciembre de 2013</v>
      </c>
      <c r="C14" s="133"/>
      <c r="D14" s="133"/>
      <c r="E14" s="133"/>
      <c r="F14" s="133"/>
      <c r="G14" s="133"/>
      <c r="H14" s="102"/>
      <c r="I14" s="133"/>
      <c r="J14" s="134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6"/>
    </row>
    <row r="15" spans="2:23" s="12" customFormat="1" ht="16.5" customHeight="1" thickBot="1">
      <c r="B15" s="46"/>
      <c r="C15" s="10"/>
      <c r="D15" s="10"/>
      <c r="E15" s="10"/>
      <c r="I15" s="138"/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41" t="s">
        <v>85</v>
      </c>
      <c r="G16" s="242">
        <v>16.908</v>
      </c>
      <c r="H16" s="109">
        <v>60</v>
      </c>
      <c r="I16" s="138"/>
      <c r="J16" s="272" t="str">
        <f>IF(H16=60," ",IF(H16=120,"Coeficiente duplicado por tasa de falla &gt;4 Sal. x año/100 km.","REVISAR COEFICIENTE"))</f>
        <v> </v>
      </c>
      <c r="K16" s="10"/>
      <c r="L16" s="10"/>
      <c r="M16" s="10"/>
      <c r="N16" s="138"/>
      <c r="O16" s="138"/>
      <c r="P16" s="138"/>
      <c r="Q16" s="10"/>
      <c r="R16" s="10"/>
      <c r="S16" s="10"/>
      <c r="T16" s="10"/>
      <c r="U16" s="10"/>
      <c r="V16" s="10"/>
      <c r="W16" s="13"/>
    </row>
    <row r="17" spans="2:23" s="12" customFormat="1" ht="16.5" customHeight="1" thickBot="1" thickTop="1">
      <c r="B17" s="46"/>
      <c r="C17" s="10"/>
      <c r="D17" s="10"/>
      <c r="E17" s="10"/>
      <c r="F17" s="241" t="s">
        <v>86</v>
      </c>
      <c r="G17" s="242">
        <v>6.761</v>
      </c>
      <c r="H17" s="109">
        <v>50</v>
      </c>
      <c r="J17" s="272" t="str">
        <f>IF(H17=50," ",IF(H17=100,"Coeficiente duplicado por tasa de falla &gt;4 Sal. x año/100 km.","REVISAR COEFICIENTE"))</f>
        <v> </v>
      </c>
      <c r="Q17" s="312"/>
      <c r="S17" s="10"/>
      <c r="T17" s="10"/>
      <c r="U17" s="10"/>
      <c r="V17" s="238"/>
      <c r="W17" s="13"/>
    </row>
    <row r="18" spans="2:23" s="12" customFormat="1" ht="16.5" customHeight="1" thickBot="1" thickTop="1">
      <c r="B18" s="46"/>
      <c r="C18" s="10"/>
      <c r="D18" s="10"/>
      <c r="E18" s="10"/>
      <c r="F18" s="243" t="s">
        <v>87</v>
      </c>
      <c r="G18" s="244">
        <v>5.074</v>
      </c>
      <c r="H18" s="245">
        <v>25</v>
      </c>
      <c r="J18" s="272" t="str">
        <f>IF(H18=25," ",IF(H18=50,"Coeficiente duplicado por tasa de falla &gt;4 Sal. x año/100 km.","REVISAR COEFICIENTE"))</f>
        <v> </v>
      </c>
      <c r="K18" s="183"/>
      <c r="L18" s="183"/>
      <c r="M18" s="10"/>
      <c r="P18" s="239"/>
      <c r="Q18" s="240"/>
      <c r="R18" s="38"/>
      <c r="S18" s="10"/>
      <c r="T18" s="10"/>
      <c r="U18" s="10"/>
      <c r="V18" s="238"/>
      <c r="W18" s="13"/>
    </row>
    <row r="19" spans="2:23" s="12" customFormat="1" ht="16.5" customHeight="1" thickBot="1" thickTop="1">
      <c r="B19" s="46"/>
      <c r="C19" s="10"/>
      <c r="D19" s="10"/>
      <c r="E19" s="10"/>
      <c r="F19" s="246" t="s">
        <v>88</v>
      </c>
      <c r="G19" s="244">
        <v>5.074</v>
      </c>
      <c r="H19" s="247">
        <v>20</v>
      </c>
      <c r="J19" s="272" t="str">
        <f>IF(H19=20," ",IF(H19=40,"Coeficiente duplicado por tasa de falla &gt;4 Sal. x año/100 km.","REVISAR COEFICIENTE"))</f>
        <v> </v>
      </c>
      <c r="K19" s="183"/>
      <c r="L19" s="183"/>
      <c r="M19" s="10"/>
      <c r="P19" s="239"/>
      <c r="Q19" s="240"/>
      <c r="R19" s="38"/>
      <c r="S19" s="10"/>
      <c r="T19" s="10"/>
      <c r="U19" s="10"/>
      <c r="V19" s="238"/>
      <c r="W19" s="13"/>
    </row>
    <row r="20" spans="2:23" s="790" customFormat="1" ht="16.5" customHeight="1" thickBot="1" thickTop="1">
      <c r="B20" s="787"/>
      <c r="C20" s="788">
        <v>3</v>
      </c>
      <c r="D20" s="788">
        <v>4</v>
      </c>
      <c r="E20" s="788">
        <v>5</v>
      </c>
      <c r="F20" s="788">
        <v>6</v>
      </c>
      <c r="G20" s="788">
        <v>7</v>
      </c>
      <c r="H20" s="788">
        <v>8</v>
      </c>
      <c r="I20" s="788">
        <v>9</v>
      </c>
      <c r="J20" s="788">
        <v>10</v>
      </c>
      <c r="K20" s="788">
        <v>11</v>
      </c>
      <c r="L20" s="788">
        <v>12</v>
      </c>
      <c r="M20" s="788">
        <v>13</v>
      </c>
      <c r="N20" s="788">
        <v>14</v>
      </c>
      <c r="O20" s="788">
        <v>15</v>
      </c>
      <c r="P20" s="788">
        <v>16</v>
      </c>
      <c r="Q20" s="788">
        <v>17</v>
      </c>
      <c r="R20" s="788">
        <v>18</v>
      </c>
      <c r="S20" s="788">
        <v>19</v>
      </c>
      <c r="T20" s="788">
        <v>20</v>
      </c>
      <c r="U20" s="788">
        <v>21</v>
      </c>
      <c r="V20" s="788">
        <v>22</v>
      </c>
      <c r="W20" s="789"/>
    </row>
    <row r="21" spans="2:23" s="12" customFormat="1" ht="33.75" customHeight="1" thickBot="1" thickTop="1">
      <c r="B21" s="46"/>
      <c r="C21" s="234" t="s">
        <v>47</v>
      </c>
      <c r="D21" s="117" t="s">
        <v>142</v>
      </c>
      <c r="E21" s="117" t="s">
        <v>141</v>
      </c>
      <c r="F21" s="232" t="s">
        <v>71</v>
      </c>
      <c r="G21" s="248" t="s">
        <v>15</v>
      </c>
      <c r="H21" s="251" t="s">
        <v>48</v>
      </c>
      <c r="I21" s="303" t="s">
        <v>50</v>
      </c>
      <c r="J21" s="228" t="s">
        <v>51</v>
      </c>
      <c r="K21" s="248" t="s">
        <v>52</v>
      </c>
      <c r="L21" s="250" t="s">
        <v>75</v>
      </c>
      <c r="M21" s="250" t="s">
        <v>76</v>
      </c>
      <c r="N21" s="121" t="s">
        <v>55</v>
      </c>
      <c r="O21" s="233" t="s">
        <v>77</v>
      </c>
      <c r="P21" s="425" t="s">
        <v>89</v>
      </c>
      <c r="Q21" s="359" t="s">
        <v>57</v>
      </c>
      <c r="R21" s="399" t="s">
        <v>81</v>
      </c>
      <c r="S21" s="400"/>
      <c r="T21" s="435" t="s">
        <v>61</v>
      </c>
      <c r="U21" s="230" t="s">
        <v>63</v>
      </c>
      <c r="V21" s="230" t="s">
        <v>64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463"/>
      <c r="I22" s="311"/>
      <c r="J22" s="35"/>
      <c r="K22" s="36"/>
      <c r="L22" s="37"/>
      <c r="M22" s="66"/>
      <c r="N22" s="427"/>
      <c r="O22" s="427"/>
      <c r="P22" s="428"/>
      <c r="Q22" s="430"/>
      <c r="R22" s="432"/>
      <c r="S22" s="433"/>
      <c r="T22" s="436"/>
      <c r="U22" s="434"/>
      <c r="V22" s="472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463"/>
      <c r="I23" s="311"/>
      <c r="J23" s="35"/>
      <c r="K23" s="36"/>
      <c r="L23" s="37"/>
      <c r="M23" s="66"/>
      <c r="N23" s="30"/>
      <c r="O23" s="30"/>
      <c r="P23" s="426"/>
      <c r="Q23" s="431"/>
      <c r="R23" s="405"/>
      <c r="S23" s="406"/>
      <c r="T23" s="437"/>
      <c r="U23" s="27"/>
      <c r="V23" s="249"/>
      <c r="W23" s="40"/>
    </row>
    <row r="24" spans="2:23" s="12" customFormat="1" ht="16.5" customHeight="1">
      <c r="B24" s="46"/>
      <c r="C24" s="720">
        <v>17</v>
      </c>
      <c r="D24" s="705">
        <v>268806</v>
      </c>
      <c r="E24" s="705">
        <v>1698</v>
      </c>
      <c r="F24" s="721" t="s">
        <v>161</v>
      </c>
      <c r="G24" s="721" t="s">
        <v>162</v>
      </c>
      <c r="H24" s="722">
        <v>13.199999809265137</v>
      </c>
      <c r="I24" s="311">
        <f aca="true" t="shared" si="0" ref="I24:I37">IF(H24=330,$G$16,IF(AND(H24&lt;=132,H24&gt;=66),$G$17,IF(AND(H24&lt;66,H24&gt;=33),$G$18,$G$19)))</f>
        <v>5.074</v>
      </c>
      <c r="J24" s="723">
        <v>41616.225</v>
      </c>
      <c r="K24" s="724">
        <v>41616.53194444445</v>
      </c>
      <c r="L24" s="37">
        <f aca="true" t="shared" si="1" ref="L24:L37">IF(F24="","",(K24-J24)*24)</f>
        <v>7.366666666755918</v>
      </c>
      <c r="M24" s="66">
        <f aca="true" t="shared" si="2" ref="M24:M37">IF(F24="","",ROUND((K24-J24)*24*60,0))</f>
        <v>442</v>
      </c>
      <c r="N24" s="725" t="s">
        <v>148</v>
      </c>
      <c r="O24" s="30" t="str">
        <f aca="true" t="shared" si="3" ref="O24:O37">IF(F24="","",IF(N24="P","--","NO"))</f>
        <v>--</v>
      </c>
      <c r="P24" s="426">
        <f aca="true" t="shared" si="4" ref="P24:P37">IF(H24=330,$H$16,IF(AND(H24&lt;=132,H24&gt;=66),$H$17,IF(AND(H24&lt;66,H24&gt;13.2),$H$18,$H$19)))</f>
        <v>20</v>
      </c>
      <c r="Q24" s="780">
        <f aca="true" t="shared" si="5" ref="Q24:Q37">IF(N24="P",I24*P24*ROUND(M24/60,2)*0.1,"--")</f>
        <v>74.79075999999999</v>
      </c>
      <c r="R24" s="405" t="str">
        <f aca="true" t="shared" si="6" ref="R24:R37">IF(AND(N24="F",O24="NO"),I24*P24,"--")</f>
        <v>--</v>
      </c>
      <c r="S24" s="406" t="str">
        <f aca="true" t="shared" si="7" ref="S24:S37">IF(N24="F",I24*P24*ROUND(M24/60,2),"--")</f>
        <v>--</v>
      </c>
      <c r="T24" s="437" t="str">
        <f aca="true" t="shared" si="8" ref="T24:T37">IF(N24="RF",I24*P24*ROUND(M24/60,2),"--")</f>
        <v>--</v>
      </c>
      <c r="U24" s="27" t="s">
        <v>149</v>
      </c>
      <c r="V24" s="67">
        <f aca="true" t="shared" si="9" ref="V24:V37">IF(F24="","",SUM(Q24:T24)*IF(U24="SI",1,2)*IF(H24="500/220",0,1))</f>
        <v>74.79075999999999</v>
      </c>
      <c r="W24" s="40"/>
    </row>
    <row r="25" spans="2:23" s="12" customFormat="1" ht="16.5" customHeight="1">
      <c r="B25" s="46"/>
      <c r="C25" s="720">
        <v>18</v>
      </c>
      <c r="D25" s="705">
        <v>268807</v>
      </c>
      <c r="E25" s="705">
        <v>1699</v>
      </c>
      <c r="F25" s="721" t="s">
        <v>161</v>
      </c>
      <c r="G25" s="721" t="s">
        <v>163</v>
      </c>
      <c r="H25" s="722">
        <v>13.199999809265137</v>
      </c>
      <c r="I25" s="311">
        <f t="shared" si="0"/>
        <v>5.074</v>
      </c>
      <c r="J25" s="723">
        <v>41616.225</v>
      </c>
      <c r="K25" s="724">
        <v>41616.53194444445</v>
      </c>
      <c r="L25" s="37">
        <f t="shared" si="1"/>
        <v>7.366666666755918</v>
      </c>
      <c r="M25" s="66">
        <f t="shared" si="2"/>
        <v>442</v>
      </c>
      <c r="N25" s="725" t="s">
        <v>148</v>
      </c>
      <c r="O25" s="30" t="str">
        <f t="shared" si="3"/>
        <v>--</v>
      </c>
      <c r="P25" s="426">
        <f t="shared" si="4"/>
        <v>20</v>
      </c>
      <c r="Q25" s="780">
        <f t="shared" si="5"/>
        <v>74.79075999999999</v>
      </c>
      <c r="R25" s="405" t="str">
        <f t="shared" si="6"/>
        <v>--</v>
      </c>
      <c r="S25" s="406" t="str">
        <f t="shared" si="7"/>
        <v>--</v>
      </c>
      <c r="T25" s="437" t="str">
        <f t="shared" si="8"/>
        <v>--</v>
      </c>
      <c r="U25" s="27" t="s">
        <v>149</v>
      </c>
      <c r="V25" s="67">
        <f t="shared" si="9"/>
        <v>74.79075999999999</v>
      </c>
      <c r="W25" s="40"/>
    </row>
    <row r="26" spans="2:23" s="12" customFormat="1" ht="16.5" customHeight="1">
      <c r="B26" s="46"/>
      <c r="C26" s="720">
        <v>19</v>
      </c>
      <c r="D26" s="705">
        <v>268808</v>
      </c>
      <c r="E26" s="705">
        <v>1700</v>
      </c>
      <c r="F26" s="721" t="s">
        <v>161</v>
      </c>
      <c r="G26" s="721" t="s">
        <v>164</v>
      </c>
      <c r="H26" s="722">
        <v>13.199999809265137</v>
      </c>
      <c r="I26" s="311">
        <f t="shared" si="0"/>
        <v>5.074</v>
      </c>
      <c r="J26" s="723">
        <v>41616.225</v>
      </c>
      <c r="K26" s="724">
        <v>41616.53194444445</v>
      </c>
      <c r="L26" s="37">
        <f t="shared" si="1"/>
        <v>7.366666666755918</v>
      </c>
      <c r="M26" s="66">
        <f t="shared" si="2"/>
        <v>442</v>
      </c>
      <c r="N26" s="725" t="s">
        <v>148</v>
      </c>
      <c r="O26" s="30" t="str">
        <f t="shared" si="3"/>
        <v>--</v>
      </c>
      <c r="P26" s="426">
        <f t="shared" si="4"/>
        <v>20</v>
      </c>
      <c r="Q26" s="780">
        <f t="shared" si="5"/>
        <v>74.79075999999999</v>
      </c>
      <c r="R26" s="405" t="str">
        <f t="shared" si="6"/>
        <v>--</v>
      </c>
      <c r="S26" s="406" t="str">
        <f t="shared" si="7"/>
        <v>--</v>
      </c>
      <c r="T26" s="437" t="str">
        <f t="shared" si="8"/>
        <v>--</v>
      </c>
      <c r="U26" s="27" t="s">
        <v>149</v>
      </c>
      <c r="V26" s="67">
        <f t="shared" si="9"/>
        <v>74.79075999999999</v>
      </c>
      <c r="W26" s="40"/>
    </row>
    <row r="27" spans="2:23" s="12" customFormat="1" ht="16.5" customHeight="1">
      <c r="B27" s="46"/>
      <c r="C27" s="720">
        <v>20</v>
      </c>
      <c r="D27" s="705">
        <v>268809</v>
      </c>
      <c r="E27" s="705">
        <v>1701</v>
      </c>
      <c r="F27" s="721" t="s">
        <v>161</v>
      </c>
      <c r="G27" s="721" t="s">
        <v>165</v>
      </c>
      <c r="H27" s="722">
        <v>13.199999809265137</v>
      </c>
      <c r="I27" s="311">
        <f t="shared" si="0"/>
        <v>5.074</v>
      </c>
      <c r="J27" s="723">
        <v>41616.225</v>
      </c>
      <c r="K27" s="724">
        <v>41616.53194444445</v>
      </c>
      <c r="L27" s="37">
        <f t="shared" si="1"/>
        <v>7.366666666755918</v>
      </c>
      <c r="M27" s="66">
        <f t="shared" si="2"/>
        <v>442</v>
      </c>
      <c r="N27" s="725" t="s">
        <v>148</v>
      </c>
      <c r="O27" s="30" t="str">
        <f t="shared" si="3"/>
        <v>--</v>
      </c>
      <c r="P27" s="426">
        <f t="shared" si="4"/>
        <v>20</v>
      </c>
      <c r="Q27" s="780">
        <f t="shared" si="5"/>
        <v>74.79075999999999</v>
      </c>
      <c r="R27" s="405" t="str">
        <f t="shared" si="6"/>
        <v>--</v>
      </c>
      <c r="S27" s="406" t="str">
        <f t="shared" si="7"/>
        <v>--</v>
      </c>
      <c r="T27" s="437" t="str">
        <f t="shared" si="8"/>
        <v>--</v>
      </c>
      <c r="U27" s="27" t="s">
        <v>149</v>
      </c>
      <c r="V27" s="67">
        <f t="shared" si="9"/>
        <v>74.79075999999999</v>
      </c>
      <c r="W27" s="40"/>
    </row>
    <row r="28" spans="2:23" s="12" customFormat="1" ht="16.5" customHeight="1">
      <c r="B28" s="46"/>
      <c r="C28" s="720">
        <v>21</v>
      </c>
      <c r="D28" s="705">
        <v>268810</v>
      </c>
      <c r="E28" s="705">
        <v>1702</v>
      </c>
      <c r="F28" s="721" t="s">
        <v>161</v>
      </c>
      <c r="G28" s="721" t="s">
        <v>166</v>
      </c>
      <c r="H28" s="722">
        <v>13.199999809265137</v>
      </c>
      <c r="I28" s="311">
        <f t="shared" si="0"/>
        <v>5.074</v>
      </c>
      <c r="J28" s="723">
        <v>41616.225</v>
      </c>
      <c r="K28" s="724">
        <v>41616.53194444445</v>
      </c>
      <c r="L28" s="37">
        <f t="shared" si="1"/>
        <v>7.366666666755918</v>
      </c>
      <c r="M28" s="66">
        <f t="shared" si="2"/>
        <v>442</v>
      </c>
      <c r="N28" s="725" t="s">
        <v>148</v>
      </c>
      <c r="O28" s="30" t="str">
        <f t="shared" si="3"/>
        <v>--</v>
      </c>
      <c r="P28" s="426">
        <f t="shared" si="4"/>
        <v>20</v>
      </c>
      <c r="Q28" s="780">
        <f t="shared" si="5"/>
        <v>74.79075999999999</v>
      </c>
      <c r="R28" s="405" t="str">
        <f t="shared" si="6"/>
        <v>--</v>
      </c>
      <c r="S28" s="406" t="str">
        <f t="shared" si="7"/>
        <v>--</v>
      </c>
      <c r="T28" s="437" t="str">
        <f t="shared" si="8"/>
        <v>--</v>
      </c>
      <c r="U28" s="27" t="s">
        <v>149</v>
      </c>
      <c r="V28" s="67">
        <f t="shared" si="9"/>
        <v>74.79075999999999</v>
      </c>
      <c r="W28" s="40"/>
    </row>
    <row r="29" spans="2:23" s="12" customFormat="1" ht="16.5" customHeight="1">
      <c r="B29" s="46"/>
      <c r="C29" s="720">
        <v>22</v>
      </c>
      <c r="D29" s="705">
        <v>268811</v>
      </c>
      <c r="E29" s="705">
        <v>1703</v>
      </c>
      <c r="F29" s="721" t="s">
        <v>161</v>
      </c>
      <c r="G29" s="721" t="s">
        <v>167</v>
      </c>
      <c r="H29" s="722">
        <v>13.199999809265137</v>
      </c>
      <c r="I29" s="311">
        <f t="shared" si="0"/>
        <v>5.074</v>
      </c>
      <c r="J29" s="723">
        <v>41616.225</v>
      </c>
      <c r="K29" s="724">
        <v>41616.53194444445</v>
      </c>
      <c r="L29" s="37">
        <f t="shared" si="1"/>
        <v>7.366666666755918</v>
      </c>
      <c r="M29" s="66">
        <f t="shared" si="2"/>
        <v>442</v>
      </c>
      <c r="N29" s="725" t="s">
        <v>148</v>
      </c>
      <c r="O29" s="30" t="str">
        <f t="shared" si="3"/>
        <v>--</v>
      </c>
      <c r="P29" s="426">
        <f t="shared" si="4"/>
        <v>20</v>
      </c>
      <c r="Q29" s="780">
        <f t="shared" si="5"/>
        <v>74.79075999999999</v>
      </c>
      <c r="R29" s="405" t="str">
        <f t="shared" si="6"/>
        <v>--</v>
      </c>
      <c r="S29" s="406" t="str">
        <f t="shared" si="7"/>
        <v>--</v>
      </c>
      <c r="T29" s="437" t="str">
        <f t="shared" si="8"/>
        <v>--</v>
      </c>
      <c r="U29" s="27" t="s">
        <v>149</v>
      </c>
      <c r="V29" s="67">
        <f t="shared" si="9"/>
        <v>74.79075999999999</v>
      </c>
      <c r="W29" s="40"/>
    </row>
    <row r="30" spans="2:23" s="12" customFormat="1" ht="16.5" customHeight="1">
      <c r="B30" s="46"/>
      <c r="C30" s="720">
        <v>23</v>
      </c>
      <c r="D30" s="705">
        <v>268812</v>
      </c>
      <c r="E30" s="705">
        <v>1704</v>
      </c>
      <c r="F30" s="721" t="s">
        <v>161</v>
      </c>
      <c r="G30" s="721" t="s">
        <v>168</v>
      </c>
      <c r="H30" s="722">
        <v>13.199999809265137</v>
      </c>
      <c r="I30" s="311">
        <f t="shared" si="0"/>
        <v>5.074</v>
      </c>
      <c r="J30" s="723">
        <v>41616.225</v>
      </c>
      <c r="K30" s="724">
        <v>41616.53194444445</v>
      </c>
      <c r="L30" s="37">
        <f t="shared" si="1"/>
        <v>7.366666666755918</v>
      </c>
      <c r="M30" s="66">
        <f t="shared" si="2"/>
        <v>442</v>
      </c>
      <c r="N30" s="725" t="s">
        <v>148</v>
      </c>
      <c r="O30" s="30" t="str">
        <f t="shared" si="3"/>
        <v>--</v>
      </c>
      <c r="P30" s="426">
        <f t="shared" si="4"/>
        <v>20</v>
      </c>
      <c r="Q30" s="780">
        <f t="shared" si="5"/>
        <v>74.79075999999999</v>
      </c>
      <c r="R30" s="405" t="str">
        <f t="shared" si="6"/>
        <v>--</v>
      </c>
      <c r="S30" s="406" t="str">
        <f t="shared" si="7"/>
        <v>--</v>
      </c>
      <c r="T30" s="437" t="str">
        <f t="shared" si="8"/>
        <v>--</v>
      </c>
      <c r="U30" s="27" t="s">
        <v>149</v>
      </c>
      <c r="V30" s="67">
        <f t="shared" si="9"/>
        <v>74.79075999999999</v>
      </c>
      <c r="W30" s="40"/>
    </row>
    <row r="31" spans="2:23" s="12" customFormat="1" ht="16.5" customHeight="1">
      <c r="B31" s="46"/>
      <c r="C31" s="720">
        <v>24</v>
      </c>
      <c r="D31" s="705">
        <v>268813</v>
      </c>
      <c r="E31" s="705">
        <v>2004</v>
      </c>
      <c r="F31" s="721" t="s">
        <v>161</v>
      </c>
      <c r="G31" s="721" t="s">
        <v>169</v>
      </c>
      <c r="H31" s="722">
        <v>13.199999809265137</v>
      </c>
      <c r="I31" s="311">
        <f t="shared" si="0"/>
        <v>5.074</v>
      </c>
      <c r="J31" s="723">
        <v>41616.225</v>
      </c>
      <c r="K31" s="724">
        <v>41616.53194444445</v>
      </c>
      <c r="L31" s="37">
        <f t="shared" si="1"/>
        <v>7.366666666755918</v>
      </c>
      <c r="M31" s="66">
        <f t="shared" si="2"/>
        <v>442</v>
      </c>
      <c r="N31" s="725" t="s">
        <v>148</v>
      </c>
      <c r="O31" s="30" t="str">
        <f t="shared" si="3"/>
        <v>--</v>
      </c>
      <c r="P31" s="426">
        <f t="shared" si="4"/>
        <v>20</v>
      </c>
      <c r="Q31" s="780">
        <f t="shared" si="5"/>
        <v>74.79075999999999</v>
      </c>
      <c r="R31" s="405" t="str">
        <f t="shared" si="6"/>
        <v>--</v>
      </c>
      <c r="S31" s="406" t="str">
        <f t="shared" si="7"/>
        <v>--</v>
      </c>
      <c r="T31" s="437" t="str">
        <f t="shared" si="8"/>
        <v>--</v>
      </c>
      <c r="U31" s="27" t="s">
        <v>149</v>
      </c>
      <c r="V31" s="67">
        <f t="shared" si="9"/>
        <v>74.79075999999999</v>
      </c>
      <c r="W31" s="40"/>
    </row>
    <row r="32" spans="2:23" s="12" customFormat="1" ht="16.5" customHeight="1">
      <c r="B32" s="46"/>
      <c r="C32" s="720">
        <v>25</v>
      </c>
      <c r="D32" s="705">
        <v>268814</v>
      </c>
      <c r="E32" s="705">
        <v>1977</v>
      </c>
      <c r="F32" s="721" t="s">
        <v>161</v>
      </c>
      <c r="G32" s="721" t="s">
        <v>170</v>
      </c>
      <c r="H32" s="722">
        <v>33</v>
      </c>
      <c r="I32" s="311">
        <f t="shared" si="0"/>
        <v>5.074</v>
      </c>
      <c r="J32" s="723">
        <v>41616.225</v>
      </c>
      <c r="K32" s="724">
        <v>41616.53194444445</v>
      </c>
      <c r="L32" s="37">
        <f t="shared" si="1"/>
        <v>7.366666666755918</v>
      </c>
      <c r="M32" s="66">
        <f t="shared" si="2"/>
        <v>442</v>
      </c>
      <c r="N32" s="725" t="s">
        <v>148</v>
      </c>
      <c r="O32" s="30" t="str">
        <f t="shared" si="3"/>
        <v>--</v>
      </c>
      <c r="P32" s="426">
        <f t="shared" si="4"/>
        <v>25</v>
      </c>
      <c r="Q32" s="780">
        <f t="shared" si="5"/>
        <v>93.48845</v>
      </c>
      <c r="R32" s="405" t="str">
        <f t="shared" si="6"/>
        <v>--</v>
      </c>
      <c r="S32" s="406" t="str">
        <f t="shared" si="7"/>
        <v>--</v>
      </c>
      <c r="T32" s="437" t="str">
        <f t="shared" si="8"/>
        <v>--</v>
      </c>
      <c r="U32" s="27" t="s">
        <v>149</v>
      </c>
      <c r="V32" s="67">
        <f t="shared" si="9"/>
        <v>93.48845</v>
      </c>
      <c r="W32" s="40"/>
    </row>
    <row r="33" spans="2:23" s="12" customFormat="1" ht="16.5" customHeight="1">
      <c r="B33" s="46"/>
      <c r="C33" s="720"/>
      <c r="D33" s="705"/>
      <c r="E33" s="705"/>
      <c r="F33" s="721"/>
      <c r="G33" s="721"/>
      <c r="H33" s="722"/>
      <c r="I33" s="311">
        <f t="shared" si="0"/>
        <v>5.074</v>
      </c>
      <c r="J33" s="723"/>
      <c r="K33" s="724"/>
      <c r="L33" s="37">
        <f t="shared" si="1"/>
      </c>
      <c r="M33" s="66">
        <f t="shared" si="2"/>
      </c>
      <c r="N33" s="725"/>
      <c r="O33" s="30">
        <f t="shared" si="3"/>
      </c>
      <c r="P33" s="426">
        <f t="shared" si="4"/>
        <v>20</v>
      </c>
      <c r="Q33" s="780" t="str">
        <f t="shared" si="5"/>
        <v>--</v>
      </c>
      <c r="R33" s="405" t="str">
        <f t="shared" si="6"/>
        <v>--</v>
      </c>
      <c r="S33" s="406" t="str">
        <f t="shared" si="7"/>
        <v>--</v>
      </c>
      <c r="T33" s="437" t="str">
        <f t="shared" si="8"/>
        <v>--</v>
      </c>
      <c r="U33" s="27">
        <f aca="true" t="shared" si="10" ref="U33:U40">IF(F33="","","SI")</f>
      </c>
      <c r="V33" s="67">
        <f t="shared" si="9"/>
      </c>
      <c r="W33" s="40"/>
    </row>
    <row r="34" spans="2:23" s="12" customFormat="1" ht="16.5" customHeight="1">
      <c r="B34" s="46"/>
      <c r="C34" s="720"/>
      <c r="D34" s="705"/>
      <c r="E34" s="705"/>
      <c r="F34" s="721"/>
      <c r="G34" s="721"/>
      <c r="H34" s="722"/>
      <c r="I34" s="311">
        <f t="shared" si="0"/>
        <v>5.074</v>
      </c>
      <c r="J34" s="723"/>
      <c r="K34" s="724"/>
      <c r="L34" s="37">
        <f t="shared" si="1"/>
      </c>
      <c r="M34" s="66">
        <f t="shared" si="2"/>
      </c>
      <c r="N34" s="725"/>
      <c r="O34" s="30">
        <f t="shared" si="3"/>
      </c>
      <c r="P34" s="426">
        <f t="shared" si="4"/>
        <v>20</v>
      </c>
      <c r="Q34" s="780" t="str">
        <f t="shared" si="5"/>
        <v>--</v>
      </c>
      <c r="R34" s="405" t="str">
        <f t="shared" si="6"/>
        <v>--</v>
      </c>
      <c r="S34" s="406" t="str">
        <f t="shared" si="7"/>
        <v>--</v>
      </c>
      <c r="T34" s="437" t="str">
        <f t="shared" si="8"/>
        <v>--</v>
      </c>
      <c r="U34" s="27">
        <f t="shared" si="10"/>
      </c>
      <c r="V34" s="67">
        <f t="shared" si="9"/>
      </c>
      <c r="W34" s="40"/>
    </row>
    <row r="35" spans="2:23" s="12" customFormat="1" ht="16.5" customHeight="1">
      <c r="B35" s="46"/>
      <c r="C35" s="720"/>
      <c r="D35" s="705"/>
      <c r="E35" s="705"/>
      <c r="F35" s="721"/>
      <c r="G35" s="721"/>
      <c r="H35" s="722"/>
      <c r="I35" s="311">
        <f t="shared" si="0"/>
        <v>5.074</v>
      </c>
      <c r="J35" s="723"/>
      <c r="K35" s="724"/>
      <c r="L35" s="37">
        <f t="shared" si="1"/>
      </c>
      <c r="M35" s="66">
        <f t="shared" si="2"/>
      </c>
      <c r="N35" s="725"/>
      <c r="O35" s="30">
        <f t="shared" si="3"/>
      </c>
      <c r="P35" s="426">
        <f t="shared" si="4"/>
        <v>20</v>
      </c>
      <c r="Q35" s="780" t="str">
        <f t="shared" si="5"/>
        <v>--</v>
      </c>
      <c r="R35" s="405" t="str">
        <f t="shared" si="6"/>
        <v>--</v>
      </c>
      <c r="S35" s="406" t="str">
        <f t="shared" si="7"/>
        <v>--</v>
      </c>
      <c r="T35" s="437" t="str">
        <f t="shared" si="8"/>
        <v>--</v>
      </c>
      <c r="U35" s="27">
        <f t="shared" si="10"/>
      </c>
      <c r="V35" s="67">
        <f t="shared" si="9"/>
      </c>
      <c r="W35" s="40"/>
    </row>
    <row r="36" spans="2:23" s="12" customFormat="1" ht="16.5" customHeight="1">
      <c r="B36" s="46"/>
      <c r="C36" s="720"/>
      <c r="D36" s="705"/>
      <c r="E36" s="705"/>
      <c r="F36" s="721"/>
      <c r="G36" s="721"/>
      <c r="H36" s="722"/>
      <c r="I36" s="311">
        <f t="shared" si="0"/>
        <v>5.074</v>
      </c>
      <c r="J36" s="723"/>
      <c r="K36" s="724"/>
      <c r="L36" s="37">
        <f t="shared" si="1"/>
      </c>
      <c r="M36" s="66">
        <f t="shared" si="2"/>
      </c>
      <c r="N36" s="725"/>
      <c r="O36" s="30">
        <f t="shared" si="3"/>
      </c>
      <c r="P36" s="426">
        <f t="shared" si="4"/>
        <v>20</v>
      </c>
      <c r="Q36" s="780" t="str">
        <f t="shared" si="5"/>
        <v>--</v>
      </c>
      <c r="R36" s="405" t="str">
        <f t="shared" si="6"/>
        <v>--</v>
      </c>
      <c r="S36" s="406" t="str">
        <f t="shared" si="7"/>
        <v>--</v>
      </c>
      <c r="T36" s="437" t="str">
        <f t="shared" si="8"/>
        <v>--</v>
      </c>
      <c r="U36" s="27">
        <f t="shared" si="10"/>
      </c>
      <c r="V36" s="67">
        <f t="shared" si="9"/>
      </c>
      <c r="W36" s="40"/>
    </row>
    <row r="37" spans="2:23" s="12" customFormat="1" ht="16.5" customHeight="1">
      <c r="B37" s="46"/>
      <c r="C37" s="720"/>
      <c r="D37" s="705"/>
      <c r="E37" s="705"/>
      <c r="F37" s="721"/>
      <c r="G37" s="721"/>
      <c r="H37" s="722"/>
      <c r="I37" s="311">
        <f t="shared" si="0"/>
        <v>5.074</v>
      </c>
      <c r="J37" s="723"/>
      <c r="K37" s="724"/>
      <c r="L37" s="37">
        <f t="shared" si="1"/>
      </c>
      <c r="M37" s="66">
        <f t="shared" si="2"/>
      </c>
      <c r="N37" s="725"/>
      <c r="O37" s="30">
        <f t="shared" si="3"/>
      </c>
      <c r="P37" s="426">
        <f t="shared" si="4"/>
        <v>20</v>
      </c>
      <c r="Q37" s="780" t="str">
        <f t="shared" si="5"/>
        <v>--</v>
      </c>
      <c r="R37" s="405" t="str">
        <f t="shared" si="6"/>
        <v>--</v>
      </c>
      <c r="S37" s="406" t="str">
        <f t="shared" si="7"/>
        <v>--</v>
      </c>
      <c r="T37" s="437" t="str">
        <f t="shared" si="8"/>
        <v>--</v>
      </c>
      <c r="U37" s="27">
        <f t="shared" si="10"/>
      </c>
      <c r="V37" s="67">
        <f t="shared" si="9"/>
      </c>
      <c r="W37" s="40"/>
    </row>
    <row r="38" spans="2:23" s="12" customFormat="1" ht="16.5" customHeight="1">
      <c r="B38" s="46"/>
      <c r="C38" s="720"/>
      <c r="D38" s="705"/>
      <c r="E38" s="705"/>
      <c r="F38" s="721"/>
      <c r="G38" s="721"/>
      <c r="H38" s="722"/>
      <c r="I38" s="311">
        <f>IF(H38=330,$G$16,IF(AND(H38&lt;=132,H38&gt;=66),$G$17,IF(AND(H38&lt;66,H38&gt;=33),$G$18,$G$19)))</f>
        <v>5.074</v>
      </c>
      <c r="J38" s="723"/>
      <c r="K38" s="724"/>
      <c r="L38" s="37">
        <f>IF(F38="","",(K38-J38)*24)</f>
      </c>
      <c r="M38" s="66">
        <f>IF(F38="","",ROUND((K38-J38)*24*60,0))</f>
      </c>
      <c r="N38" s="725"/>
      <c r="O38" s="30">
        <f>IF(F38="","",IF(N38="P","--","NO"))</f>
      </c>
      <c r="P38" s="426">
        <f>IF(H38=330,$H$16,IF(AND(H38&lt;=132,H38&gt;=66),$H$17,IF(AND(H38&lt;66,H38&gt;13.2),$H$18,$H$19)))</f>
        <v>20</v>
      </c>
      <c r="Q38" s="780" t="str">
        <f>IF(N38="P",I38*P38*ROUND(M38/60,2)*0.1,"--")</f>
        <v>--</v>
      </c>
      <c r="R38" s="405" t="str">
        <f>IF(AND(N38="F",O38="NO"),I38*P38,"--")</f>
        <v>--</v>
      </c>
      <c r="S38" s="406" t="str">
        <f>IF(N38="F",I38*P38*ROUND(M38/60,2),"--")</f>
        <v>--</v>
      </c>
      <c r="T38" s="437" t="str">
        <f>IF(N38="RF",I38*P38*ROUND(M38/60,2),"--")</f>
        <v>--</v>
      </c>
      <c r="U38" s="27">
        <f t="shared" si="10"/>
      </c>
      <c r="V38" s="67">
        <f>IF(F38="","",SUM(Q38:T38)*IF(U38="SI",1,2)*IF(H38="500/220",0,1))</f>
      </c>
      <c r="W38" s="40"/>
    </row>
    <row r="39" spans="2:23" s="12" customFormat="1" ht="16.5" customHeight="1">
      <c r="B39" s="46"/>
      <c r="C39" s="720"/>
      <c r="D39" s="705"/>
      <c r="E39" s="705"/>
      <c r="F39" s="721"/>
      <c r="G39" s="721"/>
      <c r="H39" s="722"/>
      <c r="I39" s="311">
        <f>IF(H39=330,$G$16,IF(AND(H39&lt;=132,H39&gt;=66),$G$17,IF(AND(H39&lt;66,H39&gt;=33),$G$18,$G$19)))</f>
        <v>5.074</v>
      </c>
      <c r="J39" s="723"/>
      <c r="K39" s="724"/>
      <c r="L39" s="37">
        <f>IF(F39="","",(K39-J39)*24)</f>
      </c>
      <c r="M39" s="66">
        <f>IF(F39="","",ROUND((K39-J39)*24*60,0))</f>
      </c>
      <c r="N39" s="725"/>
      <c r="O39" s="30">
        <f>IF(F39="","",IF(N39="P","--","NO"))</f>
      </c>
      <c r="P39" s="426">
        <f>IF(H39=330,$H$16,IF(AND(H39&lt;=132,H39&gt;=66),$H$17,IF(AND(H39&lt;66,H39&gt;13.2),$H$18,$H$19)))</f>
        <v>20</v>
      </c>
      <c r="Q39" s="780" t="str">
        <f>IF(N39="P",I39*P39*ROUND(M39/60,2)*0.1,"--")</f>
        <v>--</v>
      </c>
      <c r="R39" s="405" t="str">
        <f>IF(AND(N39="F",O39="NO"),I39*P39,"--")</f>
        <v>--</v>
      </c>
      <c r="S39" s="406" t="str">
        <f>IF(N39="F",I39*P39*ROUND(M39/60,2),"--")</f>
        <v>--</v>
      </c>
      <c r="T39" s="437" t="str">
        <f>IF(N39="RF",I39*P39*ROUND(M39/60,2),"--")</f>
        <v>--</v>
      </c>
      <c r="U39" s="27">
        <f t="shared" si="10"/>
      </c>
      <c r="V39" s="67">
        <f>IF(F39="","",SUM(Q39:T39)*IF(U39="SI",1,2)*IF(H39="500/220",0,1))</f>
      </c>
      <c r="W39" s="40"/>
    </row>
    <row r="40" spans="2:23" s="12" customFormat="1" ht="16.5" customHeight="1">
      <c r="B40" s="46"/>
      <c r="C40" s="720"/>
      <c r="D40" s="705"/>
      <c r="E40" s="705"/>
      <c r="F40" s="721"/>
      <c r="G40" s="721"/>
      <c r="H40" s="722"/>
      <c r="I40" s="311">
        <f>IF(H40=330,$G$16,IF(AND(H40&lt;=132,H40&gt;=66),$G$17,IF(AND(H40&lt;66,H40&gt;=33),$G$18,$G$19)))</f>
        <v>5.074</v>
      </c>
      <c r="J40" s="723"/>
      <c r="K40" s="724"/>
      <c r="L40" s="37">
        <f>IF(F40="","",(K40-J40)*24)</f>
      </c>
      <c r="M40" s="66">
        <f>IF(F40="","",ROUND((K40-J40)*24*60,0))</f>
      </c>
      <c r="N40" s="725"/>
      <c r="O40" s="30">
        <f>IF(F40="","",IF(N40="P","--","NO"))</f>
      </c>
      <c r="P40" s="426">
        <f>IF(H40=330,$H$16,IF(AND(H40&lt;=132,H40&gt;=66),$H$17,IF(AND(H40&lt;66,H40&gt;13.2),$H$18,$H$19)))</f>
        <v>20</v>
      </c>
      <c r="Q40" s="780" t="str">
        <f>IF(N40="P",I40*P40*ROUND(M40/60,2)*0.1,"--")</f>
        <v>--</v>
      </c>
      <c r="R40" s="405" t="str">
        <f>IF(AND(N40="F",O40="NO"),I40*P40,"--")</f>
        <v>--</v>
      </c>
      <c r="S40" s="406" t="str">
        <f>IF(N40="F",I40*P40*ROUND(M40/60,2),"--")</f>
        <v>--</v>
      </c>
      <c r="T40" s="437" t="str">
        <f>IF(N40="RF",I40*P40*ROUND(M40/60,2),"--")</f>
        <v>--</v>
      </c>
      <c r="U40" s="27">
        <f t="shared" si="10"/>
      </c>
      <c r="V40" s="67">
        <f>IF(F40="","",SUM(Q40:T40)*IF(U40="SI",1,2)*IF(H40="500/220",0,1))</f>
      </c>
      <c r="W40" s="40"/>
    </row>
    <row r="41" spans="2:23" s="12" customFormat="1" ht="16.5" customHeight="1" thickBot="1">
      <c r="B41" s="46"/>
      <c r="C41" s="708"/>
      <c r="D41" s="708"/>
      <c r="E41" s="708"/>
      <c r="F41" s="708"/>
      <c r="G41" s="708"/>
      <c r="H41" s="708"/>
      <c r="I41" s="310"/>
      <c r="J41" s="708"/>
      <c r="K41" s="708"/>
      <c r="L41" s="31"/>
      <c r="M41" s="31"/>
      <c r="N41" s="708"/>
      <c r="O41" s="708"/>
      <c r="P41" s="726"/>
      <c r="Q41" s="727"/>
      <c r="R41" s="716"/>
      <c r="S41" s="717"/>
      <c r="T41" s="711"/>
      <c r="U41" s="708"/>
      <c r="V41" s="236"/>
      <c r="W41" s="40"/>
    </row>
    <row r="42" spans="2:23" s="12" customFormat="1" ht="16.5" customHeight="1" thickBot="1" thickTop="1">
      <c r="B42" s="46"/>
      <c r="C42" s="276" t="s">
        <v>65</v>
      </c>
      <c r="D42" s="800" t="s">
        <v>191</v>
      </c>
      <c r="E42" s="760"/>
      <c r="F42" s="277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38">
        <f>SUM(Q22:Q41)</f>
        <v>691.8145299999999</v>
      </c>
      <c r="R42" s="366">
        <f>SUM(R22:R41)</f>
        <v>0</v>
      </c>
      <c r="S42" s="366">
        <f>SUM(S22:S41)</f>
        <v>0</v>
      </c>
      <c r="T42" s="439">
        <f>SUM(T22:T41)</f>
        <v>0</v>
      </c>
      <c r="U42" s="68"/>
      <c r="V42" s="292">
        <f>ROUND(SUM(V22:V41),2)</f>
        <v>691.81</v>
      </c>
      <c r="W42" s="40"/>
    </row>
    <row r="43" spans="2:23" s="295" customFormat="1" ht="9.75" thickTop="1">
      <c r="B43" s="294"/>
      <c r="C43" s="278"/>
      <c r="D43" s="278"/>
      <c r="E43" s="278"/>
      <c r="F43" s="279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9"/>
      <c r="V43" s="300"/>
      <c r="W43" s="301"/>
    </row>
    <row r="44" spans="1:23" s="12" customFormat="1" ht="16.5" customHeight="1" thickBot="1">
      <c r="A44" s="13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2"/>
    </row>
    <row r="45" spans="1:23" ht="13.5" thickTop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3:6" ht="12.75">
      <c r="C46" s="8"/>
      <c r="D46" s="8"/>
      <c r="E46" s="8"/>
      <c r="F46" s="8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6.2812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3"/>
    </row>
    <row r="2" spans="2:23" s="125" customFormat="1" ht="26.25">
      <c r="B2" s="126" t="str">
        <f>+'TOT-1213'!B2</f>
        <v>ANEXO VI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17</v>
      </c>
      <c r="C4" s="762"/>
      <c r="D4" s="762"/>
    </row>
    <row r="5" spans="1:4" s="128" customFormat="1" ht="11.25">
      <c r="A5" s="763" t="s">
        <v>143</v>
      </c>
      <c r="C5" s="762"/>
      <c r="D5" s="762"/>
    </row>
    <row r="6" s="12" customFormat="1" ht="13.5" thickBot="1"/>
    <row r="7" spans="2:23" s="12" customFormat="1" ht="13.5" thickTop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2:23" s="130" customFormat="1" ht="20.25">
      <c r="B8" s="129"/>
      <c r="C8" s="47"/>
      <c r="D8" s="47"/>
      <c r="E8" s="47"/>
      <c r="F8" s="23" t="s">
        <v>41</v>
      </c>
      <c r="P8" s="47"/>
      <c r="Q8" s="47"/>
      <c r="R8" s="47"/>
      <c r="S8" s="47"/>
      <c r="T8" s="47"/>
      <c r="U8" s="47"/>
      <c r="V8" s="47"/>
      <c r="W8" s="131"/>
    </row>
    <row r="9" spans="2:23" s="12" customFormat="1" ht="12.75">
      <c r="B9" s="46"/>
      <c r="C9" s="10"/>
      <c r="D9" s="10"/>
      <c r="E9" s="10"/>
      <c r="F9" s="10"/>
      <c r="G9" s="10"/>
      <c r="H9" s="10"/>
      <c r="I9" s="139"/>
      <c r="J9" s="139"/>
      <c r="K9" s="139"/>
      <c r="L9" s="139"/>
      <c r="M9" s="139"/>
      <c r="P9" s="10"/>
      <c r="Q9" s="10"/>
      <c r="R9" s="10"/>
      <c r="S9" s="10"/>
      <c r="T9" s="10"/>
      <c r="U9" s="10"/>
      <c r="V9" s="10"/>
      <c r="W9" s="13"/>
    </row>
    <row r="10" spans="2:23" s="130" customFormat="1" ht="20.25">
      <c r="B10" s="129"/>
      <c r="C10" s="47"/>
      <c r="D10" s="47"/>
      <c r="E10" s="47"/>
      <c r="F10" s="23" t="s">
        <v>139</v>
      </c>
      <c r="G10" s="23"/>
      <c r="H10" s="47"/>
      <c r="I10" s="23"/>
      <c r="J10" s="23"/>
      <c r="K10" s="23"/>
      <c r="L10" s="23"/>
      <c r="M10" s="23"/>
      <c r="P10" s="47"/>
      <c r="Q10" s="47"/>
      <c r="R10" s="47"/>
      <c r="S10" s="47"/>
      <c r="T10" s="47"/>
      <c r="U10" s="47"/>
      <c r="V10" s="47"/>
      <c r="W10" s="131"/>
    </row>
    <row r="11" spans="2:23" s="12" customFormat="1" ht="12.75">
      <c r="B11" s="46"/>
      <c r="C11" s="10"/>
      <c r="D11" s="10"/>
      <c r="E11" s="10"/>
      <c r="F11" s="141"/>
      <c r="G11" s="139"/>
      <c r="H11" s="10"/>
      <c r="I11" s="139"/>
      <c r="J11" s="139"/>
      <c r="K11" s="139"/>
      <c r="L11" s="139"/>
      <c r="M11" s="139"/>
      <c r="P11" s="10"/>
      <c r="Q11" s="10"/>
      <c r="R11" s="10"/>
      <c r="S11" s="10"/>
      <c r="T11" s="10"/>
      <c r="U11" s="10"/>
      <c r="V11" s="10"/>
      <c r="W11" s="13"/>
    </row>
    <row r="12" spans="2:23" s="137" customFormat="1" ht="19.5">
      <c r="B12" s="103" t="str">
        <f>+'TOT-1213'!B14</f>
        <v>Desde el 01 al 31 de diciembre de 2013</v>
      </c>
      <c r="C12" s="133"/>
      <c r="D12" s="133"/>
      <c r="E12" s="133"/>
      <c r="F12" s="133"/>
      <c r="G12" s="133"/>
      <c r="H12" s="102"/>
      <c r="I12" s="133"/>
      <c r="J12" s="134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6"/>
    </row>
    <row r="13" spans="2:23" s="137" customFormat="1" ht="7.5" customHeight="1">
      <c r="B13" s="103"/>
      <c r="C13" s="133"/>
      <c r="D13" s="133"/>
      <c r="E13" s="133"/>
      <c r="F13" s="133"/>
      <c r="G13" s="133"/>
      <c r="H13" s="102"/>
      <c r="I13" s="133"/>
      <c r="J13" s="134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6"/>
    </row>
    <row r="14" spans="2:23" s="12" customFormat="1" ht="7.5" customHeight="1" thickBot="1">
      <c r="B14" s="46"/>
      <c r="C14" s="10"/>
      <c r="D14" s="10"/>
      <c r="E14" s="10"/>
      <c r="I14" s="138"/>
      <c r="K14" s="10"/>
      <c r="L14" s="10"/>
      <c r="M14" s="10"/>
      <c r="N14" s="138"/>
      <c r="O14" s="138"/>
      <c r="P14" s="138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41" t="s">
        <v>85</v>
      </c>
      <c r="G15" s="242">
        <v>16.908</v>
      </c>
      <c r="H15" s="109">
        <f>60*'TOT-1213'!B13</f>
        <v>60</v>
      </c>
      <c r="I15" s="138"/>
      <c r="J15" s="272" t="str">
        <f>IF(H15=60," ",IF(H15=120,"Coeficiente duplicado por tasa de falla &gt;4 Sal. x año/100 km.","REVISAR COEFICIENTE"))</f>
        <v> </v>
      </c>
      <c r="K15" s="10"/>
      <c r="L15" s="10"/>
      <c r="M15" s="10"/>
      <c r="N15" s="138"/>
      <c r="O15" s="138"/>
      <c r="P15" s="138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41" t="s">
        <v>86</v>
      </c>
      <c r="G16" s="242">
        <v>6.761</v>
      </c>
      <c r="H16" s="109">
        <f>50*'TOT-1213'!B13</f>
        <v>50</v>
      </c>
      <c r="J16" s="272" t="str">
        <f>IF(H16=50," ",IF(H16=100,"Coeficiente duplicado por tasa de falla &gt;4 Sal. x año/100 km.","REVISAR COEFICIENTE"))</f>
        <v> </v>
      </c>
      <c r="Q16" s="312"/>
      <c r="S16" s="10"/>
      <c r="T16" s="10"/>
      <c r="U16" s="10"/>
      <c r="V16" s="238"/>
      <c r="W16" s="13"/>
    </row>
    <row r="17" spans="2:23" s="12" customFormat="1" ht="16.5" customHeight="1" thickBot="1" thickTop="1">
      <c r="B17" s="46"/>
      <c r="C17" s="10"/>
      <c r="D17" s="10"/>
      <c r="E17" s="10"/>
      <c r="F17" s="243" t="s">
        <v>87</v>
      </c>
      <c r="G17" s="244">
        <v>5.074</v>
      </c>
      <c r="H17" s="245">
        <f>25*'TOT-1213'!B13</f>
        <v>25</v>
      </c>
      <c r="J17" s="272" t="str">
        <f>IF(H17=25," ",IF(H17=50,"Coeficiente duplicado por tasa de falla &gt;4 Sal. x año/100 km.","REVISAR COEFICIENTE"))</f>
        <v> </v>
      </c>
      <c r="K17" s="183"/>
      <c r="L17" s="183"/>
      <c r="M17" s="10"/>
      <c r="P17" s="239"/>
      <c r="Q17" s="240"/>
      <c r="R17" s="38"/>
      <c r="S17" s="10"/>
      <c r="T17" s="10"/>
      <c r="U17" s="10"/>
      <c r="V17" s="238"/>
      <c r="W17" s="13"/>
    </row>
    <row r="18" spans="2:23" s="12" customFormat="1" ht="16.5" customHeight="1" thickBot="1" thickTop="1">
      <c r="B18" s="46"/>
      <c r="C18" s="10"/>
      <c r="D18" s="10"/>
      <c r="E18" s="10"/>
      <c r="F18" s="246" t="s">
        <v>88</v>
      </c>
      <c r="G18" s="244">
        <v>5.074</v>
      </c>
      <c r="H18" s="247">
        <f>20*'TOT-1213'!B13</f>
        <v>20</v>
      </c>
      <c r="J18" s="272" t="str">
        <f>IF(H18=20," ",IF(H18=40,"Coeficiente duplicado por tasa de falla &gt;4 Sal. x año/100 km.","REVISAR COEFICIENTE"))</f>
        <v> </v>
      </c>
      <c r="K18" s="183"/>
      <c r="L18" s="183"/>
      <c r="M18" s="10"/>
      <c r="P18" s="239"/>
      <c r="Q18" s="240"/>
      <c r="R18" s="38"/>
      <c r="S18" s="10"/>
      <c r="T18" s="10"/>
      <c r="U18" s="10"/>
      <c r="V18" s="238"/>
      <c r="W18" s="13"/>
    </row>
    <row r="19" spans="2:23" s="12" customFormat="1" ht="7.5" customHeight="1" thickTop="1">
      <c r="B19" s="46"/>
      <c r="C19" s="10"/>
      <c r="D19" s="10"/>
      <c r="E19" s="10"/>
      <c r="F19" s="114"/>
      <c r="G19" s="754"/>
      <c r="H19" s="755"/>
      <c r="J19" s="272"/>
      <c r="K19" s="183"/>
      <c r="L19" s="183"/>
      <c r="M19" s="10"/>
      <c r="P19" s="239"/>
      <c r="Q19" s="240"/>
      <c r="R19" s="38"/>
      <c r="S19" s="10"/>
      <c r="T19" s="10"/>
      <c r="U19" s="10"/>
      <c r="V19" s="238"/>
      <c r="W19" s="13"/>
    </row>
    <row r="20" spans="2:23" s="790" customFormat="1" ht="15" customHeight="1" thickBot="1">
      <c r="B20" s="787"/>
      <c r="C20" s="786">
        <v>3</v>
      </c>
      <c r="D20" s="786">
        <v>4</v>
      </c>
      <c r="E20" s="786">
        <v>5</v>
      </c>
      <c r="F20" s="786">
        <v>6</v>
      </c>
      <c r="G20" s="786">
        <v>7</v>
      </c>
      <c r="H20" s="786">
        <v>8</v>
      </c>
      <c r="I20" s="786">
        <v>9</v>
      </c>
      <c r="J20" s="786">
        <v>10</v>
      </c>
      <c r="K20" s="786">
        <v>11</v>
      </c>
      <c r="L20" s="786">
        <v>12</v>
      </c>
      <c r="M20" s="786">
        <v>13</v>
      </c>
      <c r="N20" s="786">
        <v>14</v>
      </c>
      <c r="O20" s="786">
        <v>15</v>
      </c>
      <c r="P20" s="786">
        <v>16</v>
      </c>
      <c r="Q20" s="786">
        <v>17</v>
      </c>
      <c r="R20" s="786">
        <v>18</v>
      </c>
      <c r="S20" s="786">
        <v>19</v>
      </c>
      <c r="T20" s="786">
        <v>20</v>
      </c>
      <c r="U20" s="786">
        <v>21</v>
      </c>
      <c r="V20" s="786">
        <v>22</v>
      </c>
      <c r="W20" s="789"/>
    </row>
    <row r="21" spans="2:23" s="12" customFormat="1" ht="33.75" customHeight="1" thickBot="1" thickTop="1">
      <c r="B21" s="46"/>
      <c r="C21" s="234" t="s">
        <v>47</v>
      </c>
      <c r="D21" s="117" t="s">
        <v>142</v>
      </c>
      <c r="E21" s="117" t="s">
        <v>141</v>
      </c>
      <c r="F21" s="232" t="s">
        <v>71</v>
      </c>
      <c r="G21" s="248" t="s">
        <v>15</v>
      </c>
      <c r="H21" s="251" t="s">
        <v>48</v>
      </c>
      <c r="I21" s="303" t="s">
        <v>50</v>
      </c>
      <c r="J21" s="228" t="s">
        <v>51</v>
      </c>
      <c r="K21" s="248" t="s">
        <v>52</v>
      </c>
      <c r="L21" s="250" t="s">
        <v>75</v>
      </c>
      <c r="M21" s="250" t="s">
        <v>76</v>
      </c>
      <c r="N21" s="121" t="s">
        <v>55</v>
      </c>
      <c r="O21" s="233" t="s">
        <v>77</v>
      </c>
      <c r="P21" s="425" t="s">
        <v>89</v>
      </c>
      <c r="Q21" s="359" t="s">
        <v>57</v>
      </c>
      <c r="R21" s="399" t="s">
        <v>81</v>
      </c>
      <c r="S21" s="400"/>
      <c r="T21" s="435" t="s">
        <v>61</v>
      </c>
      <c r="U21" s="230" t="s">
        <v>63</v>
      </c>
      <c r="V21" s="230" t="s">
        <v>64</v>
      </c>
      <c r="W21" s="40"/>
    </row>
    <row r="22" spans="2:23" s="12" customFormat="1" ht="16.5" customHeight="1" thickTop="1">
      <c r="B22" s="46"/>
      <c r="C22" s="22"/>
      <c r="D22" s="20"/>
      <c r="E22" s="20"/>
      <c r="F22" s="34"/>
      <c r="G22" s="34"/>
      <c r="H22" s="14"/>
      <c r="I22" s="311"/>
      <c r="J22" s="35"/>
      <c r="K22" s="36"/>
      <c r="L22" s="37"/>
      <c r="M22" s="66"/>
      <c r="N22" s="427"/>
      <c r="O22" s="427"/>
      <c r="P22" s="428"/>
      <c r="Q22" s="430"/>
      <c r="R22" s="432"/>
      <c r="S22" s="433"/>
      <c r="T22" s="436"/>
      <c r="U22" s="434"/>
      <c r="V22" s="429"/>
      <c r="W22" s="40"/>
    </row>
    <row r="23" spans="2:23" s="12" customFormat="1" ht="16.5" customHeight="1">
      <c r="B23" s="46"/>
      <c r="C23" s="22"/>
      <c r="D23" s="20"/>
      <c r="E23" s="20"/>
      <c r="F23" s="34"/>
      <c r="G23" s="34"/>
      <c r="H23" s="14"/>
      <c r="I23" s="311"/>
      <c r="J23" s="35"/>
      <c r="K23" s="36"/>
      <c r="L23" s="37"/>
      <c r="M23" s="66"/>
      <c r="N23" s="30"/>
      <c r="O23" s="30"/>
      <c r="P23" s="426"/>
      <c r="Q23" s="431"/>
      <c r="R23" s="405"/>
      <c r="S23" s="406"/>
      <c r="T23" s="437"/>
      <c r="U23" s="27"/>
      <c r="V23" s="249"/>
      <c r="W23" s="40"/>
    </row>
    <row r="24" spans="2:23" s="12" customFormat="1" ht="16.5" customHeight="1">
      <c r="B24" s="46"/>
      <c r="C24" s="720">
        <v>26</v>
      </c>
      <c r="D24" s="705">
        <v>268804</v>
      </c>
      <c r="E24" s="705">
        <v>1772</v>
      </c>
      <c r="F24" s="721" t="s">
        <v>14</v>
      </c>
      <c r="G24" s="721" t="s">
        <v>178</v>
      </c>
      <c r="H24" s="728">
        <v>13.2</v>
      </c>
      <c r="I24" s="311">
        <f aca="true" t="shared" si="0" ref="I24:I43">IF(H24=330,$G$15,IF(AND(H24&lt;=132,H24&gt;=66),$G$16,IF(AND(H24&lt;66,H24&gt;=33),$G$17,$G$18)))</f>
        <v>5.074</v>
      </c>
      <c r="J24" s="723">
        <v>41612.62291666667</v>
      </c>
      <c r="K24" s="724">
        <v>41612.66180555556</v>
      </c>
      <c r="L24" s="37">
        <f aca="true" t="shared" si="1" ref="L24:L43">IF(F24="","",(K24-J24)*24)</f>
        <v>0.933333333407063</v>
      </c>
      <c r="M24" s="66">
        <f aca="true" t="shared" si="2" ref="M24:M43">IF(F24="","",ROUND((K24-J24)*24*60,0))</f>
        <v>56</v>
      </c>
      <c r="N24" s="725" t="s">
        <v>148</v>
      </c>
      <c r="O24" s="30" t="str">
        <f aca="true" t="shared" si="3" ref="O24:O43">IF(F24="","",IF(N24="P","--","NO"))</f>
        <v>--</v>
      </c>
      <c r="P24" s="426">
        <f aca="true" t="shared" si="4" ref="P24:P43">IF(H24=330,$H$15,IF(AND(H24&lt;=132,H24&gt;=66),$H$16,IF(AND(H24&lt;66,H24&gt;13.2),$H$17,$H$18)))</f>
        <v>20</v>
      </c>
      <c r="Q24" s="780">
        <f aca="true" t="shared" si="5" ref="Q24:Q43">IF(N24="P",I24*P24*ROUND(M24/60,2)*0.1,"--")</f>
        <v>9.43764</v>
      </c>
      <c r="R24" s="405" t="str">
        <f aca="true" t="shared" si="6" ref="R24:R43">IF(AND(N24="F",O24="NO"),I24*P24,"--")</f>
        <v>--</v>
      </c>
      <c r="S24" s="406" t="str">
        <f aca="true" t="shared" si="7" ref="S24:S43">IF(N24="F",I24*P24*ROUND(M24/60,2),"--")</f>
        <v>--</v>
      </c>
      <c r="T24" s="437" t="str">
        <f>IF(N24="RF",I24*P24*ROUND(M24/60,2),"--")</f>
        <v>--</v>
      </c>
      <c r="U24" s="27" t="str">
        <f aca="true" t="shared" si="8" ref="U24:U43">IF(F24="","","SI")</f>
        <v>SI</v>
      </c>
      <c r="V24" s="67">
        <f aca="true" t="shared" si="9" ref="V24:V43">IF(F24="","",SUM(Q24:T24)*IF(U24="SI",1,2)*IF(H24="500/220",0,1))</f>
        <v>9.43764</v>
      </c>
      <c r="W24" s="40"/>
    </row>
    <row r="25" spans="2:23" s="12" customFormat="1" ht="16.5" customHeight="1">
      <c r="B25" s="46"/>
      <c r="C25" s="720">
        <v>27</v>
      </c>
      <c r="D25" s="705">
        <v>269283</v>
      </c>
      <c r="E25" s="705">
        <v>1756</v>
      </c>
      <c r="F25" s="721" t="s">
        <v>179</v>
      </c>
      <c r="G25" s="721" t="s">
        <v>180</v>
      </c>
      <c r="H25" s="728">
        <v>33</v>
      </c>
      <c r="I25" s="311">
        <f t="shared" si="0"/>
        <v>5.074</v>
      </c>
      <c r="J25" s="723">
        <v>41630.64097222222</v>
      </c>
      <c r="K25" s="724">
        <v>41630.65416666667</v>
      </c>
      <c r="L25" s="37">
        <f t="shared" si="1"/>
        <v>0.3166666666511446</v>
      </c>
      <c r="M25" s="66">
        <f t="shared" si="2"/>
        <v>19</v>
      </c>
      <c r="N25" s="725" t="s">
        <v>152</v>
      </c>
      <c r="O25" s="30" t="str">
        <f t="shared" si="3"/>
        <v>NO</v>
      </c>
      <c r="P25" s="426">
        <f t="shared" si="4"/>
        <v>25</v>
      </c>
      <c r="Q25" s="780" t="str">
        <f t="shared" si="5"/>
        <v>--</v>
      </c>
      <c r="R25" s="405">
        <f t="shared" si="6"/>
        <v>126.85</v>
      </c>
      <c r="S25" s="406">
        <f t="shared" si="7"/>
        <v>40.592</v>
      </c>
      <c r="T25" s="437" t="str">
        <f aca="true" t="shared" si="10" ref="T25:T40">IF(N25="RF",I25*P25*ROUND(M25/60,2),"--")</f>
        <v>--</v>
      </c>
      <c r="U25" s="27" t="str">
        <f t="shared" si="8"/>
        <v>SI</v>
      </c>
      <c r="V25" s="67">
        <f t="shared" si="9"/>
        <v>167.442</v>
      </c>
      <c r="W25" s="40"/>
    </row>
    <row r="26" spans="2:23" s="12" customFormat="1" ht="16.5" customHeight="1">
      <c r="B26" s="46"/>
      <c r="C26" s="720">
        <v>28</v>
      </c>
      <c r="D26" s="705">
        <v>269282</v>
      </c>
      <c r="E26" s="705">
        <v>1757</v>
      </c>
      <c r="F26" s="721" t="s">
        <v>181</v>
      </c>
      <c r="G26" s="721" t="s">
        <v>182</v>
      </c>
      <c r="H26" s="728">
        <v>33</v>
      </c>
      <c r="I26" s="311">
        <f t="shared" si="0"/>
        <v>5.074</v>
      </c>
      <c r="J26" s="723">
        <v>41630.64097222222</v>
      </c>
      <c r="K26" s="724">
        <v>41630.65347222222</v>
      </c>
      <c r="L26" s="37">
        <f t="shared" si="1"/>
        <v>0.2999999999301508</v>
      </c>
      <c r="M26" s="66">
        <f t="shared" si="2"/>
        <v>18</v>
      </c>
      <c r="N26" s="725" t="s">
        <v>152</v>
      </c>
      <c r="O26" s="30" t="str">
        <f t="shared" si="3"/>
        <v>NO</v>
      </c>
      <c r="P26" s="426">
        <f t="shared" si="4"/>
        <v>25</v>
      </c>
      <c r="Q26" s="780" t="str">
        <f t="shared" si="5"/>
        <v>--</v>
      </c>
      <c r="R26" s="405">
        <f t="shared" si="6"/>
        <v>126.85</v>
      </c>
      <c r="S26" s="406">
        <f t="shared" si="7"/>
        <v>38.055</v>
      </c>
      <c r="T26" s="437" t="str">
        <f t="shared" si="10"/>
        <v>--</v>
      </c>
      <c r="U26" s="27" t="str">
        <f t="shared" si="8"/>
        <v>SI</v>
      </c>
      <c r="V26" s="67">
        <f t="shared" si="9"/>
        <v>164.905</v>
      </c>
      <c r="W26" s="40"/>
    </row>
    <row r="27" spans="2:23" s="12" customFormat="1" ht="16.5" customHeight="1">
      <c r="B27" s="46"/>
      <c r="C27" s="720"/>
      <c r="D27" s="705"/>
      <c r="E27" s="705"/>
      <c r="F27" s="721"/>
      <c r="G27" s="721"/>
      <c r="H27" s="728"/>
      <c r="I27" s="311">
        <f t="shared" si="0"/>
        <v>5.074</v>
      </c>
      <c r="J27" s="723"/>
      <c r="K27" s="724"/>
      <c r="L27" s="37">
        <f t="shared" si="1"/>
      </c>
      <c r="M27" s="66">
        <f t="shared" si="2"/>
      </c>
      <c r="N27" s="725"/>
      <c r="O27" s="30">
        <f t="shared" si="3"/>
      </c>
      <c r="P27" s="426">
        <f t="shared" si="4"/>
        <v>20</v>
      </c>
      <c r="Q27" s="780" t="str">
        <f t="shared" si="5"/>
        <v>--</v>
      </c>
      <c r="R27" s="405" t="str">
        <f t="shared" si="6"/>
        <v>--</v>
      </c>
      <c r="S27" s="406" t="str">
        <f t="shared" si="7"/>
        <v>--</v>
      </c>
      <c r="T27" s="437" t="str">
        <f t="shared" si="10"/>
        <v>--</v>
      </c>
      <c r="U27" s="27">
        <f t="shared" si="8"/>
      </c>
      <c r="V27" s="67">
        <f t="shared" si="9"/>
      </c>
      <c r="W27" s="40"/>
    </row>
    <row r="28" spans="2:23" s="12" customFormat="1" ht="16.5" customHeight="1">
      <c r="B28" s="46"/>
      <c r="C28" s="720"/>
      <c r="D28" s="705"/>
      <c r="E28" s="705"/>
      <c r="F28" s="721"/>
      <c r="G28" s="721"/>
      <c r="H28" s="728"/>
      <c r="I28" s="311">
        <f t="shared" si="0"/>
        <v>5.074</v>
      </c>
      <c r="J28" s="723"/>
      <c r="K28" s="724"/>
      <c r="L28" s="37">
        <f t="shared" si="1"/>
      </c>
      <c r="M28" s="66">
        <f t="shared" si="2"/>
      </c>
      <c r="N28" s="725"/>
      <c r="O28" s="30">
        <f t="shared" si="3"/>
      </c>
      <c r="P28" s="426">
        <f t="shared" si="4"/>
        <v>20</v>
      </c>
      <c r="Q28" s="780" t="str">
        <f t="shared" si="5"/>
        <v>--</v>
      </c>
      <c r="R28" s="405" t="str">
        <f t="shared" si="6"/>
        <v>--</v>
      </c>
      <c r="S28" s="406" t="str">
        <f t="shared" si="7"/>
        <v>--</v>
      </c>
      <c r="T28" s="437" t="str">
        <f t="shared" si="10"/>
        <v>--</v>
      </c>
      <c r="U28" s="27">
        <f t="shared" si="8"/>
      </c>
      <c r="V28" s="67">
        <f t="shared" si="9"/>
      </c>
      <c r="W28" s="40"/>
    </row>
    <row r="29" spans="2:23" s="12" customFormat="1" ht="16.5" customHeight="1">
      <c r="B29" s="46"/>
      <c r="C29" s="720"/>
      <c r="D29" s="705"/>
      <c r="E29" s="705"/>
      <c r="F29" s="721"/>
      <c r="G29" s="721"/>
      <c r="H29" s="728"/>
      <c r="I29" s="311">
        <f t="shared" si="0"/>
        <v>5.074</v>
      </c>
      <c r="J29" s="723"/>
      <c r="K29" s="724"/>
      <c r="L29" s="37">
        <f t="shared" si="1"/>
      </c>
      <c r="M29" s="66">
        <f t="shared" si="2"/>
      </c>
      <c r="N29" s="725"/>
      <c r="O29" s="30">
        <f t="shared" si="3"/>
      </c>
      <c r="P29" s="426">
        <f t="shared" si="4"/>
        <v>20</v>
      </c>
      <c r="Q29" s="780" t="str">
        <f t="shared" si="5"/>
        <v>--</v>
      </c>
      <c r="R29" s="405" t="str">
        <f t="shared" si="6"/>
        <v>--</v>
      </c>
      <c r="S29" s="406" t="str">
        <f t="shared" si="7"/>
        <v>--</v>
      </c>
      <c r="T29" s="437" t="str">
        <f t="shared" si="10"/>
        <v>--</v>
      </c>
      <c r="U29" s="27">
        <f t="shared" si="8"/>
      </c>
      <c r="V29" s="67">
        <f t="shared" si="9"/>
      </c>
      <c r="W29" s="40"/>
    </row>
    <row r="30" spans="2:23" s="12" customFormat="1" ht="16.5" customHeight="1">
      <c r="B30" s="46"/>
      <c r="C30" s="720"/>
      <c r="D30" s="705"/>
      <c r="E30" s="705"/>
      <c r="F30" s="721"/>
      <c r="G30" s="721"/>
      <c r="H30" s="728"/>
      <c r="I30" s="311">
        <f t="shared" si="0"/>
        <v>5.074</v>
      </c>
      <c r="J30" s="723"/>
      <c r="K30" s="724"/>
      <c r="L30" s="37">
        <f t="shared" si="1"/>
      </c>
      <c r="M30" s="66">
        <f t="shared" si="2"/>
      </c>
      <c r="N30" s="725"/>
      <c r="O30" s="30">
        <f t="shared" si="3"/>
      </c>
      <c r="P30" s="426">
        <f t="shared" si="4"/>
        <v>20</v>
      </c>
      <c r="Q30" s="780" t="str">
        <f t="shared" si="5"/>
        <v>--</v>
      </c>
      <c r="R30" s="405" t="str">
        <f t="shared" si="6"/>
        <v>--</v>
      </c>
      <c r="S30" s="406" t="str">
        <f t="shared" si="7"/>
        <v>--</v>
      </c>
      <c r="T30" s="437" t="str">
        <f t="shared" si="10"/>
        <v>--</v>
      </c>
      <c r="U30" s="27">
        <f t="shared" si="8"/>
      </c>
      <c r="V30" s="67">
        <f t="shared" si="9"/>
      </c>
      <c r="W30" s="40"/>
    </row>
    <row r="31" spans="2:23" s="12" customFormat="1" ht="16.5" customHeight="1">
      <c r="B31" s="46"/>
      <c r="C31" s="720"/>
      <c r="D31" s="705"/>
      <c r="E31" s="705"/>
      <c r="F31" s="721"/>
      <c r="G31" s="721"/>
      <c r="H31" s="728"/>
      <c r="I31" s="311">
        <f t="shared" si="0"/>
        <v>5.074</v>
      </c>
      <c r="J31" s="723"/>
      <c r="K31" s="724"/>
      <c r="L31" s="37">
        <f t="shared" si="1"/>
      </c>
      <c r="M31" s="66">
        <f t="shared" si="2"/>
      </c>
      <c r="N31" s="725"/>
      <c r="O31" s="30">
        <f t="shared" si="3"/>
      </c>
      <c r="P31" s="426">
        <f t="shared" si="4"/>
        <v>20</v>
      </c>
      <c r="Q31" s="780" t="str">
        <f t="shared" si="5"/>
        <v>--</v>
      </c>
      <c r="R31" s="405" t="str">
        <f t="shared" si="6"/>
        <v>--</v>
      </c>
      <c r="S31" s="406" t="str">
        <f t="shared" si="7"/>
        <v>--</v>
      </c>
      <c r="T31" s="437" t="str">
        <f t="shared" si="10"/>
        <v>--</v>
      </c>
      <c r="U31" s="27">
        <f t="shared" si="8"/>
      </c>
      <c r="V31" s="67">
        <f t="shared" si="9"/>
      </c>
      <c r="W31" s="40"/>
    </row>
    <row r="32" spans="2:23" s="12" customFormat="1" ht="16.5" customHeight="1">
      <c r="B32" s="46"/>
      <c r="C32" s="720"/>
      <c r="D32" s="705"/>
      <c r="E32" s="705"/>
      <c r="F32" s="721"/>
      <c r="G32" s="721"/>
      <c r="H32" s="728"/>
      <c r="I32" s="311">
        <f t="shared" si="0"/>
        <v>5.074</v>
      </c>
      <c r="J32" s="723"/>
      <c r="K32" s="724"/>
      <c r="L32" s="37">
        <f t="shared" si="1"/>
      </c>
      <c r="M32" s="66">
        <f t="shared" si="2"/>
      </c>
      <c r="N32" s="725"/>
      <c r="O32" s="30">
        <f t="shared" si="3"/>
      </c>
      <c r="P32" s="426">
        <f t="shared" si="4"/>
        <v>20</v>
      </c>
      <c r="Q32" s="780" t="str">
        <f t="shared" si="5"/>
        <v>--</v>
      </c>
      <c r="R32" s="405" t="str">
        <f t="shared" si="6"/>
        <v>--</v>
      </c>
      <c r="S32" s="406" t="str">
        <f t="shared" si="7"/>
        <v>--</v>
      </c>
      <c r="T32" s="437" t="str">
        <f t="shared" si="10"/>
        <v>--</v>
      </c>
      <c r="U32" s="27">
        <f t="shared" si="8"/>
      </c>
      <c r="V32" s="67">
        <f t="shared" si="9"/>
      </c>
      <c r="W32" s="40"/>
    </row>
    <row r="33" spans="2:23" s="12" customFormat="1" ht="16.5" customHeight="1">
      <c r="B33" s="46"/>
      <c r="C33" s="720"/>
      <c r="D33" s="705"/>
      <c r="E33" s="705"/>
      <c r="F33" s="721"/>
      <c r="G33" s="721"/>
      <c r="H33" s="728"/>
      <c r="I33" s="311">
        <f t="shared" si="0"/>
        <v>5.074</v>
      </c>
      <c r="J33" s="723"/>
      <c r="K33" s="724"/>
      <c r="L33" s="37">
        <f t="shared" si="1"/>
      </c>
      <c r="M33" s="66">
        <f t="shared" si="2"/>
      </c>
      <c r="N33" s="725"/>
      <c r="O33" s="30">
        <f t="shared" si="3"/>
      </c>
      <c r="P33" s="426">
        <f t="shared" si="4"/>
        <v>20</v>
      </c>
      <c r="Q33" s="780" t="str">
        <f t="shared" si="5"/>
        <v>--</v>
      </c>
      <c r="R33" s="405" t="str">
        <f t="shared" si="6"/>
        <v>--</v>
      </c>
      <c r="S33" s="406" t="str">
        <f t="shared" si="7"/>
        <v>--</v>
      </c>
      <c r="T33" s="437" t="str">
        <f t="shared" si="10"/>
        <v>--</v>
      </c>
      <c r="U33" s="27">
        <f t="shared" si="8"/>
      </c>
      <c r="V33" s="67">
        <f t="shared" si="9"/>
      </c>
      <c r="W33" s="40"/>
    </row>
    <row r="34" spans="2:23" s="12" customFormat="1" ht="16.5" customHeight="1">
      <c r="B34" s="46"/>
      <c r="C34" s="720"/>
      <c r="D34" s="705"/>
      <c r="E34" s="705"/>
      <c r="F34" s="721"/>
      <c r="G34" s="721"/>
      <c r="H34" s="728"/>
      <c r="I34" s="311">
        <f t="shared" si="0"/>
        <v>5.074</v>
      </c>
      <c r="J34" s="723"/>
      <c r="K34" s="724"/>
      <c r="L34" s="37">
        <f t="shared" si="1"/>
      </c>
      <c r="M34" s="66">
        <f t="shared" si="2"/>
      </c>
      <c r="N34" s="725"/>
      <c r="O34" s="30">
        <f t="shared" si="3"/>
      </c>
      <c r="P34" s="426">
        <f t="shared" si="4"/>
        <v>20</v>
      </c>
      <c r="Q34" s="780" t="str">
        <f t="shared" si="5"/>
        <v>--</v>
      </c>
      <c r="R34" s="405" t="str">
        <f t="shared" si="6"/>
        <v>--</v>
      </c>
      <c r="S34" s="406" t="str">
        <f t="shared" si="7"/>
        <v>--</v>
      </c>
      <c r="T34" s="437" t="str">
        <f t="shared" si="10"/>
        <v>--</v>
      </c>
      <c r="U34" s="27">
        <f t="shared" si="8"/>
      </c>
      <c r="V34" s="67">
        <f t="shared" si="9"/>
      </c>
      <c r="W34" s="40"/>
    </row>
    <row r="35" spans="2:23" s="12" customFormat="1" ht="16.5" customHeight="1">
      <c r="B35" s="46"/>
      <c r="C35" s="720"/>
      <c r="D35" s="705"/>
      <c r="E35" s="705"/>
      <c r="F35" s="721"/>
      <c r="G35" s="721"/>
      <c r="H35" s="728"/>
      <c r="I35" s="311">
        <f t="shared" si="0"/>
        <v>5.074</v>
      </c>
      <c r="J35" s="723"/>
      <c r="K35" s="724"/>
      <c r="L35" s="37">
        <f t="shared" si="1"/>
      </c>
      <c r="M35" s="66">
        <f t="shared" si="2"/>
      </c>
      <c r="N35" s="725"/>
      <c r="O35" s="30">
        <f t="shared" si="3"/>
      </c>
      <c r="P35" s="426">
        <f t="shared" si="4"/>
        <v>20</v>
      </c>
      <c r="Q35" s="780" t="str">
        <f t="shared" si="5"/>
        <v>--</v>
      </c>
      <c r="R35" s="405" t="str">
        <f t="shared" si="6"/>
        <v>--</v>
      </c>
      <c r="S35" s="406" t="str">
        <f t="shared" si="7"/>
        <v>--</v>
      </c>
      <c r="T35" s="437" t="str">
        <f t="shared" si="10"/>
        <v>--</v>
      </c>
      <c r="U35" s="27">
        <f t="shared" si="8"/>
      </c>
      <c r="V35" s="67">
        <f t="shared" si="9"/>
      </c>
      <c r="W35" s="40"/>
    </row>
    <row r="36" spans="2:23" s="12" customFormat="1" ht="16.5" customHeight="1">
      <c r="B36" s="46"/>
      <c r="C36" s="720"/>
      <c r="D36" s="705"/>
      <c r="E36" s="705"/>
      <c r="F36" s="721"/>
      <c r="G36" s="721"/>
      <c r="H36" s="728"/>
      <c r="I36" s="311">
        <f t="shared" si="0"/>
        <v>5.074</v>
      </c>
      <c r="J36" s="723"/>
      <c r="K36" s="724"/>
      <c r="L36" s="37">
        <f t="shared" si="1"/>
      </c>
      <c r="M36" s="66">
        <f t="shared" si="2"/>
      </c>
      <c r="N36" s="725"/>
      <c r="O36" s="30">
        <f t="shared" si="3"/>
      </c>
      <c r="P36" s="426">
        <f t="shared" si="4"/>
        <v>20</v>
      </c>
      <c r="Q36" s="780" t="str">
        <f t="shared" si="5"/>
        <v>--</v>
      </c>
      <c r="R36" s="405" t="str">
        <f t="shared" si="6"/>
        <v>--</v>
      </c>
      <c r="S36" s="406" t="str">
        <f t="shared" si="7"/>
        <v>--</v>
      </c>
      <c r="T36" s="437" t="str">
        <f t="shared" si="10"/>
        <v>--</v>
      </c>
      <c r="U36" s="27">
        <f t="shared" si="8"/>
      </c>
      <c r="V36" s="67">
        <f t="shared" si="9"/>
      </c>
      <c r="W36" s="40"/>
    </row>
    <row r="37" spans="2:23" s="12" customFormat="1" ht="16.5" customHeight="1">
      <c r="B37" s="46"/>
      <c r="C37" s="720"/>
      <c r="D37" s="705"/>
      <c r="E37" s="705"/>
      <c r="F37" s="721"/>
      <c r="G37" s="721"/>
      <c r="H37" s="728"/>
      <c r="I37" s="311">
        <f t="shared" si="0"/>
        <v>5.074</v>
      </c>
      <c r="J37" s="723"/>
      <c r="K37" s="724"/>
      <c r="L37" s="37">
        <f t="shared" si="1"/>
      </c>
      <c r="M37" s="66">
        <f t="shared" si="2"/>
      </c>
      <c r="N37" s="725"/>
      <c r="O37" s="30">
        <f t="shared" si="3"/>
      </c>
      <c r="P37" s="426">
        <f t="shared" si="4"/>
        <v>20</v>
      </c>
      <c r="Q37" s="780" t="str">
        <f t="shared" si="5"/>
        <v>--</v>
      </c>
      <c r="R37" s="405" t="str">
        <f t="shared" si="6"/>
        <v>--</v>
      </c>
      <c r="S37" s="406" t="str">
        <f t="shared" si="7"/>
        <v>--</v>
      </c>
      <c r="T37" s="437" t="str">
        <f t="shared" si="10"/>
        <v>--</v>
      </c>
      <c r="U37" s="27">
        <f t="shared" si="8"/>
      </c>
      <c r="V37" s="67">
        <f t="shared" si="9"/>
      </c>
      <c r="W37" s="40"/>
    </row>
    <row r="38" spans="2:23" s="12" customFormat="1" ht="16.5" customHeight="1">
      <c r="B38" s="46"/>
      <c r="C38" s="720"/>
      <c r="D38" s="705"/>
      <c r="E38" s="705"/>
      <c r="F38" s="721"/>
      <c r="G38" s="721"/>
      <c r="H38" s="728"/>
      <c r="I38" s="311">
        <f t="shared" si="0"/>
        <v>5.074</v>
      </c>
      <c r="J38" s="723"/>
      <c r="K38" s="724"/>
      <c r="L38" s="37">
        <f t="shared" si="1"/>
      </c>
      <c r="M38" s="66">
        <f t="shared" si="2"/>
      </c>
      <c r="N38" s="725"/>
      <c r="O38" s="30">
        <f t="shared" si="3"/>
      </c>
      <c r="P38" s="426">
        <f t="shared" si="4"/>
        <v>20</v>
      </c>
      <c r="Q38" s="780" t="str">
        <f t="shared" si="5"/>
        <v>--</v>
      </c>
      <c r="R38" s="405" t="str">
        <f t="shared" si="6"/>
        <v>--</v>
      </c>
      <c r="S38" s="406" t="str">
        <f t="shared" si="7"/>
        <v>--</v>
      </c>
      <c r="T38" s="437" t="str">
        <f t="shared" si="10"/>
        <v>--</v>
      </c>
      <c r="U38" s="27">
        <f t="shared" si="8"/>
      </c>
      <c r="V38" s="67">
        <f t="shared" si="9"/>
      </c>
      <c r="W38" s="40"/>
    </row>
    <row r="39" spans="2:23" s="12" customFormat="1" ht="16.5" customHeight="1">
      <c r="B39" s="46"/>
      <c r="C39" s="720"/>
      <c r="D39" s="705"/>
      <c r="E39" s="705"/>
      <c r="F39" s="721"/>
      <c r="G39" s="721"/>
      <c r="H39" s="728"/>
      <c r="I39" s="311">
        <f t="shared" si="0"/>
        <v>5.074</v>
      </c>
      <c r="J39" s="723"/>
      <c r="K39" s="724"/>
      <c r="L39" s="37">
        <f t="shared" si="1"/>
      </c>
      <c r="M39" s="66">
        <f t="shared" si="2"/>
      </c>
      <c r="N39" s="725"/>
      <c r="O39" s="30">
        <f t="shared" si="3"/>
      </c>
      <c r="P39" s="426">
        <f t="shared" si="4"/>
        <v>20</v>
      </c>
      <c r="Q39" s="780" t="str">
        <f t="shared" si="5"/>
        <v>--</v>
      </c>
      <c r="R39" s="405" t="str">
        <f t="shared" si="6"/>
        <v>--</v>
      </c>
      <c r="S39" s="406" t="str">
        <f t="shared" si="7"/>
        <v>--</v>
      </c>
      <c r="T39" s="437" t="str">
        <f t="shared" si="10"/>
        <v>--</v>
      </c>
      <c r="U39" s="27">
        <f t="shared" si="8"/>
      </c>
      <c r="V39" s="67">
        <f t="shared" si="9"/>
      </c>
      <c r="W39" s="40"/>
    </row>
    <row r="40" spans="2:23" s="12" customFormat="1" ht="16.5" customHeight="1">
      <c r="B40" s="46"/>
      <c r="C40" s="720"/>
      <c r="D40" s="705"/>
      <c r="E40" s="705"/>
      <c r="F40" s="721"/>
      <c r="G40" s="721"/>
      <c r="H40" s="728"/>
      <c r="I40" s="311">
        <f t="shared" si="0"/>
        <v>5.074</v>
      </c>
      <c r="J40" s="723"/>
      <c r="K40" s="724"/>
      <c r="L40" s="37">
        <f t="shared" si="1"/>
      </c>
      <c r="M40" s="66">
        <f t="shared" si="2"/>
      </c>
      <c r="N40" s="725"/>
      <c r="O40" s="30">
        <f t="shared" si="3"/>
      </c>
      <c r="P40" s="426">
        <f t="shared" si="4"/>
        <v>20</v>
      </c>
      <c r="Q40" s="780" t="str">
        <f t="shared" si="5"/>
        <v>--</v>
      </c>
      <c r="R40" s="405" t="str">
        <f t="shared" si="6"/>
        <v>--</v>
      </c>
      <c r="S40" s="406" t="str">
        <f t="shared" si="7"/>
        <v>--</v>
      </c>
      <c r="T40" s="437" t="str">
        <f t="shared" si="10"/>
        <v>--</v>
      </c>
      <c r="U40" s="27">
        <f t="shared" si="8"/>
      </c>
      <c r="V40" s="67">
        <f t="shared" si="9"/>
      </c>
      <c r="W40" s="40"/>
    </row>
    <row r="41" spans="2:23" s="12" customFormat="1" ht="16.5" customHeight="1">
      <c r="B41" s="46"/>
      <c r="C41" s="720"/>
      <c r="D41" s="705"/>
      <c r="E41" s="705"/>
      <c r="F41" s="721"/>
      <c r="G41" s="721"/>
      <c r="H41" s="728"/>
      <c r="I41" s="311">
        <f t="shared" si="0"/>
        <v>5.074</v>
      </c>
      <c r="J41" s="723"/>
      <c r="K41" s="724"/>
      <c r="L41" s="37">
        <f t="shared" si="1"/>
      </c>
      <c r="M41" s="66">
        <f t="shared" si="2"/>
      </c>
      <c r="N41" s="725"/>
      <c r="O41" s="30">
        <f t="shared" si="3"/>
      </c>
      <c r="P41" s="426">
        <f t="shared" si="4"/>
        <v>20</v>
      </c>
      <c r="Q41" s="780" t="str">
        <f t="shared" si="5"/>
        <v>--</v>
      </c>
      <c r="R41" s="405" t="str">
        <f t="shared" si="6"/>
        <v>--</v>
      </c>
      <c r="S41" s="406" t="str">
        <f t="shared" si="7"/>
        <v>--</v>
      </c>
      <c r="T41" s="437" t="str">
        <f>IF(N41="RF",I41*P41*ROUND(M41/60,2),"--")</f>
        <v>--</v>
      </c>
      <c r="U41" s="27">
        <f t="shared" si="8"/>
      </c>
      <c r="V41" s="67">
        <f t="shared" si="9"/>
      </c>
      <c r="W41" s="40"/>
    </row>
    <row r="42" spans="2:23" s="12" customFormat="1" ht="16.5" customHeight="1">
      <c r="B42" s="46"/>
      <c r="C42" s="720"/>
      <c r="D42" s="705"/>
      <c r="E42" s="705"/>
      <c r="F42" s="721"/>
      <c r="G42" s="721"/>
      <c r="H42" s="728"/>
      <c r="I42" s="311">
        <f t="shared" si="0"/>
        <v>5.074</v>
      </c>
      <c r="J42" s="723"/>
      <c r="K42" s="724"/>
      <c r="L42" s="37">
        <f t="shared" si="1"/>
      </c>
      <c r="M42" s="66">
        <f t="shared" si="2"/>
      </c>
      <c r="N42" s="725"/>
      <c r="O42" s="30">
        <f t="shared" si="3"/>
      </c>
      <c r="P42" s="426">
        <f t="shared" si="4"/>
        <v>20</v>
      </c>
      <c r="Q42" s="780" t="str">
        <f t="shared" si="5"/>
        <v>--</v>
      </c>
      <c r="R42" s="405" t="str">
        <f t="shared" si="6"/>
        <v>--</v>
      </c>
      <c r="S42" s="406" t="str">
        <f t="shared" si="7"/>
        <v>--</v>
      </c>
      <c r="T42" s="437" t="str">
        <f>IF(N42="RF",I42*P42*ROUND(M42/60,2),"--")</f>
        <v>--</v>
      </c>
      <c r="U42" s="27">
        <f t="shared" si="8"/>
      </c>
      <c r="V42" s="67">
        <f t="shared" si="9"/>
      </c>
      <c r="W42" s="40"/>
    </row>
    <row r="43" spans="2:23" s="12" customFormat="1" ht="16.5" customHeight="1">
      <c r="B43" s="46"/>
      <c r="C43" s="720"/>
      <c r="D43" s="705"/>
      <c r="E43" s="705"/>
      <c r="F43" s="721"/>
      <c r="G43" s="721"/>
      <c r="H43" s="728"/>
      <c r="I43" s="311">
        <f t="shared" si="0"/>
        <v>5.074</v>
      </c>
      <c r="J43" s="723"/>
      <c r="K43" s="724"/>
      <c r="L43" s="37">
        <f t="shared" si="1"/>
      </c>
      <c r="M43" s="66">
        <f t="shared" si="2"/>
      </c>
      <c r="N43" s="725"/>
      <c r="O43" s="30">
        <f t="shared" si="3"/>
      </c>
      <c r="P43" s="426">
        <f t="shared" si="4"/>
        <v>20</v>
      </c>
      <c r="Q43" s="780" t="str">
        <f t="shared" si="5"/>
        <v>--</v>
      </c>
      <c r="R43" s="405" t="str">
        <f t="shared" si="6"/>
        <v>--</v>
      </c>
      <c r="S43" s="406" t="str">
        <f t="shared" si="7"/>
        <v>--</v>
      </c>
      <c r="T43" s="437" t="str">
        <f>IF(N43="RF",I43*P43*ROUND(M43/60,2),"--")</f>
        <v>--</v>
      </c>
      <c r="U43" s="27">
        <f t="shared" si="8"/>
      </c>
      <c r="V43" s="67">
        <f t="shared" si="9"/>
      </c>
      <c r="W43" s="40"/>
    </row>
    <row r="44" spans="2:23" s="12" customFormat="1" ht="16.5" customHeight="1" thickBot="1">
      <c r="B44" s="46"/>
      <c r="C44" s="708"/>
      <c r="D44" s="708"/>
      <c r="E44" s="708"/>
      <c r="F44" s="708"/>
      <c r="G44" s="708"/>
      <c r="H44" s="708"/>
      <c r="I44" s="310"/>
      <c r="J44" s="708"/>
      <c r="K44" s="708"/>
      <c r="L44" s="31"/>
      <c r="M44" s="31"/>
      <c r="N44" s="708"/>
      <c r="O44" s="708"/>
      <c r="P44" s="726"/>
      <c r="Q44" s="727"/>
      <c r="R44" s="716"/>
      <c r="S44" s="717"/>
      <c r="T44" s="711"/>
      <c r="U44" s="708"/>
      <c r="V44" s="236"/>
      <c r="W44" s="40"/>
    </row>
    <row r="45" spans="2:23" s="12" customFormat="1" ht="16.5" customHeight="1" thickBot="1" thickTop="1">
      <c r="B45" s="46"/>
      <c r="C45" s="276" t="s">
        <v>65</v>
      </c>
      <c r="D45" s="800" t="s">
        <v>189</v>
      </c>
      <c r="E45" s="760"/>
      <c r="F45" s="277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38">
        <f>ROUND(SUM(Q22:Q44),2)</f>
        <v>9.44</v>
      </c>
      <c r="R45" s="366">
        <f>SUM(R22:R44)</f>
        <v>253.7</v>
      </c>
      <c r="S45" s="366">
        <f>SUM(S22:S44)</f>
        <v>78.64699999999999</v>
      </c>
      <c r="T45" s="439">
        <f>SUM(T22:T44)</f>
        <v>0</v>
      </c>
      <c r="U45" s="68"/>
      <c r="V45" s="292">
        <f>SUM(V22:V44)</f>
        <v>341.78463999999997</v>
      </c>
      <c r="W45" s="40"/>
    </row>
    <row r="46" spans="2:23" s="295" customFormat="1" ht="9.75" thickTop="1">
      <c r="B46" s="294"/>
      <c r="C46" s="278"/>
      <c r="D46" s="278"/>
      <c r="E46" s="278"/>
      <c r="F46" s="27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9"/>
      <c r="V46" s="300"/>
      <c r="W46" s="301"/>
    </row>
    <row r="47" spans="1:23" s="12" customFormat="1" ht="16.5" customHeight="1" thickBot="1">
      <c r="A47" s="13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zoomScale="75" zoomScaleNormal="75" zoomScalePageLayoutView="0" workbookViewId="0" topLeftCell="A1">
      <selection activeCell="A22" sqref="A22:IV2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0" width="16.421875" style="0" customWidth="1"/>
    <col min="11" max="11" width="16.2812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5" customFormat="1" ht="26.25">
      <c r="W1" s="473"/>
    </row>
    <row r="2" spans="2:23" s="125" customFormat="1" ht="26.25">
      <c r="B2" s="126" t="str">
        <f>+'TOT-1213'!B2</f>
        <v>ANEXO VI al Memorándum  D.T.E.E.  N°       598    / 2014.-</v>
      </c>
      <c r="C2" s="127"/>
      <c r="D2" s="127"/>
      <c r="E2" s="127"/>
      <c r="F2" s="127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="12" customFormat="1" ht="12.75"/>
    <row r="4" spans="1:4" s="128" customFormat="1" ht="11.25">
      <c r="A4" s="763" t="s">
        <v>17</v>
      </c>
      <c r="C4" s="762"/>
      <c r="D4" s="762"/>
    </row>
    <row r="5" spans="1:4" s="128" customFormat="1" ht="11.25">
      <c r="A5" s="763" t="s">
        <v>143</v>
      </c>
      <c r="C5" s="762"/>
      <c r="D5" s="762"/>
    </row>
    <row r="6" s="12" customFormat="1" ht="12.75"/>
    <row r="7" s="12" customFormat="1" ht="13.5" thickBot="1"/>
    <row r="8" spans="2:23" s="12" customFormat="1" ht="13.5" thickTop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23" s="130" customFormat="1" ht="20.25">
      <c r="B9" s="129"/>
      <c r="C9" s="23"/>
      <c r="D9" s="23"/>
      <c r="E9" s="23"/>
      <c r="F9" s="23" t="s">
        <v>41</v>
      </c>
      <c r="G9" s="88"/>
      <c r="H9" s="151"/>
      <c r="I9" s="150"/>
      <c r="J9" s="150"/>
      <c r="K9" s="150"/>
      <c r="L9" s="150"/>
      <c r="M9" s="150"/>
      <c r="N9" s="150"/>
      <c r="O9" s="151"/>
      <c r="P9" s="151"/>
      <c r="Q9" s="151"/>
      <c r="R9" s="151"/>
      <c r="S9" s="151"/>
      <c r="T9" s="151"/>
      <c r="U9" s="151"/>
      <c r="V9" s="151"/>
      <c r="W9" s="185"/>
    </row>
    <row r="10" spans="2:23" s="12" customFormat="1" ht="12.75">
      <c r="B10" s="4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</row>
    <row r="11" spans="2:23" s="130" customFormat="1" ht="20.25">
      <c r="B11" s="129"/>
      <c r="F11" s="23" t="s">
        <v>90</v>
      </c>
      <c r="H11" s="69"/>
      <c r="I11" s="132"/>
      <c r="J11" s="132"/>
      <c r="K11" s="132"/>
      <c r="L11" s="132"/>
      <c r="M11" s="132"/>
      <c r="N11" s="132"/>
      <c r="O11" s="132"/>
      <c r="P11" s="132"/>
      <c r="Q11" s="47"/>
      <c r="R11" s="47"/>
      <c r="S11" s="47"/>
      <c r="T11" s="47"/>
      <c r="U11" s="47"/>
      <c r="V11" s="47"/>
      <c r="W11" s="131"/>
    </row>
    <row r="12" spans="2:23" s="12" customFormat="1" ht="16.5" customHeight="1">
      <c r="B12" s="46"/>
      <c r="C12" s="10"/>
      <c r="D12" s="10"/>
      <c r="E12" s="10"/>
      <c r="F12" s="142"/>
      <c r="H12" s="152"/>
      <c r="I12" s="138"/>
      <c r="J12" s="138"/>
      <c r="K12" s="138"/>
      <c r="L12" s="138"/>
      <c r="M12" s="138"/>
      <c r="N12" s="138"/>
      <c r="O12" s="138"/>
      <c r="P12" s="138"/>
      <c r="Q12" s="10"/>
      <c r="R12" s="10"/>
      <c r="S12" s="10"/>
      <c r="T12" s="10"/>
      <c r="U12" s="10"/>
      <c r="V12" s="10"/>
      <c r="W12" s="13"/>
    </row>
    <row r="13" spans="2:23" s="137" customFormat="1" ht="16.5" customHeight="1">
      <c r="B13" s="103" t="str">
        <f>+'TOT-1213'!B14</f>
        <v>Desde el 01 al 31 de diciembre de 2013</v>
      </c>
      <c r="C13" s="133"/>
      <c r="D13" s="133"/>
      <c r="E13" s="133"/>
      <c r="F13" s="135"/>
      <c r="G13" s="135"/>
      <c r="H13" s="135"/>
      <c r="I13" s="135"/>
      <c r="J13" s="102"/>
      <c r="K13" s="135"/>
      <c r="L13" s="135"/>
      <c r="M13" s="135"/>
      <c r="N13" s="135"/>
      <c r="O13" s="135"/>
      <c r="P13" s="135"/>
      <c r="Q13" s="133"/>
      <c r="R13" s="133"/>
      <c r="S13" s="133"/>
      <c r="T13" s="133"/>
      <c r="U13" s="133"/>
      <c r="V13" s="133"/>
      <c r="W13" s="136"/>
    </row>
    <row r="14" spans="2:23" s="12" customFormat="1" ht="16.5" customHeight="1" thickBot="1">
      <c r="B14" s="4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6"/>
      <c r="C15" s="10"/>
      <c r="D15" s="10"/>
      <c r="E15" s="10"/>
      <c r="F15" s="241" t="s">
        <v>91</v>
      </c>
      <c r="G15" s="258"/>
      <c r="H15" s="259"/>
      <c r="I15" s="260"/>
      <c r="J15" s="467">
        <v>0.507</v>
      </c>
      <c r="K15" s="10"/>
      <c r="L15" s="10"/>
      <c r="M15" s="10"/>
      <c r="N15" s="10"/>
      <c r="P15" s="10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6"/>
      <c r="C16" s="10"/>
      <c r="D16" s="10"/>
      <c r="E16" s="10"/>
      <c r="F16" s="261" t="s">
        <v>70</v>
      </c>
      <c r="G16" s="262"/>
      <c r="H16" s="262"/>
      <c r="I16" s="260"/>
      <c r="J16" s="263">
        <f>6*'TOT-1213'!B13</f>
        <v>6</v>
      </c>
      <c r="K16" s="272" t="str">
        <f>IF(J16=20," ",IF(J16=40,"  Coeficiente duplicado por tasa de falla &gt;4 Sal. x año/100 km.","REVISAR COEFICIENTE"))</f>
        <v>REVISAR COEFICIENTE</v>
      </c>
      <c r="L16" s="10"/>
      <c r="M16" s="10"/>
      <c r="N16" s="10"/>
      <c r="P16" s="10"/>
      <c r="Q16" s="10"/>
      <c r="R16" s="10"/>
      <c r="S16" s="238"/>
      <c r="T16" s="238"/>
      <c r="U16" s="238"/>
      <c r="V16" s="238"/>
      <c r="W16" s="13"/>
    </row>
    <row r="17" spans="2:23" s="12" customFormat="1" ht="16.5" customHeight="1" thickTop="1">
      <c r="B17" s="4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2:23" s="790" customFormat="1" ht="16.5" customHeight="1" thickBot="1">
      <c r="B18" s="787"/>
      <c r="C18" s="788">
        <v>3</v>
      </c>
      <c r="D18" s="788">
        <v>4</v>
      </c>
      <c r="E18" s="788">
        <v>5</v>
      </c>
      <c r="F18" s="788">
        <v>6</v>
      </c>
      <c r="G18" s="788">
        <v>7</v>
      </c>
      <c r="H18" s="788">
        <v>8</v>
      </c>
      <c r="I18" s="788">
        <v>9</v>
      </c>
      <c r="J18" s="788">
        <v>10</v>
      </c>
      <c r="K18" s="788">
        <v>11</v>
      </c>
      <c r="L18" s="788">
        <v>12</v>
      </c>
      <c r="M18" s="788">
        <v>13</v>
      </c>
      <c r="N18" s="788">
        <v>14</v>
      </c>
      <c r="O18" s="788">
        <v>15</v>
      </c>
      <c r="P18" s="788">
        <v>16</v>
      </c>
      <c r="Q18" s="788">
        <v>17</v>
      </c>
      <c r="R18" s="788">
        <v>18</v>
      </c>
      <c r="S18" s="788">
        <v>19</v>
      </c>
      <c r="T18" s="788">
        <v>20</v>
      </c>
      <c r="U18" s="788">
        <v>21</v>
      </c>
      <c r="V18" s="788">
        <v>22</v>
      </c>
      <c r="W18" s="789"/>
    </row>
    <row r="19" spans="2:23" s="124" customFormat="1" ht="33.75" customHeight="1" thickBot="1" thickTop="1">
      <c r="B19" s="116"/>
      <c r="C19" s="117" t="s">
        <v>47</v>
      </c>
      <c r="D19" s="117" t="s">
        <v>142</v>
      </c>
      <c r="E19" s="117" t="s">
        <v>141</v>
      </c>
      <c r="F19" s="119" t="s">
        <v>71</v>
      </c>
      <c r="G19" s="118" t="s">
        <v>15</v>
      </c>
      <c r="H19" s="264" t="s">
        <v>92</v>
      </c>
      <c r="I19" s="303" t="s">
        <v>50</v>
      </c>
      <c r="J19" s="118" t="s">
        <v>51</v>
      </c>
      <c r="K19" s="118" t="s">
        <v>52</v>
      </c>
      <c r="L19" s="119" t="s">
        <v>75</v>
      </c>
      <c r="M19" s="119" t="s">
        <v>76</v>
      </c>
      <c r="N19" s="121" t="s">
        <v>55</v>
      </c>
      <c r="O19" s="118" t="s">
        <v>93</v>
      </c>
      <c r="P19" s="374" t="s">
        <v>94</v>
      </c>
      <c r="Q19" s="384" t="s">
        <v>57</v>
      </c>
      <c r="R19" s="454" t="s">
        <v>95</v>
      </c>
      <c r="S19" s="352"/>
      <c r="T19" s="359" t="s">
        <v>61</v>
      </c>
      <c r="U19" s="122" t="s">
        <v>63</v>
      </c>
      <c r="V19" s="265" t="s">
        <v>64</v>
      </c>
      <c r="W19" s="123"/>
    </row>
    <row r="20" spans="2:23" s="12" customFormat="1" ht="16.5" customHeight="1" thickTop="1">
      <c r="B20" s="46"/>
      <c r="C20" s="255"/>
      <c r="D20" s="758"/>
      <c r="E20" s="758"/>
      <c r="F20" s="758"/>
      <c r="G20" s="256"/>
      <c r="H20" s="256"/>
      <c r="I20" s="440"/>
      <c r="J20" s="257"/>
      <c r="K20" s="257"/>
      <c r="L20" s="255"/>
      <c r="M20" s="255"/>
      <c r="N20" s="256"/>
      <c r="O20" s="184"/>
      <c r="P20" s="447"/>
      <c r="Q20" s="448"/>
      <c r="R20" s="450"/>
      <c r="S20" s="455"/>
      <c r="T20" s="464"/>
      <c r="U20" s="457"/>
      <c r="V20" s="449"/>
      <c r="W20" s="13"/>
    </row>
    <row r="21" spans="2:23" s="12" customFormat="1" ht="16.5" customHeight="1">
      <c r="B21" s="46"/>
      <c r="C21" s="90"/>
      <c r="D21" s="90"/>
      <c r="E21" s="90"/>
      <c r="F21" s="92"/>
      <c r="G21" s="91"/>
      <c r="H21" s="92"/>
      <c r="I21" s="441"/>
      <c r="J21" s="94"/>
      <c r="K21" s="95"/>
      <c r="L21" s="96"/>
      <c r="M21" s="97"/>
      <c r="N21" s="98"/>
      <c r="O21" s="93"/>
      <c r="P21" s="444"/>
      <c r="Q21" s="445"/>
      <c r="R21" s="451"/>
      <c r="S21" s="456"/>
      <c r="T21" s="465"/>
      <c r="U21" s="93"/>
      <c r="V21" s="266"/>
      <c r="W21" s="13"/>
    </row>
    <row r="22" spans="2:23" s="12" customFormat="1" ht="16.5" customHeight="1">
      <c r="B22" s="46"/>
      <c r="C22" s="569">
        <v>29</v>
      </c>
      <c r="D22" s="569">
        <v>268815</v>
      </c>
      <c r="E22" s="569">
        <v>4441</v>
      </c>
      <c r="F22" s="730" t="s">
        <v>161</v>
      </c>
      <c r="G22" s="729" t="s">
        <v>183</v>
      </c>
      <c r="H22" s="730">
        <v>7</v>
      </c>
      <c r="I22" s="442">
        <f>H22*$J$15</f>
        <v>3.549</v>
      </c>
      <c r="J22" s="734">
        <v>41616.225</v>
      </c>
      <c r="K22" s="735">
        <v>41616.53194444445</v>
      </c>
      <c r="L22" s="99">
        <f>IF(F22="","",(K22-J22)*24)</f>
        <v>7.366666666755918</v>
      </c>
      <c r="M22" s="66">
        <f>IF(F22="","",ROUND((K22-J22)*24*60,0))</f>
        <v>442</v>
      </c>
      <c r="N22" s="737" t="s">
        <v>148</v>
      </c>
      <c r="O22" s="781" t="str">
        <f>IF(F22="","",IF(N22="P","--","NO"))</f>
        <v>--</v>
      </c>
      <c r="P22" s="782">
        <f>IF(OR(N22="P",N22="RP"),$J$16*0.1,$J$16)</f>
        <v>0.6000000000000001</v>
      </c>
      <c r="Q22" s="783">
        <f>IF(N22="P",I22*P22*ROUND(M22/60,2),"--")</f>
        <v>15.693678000000004</v>
      </c>
      <c r="R22" s="771" t="str">
        <f>IF(AND(N22="F",O22="NO"),I22*P22,"--")</f>
        <v>--</v>
      </c>
      <c r="S22" s="784" t="str">
        <f>IF(N22="F",I22*P22*ROUND(M22/60,2),"--")</f>
        <v>--</v>
      </c>
      <c r="T22" s="785" t="str">
        <f>IF(N22="RF",I22*P22*ROUND(M22/60,2),"--")</f>
        <v>--</v>
      </c>
      <c r="U22" s="781" t="s">
        <v>149</v>
      </c>
      <c r="V22" s="100">
        <f>IF(F22="","",SUM(Q22:T22)*IF(U22="SI",1,2))</f>
        <v>15.693678000000004</v>
      </c>
      <c r="W22" s="13"/>
    </row>
    <row r="23" spans="2:23" s="12" customFormat="1" ht="16.5" customHeight="1">
      <c r="B23" s="46"/>
      <c r="C23" s="569">
        <v>30</v>
      </c>
      <c r="D23" s="569">
        <v>268816</v>
      </c>
      <c r="E23" s="569">
        <v>4439</v>
      </c>
      <c r="F23" s="730" t="s">
        <v>161</v>
      </c>
      <c r="G23" s="729" t="s">
        <v>184</v>
      </c>
      <c r="H23" s="730">
        <v>7</v>
      </c>
      <c r="I23" s="442">
        <f aca="true" t="shared" si="0" ref="I23:I38">H23*$J$15</f>
        <v>3.549</v>
      </c>
      <c r="J23" s="734">
        <v>41616.225</v>
      </c>
      <c r="K23" s="735">
        <v>41616.53194444445</v>
      </c>
      <c r="L23" s="99">
        <f aca="true" t="shared" si="1" ref="L23:L38">IF(F23="","",(K23-J23)*24)</f>
        <v>7.366666666755918</v>
      </c>
      <c r="M23" s="66">
        <f aca="true" t="shared" si="2" ref="M23:M38">IF(F23="","",ROUND((K23-J23)*24*60,0))</f>
        <v>442</v>
      </c>
      <c r="N23" s="737" t="s">
        <v>148</v>
      </c>
      <c r="O23" s="781" t="str">
        <f aca="true" t="shared" si="3" ref="O23:O38">IF(F23="","",IF(N23="P","--","NO"))</f>
        <v>--</v>
      </c>
      <c r="P23" s="782">
        <f aca="true" t="shared" si="4" ref="P23:P38">IF(OR(N23="P",N23="RP"),$J$16*0.1,$J$16)</f>
        <v>0.6000000000000001</v>
      </c>
      <c r="Q23" s="783">
        <f aca="true" t="shared" si="5" ref="Q23:Q38">IF(N23="P",I23*P23*ROUND(M23/60,2),"--")</f>
        <v>15.693678000000004</v>
      </c>
      <c r="R23" s="771" t="str">
        <f aca="true" t="shared" si="6" ref="R23:R38">IF(AND(N23="F",O23="NO"),I23*P23,"--")</f>
        <v>--</v>
      </c>
      <c r="S23" s="784" t="str">
        <f aca="true" t="shared" si="7" ref="S23:S38">IF(N23="F",I23*P23*ROUND(M23/60,2),"--")</f>
        <v>--</v>
      </c>
      <c r="T23" s="785" t="str">
        <f aca="true" t="shared" si="8" ref="T23:T38">IF(N23="RF",I23*P23*ROUND(M23/60,2),"--")</f>
        <v>--</v>
      </c>
      <c r="U23" s="781" t="s">
        <v>149</v>
      </c>
      <c r="V23" s="100">
        <f aca="true" t="shared" si="9" ref="V23:V38">IF(F23="","",SUM(Q23:T23)*IF(U23="SI",1,2))</f>
        <v>15.693678000000004</v>
      </c>
      <c r="W23" s="13"/>
    </row>
    <row r="24" spans="2:23" s="12" customFormat="1" ht="16.5" customHeight="1">
      <c r="B24" s="46"/>
      <c r="C24" s="569">
        <v>31</v>
      </c>
      <c r="D24" s="569">
        <v>268817</v>
      </c>
      <c r="E24" s="569">
        <v>4440</v>
      </c>
      <c r="F24" s="730" t="s">
        <v>161</v>
      </c>
      <c r="G24" s="729" t="s">
        <v>171</v>
      </c>
      <c r="H24" s="730">
        <v>7</v>
      </c>
      <c r="I24" s="442">
        <f t="shared" si="0"/>
        <v>3.549</v>
      </c>
      <c r="J24" s="734">
        <v>41616.225</v>
      </c>
      <c r="K24" s="735">
        <v>41616.53194444445</v>
      </c>
      <c r="L24" s="99">
        <f t="shared" si="1"/>
        <v>7.366666666755918</v>
      </c>
      <c r="M24" s="66">
        <f t="shared" si="2"/>
        <v>442</v>
      </c>
      <c r="N24" s="737" t="s">
        <v>148</v>
      </c>
      <c r="O24" s="781" t="str">
        <f t="shared" si="3"/>
        <v>--</v>
      </c>
      <c r="P24" s="782">
        <f t="shared" si="4"/>
        <v>0.6000000000000001</v>
      </c>
      <c r="Q24" s="783">
        <f t="shared" si="5"/>
        <v>15.693678000000004</v>
      </c>
      <c r="R24" s="771" t="str">
        <f t="shared" si="6"/>
        <v>--</v>
      </c>
      <c r="S24" s="784" t="str">
        <f t="shared" si="7"/>
        <v>--</v>
      </c>
      <c r="T24" s="785" t="str">
        <f t="shared" si="8"/>
        <v>--</v>
      </c>
      <c r="U24" s="781" t="s">
        <v>149</v>
      </c>
      <c r="V24" s="100">
        <f t="shared" si="9"/>
        <v>15.693678000000004</v>
      </c>
      <c r="W24" s="13"/>
    </row>
    <row r="25" spans="2:23" s="12" customFormat="1" ht="16.5" customHeight="1">
      <c r="B25" s="46"/>
      <c r="C25" s="569">
        <v>32</v>
      </c>
      <c r="D25" s="569">
        <v>268818</v>
      </c>
      <c r="E25" s="569">
        <v>4442</v>
      </c>
      <c r="F25" s="730" t="s">
        <v>161</v>
      </c>
      <c r="G25" s="729" t="s">
        <v>172</v>
      </c>
      <c r="H25" s="730">
        <v>7</v>
      </c>
      <c r="I25" s="442">
        <f t="shared" si="0"/>
        <v>3.549</v>
      </c>
      <c r="J25" s="734">
        <v>41616.225</v>
      </c>
      <c r="K25" s="735">
        <v>41616.53194444445</v>
      </c>
      <c r="L25" s="99">
        <f t="shared" si="1"/>
        <v>7.366666666755918</v>
      </c>
      <c r="M25" s="66">
        <f t="shared" si="2"/>
        <v>442</v>
      </c>
      <c r="N25" s="737" t="s">
        <v>148</v>
      </c>
      <c r="O25" s="781" t="str">
        <f t="shared" si="3"/>
        <v>--</v>
      </c>
      <c r="P25" s="782">
        <f t="shared" si="4"/>
        <v>0.6000000000000001</v>
      </c>
      <c r="Q25" s="783">
        <f t="shared" si="5"/>
        <v>15.693678000000004</v>
      </c>
      <c r="R25" s="771" t="str">
        <f t="shared" si="6"/>
        <v>--</v>
      </c>
      <c r="S25" s="784" t="str">
        <f t="shared" si="7"/>
        <v>--</v>
      </c>
      <c r="T25" s="785" t="str">
        <f t="shared" si="8"/>
        <v>--</v>
      </c>
      <c r="U25" s="781" t="s">
        <v>149</v>
      </c>
      <c r="V25" s="100">
        <f t="shared" si="9"/>
        <v>15.693678000000004</v>
      </c>
      <c r="W25" s="253"/>
    </row>
    <row r="26" spans="2:23" s="12" customFormat="1" ht="16.5" customHeight="1">
      <c r="B26" s="46"/>
      <c r="C26" s="569">
        <v>33</v>
      </c>
      <c r="D26" s="569">
        <v>269243</v>
      </c>
      <c r="E26" s="569">
        <v>2630</v>
      </c>
      <c r="F26" s="730" t="s">
        <v>173</v>
      </c>
      <c r="G26" s="729" t="s">
        <v>174</v>
      </c>
      <c r="H26" s="730">
        <v>50</v>
      </c>
      <c r="I26" s="442">
        <f t="shared" si="0"/>
        <v>25.35</v>
      </c>
      <c r="J26" s="734">
        <v>41626.339583333334</v>
      </c>
      <c r="K26" s="735">
        <v>41626.580555555556</v>
      </c>
      <c r="L26" s="99">
        <f t="shared" si="1"/>
        <v>5.783333333325572</v>
      </c>
      <c r="M26" s="66">
        <f t="shared" si="2"/>
        <v>347</v>
      </c>
      <c r="N26" s="737" t="s">
        <v>148</v>
      </c>
      <c r="O26" s="781" t="str">
        <f t="shared" si="3"/>
        <v>--</v>
      </c>
      <c r="P26" s="782">
        <f t="shared" si="4"/>
        <v>0.6000000000000001</v>
      </c>
      <c r="Q26" s="783">
        <f t="shared" si="5"/>
        <v>87.91380000000002</v>
      </c>
      <c r="R26" s="771" t="str">
        <f t="shared" si="6"/>
        <v>--</v>
      </c>
      <c r="S26" s="784" t="str">
        <f t="shared" si="7"/>
        <v>--</v>
      </c>
      <c r="T26" s="785" t="str">
        <f t="shared" si="8"/>
        <v>--</v>
      </c>
      <c r="U26" s="781" t="s">
        <v>149</v>
      </c>
      <c r="V26" s="100">
        <f t="shared" si="9"/>
        <v>87.91380000000002</v>
      </c>
      <c r="W26" s="253"/>
    </row>
    <row r="27" spans="2:23" s="12" customFormat="1" ht="16.5" customHeight="1">
      <c r="B27" s="46"/>
      <c r="C27" s="569"/>
      <c r="D27" s="569"/>
      <c r="E27" s="569"/>
      <c r="F27" s="730"/>
      <c r="G27" s="729"/>
      <c r="H27" s="730"/>
      <c r="I27" s="442">
        <f t="shared" si="0"/>
        <v>0</v>
      </c>
      <c r="J27" s="734"/>
      <c r="K27" s="735"/>
      <c r="L27" s="99">
        <f t="shared" si="1"/>
      </c>
      <c r="M27" s="66">
        <f t="shared" si="2"/>
      </c>
      <c r="N27" s="737"/>
      <c r="O27" s="781">
        <f t="shared" si="3"/>
      </c>
      <c r="P27" s="782">
        <f t="shared" si="4"/>
        <v>6</v>
      </c>
      <c r="Q27" s="783" t="str">
        <f t="shared" si="5"/>
        <v>--</v>
      </c>
      <c r="R27" s="771" t="str">
        <f t="shared" si="6"/>
        <v>--</v>
      </c>
      <c r="S27" s="784" t="str">
        <f t="shared" si="7"/>
        <v>--</v>
      </c>
      <c r="T27" s="785" t="str">
        <f t="shared" si="8"/>
        <v>--</v>
      </c>
      <c r="U27" s="781">
        <f aca="true" t="shared" si="10" ref="U27:U38">IF(F27="","","SI")</f>
      </c>
      <c r="V27" s="100">
        <f t="shared" si="9"/>
      </c>
      <c r="W27" s="253"/>
    </row>
    <row r="28" spans="2:23" s="12" customFormat="1" ht="16.5" customHeight="1">
      <c r="B28" s="46"/>
      <c r="C28" s="569"/>
      <c r="D28" s="569"/>
      <c r="E28" s="569"/>
      <c r="F28" s="730"/>
      <c r="G28" s="729"/>
      <c r="H28" s="730"/>
      <c r="I28" s="442">
        <f t="shared" si="0"/>
        <v>0</v>
      </c>
      <c r="J28" s="734"/>
      <c r="K28" s="735"/>
      <c r="L28" s="99">
        <f t="shared" si="1"/>
      </c>
      <c r="M28" s="66">
        <f t="shared" si="2"/>
      </c>
      <c r="N28" s="737"/>
      <c r="O28" s="781">
        <f t="shared" si="3"/>
      </c>
      <c r="P28" s="782">
        <f t="shared" si="4"/>
        <v>6</v>
      </c>
      <c r="Q28" s="783" t="str">
        <f t="shared" si="5"/>
        <v>--</v>
      </c>
      <c r="R28" s="771" t="str">
        <f t="shared" si="6"/>
        <v>--</v>
      </c>
      <c r="S28" s="784" t="str">
        <f t="shared" si="7"/>
        <v>--</v>
      </c>
      <c r="T28" s="785" t="str">
        <f t="shared" si="8"/>
        <v>--</v>
      </c>
      <c r="U28" s="781">
        <f t="shared" si="10"/>
      </c>
      <c r="V28" s="100">
        <f t="shared" si="9"/>
      </c>
      <c r="W28" s="253"/>
    </row>
    <row r="29" spans="2:23" s="12" customFormat="1" ht="16.5" customHeight="1">
      <c r="B29" s="46"/>
      <c r="C29" s="569"/>
      <c r="D29" s="569"/>
      <c r="E29" s="569"/>
      <c r="F29" s="730"/>
      <c r="G29" s="729"/>
      <c r="H29" s="730"/>
      <c r="I29" s="442">
        <f t="shared" si="0"/>
        <v>0</v>
      </c>
      <c r="J29" s="734"/>
      <c r="K29" s="735"/>
      <c r="L29" s="99">
        <f t="shared" si="1"/>
      </c>
      <c r="M29" s="66">
        <f t="shared" si="2"/>
      </c>
      <c r="N29" s="737"/>
      <c r="O29" s="781">
        <f t="shared" si="3"/>
      </c>
      <c r="P29" s="782">
        <f t="shared" si="4"/>
        <v>6</v>
      </c>
      <c r="Q29" s="783" t="str">
        <f t="shared" si="5"/>
        <v>--</v>
      </c>
      <c r="R29" s="771" t="str">
        <f t="shared" si="6"/>
        <v>--</v>
      </c>
      <c r="S29" s="784" t="str">
        <f t="shared" si="7"/>
        <v>--</v>
      </c>
      <c r="T29" s="785" t="str">
        <f t="shared" si="8"/>
        <v>--</v>
      </c>
      <c r="U29" s="781">
        <f t="shared" si="10"/>
      </c>
      <c r="V29" s="100">
        <f t="shared" si="9"/>
      </c>
      <c r="W29" s="253"/>
    </row>
    <row r="30" spans="2:23" s="12" customFormat="1" ht="16.5" customHeight="1">
      <c r="B30" s="46"/>
      <c r="C30" s="569"/>
      <c r="D30" s="569"/>
      <c r="E30" s="569"/>
      <c r="F30" s="730"/>
      <c r="G30" s="729"/>
      <c r="H30" s="730"/>
      <c r="I30" s="442">
        <f t="shared" si="0"/>
        <v>0</v>
      </c>
      <c r="J30" s="734"/>
      <c r="K30" s="735"/>
      <c r="L30" s="99">
        <f t="shared" si="1"/>
      </c>
      <c r="M30" s="66">
        <f t="shared" si="2"/>
      </c>
      <c r="N30" s="737"/>
      <c r="O30" s="781">
        <f t="shared" si="3"/>
      </c>
      <c r="P30" s="782">
        <f t="shared" si="4"/>
        <v>6</v>
      </c>
      <c r="Q30" s="783" t="str">
        <f t="shared" si="5"/>
        <v>--</v>
      </c>
      <c r="R30" s="771" t="str">
        <f t="shared" si="6"/>
        <v>--</v>
      </c>
      <c r="S30" s="784" t="str">
        <f t="shared" si="7"/>
        <v>--</v>
      </c>
      <c r="T30" s="785" t="str">
        <f t="shared" si="8"/>
        <v>--</v>
      </c>
      <c r="U30" s="781">
        <f t="shared" si="10"/>
      </c>
      <c r="V30" s="100">
        <f t="shared" si="9"/>
      </c>
      <c r="W30" s="253"/>
    </row>
    <row r="31" spans="2:23" s="12" customFormat="1" ht="16.5" customHeight="1">
      <c r="B31" s="46"/>
      <c r="C31" s="569"/>
      <c r="D31" s="569"/>
      <c r="E31" s="569"/>
      <c r="F31" s="730"/>
      <c r="G31" s="729"/>
      <c r="H31" s="730"/>
      <c r="I31" s="442">
        <f t="shared" si="0"/>
        <v>0</v>
      </c>
      <c r="J31" s="734"/>
      <c r="K31" s="735"/>
      <c r="L31" s="99">
        <f t="shared" si="1"/>
      </c>
      <c r="M31" s="66">
        <f t="shared" si="2"/>
      </c>
      <c r="N31" s="737"/>
      <c r="O31" s="781">
        <f t="shared" si="3"/>
      </c>
      <c r="P31" s="782">
        <f t="shared" si="4"/>
        <v>6</v>
      </c>
      <c r="Q31" s="783" t="str">
        <f t="shared" si="5"/>
        <v>--</v>
      </c>
      <c r="R31" s="771" t="str">
        <f t="shared" si="6"/>
        <v>--</v>
      </c>
      <c r="S31" s="784" t="str">
        <f t="shared" si="7"/>
        <v>--</v>
      </c>
      <c r="T31" s="785" t="str">
        <f t="shared" si="8"/>
        <v>--</v>
      </c>
      <c r="U31" s="781">
        <f t="shared" si="10"/>
      </c>
      <c r="V31" s="100">
        <f t="shared" si="9"/>
      </c>
      <c r="W31" s="13"/>
    </row>
    <row r="32" spans="2:23" s="12" customFormat="1" ht="16.5" customHeight="1">
      <c r="B32" s="46"/>
      <c r="C32" s="569"/>
      <c r="D32" s="569"/>
      <c r="E32" s="569"/>
      <c r="F32" s="730"/>
      <c r="G32" s="729"/>
      <c r="H32" s="730"/>
      <c r="I32" s="442">
        <f t="shared" si="0"/>
        <v>0</v>
      </c>
      <c r="J32" s="734"/>
      <c r="K32" s="735"/>
      <c r="L32" s="99">
        <f t="shared" si="1"/>
      </c>
      <c r="M32" s="66">
        <f t="shared" si="2"/>
      </c>
      <c r="N32" s="737"/>
      <c r="O32" s="781">
        <f t="shared" si="3"/>
      </c>
      <c r="P32" s="782">
        <f t="shared" si="4"/>
        <v>6</v>
      </c>
      <c r="Q32" s="783" t="str">
        <f t="shared" si="5"/>
        <v>--</v>
      </c>
      <c r="R32" s="771" t="str">
        <f t="shared" si="6"/>
        <v>--</v>
      </c>
      <c r="S32" s="784" t="str">
        <f t="shared" si="7"/>
        <v>--</v>
      </c>
      <c r="T32" s="785" t="str">
        <f t="shared" si="8"/>
        <v>--</v>
      </c>
      <c r="U32" s="781">
        <f t="shared" si="10"/>
      </c>
      <c r="V32" s="100">
        <f t="shared" si="9"/>
      </c>
      <c r="W32" s="13"/>
    </row>
    <row r="33" spans="2:23" s="12" customFormat="1" ht="16.5" customHeight="1">
      <c r="B33" s="46"/>
      <c r="C33" s="569"/>
      <c r="D33" s="569"/>
      <c r="E33" s="569"/>
      <c r="F33" s="730"/>
      <c r="G33" s="729"/>
      <c r="H33" s="730"/>
      <c r="I33" s="442">
        <f t="shared" si="0"/>
        <v>0</v>
      </c>
      <c r="J33" s="734"/>
      <c r="K33" s="735"/>
      <c r="L33" s="99">
        <f t="shared" si="1"/>
      </c>
      <c r="M33" s="66">
        <f t="shared" si="2"/>
      </c>
      <c r="N33" s="737"/>
      <c r="O33" s="781">
        <f t="shared" si="3"/>
      </c>
      <c r="P33" s="782">
        <f t="shared" si="4"/>
        <v>6</v>
      </c>
      <c r="Q33" s="783" t="str">
        <f t="shared" si="5"/>
        <v>--</v>
      </c>
      <c r="R33" s="771" t="str">
        <f t="shared" si="6"/>
        <v>--</v>
      </c>
      <c r="S33" s="784" t="str">
        <f t="shared" si="7"/>
        <v>--</v>
      </c>
      <c r="T33" s="785" t="str">
        <f t="shared" si="8"/>
        <v>--</v>
      </c>
      <c r="U33" s="781">
        <f t="shared" si="10"/>
      </c>
      <c r="V33" s="100">
        <f t="shared" si="9"/>
      </c>
      <c r="W33" s="13"/>
    </row>
    <row r="34" spans="2:23" s="12" customFormat="1" ht="16.5" customHeight="1">
      <c r="B34" s="46"/>
      <c r="C34" s="569"/>
      <c r="D34" s="569"/>
      <c r="E34" s="569"/>
      <c r="F34" s="730"/>
      <c r="G34" s="729"/>
      <c r="H34" s="730"/>
      <c r="I34" s="442">
        <f t="shared" si="0"/>
        <v>0</v>
      </c>
      <c r="J34" s="734"/>
      <c r="K34" s="735"/>
      <c r="L34" s="99">
        <f t="shared" si="1"/>
      </c>
      <c r="M34" s="66">
        <f t="shared" si="2"/>
      </c>
      <c r="N34" s="737"/>
      <c r="O34" s="781">
        <f t="shared" si="3"/>
      </c>
      <c r="P34" s="782">
        <f t="shared" si="4"/>
        <v>6</v>
      </c>
      <c r="Q34" s="783" t="str">
        <f t="shared" si="5"/>
        <v>--</v>
      </c>
      <c r="R34" s="771" t="str">
        <f t="shared" si="6"/>
        <v>--</v>
      </c>
      <c r="S34" s="784" t="str">
        <f t="shared" si="7"/>
        <v>--</v>
      </c>
      <c r="T34" s="785" t="str">
        <f t="shared" si="8"/>
        <v>--</v>
      </c>
      <c r="U34" s="781">
        <f t="shared" si="10"/>
      </c>
      <c r="V34" s="100">
        <f t="shared" si="9"/>
      </c>
      <c r="W34" s="13"/>
    </row>
    <row r="35" spans="2:23" s="12" customFormat="1" ht="16.5" customHeight="1">
      <c r="B35" s="46"/>
      <c r="C35" s="569"/>
      <c r="D35" s="569"/>
      <c r="E35" s="569"/>
      <c r="F35" s="730"/>
      <c r="G35" s="729"/>
      <c r="H35" s="730"/>
      <c r="I35" s="442">
        <f t="shared" si="0"/>
        <v>0</v>
      </c>
      <c r="J35" s="734"/>
      <c r="K35" s="735"/>
      <c r="L35" s="99">
        <f t="shared" si="1"/>
      </c>
      <c r="M35" s="66">
        <f t="shared" si="2"/>
      </c>
      <c r="N35" s="737"/>
      <c r="O35" s="781">
        <f t="shared" si="3"/>
      </c>
      <c r="P35" s="782">
        <f t="shared" si="4"/>
        <v>6</v>
      </c>
      <c r="Q35" s="783" t="str">
        <f t="shared" si="5"/>
        <v>--</v>
      </c>
      <c r="R35" s="771" t="str">
        <f t="shared" si="6"/>
        <v>--</v>
      </c>
      <c r="S35" s="784" t="str">
        <f t="shared" si="7"/>
        <v>--</v>
      </c>
      <c r="T35" s="785" t="str">
        <f t="shared" si="8"/>
        <v>--</v>
      </c>
      <c r="U35" s="781">
        <f t="shared" si="10"/>
      </c>
      <c r="V35" s="100">
        <f t="shared" si="9"/>
      </c>
      <c r="W35" s="13"/>
    </row>
    <row r="36" spans="2:23" s="12" customFormat="1" ht="16.5" customHeight="1">
      <c r="B36" s="46"/>
      <c r="C36" s="569"/>
      <c r="D36" s="569"/>
      <c r="E36" s="569"/>
      <c r="F36" s="730"/>
      <c r="G36" s="729"/>
      <c r="H36" s="730"/>
      <c r="I36" s="442">
        <f t="shared" si="0"/>
        <v>0</v>
      </c>
      <c r="J36" s="734"/>
      <c r="K36" s="735"/>
      <c r="L36" s="99">
        <f t="shared" si="1"/>
      </c>
      <c r="M36" s="66">
        <f t="shared" si="2"/>
      </c>
      <c r="N36" s="737"/>
      <c r="O36" s="781">
        <f t="shared" si="3"/>
      </c>
      <c r="P36" s="782">
        <f t="shared" si="4"/>
        <v>6</v>
      </c>
      <c r="Q36" s="783" t="str">
        <f t="shared" si="5"/>
        <v>--</v>
      </c>
      <c r="R36" s="771" t="str">
        <f t="shared" si="6"/>
        <v>--</v>
      </c>
      <c r="S36" s="784" t="str">
        <f t="shared" si="7"/>
        <v>--</v>
      </c>
      <c r="T36" s="785" t="str">
        <f t="shared" si="8"/>
        <v>--</v>
      </c>
      <c r="U36" s="781">
        <f t="shared" si="10"/>
      </c>
      <c r="V36" s="100">
        <f t="shared" si="9"/>
      </c>
      <c r="W36" s="13"/>
    </row>
    <row r="37" spans="2:23" s="12" customFormat="1" ht="16.5" customHeight="1">
      <c r="B37" s="46"/>
      <c r="C37" s="569"/>
      <c r="D37" s="569"/>
      <c r="E37" s="569"/>
      <c r="F37" s="730"/>
      <c r="G37" s="729"/>
      <c r="H37" s="730"/>
      <c r="I37" s="442">
        <f t="shared" si="0"/>
        <v>0</v>
      </c>
      <c r="J37" s="734"/>
      <c r="K37" s="735"/>
      <c r="L37" s="99">
        <f t="shared" si="1"/>
      </c>
      <c r="M37" s="66">
        <f t="shared" si="2"/>
      </c>
      <c r="N37" s="737"/>
      <c r="O37" s="781">
        <f t="shared" si="3"/>
      </c>
      <c r="P37" s="782">
        <f t="shared" si="4"/>
        <v>6</v>
      </c>
      <c r="Q37" s="783" t="str">
        <f t="shared" si="5"/>
        <v>--</v>
      </c>
      <c r="R37" s="771" t="str">
        <f t="shared" si="6"/>
        <v>--</v>
      </c>
      <c r="S37" s="784" t="str">
        <f t="shared" si="7"/>
        <v>--</v>
      </c>
      <c r="T37" s="785" t="str">
        <f t="shared" si="8"/>
        <v>--</v>
      </c>
      <c r="U37" s="781">
        <f t="shared" si="10"/>
      </c>
      <c r="V37" s="100">
        <f t="shared" si="9"/>
      </c>
      <c r="W37" s="13"/>
    </row>
    <row r="38" spans="2:23" s="12" customFormat="1" ht="16.5" customHeight="1">
      <c r="B38" s="46"/>
      <c r="C38" s="569"/>
      <c r="D38" s="569"/>
      <c r="E38" s="569"/>
      <c r="F38" s="730"/>
      <c r="G38" s="729"/>
      <c r="H38" s="730"/>
      <c r="I38" s="442">
        <f t="shared" si="0"/>
        <v>0</v>
      </c>
      <c r="J38" s="734"/>
      <c r="K38" s="735"/>
      <c r="L38" s="99">
        <f t="shared" si="1"/>
      </c>
      <c r="M38" s="66">
        <f t="shared" si="2"/>
      </c>
      <c r="N38" s="737"/>
      <c r="O38" s="781">
        <f t="shared" si="3"/>
      </c>
      <c r="P38" s="782">
        <f t="shared" si="4"/>
        <v>6</v>
      </c>
      <c r="Q38" s="783" t="str">
        <f t="shared" si="5"/>
        <v>--</v>
      </c>
      <c r="R38" s="771" t="str">
        <f t="shared" si="6"/>
        <v>--</v>
      </c>
      <c r="S38" s="784" t="str">
        <f t="shared" si="7"/>
        <v>--</v>
      </c>
      <c r="T38" s="785" t="str">
        <f t="shared" si="8"/>
        <v>--</v>
      </c>
      <c r="U38" s="781">
        <f t="shared" si="10"/>
      </c>
      <c r="V38" s="100">
        <f t="shared" si="9"/>
      </c>
      <c r="W38" s="13"/>
    </row>
    <row r="39" spans="2:23" s="12" customFormat="1" ht="16.5" customHeight="1">
      <c r="B39" s="46"/>
      <c r="C39" s="569"/>
      <c r="D39" s="569"/>
      <c r="E39" s="569"/>
      <c r="F39" s="730"/>
      <c r="G39" s="729"/>
      <c r="H39" s="730"/>
      <c r="I39" s="442">
        <f>H39*$J$15</f>
        <v>0</v>
      </c>
      <c r="J39" s="734"/>
      <c r="K39" s="735"/>
      <c r="L39" s="99">
        <f>IF(F39="","",(K39-J39)*24)</f>
      </c>
      <c r="M39" s="66">
        <f>IF(F39="","",ROUND((K39-J39)*24*60,0))</f>
      </c>
      <c r="N39" s="737"/>
      <c r="O39" s="781">
        <f>IF(F39="","",IF(N39="P","--","NO"))</f>
      </c>
      <c r="P39" s="782">
        <f>IF(OR(N39="P",N39="RP"),$J$16*0.1,$J$16)</f>
        <v>6</v>
      </c>
      <c r="Q39" s="783" t="str">
        <f>IF(N39="P",I39*P39*ROUND(M39/60,2),"--")</f>
        <v>--</v>
      </c>
      <c r="R39" s="771" t="str">
        <f>IF(AND(N39="F",O39="NO"),I39*P39,"--")</f>
        <v>--</v>
      </c>
      <c r="S39" s="784" t="str">
        <f>IF(N39="F",I39*P39*ROUND(M39/60,2),"--")</f>
        <v>--</v>
      </c>
      <c r="T39" s="785" t="str">
        <f>IF(N39="RF",I39*P39*ROUND(M39/60,2),"--")</f>
        <v>--</v>
      </c>
      <c r="U39" s="781">
        <f>IF(F39="","","SI")</f>
      </c>
      <c r="V39" s="100">
        <f>IF(F39="","",SUM(Q39:T39)*IF(U39="SI",1,2))</f>
      </c>
      <c r="W39" s="13"/>
    </row>
    <row r="40" spans="2:23" s="12" customFormat="1" ht="16.5" customHeight="1">
      <c r="B40" s="46"/>
      <c r="C40" s="569"/>
      <c r="D40" s="569"/>
      <c r="E40" s="569"/>
      <c r="F40" s="730"/>
      <c r="G40" s="729"/>
      <c r="H40" s="730"/>
      <c r="I40" s="442">
        <f>H40*$J$15</f>
        <v>0</v>
      </c>
      <c r="J40" s="734"/>
      <c r="K40" s="735"/>
      <c r="L40" s="99">
        <f>IF(F40="","",(K40-J40)*24)</f>
      </c>
      <c r="M40" s="66">
        <f>IF(F40="","",ROUND((K40-J40)*24*60,0))</f>
      </c>
      <c r="N40" s="737"/>
      <c r="O40" s="781">
        <f>IF(F40="","",IF(N40="P","--","NO"))</f>
      </c>
      <c r="P40" s="782">
        <f>IF(OR(N40="P",N40="RP"),$J$16*0.1,$J$16)</f>
        <v>6</v>
      </c>
      <c r="Q40" s="783" t="str">
        <f>IF(N40="P",I40*P40*ROUND(M40/60,2),"--")</f>
        <v>--</v>
      </c>
      <c r="R40" s="771" t="str">
        <f>IF(AND(N40="F",O40="NO"),I40*P40,"--")</f>
        <v>--</v>
      </c>
      <c r="S40" s="784" t="str">
        <f>IF(N40="F",I40*P40*ROUND(M40/60,2),"--")</f>
        <v>--</v>
      </c>
      <c r="T40" s="785" t="str">
        <f>IF(N40="RF",I40*P40*ROUND(M40/60,2),"--")</f>
        <v>--</v>
      </c>
      <c r="U40" s="781">
        <f>IF(F40="","","SI")</f>
      </c>
      <c r="V40" s="100">
        <f>IF(F40="","",SUM(Q40:T40)*IF(U40="SI",1,2))</f>
      </c>
      <c r="W40" s="13"/>
    </row>
    <row r="41" spans="2:23" s="12" customFormat="1" ht="16.5" customHeight="1">
      <c r="B41" s="46"/>
      <c r="C41" s="569"/>
      <c r="D41" s="569"/>
      <c r="E41" s="569"/>
      <c r="F41" s="730"/>
      <c r="G41" s="729"/>
      <c r="H41" s="730"/>
      <c r="I41" s="442">
        <f>H41*$J$15</f>
        <v>0</v>
      </c>
      <c r="J41" s="734"/>
      <c r="K41" s="735"/>
      <c r="L41" s="99">
        <f>IF(F41="","",(K41-J41)*24)</f>
      </c>
      <c r="M41" s="66">
        <f>IF(F41="","",ROUND((K41-J41)*24*60,0))</f>
      </c>
      <c r="N41" s="737"/>
      <c r="O41" s="781">
        <f>IF(F41="","",IF(N41="P","--","NO"))</f>
      </c>
      <c r="P41" s="782">
        <f>IF(OR(N41="P",N41="RP"),$J$16*0.1,$J$16)</f>
        <v>6</v>
      </c>
      <c r="Q41" s="783" t="str">
        <f>IF(N41="P",I41*P41*ROUND(M41/60,2),"--")</f>
        <v>--</v>
      </c>
      <c r="R41" s="771" t="str">
        <f>IF(AND(N41="F",O41="NO"),I41*P41,"--")</f>
        <v>--</v>
      </c>
      <c r="S41" s="784" t="str">
        <f>IF(N41="F",I41*P41*ROUND(M41/60,2),"--")</f>
        <v>--</v>
      </c>
      <c r="T41" s="785" t="str">
        <f>IF(N41="RF",I41*P41*ROUND(M41/60,2),"--")</f>
        <v>--</v>
      </c>
      <c r="U41" s="781">
        <f>IF(F41="","","SI")</f>
      </c>
      <c r="V41" s="100">
        <f>IF(F41="","",SUM(Q41:T41)*IF(U41="SI",1,2))</f>
      </c>
      <c r="W41" s="13"/>
    </row>
    <row r="42" spans="2:23" s="12" customFormat="1" ht="16.5" customHeight="1" thickBot="1">
      <c r="B42" s="46"/>
      <c r="C42" s="731"/>
      <c r="D42" s="731"/>
      <c r="E42" s="731"/>
      <c r="F42" s="733"/>
      <c r="G42" s="732"/>
      <c r="H42" s="733"/>
      <c r="I42" s="443"/>
      <c r="J42" s="736"/>
      <c r="K42" s="736"/>
      <c r="L42" s="101"/>
      <c r="M42" s="101"/>
      <c r="N42" s="736"/>
      <c r="O42" s="576"/>
      <c r="P42" s="738"/>
      <c r="Q42" s="739"/>
      <c r="R42" s="585"/>
      <c r="S42" s="740"/>
      <c r="T42" s="741"/>
      <c r="U42" s="576"/>
      <c r="V42" s="267"/>
      <c r="W42" s="13"/>
    </row>
    <row r="43" spans="2:23" s="12" customFormat="1" ht="16.5" customHeight="1" thickBot="1" thickTop="1">
      <c r="B43" s="46"/>
      <c r="C43" s="276" t="s">
        <v>65</v>
      </c>
      <c r="D43" s="800" t="s">
        <v>191</v>
      </c>
      <c r="E43" s="760"/>
      <c r="F43" s="277"/>
      <c r="G43"/>
      <c r="I43" s="10"/>
      <c r="J43" s="10"/>
      <c r="K43" s="10"/>
      <c r="L43" s="10"/>
      <c r="M43" s="10"/>
      <c r="N43" s="10"/>
      <c r="O43" s="10"/>
      <c r="P43" s="10"/>
      <c r="Q43" s="446">
        <f>SUM(Q20:Q42)</f>
        <v>150.68851200000003</v>
      </c>
      <c r="R43" s="452">
        <f>SUM(R20:R42)</f>
        <v>0</v>
      </c>
      <c r="S43" s="453">
        <f>SUM(S20:S42)</f>
        <v>0</v>
      </c>
      <c r="T43" s="466">
        <f>SUM(T20:T42)</f>
        <v>0</v>
      </c>
      <c r="V43" s="292">
        <f>ROUND(SUM(V20:V42),2)</f>
        <v>150.69</v>
      </c>
      <c r="W43" s="254"/>
    </row>
    <row r="44" spans="2:23" s="295" customFormat="1" ht="9.75" thickTop="1">
      <c r="B44" s="294"/>
      <c r="C44" s="293"/>
      <c r="D44" s="293"/>
      <c r="E44" s="293"/>
      <c r="F44" s="279"/>
      <c r="G44" s="291"/>
      <c r="I44" s="293"/>
      <c r="J44" s="293"/>
      <c r="K44" s="293"/>
      <c r="L44" s="293"/>
      <c r="M44" s="293"/>
      <c r="N44" s="293"/>
      <c r="O44" s="293"/>
      <c r="P44" s="293"/>
      <c r="Q44" s="313"/>
      <c r="R44" s="313"/>
      <c r="S44" s="313"/>
      <c r="T44" s="313"/>
      <c r="V44" s="300"/>
      <c r="W44" s="302"/>
    </row>
    <row r="45" spans="2:23" s="12" customFormat="1" ht="16.5" customHeight="1" thickBo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31">
      <selection activeCell="J53" sqref="J53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5" customFormat="1" ht="39.75" customHeight="1">
      <c r="P1" s="473"/>
    </row>
    <row r="2" spans="1:16" s="125" customFormat="1" ht="29.25" customHeight="1">
      <c r="A2" s="188"/>
      <c r="B2" s="757" t="str">
        <f>'TOT-1213'!B2</f>
        <v>ANEXO VI al Memorándum  D.T.E.E.  N°       598    / 2014.-</v>
      </c>
      <c r="C2" s="757"/>
      <c r="D2" s="75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4" s="128" customFormat="1" ht="12.75">
      <c r="A3" s="763" t="s">
        <v>145</v>
      </c>
      <c r="B3" s="12"/>
      <c r="C3" s="12"/>
      <c r="D3" s="12"/>
    </row>
    <row r="4" spans="1:4" s="128" customFormat="1" ht="11.25">
      <c r="A4" s="763" t="s">
        <v>144</v>
      </c>
      <c r="B4" s="252"/>
      <c r="C4" s="252"/>
      <c r="D4" s="252"/>
    </row>
    <row r="5" spans="1:4" s="12" customFormat="1" ht="13.5" thickBot="1">
      <c r="A5" s="763"/>
      <c r="B5" s="252"/>
      <c r="C5" s="252"/>
      <c r="D5" s="252"/>
    </row>
    <row r="6" spans="1:16" s="12" customFormat="1" ht="13.5" thickTop="1">
      <c r="A6" s="1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s="130" customFormat="1" ht="20.25">
      <c r="A7" s="47"/>
      <c r="B7" s="129"/>
      <c r="C7" s="47"/>
      <c r="D7" s="23" t="s">
        <v>41</v>
      </c>
      <c r="G7" s="47"/>
      <c r="H7" s="47"/>
      <c r="I7" s="47"/>
      <c r="J7" s="47"/>
      <c r="K7" s="47"/>
      <c r="L7" s="47"/>
      <c r="M7" s="47"/>
      <c r="N7" s="47"/>
      <c r="O7" s="47"/>
      <c r="P7" s="131"/>
    </row>
    <row r="8" spans="1:16" ht="15">
      <c r="A8" s="1"/>
      <c r="B8" s="314"/>
      <c r="C8" s="76"/>
      <c r="D8" s="474"/>
      <c r="E8" s="76"/>
      <c r="F8" s="74"/>
      <c r="G8" s="76"/>
      <c r="H8" s="76"/>
      <c r="I8" s="76"/>
      <c r="J8" s="76"/>
      <c r="K8" s="76"/>
      <c r="L8" s="76"/>
      <c r="M8" s="76"/>
      <c r="N8" s="76"/>
      <c r="O8" s="76"/>
      <c r="P8" s="318"/>
    </row>
    <row r="9" spans="1:19" s="130" customFormat="1" ht="20.25">
      <c r="A9" s="47"/>
      <c r="B9" s="475"/>
      <c r="C9"/>
      <c r="D9" s="24" t="s">
        <v>138</v>
      </c>
      <c r="E9" s="476"/>
      <c r="F9" s="476"/>
      <c r="G9" s="476"/>
      <c r="H9" s="477"/>
      <c r="I9" s="476"/>
      <c r="J9" s="476"/>
      <c r="K9" s="476"/>
      <c r="L9" s="476"/>
      <c r="M9" s="476"/>
      <c r="N9" s="476"/>
      <c r="O9" s="476"/>
      <c r="P9" s="478"/>
      <c r="Q9" s="268"/>
      <c r="R9" s="195"/>
      <c r="S9" s="195"/>
    </row>
    <row r="10" spans="1:19" s="12" customFormat="1" ht="12.75">
      <c r="A10" s="10"/>
      <c r="B10" s="46"/>
      <c r="C10" s="10"/>
      <c r="D10" s="70"/>
      <c r="E10" s="32"/>
      <c r="F10" s="32"/>
      <c r="G10" s="32"/>
      <c r="H10" s="187"/>
      <c r="I10" s="32"/>
      <c r="J10" s="32"/>
      <c r="K10" s="32"/>
      <c r="L10" s="32"/>
      <c r="M10" s="32"/>
      <c r="N10" s="32"/>
      <c r="O10" s="32"/>
      <c r="P10" s="40"/>
      <c r="Q10" s="32"/>
      <c r="R10" s="32"/>
      <c r="S10" s="194"/>
    </row>
    <row r="11" spans="1:19" s="137" customFormat="1" ht="19.5">
      <c r="A11" s="49"/>
      <c r="B11" s="271" t="str">
        <f>+'TOT-1213'!B14</f>
        <v>Desde el 01 al 31 de diciembre de 2013</v>
      </c>
      <c r="C11" s="159"/>
      <c r="D11" s="215"/>
      <c r="E11" s="215"/>
      <c r="F11" s="215"/>
      <c r="G11" s="215"/>
      <c r="H11" s="215"/>
      <c r="I11" s="159"/>
      <c r="J11" s="215"/>
      <c r="K11" s="215"/>
      <c r="L11" s="215"/>
      <c r="M11" s="215"/>
      <c r="N11" s="215"/>
      <c r="O11" s="215"/>
      <c r="P11" s="479"/>
      <c r="Q11" s="480"/>
      <c r="R11" s="480"/>
      <c r="S11" s="480"/>
    </row>
    <row r="12" spans="1:19" ht="15">
      <c r="A12" s="1"/>
      <c r="B12" s="314"/>
      <c r="C12" s="76"/>
      <c r="D12" s="72"/>
      <c r="E12" s="72"/>
      <c r="F12" s="72"/>
      <c r="G12" s="72"/>
      <c r="H12" s="481"/>
      <c r="I12" s="76"/>
      <c r="J12" s="72"/>
      <c r="K12" s="72"/>
      <c r="L12" s="72"/>
      <c r="M12" s="72"/>
      <c r="N12" s="72"/>
      <c r="O12" s="72"/>
      <c r="P12" s="73"/>
      <c r="Q12" s="6"/>
      <c r="R12" s="6"/>
      <c r="S12" s="482"/>
    </row>
    <row r="13" spans="1:19" ht="18" customHeight="1">
      <c r="A13" s="1"/>
      <c r="B13" s="314"/>
      <c r="C13" s="76"/>
      <c r="D13" s="72"/>
      <c r="E13" s="72"/>
      <c r="F13" s="72"/>
      <c r="G13" s="72"/>
      <c r="H13" s="84"/>
      <c r="I13" s="84"/>
      <c r="J13" s="72"/>
      <c r="K13" s="72"/>
      <c r="P13" s="73"/>
      <c r="Q13" s="6"/>
      <c r="R13" s="6"/>
      <c r="S13" s="482"/>
    </row>
    <row r="14" spans="1:19" ht="18" customHeight="1">
      <c r="A14" s="1"/>
      <c r="B14" s="314"/>
      <c r="C14" s="76"/>
      <c r="D14" s="71"/>
      <c r="E14" s="483"/>
      <c r="F14" s="72"/>
      <c r="G14" s="72"/>
      <c r="H14" s="84"/>
      <c r="I14" s="84"/>
      <c r="J14" s="72"/>
      <c r="K14" s="72"/>
      <c r="P14" s="73"/>
      <c r="Q14" s="6"/>
      <c r="R14" s="6"/>
      <c r="S14" s="482"/>
    </row>
    <row r="15" spans="1:16" ht="16.5" thickBot="1">
      <c r="A15" s="1"/>
      <c r="B15" s="314"/>
      <c r="C15" s="484" t="s">
        <v>96</v>
      </c>
      <c r="D15" s="74"/>
      <c r="E15" s="315"/>
      <c r="F15" s="316"/>
      <c r="G15" s="76"/>
      <c r="H15" s="76"/>
      <c r="I15" s="76"/>
      <c r="J15" s="75"/>
      <c r="K15" s="75"/>
      <c r="L15" s="317"/>
      <c r="M15" s="76"/>
      <c r="N15" s="76"/>
      <c r="O15" s="76"/>
      <c r="P15" s="318"/>
    </row>
    <row r="16" spans="1:16" ht="16.5" thickBot="1">
      <c r="A16" s="1"/>
      <c r="B16" s="314"/>
      <c r="C16" s="319"/>
      <c r="D16" s="74"/>
      <c r="E16" s="315"/>
      <c r="F16" s="316"/>
      <c r="G16" s="76"/>
      <c r="H16" s="76"/>
      <c r="L16" s="485" t="s">
        <v>86</v>
      </c>
      <c r="M16" s="486">
        <v>6.761</v>
      </c>
      <c r="N16" s="487"/>
      <c r="O16" s="76"/>
      <c r="P16" s="318"/>
    </row>
    <row r="17" spans="1:16" ht="15.75">
      <c r="A17" s="1"/>
      <c r="B17" s="314"/>
      <c r="C17" s="319"/>
      <c r="D17" s="75" t="s">
        <v>97</v>
      </c>
      <c r="E17" s="320">
        <f>MID(B11,16,2)*24</f>
        <v>744</v>
      </c>
      <c r="F17" s="76" t="s">
        <v>98</v>
      </c>
      <c r="G17" s="72"/>
      <c r="H17" s="488"/>
      <c r="I17" s="489" t="s">
        <v>99</v>
      </c>
      <c r="J17" s="490">
        <v>145.41960366333</v>
      </c>
      <c r="K17" s="468"/>
      <c r="L17" s="491" t="s">
        <v>87</v>
      </c>
      <c r="M17" s="492">
        <v>5.074</v>
      </c>
      <c r="N17" s="493"/>
      <c r="O17" s="76"/>
      <c r="P17" s="318"/>
    </row>
    <row r="18" spans="1:16" ht="16.5" thickBot="1">
      <c r="A18" s="1"/>
      <c r="B18" s="314"/>
      <c r="C18" s="319"/>
      <c r="D18" s="75" t="s">
        <v>100</v>
      </c>
      <c r="E18" s="322">
        <v>0.025</v>
      </c>
      <c r="F18" s="72"/>
      <c r="G18" s="72"/>
      <c r="H18" s="494"/>
      <c r="I18" s="495" t="s">
        <v>101</v>
      </c>
      <c r="J18" s="496">
        <v>0.507</v>
      </c>
      <c r="K18" s="497"/>
      <c r="L18" s="498" t="s">
        <v>88</v>
      </c>
      <c r="M18" s="499">
        <v>5.074</v>
      </c>
      <c r="N18" s="500"/>
      <c r="O18" s="76"/>
      <c r="P18" s="318"/>
    </row>
    <row r="19" spans="1:16" ht="15.75">
      <c r="A19" s="1"/>
      <c r="B19" s="314"/>
      <c r="C19" s="319"/>
      <c r="D19" s="75"/>
      <c r="E19" s="322"/>
      <c r="F19" s="72"/>
      <c r="G19" s="72"/>
      <c r="H19" s="72"/>
      <c r="I19" s="72"/>
      <c r="L19" s="317"/>
      <c r="M19" s="76"/>
      <c r="N19" s="76"/>
      <c r="O19" s="76"/>
      <c r="P19" s="318"/>
    </row>
    <row r="20" spans="1:16" ht="15">
      <c r="A20" s="1"/>
      <c r="B20" s="314"/>
      <c r="C20" s="71" t="s">
        <v>102</v>
      </c>
      <c r="D20" s="79"/>
      <c r="E20" s="315"/>
      <c r="F20" s="316"/>
      <c r="G20" s="76"/>
      <c r="H20" s="76"/>
      <c r="I20" s="76"/>
      <c r="J20" s="75"/>
      <c r="K20" s="75"/>
      <c r="L20" s="317"/>
      <c r="M20" s="76"/>
      <c r="N20" s="76"/>
      <c r="O20" s="76"/>
      <c r="P20" s="318"/>
    </row>
    <row r="21" spans="1:16" ht="15">
      <c r="A21" s="1"/>
      <c r="B21" s="314"/>
      <c r="C21" s="76"/>
      <c r="D21" s="76"/>
      <c r="E21" s="76"/>
      <c r="F21" s="76"/>
      <c r="G21" s="76"/>
      <c r="H21" s="323"/>
      <c r="I21" s="76"/>
      <c r="J21" s="76"/>
      <c r="K21" s="76"/>
      <c r="L21" s="76"/>
      <c r="M21" s="76"/>
      <c r="N21" s="76"/>
      <c r="O21" s="76"/>
      <c r="P21" s="318"/>
    </row>
    <row r="22" spans="1:16" ht="15">
      <c r="A22" s="1"/>
      <c r="B22" s="314"/>
      <c r="C22" s="76"/>
      <c r="D22" s="75" t="s">
        <v>103</v>
      </c>
      <c r="E22" s="76"/>
      <c r="F22" s="323" t="s">
        <v>20</v>
      </c>
      <c r="G22" s="76"/>
      <c r="H22" s="74"/>
      <c r="I22" s="501">
        <f>'TOT-1213'!I20</f>
        <v>39004.63</v>
      </c>
      <c r="J22" s="76"/>
      <c r="K22" s="76"/>
      <c r="L22" s="502" t="s">
        <v>104</v>
      </c>
      <c r="M22" s="76"/>
      <c r="N22" s="76"/>
      <c r="O22" s="76"/>
      <c r="P22" s="318"/>
    </row>
    <row r="23" spans="1:16" ht="15">
      <c r="A23" s="1"/>
      <c r="B23" s="314"/>
      <c r="C23" s="76"/>
      <c r="D23" s="76"/>
      <c r="E23" s="76"/>
      <c r="F23" s="323" t="s">
        <v>105</v>
      </c>
      <c r="G23" s="76"/>
      <c r="H23" s="74"/>
      <c r="I23" s="501">
        <f>'TOT-1213'!I26</f>
        <v>688.15</v>
      </c>
      <c r="J23" s="76"/>
      <c r="K23" s="76"/>
      <c r="L23" s="502" t="s">
        <v>106</v>
      </c>
      <c r="M23" s="76"/>
      <c r="N23" s="76"/>
      <c r="O23" s="76"/>
      <c r="P23" s="318"/>
    </row>
    <row r="24" spans="1:16" ht="15">
      <c r="A24" s="1"/>
      <c r="B24" s="314"/>
      <c r="C24" s="76"/>
      <c r="D24" s="76"/>
      <c r="E24" s="76"/>
      <c r="F24" s="323" t="s">
        <v>3</v>
      </c>
      <c r="G24" s="76"/>
      <c r="H24" s="74"/>
      <c r="I24" s="503">
        <f>'TOT-1213'!I30</f>
        <v>341.78463999999997</v>
      </c>
      <c r="J24" s="76"/>
      <c r="K24" s="76"/>
      <c r="L24" s="502" t="s">
        <v>107</v>
      </c>
      <c r="M24" s="76"/>
      <c r="N24" s="76"/>
      <c r="O24" s="76"/>
      <c r="P24" s="318"/>
    </row>
    <row r="25" spans="1:16" ht="15.75" thickBot="1">
      <c r="A25" s="1"/>
      <c r="B25" s="314"/>
      <c r="C25" s="76"/>
      <c r="D25" s="76"/>
      <c r="E25" s="76"/>
      <c r="F25" s="76"/>
      <c r="G25" s="76"/>
      <c r="H25" s="323"/>
      <c r="I25" s="76"/>
      <c r="J25" s="76"/>
      <c r="K25" s="76"/>
      <c r="L25" s="76"/>
      <c r="M25" s="76"/>
      <c r="N25" s="76"/>
      <c r="O25" s="76"/>
      <c r="P25" s="318"/>
    </row>
    <row r="26" spans="2:16" ht="20.25" thickBot="1" thickTop="1">
      <c r="B26" s="314"/>
      <c r="C26" s="83"/>
      <c r="H26" s="504" t="s">
        <v>108</v>
      </c>
      <c r="I26" s="172">
        <f>SUM(I22:I25)</f>
        <v>40034.56464</v>
      </c>
      <c r="L26" s="80"/>
      <c r="M26" s="80"/>
      <c r="N26" s="81"/>
      <c r="O26" s="82"/>
      <c r="P26" s="324"/>
    </row>
    <row r="27" spans="2:16" ht="15.75" thickTop="1">
      <c r="B27" s="314"/>
      <c r="C27" s="83"/>
      <c r="D27" s="79"/>
      <c r="E27" s="79"/>
      <c r="F27" s="85"/>
      <c r="G27" s="80"/>
      <c r="H27" s="80"/>
      <c r="I27" s="80"/>
      <c r="J27" s="80"/>
      <c r="K27" s="80"/>
      <c r="L27" s="80"/>
      <c r="M27" s="80"/>
      <c r="N27" s="81"/>
      <c r="O27" s="82"/>
      <c r="P27" s="324"/>
    </row>
    <row r="28" spans="2:16" ht="15">
      <c r="B28" s="314"/>
      <c r="C28" s="71" t="s">
        <v>109</v>
      </c>
      <c r="D28" s="79"/>
      <c r="E28" s="79"/>
      <c r="F28" s="85"/>
      <c r="G28" s="80"/>
      <c r="H28" s="80"/>
      <c r="I28" s="80"/>
      <c r="J28" s="80"/>
      <c r="K28" s="80"/>
      <c r="L28" s="80"/>
      <c r="M28" s="80"/>
      <c r="N28" s="81"/>
      <c r="O28" s="82"/>
      <c r="P28" s="324"/>
    </row>
    <row r="29" spans="2:16" ht="15">
      <c r="B29" s="314"/>
      <c r="C29" s="83"/>
      <c r="D29" s="79"/>
      <c r="E29" s="79"/>
      <c r="F29" s="85"/>
      <c r="G29" s="80"/>
      <c r="H29" s="80"/>
      <c r="I29" s="80"/>
      <c r="J29" s="80"/>
      <c r="K29" s="80"/>
      <c r="L29" s="80"/>
      <c r="M29" s="80"/>
      <c r="N29" s="81"/>
      <c r="O29" s="82"/>
      <c r="P29" s="324"/>
    </row>
    <row r="30" spans="2:16" ht="15.75">
      <c r="B30" s="314"/>
      <c r="C30" s="83"/>
      <c r="D30" s="505" t="s">
        <v>110</v>
      </c>
      <c r="E30" s="506" t="s">
        <v>16</v>
      </c>
      <c r="F30" s="507" t="s">
        <v>111</v>
      </c>
      <c r="G30" s="508"/>
      <c r="H30" s="749" t="s">
        <v>136</v>
      </c>
      <c r="I30" s="748" t="s">
        <v>135</v>
      </c>
      <c r="J30" s="744"/>
      <c r="K30" s="531"/>
      <c r="L30" s="509" t="s">
        <v>2</v>
      </c>
      <c r="N30" s="81"/>
      <c r="O30" s="82"/>
      <c r="P30" s="324"/>
    </row>
    <row r="31" spans="2:16" ht="15.75">
      <c r="B31" s="314"/>
      <c r="C31" s="83"/>
      <c r="D31" s="510" t="s">
        <v>4</v>
      </c>
      <c r="E31" s="511">
        <v>132</v>
      </c>
      <c r="F31" s="512">
        <v>31</v>
      </c>
      <c r="G31" s="513"/>
      <c r="H31" s="514">
        <f>F31*$J$17*$E$17/100</f>
        <v>33539.57738891043</v>
      </c>
      <c r="I31" s="515">
        <v>0</v>
      </c>
      <c r="J31" s="746" t="s">
        <v>185</v>
      </c>
      <c r="K31" s="517"/>
      <c r="L31" s="518">
        <f>SUM(H31:K31)</f>
        <v>33539.57738891043</v>
      </c>
      <c r="M31" s="80"/>
      <c r="N31" s="81"/>
      <c r="O31" s="82"/>
      <c r="P31" s="324"/>
    </row>
    <row r="32" spans="2:16" ht="15.75">
      <c r="B32" s="314"/>
      <c r="C32" s="83"/>
      <c r="D32" s="538" t="s">
        <v>5</v>
      </c>
      <c r="E32" s="79">
        <v>132</v>
      </c>
      <c r="F32" s="85">
        <v>110.3</v>
      </c>
      <c r="G32" s="80"/>
      <c r="H32" s="329">
        <f>F32*$J$17*$E$17/100</f>
        <v>119335.98019344584</v>
      </c>
      <c r="I32" s="555">
        <v>8385</v>
      </c>
      <c r="J32" s="745" t="s">
        <v>185</v>
      </c>
      <c r="K32" s="321"/>
      <c r="L32" s="539">
        <f>SUM(H32:K32)</f>
        <v>127720.98019344584</v>
      </c>
      <c r="M32" s="80"/>
      <c r="N32" s="81"/>
      <c r="O32" s="82"/>
      <c r="P32" s="324"/>
    </row>
    <row r="33" spans="2:16" ht="15.75">
      <c r="B33" s="314"/>
      <c r="C33" s="83"/>
      <c r="D33" s="538" t="s">
        <v>6</v>
      </c>
      <c r="E33" s="79">
        <v>132</v>
      </c>
      <c r="F33" s="85">
        <v>185.6</v>
      </c>
      <c r="G33" s="80"/>
      <c r="H33" s="329">
        <f>F33*$J$17*$E$17/100</f>
        <v>200804.69559296052</v>
      </c>
      <c r="I33" s="555">
        <v>6705</v>
      </c>
      <c r="J33" s="745" t="s">
        <v>185</v>
      </c>
      <c r="K33" s="321"/>
      <c r="L33" s="539">
        <f>SUM(H33:K33)</f>
        <v>207509.69559296052</v>
      </c>
      <c r="M33" s="80"/>
      <c r="N33" s="81"/>
      <c r="O33" s="82"/>
      <c r="P33" s="324"/>
    </row>
    <row r="34" spans="2:16" ht="15.75">
      <c r="B34" s="314"/>
      <c r="C34" s="83"/>
      <c r="D34" s="519" t="s">
        <v>7</v>
      </c>
      <c r="E34" s="520">
        <v>132</v>
      </c>
      <c r="F34" s="521">
        <v>7</v>
      </c>
      <c r="G34" s="522"/>
      <c r="H34" s="523">
        <f>F34*$J$17*$E$17/100</f>
        <v>7573.452958786227</v>
      </c>
      <c r="I34" s="524">
        <v>0</v>
      </c>
      <c r="J34" s="747" t="s">
        <v>185</v>
      </c>
      <c r="K34" s="526"/>
      <c r="L34" s="527">
        <f>SUM(H34:K34)</f>
        <v>7573.452958786227</v>
      </c>
      <c r="M34" s="80"/>
      <c r="N34" s="81"/>
      <c r="O34" s="82"/>
      <c r="P34" s="324"/>
    </row>
    <row r="35" spans="2:16" ht="15">
      <c r="B35" s="314"/>
      <c r="C35" s="83"/>
      <c r="D35" s="79"/>
      <c r="E35" s="79"/>
      <c r="F35" s="325"/>
      <c r="G35" s="80"/>
      <c r="I35" s="86"/>
      <c r="J35" s="321"/>
      <c r="K35" s="321"/>
      <c r="L35" s="528">
        <f>SUM(L31:L34)</f>
        <v>376343.706134103</v>
      </c>
      <c r="M35" s="80"/>
      <c r="N35" s="81"/>
      <c r="O35" s="82"/>
      <c r="P35" s="324"/>
    </row>
    <row r="36" spans="2:16" ht="15">
      <c r="B36" s="314"/>
      <c r="C36" s="83"/>
      <c r="D36" s="79"/>
      <c r="E36" s="79"/>
      <c r="F36" s="325"/>
      <c r="G36" s="80"/>
      <c r="I36" s="86"/>
      <c r="J36" s="321"/>
      <c r="K36" s="321"/>
      <c r="L36" s="326"/>
      <c r="M36" s="80"/>
      <c r="N36" s="81"/>
      <c r="O36" s="82"/>
      <c r="P36" s="324"/>
    </row>
    <row r="37" spans="2:16" ht="15.75">
      <c r="B37" s="314"/>
      <c r="C37" s="83"/>
      <c r="D37" s="505" t="s">
        <v>112</v>
      </c>
      <c r="E37" s="506" t="s">
        <v>113</v>
      </c>
      <c r="F37" s="556" t="s">
        <v>123</v>
      </c>
      <c r="G37" s="557"/>
      <c r="H37" s="750" t="s">
        <v>137</v>
      </c>
      <c r="J37" s="529" t="s">
        <v>114</v>
      </c>
      <c r="K37" s="530"/>
      <c r="L37" s="531" t="s">
        <v>51</v>
      </c>
      <c r="M37" s="506" t="s">
        <v>16</v>
      </c>
      <c r="N37" s="532" t="s">
        <v>115</v>
      </c>
      <c r="O37" s="533"/>
      <c r="P37" s="324"/>
    </row>
    <row r="38" spans="2:16" ht="15">
      <c r="B38" s="314"/>
      <c r="C38" s="83"/>
      <c r="D38" s="510" t="s">
        <v>10</v>
      </c>
      <c r="E38" s="511" t="s">
        <v>124</v>
      </c>
      <c r="F38" s="558">
        <v>30</v>
      </c>
      <c r="G38" s="559"/>
      <c r="H38" s="518">
        <f>+F38*$J$18*$E$17</f>
        <v>11316.24</v>
      </c>
      <c r="J38" s="534" t="s">
        <v>125</v>
      </c>
      <c r="K38" s="516"/>
      <c r="L38" s="513" t="s">
        <v>126</v>
      </c>
      <c r="M38" s="535">
        <v>132</v>
      </c>
      <c r="N38" s="536">
        <f>M16*E17</f>
        <v>5030.184</v>
      </c>
      <c r="O38" s="537"/>
      <c r="P38" s="324"/>
    </row>
    <row r="39" spans="2:16" ht="15">
      <c r="B39" s="314"/>
      <c r="C39" s="83"/>
      <c r="D39" s="538" t="s">
        <v>13</v>
      </c>
      <c r="E39" s="79" t="s">
        <v>127</v>
      </c>
      <c r="F39" s="560">
        <v>88</v>
      </c>
      <c r="G39" s="561"/>
      <c r="H39" s="539">
        <f>+F39*$J$18*$E$17</f>
        <v>33194.304</v>
      </c>
      <c r="J39" s="540" t="s">
        <v>11</v>
      </c>
      <c r="K39" s="541"/>
      <c r="L39" s="80" t="s">
        <v>128</v>
      </c>
      <c r="M39" s="81">
        <v>33</v>
      </c>
      <c r="N39" s="542">
        <f>+M17*E17*2</f>
        <v>7550.112</v>
      </c>
      <c r="O39" s="543"/>
      <c r="P39" s="324"/>
    </row>
    <row r="40" spans="2:16" ht="15">
      <c r="B40" s="314"/>
      <c r="C40" s="83"/>
      <c r="D40" s="538" t="s">
        <v>11</v>
      </c>
      <c r="E40" s="79" t="s">
        <v>9</v>
      </c>
      <c r="F40" s="560">
        <v>7.5</v>
      </c>
      <c r="G40" s="561"/>
      <c r="H40" s="539">
        <f>+F40*$J$18*$E$17</f>
        <v>2829.06</v>
      </c>
      <c r="J40" s="540" t="s">
        <v>12</v>
      </c>
      <c r="K40" s="541"/>
      <c r="L40" s="80" t="s">
        <v>129</v>
      </c>
      <c r="M40" s="81">
        <v>33</v>
      </c>
      <c r="N40" s="542">
        <f>3*M17*E17</f>
        <v>11325.168</v>
      </c>
      <c r="O40" s="543"/>
      <c r="P40" s="324"/>
    </row>
    <row r="41" spans="2:16" ht="15">
      <c r="B41" s="314"/>
      <c r="C41" s="83"/>
      <c r="D41" s="538" t="s">
        <v>12</v>
      </c>
      <c r="E41" s="79" t="s">
        <v>9</v>
      </c>
      <c r="F41" s="560">
        <v>15</v>
      </c>
      <c r="G41" s="561"/>
      <c r="H41" s="539">
        <f>+F41*$J$18*$E$17</f>
        <v>5658.12</v>
      </c>
      <c r="J41" s="540" t="s">
        <v>14</v>
      </c>
      <c r="K41" s="541"/>
      <c r="L41" s="80" t="s">
        <v>130</v>
      </c>
      <c r="M41" s="81">
        <v>13.2</v>
      </c>
      <c r="N41" s="542">
        <f>+M18*E17*6</f>
        <v>22650.336</v>
      </c>
      <c r="O41" s="543"/>
      <c r="P41" s="324"/>
    </row>
    <row r="42" spans="2:16" ht="15">
      <c r="B42" s="314"/>
      <c r="C42" s="83"/>
      <c r="D42" s="519" t="s">
        <v>14</v>
      </c>
      <c r="E42" s="520" t="s">
        <v>131</v>
      </c>
      <c r="F42" s="562">
        <v>30</v>
      </c>
      <c r="G42" s="563"/>
      <c r="H42" s="539">
        <f>+F42*$J$18*$E$17</f>
        <v>11316.24</v>
      </c>
      <c r="J42" s="540" t="s">
        <v>10</v>
      </c>
      <c r="K42" s="541"/>
      <c r="L42" s="80" t="s">
        <v>132</v>
      </c>
      <c r="M42" s="81"/>
      <c r="N42" s="542">
        <f>+M17*E17+M18*E17*2</f>
        <v>11325.168</v>
      </c>
      <c r="O42" s="543"/>
      <c r="P42" s="324"/>
    </row>
    <row r="43" spans="2:16" ht="15">
      <c r="B43" s="314"/>
      <c r="C43" s="83"/>
      <c r="D43" s="79"/>
      <c r="E43" s="79"/>
      <c r="F43" s="325"/>
      <c r="G43" s="80"/>
      <c r="H43" s="528">
        <f>SUM(H38:H42)</f>
        <v>64313.96399999999</v>
      </c>
      <c r="J43" s="544" t="s">
        <v>13</v>
      </c>
      <c r="K43" s="525"/>
      <c r="L43" s="522" t="s">
        <v>133</v>
      </c>
      <c r="M43" s="545"/>
      <c r="N43" s="546">
        <f>(M16+M17+M18*5)*E17</f>
        <v>27680.52</v>
      </c>
      <c r="O43" s="547"/>
      <c r="P43" s="324"/>
    </row>
    <row r="44" spans="2:16" ht="15">
      <c r="B44" s="314"/>
      <c r="C44" s="83"/>
      <c r="D44" s="79"/>
      <c r="E44" s="79"/>
      <c r="F44" s="325"/>
      <c r="G44" s="80"/>
      <c r="I44" s="86"/>
      <c r="J44" s="321"/>
      <c r="K44" s="321"/>
      <c r="L44" s="326"/>
      <c r="M44" s="80"/>
      <c r="N44" s="548">
        <f>SUM(N38:N43)</f>
        <v>85561.488</v>
      </c>
      <c r="O44" s="533"/>
      <c r="P44" s="324"/>
    </row>
    <row r="45" spans="2:16" ht="12.75" customHeight="1" thickBot="1">
      <c r="B45" s="314"/>
      <c r="C45" s="83"/>
      <c r="D45" s="79"/>
      <c r="E45" s="79"/>
      <c r="F45" s="85"/>
      <c r="G45" s="80"/>
      <c r="H45" s="86"/>
      <c r="I45" s="79"/>
      <c r="J45" s="79"/>
      <c r="K45" s="79"/>
      <c r="L45" s="80"/>
      <c r="M45" s="80"/>
      <c r="N45" s="81"/>
      <c r="O45" s="82"/>
      <c r="P45" s="324"/>
    </row>
    <row r="46" spans="2:16" ht="20.25" thickBot="1" thickTop="1">
      <c r="B46" s="314"/>
      <c r="C46" s="83"/>
      <c r="D46" s="79"/>
      <c r="E46" s="79"/>
      <c r="F46" s="85"/>
      <c r="G46" s="80"/>
      <c r="H46" s="549" t="s">
        <v>116</v>
      </c>
      <c r="I46" s="550">
        <f>+H43+N44+L35</f>
        <v>526219.158134103</v>
      </c>
      <c r="J46" s="79"/>
      <c r="K46" s="79"/>
      <c r="L46" s="80"/>
      <c r="M46" s="80"/>
      <c r="N46" s="81"/>
      <c r="O46" s="82"/>
      <c r="P46" s="324"/>
    </row>
    <row r="47" spans="2:16" ht="15.75" thickTop="1">
      <c r="B47" s="314"/>
      <c r="C47" s="83"/>
      <c r="D47" s="79"/>
      <c r="E47" s="79"/>
      <c r="F47" s="85"/>
      <c r="G47" s="80"/>
      <c r="H47" s="86"/>
      <c r="I47" s="79"/>
      <c r="J47" s="79"/>
      <c r="K47" s="79"/>
      <c r="L47" s="80"/>
      <c r="M47" s="80"/>
      <c r="N47" s="81"/>
      <c r="O47" s="82"/>
      <c r="P47" s="324"/>
    </row>
    <row r="48" spans="2:16" ht="15.75">
      <c r="B48" s="314"/>
      <c r="C48" s="551" t="s">
        <v>117</v>
      </c>
      <c r="D48" s="79"/>
      <c r="E48" s="79"/>
      <c r="F48" s="85"/>
      <c r="G48" s="80"/>
      <c r="H48" s="86"/>
      <c r="I48" s="79"/>
      <c r="J48" s="79"/>
      <c r="K48" s="79"/>
      <c r="L48" s="80"/>
      <c r="M48" s="80"/>
      <c r="N48" s="81"/>
      <c r="O48" s="82"/>
      <c r="P48" s="324"/>
    </row>
    <row r="49" spans="2:16" ht="15.75" thickBot="1">
      <c r="B49" s="314"/>
      <c r="C49" s="83"/>
      <c r="D49" s="79"/>
      <c r="E49" s="79"/>
      <c r="F49" s="85"/>
      <c r="G49" s="80"/>
      <c r="H49" s="86"/>
      <c r="I49" s="79"/>
      <c r="J49" s="79"/>
      <c r="K49" s="79"/>
      <c r="L49" s="80"/>
      <c r="M49" s="80"/>
      <c r="N49" s="81"/>
      <c r="O49" s="82"/>
      <c r="P49" s="324"/>
    </row>
    <row r="50" spans="2:16" ht="20.25" thickBot="1" thickTop="1">
      <c r="B50" s="314"/>
      <c r="C50" s="83"/>
      <c r="D50" s="269" t="s">
        <v>118</v>
      </c>
      <c r="F50" s="327"/>
      <c r="G50" s="76"/>
      <c r="H50" s="171" t="s">
        <v>119</v>
      </c>
      <c r="I50" s="552">
        <f>E18*I46</f>
        <v>13155.478953352576</v>
      </c>
      <c r="J50" s="72"/>
      <c r="K50" s="72"/>
      <c r="O50" s="72"/>
      <c r="P50" s="324"/>
    </row>
    <row r="51" spans="2:16" ht="21.75" thickTop="1">
      <c r="B51" s="314"/>
      <c r="C51" s="83"/>
      <c r="F51" s="328"/>
      <c r="G51" s="47"/>
      <c r="I51" s="72"/>
      <c r="J51" s="72"/>
      <c r="K51" s="72"/>
      <c r="O51" s="72"/>
      <c r="P51" s="324"/>
    </row>
    <row r="52" spans="2:16" ht="15">
      <c r="B52" s="314"/>
      <c r="C52" s="71" t="s">
        <v>120</v>
      </c>
      <c r="E52" s="72"/>
      <c r="F52" s="72"/>
      <c r="G52" s="72"/>
      <c r="H52" s="72"/>
      <c r="I52" s="80"/>
      <c r="J52" s="80"/>
      <c r="K52" s="80"/>
      <c r="L52" s="80"/>
      <c r="M52" s="80"/>
      <c r="N52" s="81"/>
      <c r="O52" s="82"/>
      <c r="P52" s="324"/>
    </row>
    <row r="53" spans="2:16" ht="15">
      <c r="B53" s="314"/>
      <c r="C53" s="83"/>
      <c r="D53" s="78" t="s">
        <v>121</v>
      </c>
      <c r="E53" s="329">
        <f>10*I26*I50/I46</f>
        <v>10008.64116</v>
      </c>
      <c r="F53" s="553"/>
      <c r="H53" s="72"/>
      <c r="I53" s="80"/>
      <c r="J53" s="80"/>
      <c r="K53" s="80"/>
      <c r="L53" s="80"/>
      <c r="M53" s="80"/>
      <c r="N53" s="81"/>
      <c r="O53" s="82"/>
      <c r="P53" s="324"/>
    </row>
    <row r="54" spans="2:16" ht="15">
      <c r="B54" s="314"/>
      <c r="C54" s="83"/>
      <c r="D54" s="72"/>
      <c r="E54" s="72"/>
      <c r="J54" s="80"/>
      <c r="K54" s="80"/>
      <c r="L54" s="80"/>
      <c r="M54" s="80"/>
      <c r="N54" s="81"/>
      <c r="O54" s="82"/>
      <c r="P54" s="324"/>
    </row>
    <row r="55" spans="2:16" ht="15">
      <c r="B55" s="314"/>
      <c r="C55" s="83"/>
      <c r="D55" s="72" t="s">
        <v>134</v>
      </c>
      <c r="E55" s="72"/>
      <c r="F55" s="72"/>
      <c r="G55" s="72"/>
      <c r="H55" s="72"/>
      <c r="M55" s="80"/>
      <c r="N55" s="81"/>
      <c r="O55" s="82"/>
      <c r="P55" s="324"/>
    </row>
    <row r="56" spans="2:16" ht="15.75" thickBot="1">
      <c r="B56" s="314"/>
      <c r="C56" s="83"/>
      <c r="D56" s="72"/>
      <c r="E56" s="72"/>
      <c r="F56" s="72"/>
      <c r="G56" s="72"/>
      <c r="H56" s="72"/>
      <c r="M56" s="80"/>
      <c r="N56" s="81"/>
      <c r="O56" s="82"/>
      <c r="P56" s="324"/>
    </row>
    <row r="57" spans="2:16" ht="20.25" thickBot="1" thickTop="1">
      <c r="B57" s="314"/>
      <c r="C57" s="83"/>
      <c r="D57" s="79"/>
      <c r="E57" s="79"/>
      <c r="F57" s="85"/>
      <c r="G57" s="80"/>
      <c r="H57" s="270" t="s">
        <v>122</v>
      </c>
      <c r="I57" s="554">
        <f>IF($E$53&gt;3*I50,3*I50,$E$53)</f>
        <v>10008.64116</v>
      </c>
      <c r="J57" s="80"/>
      <c r="K57" s="80"/>
      <c r="L57" s="80"/>
      <c r="M57" s="80"/>
      <c r="N57" s="81"/>
      <c r="O57" s="82"/>
      <c r="P57" s="324"/>
    </row>
    <row r="58" spans="2:16" ht="16.5" thickBot="1" thickTop="1"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2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2014-07-07T15:13:43Z</cp:lastPrinted>
  <dcterms:created xsi:type="dcterms:W3CDTF">2000-10-04T20:14:32Z</dcterms:created>
  <dcterms:modified xsi:type="dcterms:W3CDTF">2014-10-17T14:54:39Z</dcterms:modified>
  <cp:category/>
  <cp:version/>
  <cp:contentType/>
  <cp:contentStatus/>
</cp:coreProperties>
</file>