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57" activeTab="0"/>
  </bookViews>
  <sheets>
    <sheet name="TOT-1013" sheetId="1" r:id="rId1"/>
    <sheet name="LI-10 (1)" sheetId="2" r:id="rId2"/>
    <sheet name="LI-EDERSA-10 (1)" sheetId="3" r:id="rId3"/>
    <sheet name="SA-EDERSA-10 (1)" sheetId="4" r:id="rId4"/>
    <sheet name="RE-10 (1)" sheetId="5" r:id="rId5"/>
    <sheet name="SUP-EDERSA" sheetId="6" r:id="rId6"/>
    <sheet name="TASA FALLA" sheetId="7" r:id="rId7"/>
  </sheets>
  <externalReferences>
    <externalReference r:id="rId10"/>
    <externalReference r:id="rId11"/>
    <externalReference r:id="rId12"/>
  </externalReferences>
  <definedNames>
    <definedName name="_xlnm.Print_Area" localSheetId="6">'TASA FALLA'!$A$1:$T$73</definedName>
    <definedName name="DD" localSheetId="6">'TASA FALLA'!DD</definedName>
    <definedName name="DD">[0]!DD</definedName>
    <definedName name="DDD" localSheetId="6">'TASA FALLA'!DDD</definedName>
    <definedName name="DDD">[0]!DDD</definedName>
    <definedName name="DISTROCUYO" localSheetId="6">'TASA FALLA'!DISTROCUYO</definedName>
    <definedName name="DISTROCUYO">[0]!DISTROCUYO</definedName>
    <definedName name="INICIO" localSheetId="6">'TASA FALLA'!INICIO</definedName>
    <definedName name="INICIO">[0]!INICIO</definedName>
    <definedName name="INICIOTI" localSheetId="6">'TASA FALLA'!INICIOTI</definedName>
    <definedName name="INICIOTI">[0]!INICIOTI</definedName>
    <definedName name="LINEAS" localSheetId="6">'TASA FALLA'!LINEAS</definedName>
    <definedName name="LINEAS">[0]!LINEAS</definedName>
    <definedName name="NAME_L" localSheetId="6">'TASA FALLA'!NAME_L</definedName>
    <definedName name="NAME_L">[0]!NAME_L</definedName>
    <definedName name="NAME_L_TI" localSheetId="6">'TASA FALLA'!NAME_L_TI</definedName>
    <definedName name="NAME_L_TI">[0]!NAME_L_TI</definedName>
    <definedName name="TRAN" localSheetId="6">'TASA FALLA'!TRAN</definedName>
    <definedName name="TRAN">[0]!TRAN</definedName>
    <definedName name="TRANSNOA" localSheetId="6">'TASA FALLA'!TRANSNOA</definedName>
    <definedName name="TRANSNOA">[0]!TRANSNOA</definedName>
    <definedName name="x" localSheetId="6">'TASA FALLA'!x</definedName>
    <definedName name="x">[0]!x</definedName>
    <definedName name="XX" localSheetId="6">'TASA FALLA'!XX</definedName>
    <definedName name="XX">[0]!XX</definedName>
  </definedNames>
  <calcPr fullCalcOnLoad="1"/>
</workbook>
</file>

<file path=xl/comments4.xml><?xml version="1.0" encoding="utf-8"?>
<comments xmlns="http://schemas.openxmlformats.org/spreadsheetml/2006/main">
  <authors>
    <author>jmessina</author>
  </authors>
  <commentList>
    <comment ref="G15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7,577 
hasta 01/07/2008 RES330</t>
        </r>
      </text>
    </comment>
    <comment ref="G16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3,030 hasta 01/07/2008 RES330</t>
        </r>
      </text>
    </comment>
    <comment ref="G17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  <comment ref="G18" authorId="0">
      <text>
        <r>
          <rPr>
            <b/>
            <sz val="8"/>
            <rFont val="Tahoma"/>
            <family val="0"/>
          </rPr>
          <t>jmessina:</t>
        </r>
        <r>
          <rPr>
            <sz val="8"/>
            <rFont val="Tahoma"/>
            <family val="0"/>
          </rPr>
          <t xml:space="preserve">
2,274 hasta 01/07/2008 RES330</t>
        </r>
      </text>
    </comment>
  </commentList>
</comments>
</file>

<file path=xl/comments6.xml><?xml version="1.0" encoding="utf-8"?>
<comments xmlns="http://schemas.openxmlformats.org/spreadsheetml/2006/main">
  <authors>
    <author>Ing. Juan Messina</author>
  </authors>
  <commentList>
    <comment ref="K30" authorId="0">
      <text>
        <r>
          <rPr>
            <b/>
            <sz val="8"/>
            <rFont val="Tahoma"/>
            <family val="2"/>
          </rPr>
          <t>Ing. Juan Messina:</t>
        </r>
        <r>
          <rPr>
            <sz val="8"/>
            <rFont val="Tahoma"/>
            <family val="2"/>
          </rPr>
          <t xml:space="preserve">
ATRAXX.TXT
SECCION A21
DISTPAT
SAO -132    SAE -132
EDERPSAT</t>
        </r>
      </text>
    </comment>
  </commentList>
</comments>
</file>

<file path=xl/sharedStrings.xml><?xml version="1.0" encoding="utf-8"?>
<sst xmlns="http://schemas.openxmlformats.org/spreadsheetml/2006/main" count="275" uniqueCount="156">
  <si>
    <t>SISTEMA DE TRANSPORTE DE ENERGÍA ELÉCTRICA POR DISTRIBUCIÓN TRONCAL</t>
  </si>
  <si>
    <t>TRANSPA S.A.</t>
  </si>
  <si>
    <t>TOTAL</t>
  </si>
  <si>
    <t>SALIDAS</t>
  </si>
  <si>
    <t>PUNTA COLORADA - SIERRA GRANDE</t>
  </si>
  <si>
    <t>S.A. OESTE - SIERRA GRANDE</t>
  </si>
  <si>
    <t>S.A. OESTE - VIEDMA</t>
  </si>
  <si>
    <t>VIEDMA - CARMEN DE PATAGONES</t>
  </si>
  <si>
    <t>TRAFO 1</t>
  </si>
  <si>
    <t>PUNTA COLORADA</t>
  </si>
  <si>
    <t>SAN ANTONIO ESTE</t>
  </si>
  <si>
    <t>SAN ANTONIO OESTE</t>
  </si>
  <si>
    <t>SIERRA GRANDE</t>
  </si>
  <si>
    <t>VIEDMA</t>
  </si>
  <si>
    <t>EQUIPO</t>
  </si>
  <si>
    <t>U [kV]</t>
  </si>
  <si>
    <t xml:space="preserve">ENTE NACIONAL REGULADOR </t>
  </si>
  <si>
    <t>DE LA ELECTRICIDAD</t>
  </si>
  <si>
    <t>1.-</t>
  </si>
  <si>
    <t>LÍNEAS</t>
  </si>
  <si>
    <t>1.1.-</t>
  </si>
  <si>
    <t>Equipamiento propio</t>
  </si>
  <si>
    <t>1.2.-</t>
  </si>
  <si>
    <t>Transportista Independiente E.D.E.R.S.A.</t>
  </si>
  <si>
    <t>2.-</t>
  </si>
  <si>
    <t>3.-</t>
  </si>
  <si>
    <t>POTENCIA REACTIVA</t>
  </si>
  <si>
    <t>SUPERVISIÓN</t>
  </si>
  <si>
    <t>4.1.-</t>
  </si>
  <si>
    <t xml:space="preserve">TOTAL </t>
  </si>
  <si>
    <t>SISTEMA DE TRANSPORTE DE ENERGÍA ELÉCTRICA POR DISTRIBUCIÓN TRONCAL - TRANSPA S.A.</t>
  </si>
  <si>
    <t>1.- LÍNEAS</t>
  </si>
  <si>
    <t>1.1.- Equipamiento propio</t>
  </si>
  <si>
    <t xml:space="preserve">$/100 km-h : LINEAS 330 kV 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</si>
  <si>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</si>
  <si>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</si>
  <si>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</si>
  <si>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</si>
  <si>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</si>
  <si>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</si>
  <si>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</si>
  <si>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</si>
  <si>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</si>
  <si>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</si>
  <si>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</si>
  <si>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</si>
  <si>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</si>
  <si>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</si>
  <si>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1ras 3 hs.   hs. Restante</t>
  </si>
  <si>
    <t>REDUCC. FORZADA
Por Salida   1ras 3 hs.   hs. Restante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</si>
  <si>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</si>
  <si>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</si>
  <si>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</si>
  <si>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</si>
  <si>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</si>
  <si>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Coeficiente de penalización por salida forzada   =</t>
  </si>
  <si>
    <t>ESTACIÓN
TRANSFORMADORA</t>
  </si>
  <si>
    <t>Hs.
Indisp.</t>
  </si>
  <si>
    <t>Mtos.
Indisp.</t>
  </si>
  <si>
    <t xml:space="preserve">Salida en 132 kV o 66 kV = </t>
  </si>
  <si>
    <t xml:space="preserve">Salida en 33 kV </t>
  </si>
  <si>
    <t>Salida en 13,2 kV =</t>
  </si>
  <si>
    <t>Por Transformador por cada MVA    $ =</t>
  </si>
  <si>
    <t>POT.
[MVAr]</t>
  </si>
  <si>
    <t>AUT</t>
  </si>
  <si>
    <t>K (P)</t>
  </si>
  <si>
    <t>PENALIZAC. FORZADA
Por Salida  hs. Restantes</t>
  </si>
  <si>
    <r>
      <t xml:space="preserve">a) </t>
    </r>
    <r>
      <rPr>
        <b/>
        <u val="single"/>
        <sz val="12"/>
        <rFont val="Times New Roman"/>
        <family val="1"/>
      </rPr>
      <t>Datos</t>
    </r>
  </si>
  <si>
    <t>Tiempo de servicio =</t>
  </si>
  <si>
    <t>hs</t>
  </si>
  <si>
    <t xml:space="preserve">$/100 km-h : LÍNEAS 132 kV </t>
  </si>
  <si>
    <t>Porcentaje por Supervisión  =</t>
  </si>
  <si>
    <t xml:space="preserve">Cargo por Transformador por MVA = </t>
  </si>
  <si>
    <r>
      <t xml:space="preserve">b) </t>
    </r>
    <r>
      <rPr>
        <b/>
        <u val="single"/>
        <sz val="11"/>
        <rFont val="Times New Roman"/>
        <family val="1"/>
      </rPr>
      <t>SM</t>
    </r>
    <r>
      <rPr>
        <b/>
        <sz val="11"/>
        <rFont val="Times New Roman"/>
        <family val="1"/>
      </rPr>
      <t>:</t>
    </r>
    <r>
      <rPr>
        <sz val="11"/>
        <rFont val="Times New Roman"/>
        <family val="1"/>
      </rPr>
      <t xml:space="preserve">  es la suma de las sanciones a que en cada mes se hiciere pasible el Transportista Independiente, valorizadas con idénticos criterios que los que se aplican a la Concesionaria.</t>
    </r>
  </si>
  <si>
    <t>SANCIÓN al T.I.</t>
  </si>
  <si>
    <t>SEGÚN 1.2.</t>
  </si>
  <si>
    <t>TRANSFORMACIÓN</t>
  </si>
  <si>
    <t>SM =</t>
  </si>
  <si>
    <r>
      <t xml:space="preserve">c) </t>
    </r>
    <r>
      <rPr>
        <b/>
        <u val="single"/>
        <sz val="11"/>
        <rFont val="Times New Roman"/>
        <family val="1"/>
      </rPr>
      <t xml:space="preserve">RM </t>
    </r>
    <r>
      <rPr>
        <sz val="11"/>
        <rFont val="Times New Roman"/>
        <family val="1"/>
      </rPr>
      <t>: es la remuneración que mensualmente recibiría el Transportista Independiente, si su servicio fuera valorizado conforme al régimen remuneratorio que se aplica a la Concesionaria.</t>
    </r>
  </si>
  <si>
    <t>Cargo por Capacidad de Transporte</t>
  </si>
  <si>
    <t>Long [km]</t>
  </si>
  <si>
    <t>Cargo por Capacidad de Transformación</t>
  </si>
  <si>
    <t>Equipo</t>
  </si>
  <si>
    <t>E.T</t>
  </si>
  <si>
    <t>Cargo</t>
  </si>
  <si>
    <t>RM =</t>
  </si>
  <si>
    <r>
      <t xml:space="preserve">d) </t>
    </r>
    <r>
      <rPr>
        <b/>
        <u val="single"/>
        <sz val="12"/>
        <rFont val="Times New Roman"/>
        <family val="1"/>
      </rPr>
      <t>CS:</t>
    </r>
    <r>
      <rPr>
        <sz val="12"/>
        <rFont val="Times New Roman"/>
        <family val="1"/>
      </rPr>
      <t xml:space="preserve"> Es el cargo por Supervisión de la Operación que la Transportista percibe por supervisar la operación y mantenimiento del Transportista Independiente.</t>
    </r>
  </si>
  <si>
    <t xml:space="preserve">Cargo por Supervisión afectado a la sanción </t>
  </si>
  <si>
    <t>CS =</t>
  </si>
  <si>
    <r>
      <t xml:space="preserve">e) </t>
    </r>
    <r>
      <rPr>
        <b/>
        <u val="single"/>
        <sz val="11"/>
        <rFont val="Times New Roman"/>
        <family val="1"/>
      </rPr>
      <t>SANCIÓN</t>
    </r>
  </si>
  <si>
    <t>Sanción Calculada</t>
  </si>
  <si>
    <t>SANCIÓN  =</t>
  </si>
  <si>
    <t>Pot  E.T. [MVA]</t>
  </si>
  <si>
    <t>TRAFOS 1y2</t>
  </si>
  <si>
    <t>C. DE PATAGONES</t>
  </si>
  <si>
    <t>Salida Viedma</t>
  </si>
  <si>
    <t>Tr 1, 2, 4 y 5</t>
  </si>
  <si>
    <t>Salida Conesa y SA Oeste</t>
  </si>
  <si>
    <t>Salidas Valcheta, SA Oeste y SA Este</t>
  </si>
  <si>
    <t>Alimentadores 1,2,3,5,6 y 8</t>
  </si>
  <si>
    <t>TRAFOS 1 y 2</t>
  </si>
  <si>
    <t>Alimentadores en 33 y 6,6 (2)</t>
  </si>
  <si>
    <t>Salidas en 132, 33, 13,2 (3), 6,6 (2)</t>
  </si>
  <si>
    <t>TOTAL A PENALIZAR A TRANSPA S.A. POR SUPERVISIÓN A EDERSA</t>
  </si>
  <si>
    <r>
      <t xml:space="preserve">        RM</t>
    </r>
    <r>
      <rPr>
        <sz val="12"/>
        <rFont val="Times New Roman"/>
        <family val="1"/>
      </rPr>
      <t xml:space="preserve"> por Energía Transportada</t>
    </r>
  </si>
  <si>
    <r>
      <t xml:space="preserve">  RM</t>
    </r>
    <r>
      <rPr>
        <sz val="12"/>
        <rFont val="Times New Roman"/>
        <family val="1"/>
      </rPr>
      <t xml:space="preserve"> por Cap. Transporte</t>
    </r>
  </si>
  <si>
    <r>
      <t>RM</t>
    </r>
    <r>
      <rPr>
        <sz val="12"/>
        <rFont val="Times New Roman"/>
        <family val="1"/>
      </rPr>
      <t xml:space="preserve"> Cap. Transformación</t>
    </r>
  </si>
  <si>
    <t>1.2.- Transportista Independiente E.D.E.R.S.A.</t>
  </si>
  <si>
    <t>ID EQUIPO</t>
  </si>
  <si>
    <t>INDISP</t>
  </si>
  <si>
    <t xml:space="preserve">        DE LA ELECTRICIDAD</t>
  </si>
  <si>
    <t xml:space="preserve">              DE LA ELECTRICIDAD</t>
  </si>
  <si>
    <t xml:space="preserve">           ENTE NACIONAL REGULADOR </t>
  </si>
  <si>
    <t>Desde el 01 al 31 de octubre de 2013</t>
  </si>
  <si>
    <t>CDORO. RIVADAVIA (A1) - CDORO. RIVADAVIA</t>
  </si>
  <si>
    <t>0,50</t>
  </si>
  <si>
    <t>P</t>
  </si>
  <si>
    <t>SI</t>
  </si>
  <si>
    <t>0,000</t>
  </si>
  <si>
    <t>TRELEW - FLORENTINO AMEGHINO</t>
  </si>
  <si>
    <t>PICO TRUNCADO I - CDORO. RIVADAVIA</t>
  </si>
  <si>
    <t>S.A. OESTE - S.A. ESTE</t>
  </si>
  <si>
    <t>S.A. ESTE - VIEDMA</t>
  </si>
  <si>
    <t>FUTALEUFU</t>
  </si>
  <si>
    <t>Reactor 2</t>
  </si>
  <si>
    <t>P - PROGRAMADA</t>
  </si>
  <si>
    <t xml:space="preserve"> - </t>
  </si>
  <si>
    <t>Valores remuneratorios  de acuerdo al Acuerdo Instrumental del Acta Acuerdo -  Res. ENRE N° 645/08</t>
  </si>
  <si>
    <t>(DTE 1013)</t>
  </si>
  <si>
    <t>CONEXIÓN</t>
  </si>
  <si>
    <t>2.2.-</t>
  </si>
  <si>
    <t>Salidas</t>
  </si>
  <si>
    <t>2.2.1.-</t>
  </si>
  <si>
    <t>4.-</t>
  </si>
  <si>
    <t>3.- POTENCIA REACTIVA</t>
  </si>
  <si>
    <t>4.1.- SUPERVISIÓN - Transportista Independiente E.D.E.R.S.A.</t>
  </si>
  <si>
    <t>Salida en 330 kV</t>
  </si>
  <si>
    <t>AUT.</t>
  </si>
  <si>
    <t>K (U)</t>
  </si>
  <si>
    <t>PENALIZACIONES
Por Salida  hs. Restantes</t>
  </si>
  <si>
    <t>2.2.1.- Transportista Independiente E.D.E.R.S.A.</t>
  </si>
  <si>
    <t>S.A.OESTE</t>
  </si>
  <si>
    <t>SALIDA LINEA VALCHETA</t>
  </si>
  <si>
    <t>SEGÚN 2.2.1.</t>
  </si>
  <si>
    <t>TOTAL DE PENALIZACIONES A APLICAR</t>
  </si>
  <si>
    <t xml:space="preserve">SISTEMA DE TRANSPORTE DE ENERGÍA ELÉCTRICA POR DISTRIBUCIÓN TRONCAL </t>
  </si>
  <si>
    <t>INDISPONIBILIDADES FORZADAS DE LÍNEAS - TASA DE FALLA</t>
  </si>
  <si>
    <t xml:space="preserve">Longitud Total </t>
  </si>
  <si>
    <t xml:space="preserve">Indisponibilidades Forzadas </t>
  </si>
  <si>
    <t xml:space="preserve">TASA DE FALLA </t>
  </si>
  <si>
    <t>XXX</t>
  </si>
  <si>
    <t xml:space="preserve">  Líneas No existentes en los respectivos meses</t>
  </si>
  <si>
    <t>TASA DE FALLA</t>
  </si>
  <si>
    <t>SALIDAS x AÑO / 100 km</t>
  </si>
  <si>
    <t>Tasa de falla correspondiente al mes de octubre de 2013</t>
  </si>
  <si>
    <t>ANEXO IV al Memorándum  D.T.E.E.  N°      598     / 2014.-</t>
  </si>
</sst>
</file>

<file path=xl/styles.xml><?xml version="1.0" encoding="utf-8"?>
<styleSheet xmlns="http://schemas.openxmlformats.org/spreadsheetml/2006/main">
  <numFmts count="7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"/>
    <numFmt numFmtId="174" formatCode="0.0\ \k\V"/>
    <numFmt numFmtId="175" formatCode="0.00\ &quot;km&quot;"/>
    <numFmt numFmtId="176" formatCode="0.00\ &quot;MVA&quot;"/>
    <numFmt numFmtId="177" formatCode="0.000_)"/>
    <numFmt numFmtId="178" formatCode="&quot;$&quot;#,##0.00;&quot;$&quot;\-#,##0.00"/>
    <numFmt numFmtId="179" formatCode="&quot;$&quot;#,##0.00"/>
    <numFmt numFmtId="180" formatCode="#&quot;.&quot;#&quot;.-&quot;"/>
    <numFmt numFmtId="181" formatCode="#&quot;.&quot;#&quot;.&quot;#&quot;.-&quot;"/>
    <numFmt numFmtId="182" formatCode="#,##0;[Red]#,##0"/>
    <numFmt numFmtId="183" formatCode="#,##0.000000"/>
    <numFmt numFmtId="184" formatCode="#,##0.00;[Red]#,##0.00"/>
    <numFmt numFmtId="185" formatCode="dd/mm/yy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[$-2C0A]dddd\,\ dd&quot; de &quot;mmmm&quot; de &quot;yyyy"/>
    <numFmt numFmtId="224" formatCode="[$-2C0A]hh:mm:ss\ AM/PM"/>
    <numFmt numFmtId="225" formatCode="&quot;$&quot;\ #,##0.0;[Red]&quot;$&quot;\ \-#,##0.0"/>
    <numFmt numFmtId="226" formatCode="#,##0.000000_ ;\-#,##0.000000\ "/>
    <numFmt numFmtId="227" formatCode="[$-2C0A]hh:mm:ss\ \a\.m\./\p\.m\."/>
  </numFmts>
  <fonts count="1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4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sz val="11"/>
      <color indexed="12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8"/>
      <name val="MS Sans Serif"/>
      <family val="2"/>
    </font>
    <font>
      <sz val="2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u val="double"/>
      <sz val="10"/>
      <name val="Times New Roman"/>
      <family val="1"/>
    </font>
    <font>
      <b/>
      <sz val="20"/>
      <name val="Times New Roman"/>
      <family val="1"/>
    </font>
    <font>
      <sz val="16"/>
      <name val="MS Sans Serif"/>
      <family val="2"/>
    </font>
    <font>
      <b/>
      <i/>
      <u val="single"/>
      <sz val="10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sz val="7"/>
      <name val="MS Sans Serif"/>
      <family val="2"/>
    </font>
    <font>
      <sz val="7"/>
      <color indexed="12"/>
      <name val="Times New Roman"/>
      <family val="1"/>
    </font>
    <font>
      <sz val="7"/>
      <color indexed="10"/>
      <name val="Times New Roman"/>
      <family val="1"/>
    </font>
    <font>
      <b/>
      <sz val="7"/>
      <name val="Times New Roman"/>
      <family val="1"/>
    </font>
    <font>
      <b/>
      <u val="single"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MS Sans Serif"/>
      <family val="2"/>
    </font>
    <font>
      <b/>
      <sz val="10"/>
      <color indexed="9"/>
      <name val="MS Sans Serif"/>
      <family val="2"/>
    </font>
    <font>
      <sz val="10"/>
      <color indexed="9"/>
      <name val="Times New Roman"/>
      <family val="1"/>
    </font>
    <font>
      <b/>
      <sz val="10"/>
      <color indexed="8"/>
      <name val="MS Sans Serif"/>
      <family val="2"/>
    </font>
    <font>
      <b/>
      <sz val="10"/>
      <color indexed="8"/>
      <name val="Times New Roman"/>
      <family val="1"/>
    </font>
    <font>
      <sz val="12"/>
      <color indexed="9"/>
      <name val="Times New Roman"/>
      <family val="1"/>
    </font>
    <font>
      <b/>
      <sz val="10"/>
      <color indexed="48"/>
      <name val="Times New Roman"/>
      <family val="1"/>
    </font>
    <font>
      <b/>
      <sz val="10"/>
      <color indexed="48"/>
      <name val="MS Sans Serif"/>
      <family val="2"/>
    </font>
    <font>
      <b/>
      <i/>
      <sz val="10"/>
      <name val="Times New Roman"/>
      <family val="1"/>
    </font>
    <font>
      <u val="single"/>
      <sz val="11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name val="Times New Roman"/>
      <family val="1"/>
    </font>
    <font>
      <sz val="10"/>
      <color indexed="39"/>
      <name val="Times New Roman"/>
      <family val="1"/>
    </font>
    <font>
      <sz val="8"/>
      <name val="MS Sans Serif"/>
      <family val="0"/>
    </font>
    <font>
      <sz val="20"/>
      <name val="MS Sans Serif"/>
      <family val="0"/>
    </font>
    <font>
      <sz val="24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b/>
      <sz val="11"/>
      <name val="MS Sans Serif"/>
      <family val="2"/>
    </font>
    <font>
      <b/>
      <u val="single"/>
      <sz val="12"/>
      <name val="Arial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MS Sans Serif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8"/>
      </patternFill>
    </fill>
    <fill>
      <patternFill patternType="gray0625">
        <fgColor indexed="8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 style="thick"/>
    </border>
    <border>
      <left style="double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6" fillId="2" borderId="0" applyNumberFormat="0" applyBorder="0" applyAlignment="0" applyProtection="0"/>
    <xf numFmtId="0" fontId="96" fillId="3" borderId="0" applyNumberFormat="0" applyBorder="0" applyAlignment="0" applyProtection="0"/>
    <xf numFmtId="0" fontId="96" fillId="4" borderId="0" applyNumberFormat="0" applyBorder="0" applyAlignment="0" applyProtection="0"/>
    <xf numFmtId="0" fontId="96" fillId="5" borderId="0" applyNumberFormat="0" applyBorder="0" applyAlignment="0" applyProtection="0"/>
    <xf numFmtId="0" fontId="96" fillId="6" borderId="0" applyNumberFormat="0" applyBorder="0" applyAlignment="0" applyProtection="0"/>
    <xf numFmtId="0" fontId="96" fillId="7" borderId="0" applyNumberFormat="0" applyBorder="0" applyAlignment="0" applyProtection="0"/>
    <xf numFmtId="0" fontId="96" fillId="8" borderId="0" applyNumberFormat="0" applyBorder="0" applyAlignment="0" applyProtection="0"/>
    <xf numFmtId="0" fontId="96" fillId="9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97" fillId="16" borderId="0" applyNumberFormat="0" applyBorder="0" applyAlignment="0" applyProtection="0"/>
    <xf numFmtId="0" fontId="97" fillId="17" borderId="0" applyNumberFormat="0" applyBorder="0" applyAlignment="0" applyProtection="0"/>
    <xf numFmtId="0" fontId="97" fillId="18" borderId="0" applyNumberFormat="0" applyBorder="0" applyAlignment="0" applyProtection="0"/>
    <xf numFmtId="0" fontId="97" fillId="19" borderId="0" applyNumberFormat="0" applyBorder="0" applyAlignment="0" applyProtection="0"/>
    <xf numFmtId="0" fontId="98" fillId="20" borderId="0" applyNumberFormat="0" applyBorder="0" applyAlignment="0" applyProtection="0"/>
    <xf numFmtId="0" fontId="99" fillId="21" borderId="1" applyNumberFormat="0" applyAlignment="0" applyProtection="0"/>
    <xf numFmtId="0" fontId="100" fillId="22" borderId="2" applyNumberFormat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0" applyNumberFormat="0" applyFill="0" applyBorder="0" applyAlignment="0" applyProtection="0"/>
    <xf numFmtId="0" fontId="97" fillId="23" borderId="0" applyNumberFormat="0" applyBorder="0" applyAlignment="0" applyProtection="0"/>
    <xf numFmtId="0" fontId="97" fillId="24" borderId="0" applyNumberFormat="0" applyBorder="0" applyAlignment="0" applyProtection="0"/>
    <xf numFmtId="0" fontId="97" fillId="25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104" fillId="29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105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0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107" fillId="21" borderId="6" applyNumberFormat="0" applyAlignment="0" applyProtection="0"/>
    <xf numFmtId="0" fontId="10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11" fillId="0" borderId="7" applyNumberFormat="0" applyFill="0" applyAlignment="0" applyProtection="0"/>
    <xf numFmtId="0" fontId="103" fillId="0" borderId="8" applyNumberFormat="0" applyFill="0" applyAlignment="0" applyProtection="0"/>
    <xf numFmtId="0" fontId="112" fillId="0" borderId="9" applyNumberFormat="0" applyFill="0" applyAlignment="0" applyProtection="0"/>
  </cellStyleXfs>
  <cellXfs count="70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2" fontId="7" fillId="0" borderId="12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68" fontId="7" fillId="0" borderId="13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0" xfId="0" applyFont="1" applyBorder="1" applyAlignment="1">
      <alignment/>
    </xf>
    <xf numFmtId="0" fontId="16" fillId="0" borderId="0" xfId="0" applyFont="1" applyBorder="1" applyAlignment="1">
      <alignment/>
    </xf>
    <xf numFmtId="7" fontId="8" fillId="0" borderId="0" xfId="0" applyNumberFormat="1" applyFont="1" applyBorder="1" applyAlignment="1">
      <alignment horizontal="right"/>
    </xf>
    <xf numFmtId="0" fontId="17" fillId="0" borderId="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4" fontId="1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center"/>
    </xf>
    <xf numFmtId="7" fontId="7" fillId="0" borderId="22" xfId="0" applyNumberFormat="1" applyFont="1" applyBorder="1" applyAlignment="1">
      <alignment horizontal="center"/>
    </xf>
    <xf numFmtId="168" fontId="7" fillId="0" borderId="0" xfId="0" applyNumberFormat="1" applyFont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4" fontId="9" fillId="0" borderId="0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64" fontId="7" fillId="0" borderId="12" xfId="0" applyNumberFormat="1" applyFont="1" applyFill="1" applyBorder="1" applyAlignment="1" applyProtection="1" quotePrefix="1">
      <alignment horizontal="center"/>
      <protection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>
      <alignment horizontal="center"/>
      <protection/>
    </xf>
    <xf numFmtId="168" fontId="10" fillId="0" borderId="0" xfId="0" applyNumberFormat="1" applyFont="1" applyBorder="1" applyAlignment="1" applyProtection="1" quotePrefix="1">
      <alignment horizontal="center"/>
      <protection/>
    </xf>
    <xf numFmtId="2" fontId="2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8" fontId="10" fillId="0" borderId="0" xfId="0" applyNumberFormat="1" applyFont="1" applyBorder="1" applyAlignment="1" applyProtection="1">
      <alignment horizontal="left"/>
      <protection/>
    </xf>
    <xf numFmtId="2" fontId="10" fillId="0" borderId="0" xfId="0" applyNumberFormat="1" applyFont="1" applyBorder="1" applyAlignment="1" applyProtection="1">
      <alignment horizontal="center"/>
      <protection/>
    </xf>
    <xf numFmtId="5" fontId="10" fillId="0" borderId="0" xfId="0" applyNumberFormat="1" applyFont="1" applyBorder="1" applyAlignment="1" applyProtection="1">
      <alignment horizontal="center"/>
      <protection/>
    </xf>
    <xf numFmtId="0" fontId="20" fillId="0" borderId="0" xfId="0" applyFont="1" applyFill="1" applyBorder="1" applyAlignment="1">
      <alignment/>
    </xf>
    <xf numFmtId="0" fontId="12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23" xfId="0" applyFont="1" applyBorder="1" applyAlignment="1">
      <alignment horizontal="center"/>
    </xf>
    <xf numFmtId="0" fontId="13" fillId="0" borderId="24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center"/>
      <protection/>
    </xf>
    <xf numFmtId="168" fontId="7" fillId="0" borderId="23" xfId="0" applyNumberFormat="1" applyFont="1" applyBorder="1" applyAlignment="1" applyProtection="1">
      <alignment horizontal="center"/>
      <protection/>
    </xf>
    <xf numFmtId="22" fontId="7" fillId="0" borderId="25" xfId="0" applyNumberFormat="1" applyFont="1" applyBorder="1" applyAlignment="1">
      <alignment horizontal="center"/>
    </xf>
    <xf numFmtId="22" fontId="7" fillId="0" borderId="24" xfId="0" applyNumberFormat="1" applyFont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 quotePrefix="1">
      <alignment horizontal="center"/>
      <protection/>
    </xf>
    <xf numFmtId="164" fontId="7" fillId="0" borderId="23" xfId="0" applyNumberFormat="1" applyFont="1" applyFill="1" applyBorder="1" applyAlignment="1" applyProtection="1" quotePrefix="1">
      <alignment horizontal="center"/>
      <protection/>
    </xf>
    <xf numFmtId="168" fontId="7" fillId="0" borderId="26" xfId="0" applyNumberFormat="1" applyFont="1" applyBorder="1" applyAlignment="1" applyProtection="1">
      <alignment horizontal="center"/>
      <protection/>
    </xf>
    <xf numFmtId="2" fontId="7" fillId="0" borderId="12" xfId="0" applyNumberFormat="1" applyFont="1" applyFill="1" applyBorder="1" applyAlignment="1" applyProtection="1" quotePrefix="1">
      <alignment horizontal="center"/>
      <protection/>
    </xf>
    <xf numFmtId="4" fontId="18" fillId="0" borderId="12" xfId="0" applyNumberFormat="1" applyFont="1" applyFill="1" applyBorder="1" applyAlignment="1">
      <alignment horizontal="right"/>
    </xf>
    <xf numFmtId="168" fontId="7" fillId="0" borderId="27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Continuous"/>
      <protection/>
    </xf>
    <xf numFmtId="0" fontId="15" fillId="0" borderId="10" xfId="0" applyFont="1" applyBorder="1" applyAlignment="1" applyProtection="1">
      <alignment horizontal="centerContinuous"/>
      <protection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26" fillId="0" borderId="30" xfId="0" applyFont="1" applyBorder="1" applyAlignment="1">
      <alignment horizontal="center" vertical="center"/>
    </xf>
    <xf numFmtId="0" fontId="26" fillId="0" borderId="30" xfId="0" applyFont="1" applyBorder="1" applyAlignment="1" applyProtection="1">
      <alignment horizontal="center" vertical="center"/>
      <protection/>
    </xf>
    <xf numFmtId="0" fontId="26" fillId="0" borderId="30" xfId="0" applyFont="1" applyBorder="1" applyAlignment="1" applyProtection="1">
      <alignment horizontal="center" vertical="center" wrapText="1"/>
      <protection/>
    </xf>
    <xf numFmtId="0" fontId="26" fillId="0" borderId="31" xfId="0" applyFont="1" applyBorder="1" applyAlignment="1" applyProtection="1">
      <alignment horizontal="center" vertical="center" wrapText="1"/>
      <protection/>
    </xf>
    <xf numFmtId="0" fontId="26" fillId="0" borderId="32" xfId="0" applyFont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6" fillId="0" borderId="11" xfId="0" applyFont="1" applyBorder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0" fillId="0" borderId="0" xfId="0" applyFont="1" applyAlignment="1">
      <alignment/>
    </xf>
    <xf numFmtId="0" fontId="16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Border="1" applyAlignment="1">
      <alignment horizontal="centerContinuous"/>
    </xf>
    <xf numFmtId="0" fontId="17" fillId="0" borderId="0" xfId="0" applyFont="1" applyAlignment="1">
      <alignment horizontal="centerContinuous"/>
    </xf>
    <xf numFmtId="0" fontId="17" fillId="0" borderId="0" xfId="0" applyFont="1" applyBorder="1" applyAlignment="1" applyProtection="1">
      <alignment horizontal="centerContinuous"/>
      <protection/>
    </xf>
    <xf numFmtId="0" fontId="17" fillId="0" borderId="11" xfId="0" applyFont="1" applyBorder="1" applyAlignment="1">
      <alignment horizontal="centerContinuous"/>
    </xf>
    <xf numFmtId="0" fontId="17" fillId="0" borderId="0" xfId="0" applyFont="1" applyAlignment="1">
      <alignment/>
    </xf>
    <xf numFmtId="0" fontId="7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Fill="1" applyBorder="1" applyAlignment="1" applyProtection="1">
      <alignment horizontal="centerContinuous"/>
      <protection/>
    </xf>
    <xf numFmtId="0" fontId="30" fillId="0" borderId="0" xfId="0" applyNumberFormat="1" applyFont="1" applyAlignment="1">
      <alignment horizontal="left"/>
    </xf>
    <xf numFmtId="0" fontId="30" fillId="0" borderId="0" xfId="0" applyFont="1" applyBorder="1" applyAlignment="1">
      <alignment/>
    </xf>
    <xf numFmtId="0" fontId="32" fillId="0" borderId="0" xfId="0" applyFont="1" applyFill="1" applyBorder="1" applyAlignment="1" applyProtection="1">
      <alignment horizontal="left"/>
      <protection/>
    </xf>
    <xf numFmtId="0" fontId="28" fillId="0" borderId="0" xfId="0" applyFont="1" applyBorder="1" applyAlignment="1">
      <alignment/>
    </xf>
    <xf numFmtId="0" fontId="16" fillId="0" borderId="0" xfId="0" applyFont="1" applyAlignment="1">
      <alignment horizontal="centerContinuous"/>
    </xf>
    <xf numFmtId="0" fontId="16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0" xfId="0" applyNumberFormat="1" applyAlignment="1">
      <alignment horizontal="centerContinuous"/>
    </xf>
    <xf numFmtId="0" fontId="17" fillId="0" borderId="0" xfId="0" applyNumberFormat="1" applyFont="1" applyAlignment="1">
      <alignment horizontal="centerContinuous"/>
    </xf>
    <xf numFmtId="0" fontId="15" fillId="0" borderId="0" xfId="0" applyFont="1" applyBorder="1" applyAlignment="1">
      <alignment horizontal="centerContinuous"/>
    </xf>
    <xf numFmtId="0" fontId="17" fillId="0" borderId="10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0" fontId="17" fillId="0" borderId="11" xfId="0" applyFont="1" applyBorder="1" applyAlignment="1">
      <alignment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34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8" fillId="0" borderId="32" xfId="0" applyFont="1" applyBorder="1" applyAlignment="1">
      <alignment horizontal="center"/>
    </xf>
    <xf numFmtId="7" fontId="8" fillId="0" borderId="33" xfId="0" applyNumberFormat="1" applyFont="1" applyBorder="1" applyAlignment="1">
      <alignment horizontal="center"/>
    </xf>
    <xf numFmtId="0" fontId="20" fillId="0" borderId="17" xfId="0" applyFont="1" applyBorder="1" applyAlignment="1">
      <alignment/>
    </xf>
    <xf numFmtId="0" fontId="20" fillId="0" borderId="18" xfId="0" applyNumberFormat="1" applyFont="1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4" fontId="20" fillId="0" borderId="0" xfId="0" applyNumberFormat="1" applyFont="1" applyFill="1" applyBorder="1" applyAlignment="1">
      <alignment/>
    </xf>
    <xf numFmtId="7" fontId="20" fillId="0" borderId="0" xfId="0" applyNumberFormat="1" applyFont="1" applyBorder="1" applyAlignment="1">
      <alignment/>
    </xf>
    <xf numFmtId="168" fontId="20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6" fillId="0" borderId="11" xfId="0" applyFont="1" applyBorder="1" applyAlignment="1">
      <alignment horizontal="centerContinuous"/>
    </xf>
    <xf numFmtId="0" fontId="35" fillId="0" borderId="0" xfId="0" applyFont="1" applyBorder="1" applyAlignment="1">
      <alignment horizontal="centerContinuous"/>
    </xf>
    <xf numFmtId="0" fontId="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0" fillId="0" borderId="32" xfId="0" applyFont="1" applyBorder="1" applyAlignment="1" applyProtection="1">
      <alignment horizontal="left"/>
      <protection/>
    </xf>
    <xf numFmtId="0" fontId="30" fillId="0" borderId="0" xfId="0" applyFont="1" applyAlignment="1">
      <alignment horizontal="centerContinuous"/>
    </xf>
    <xf numFmtId="2" fontId="7" fillId="0" borderId="34" xfId="0" applyNumberFormat="1" applyFont="1" applyFill="1" applyBorder="1" applyAlignment="1" applyProtection="1" quotePrefix="1">
      <alignment horizontal="center"/>
      <protection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9" xfId="0" applyFont="1" applyBorder="1" applyAlignment="1" applyProtection="1">
      <alignment horizontal="center"/>
      <protection/>
    </xf>
    <xf numFmtId="0" fontId="0" fillId="0" borderId="3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 applyProtection="1" quotePrefix="1">
      <alignment horizontal="left"/>
      <protection/>
    </xf>
    <xf numFmtId="0" fontId="0" fillId="0" borderId="31" xfId="0" applyFont="1" applyBorder="1" applyAlignment="1" applyProtection="1">
      <alignment horizontal="center"/>
      <protection/>
    </xf>
    <xf numFmtId="164" fontId="0" fillId="0" borderId="33" xfId="0" applyNumberFormat="1" applyFont="1" applyBorder="1" applyAlignment="1" applyProtection="1">
      <alignment horizontal="center"/>
      <protection/>
    </xf>
    <xf numFmtId="0" fontId="26" fillId="0" borderId="30" xfId="0" applyFont="1" applyBorder="1" applyAlignment="1" applyProtection="1" quotePrefix="1">
      <alignment horizontal="center" vertical="center" wrapText="1"/>
      <protection/>
    </xf>
    <xf numFmtId="0" fontId="27" fillId="0" borderId="30" xfId="0" applyFont="1" applyFill="1" applyBorder="1" applyAlignment="1">
      <alignment horizontal="center" vertical="center" wrapText="1"/>
    </xf>
    <xf numFmtId="168" fontId="18" fillId="0" borderId="23" xfId="0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/>
    </xf>
    <xf numFmtId="168" fontId="10" fillId="0" borderId="0" xfId="0" applyNumberFormat="1" applyFont="1" applyBorder="1" applyAlignment="1" applyProtection="1">
      <alignment horizontal="right"/>
      <protection/>
    </xf>
    <xf numFmtId="0" fontId="8" fillId="0" borderId="32" xfId="0" applyFont="1" applyFill="1" applyBorder="1" applyAlignment="1">
      <alignment horizontal="center"/>
    </xf>
    <xf numFmtId="0" fontId="15" fillId="0" borderId="10" xfId="0" applyFont="1" applyBorder="1" applyAlignment="1">
      <alignment horizontal="centerContinuous"/>
    </xf>
    <xf numFmtId="0" fontId="0" fillId="0" borderId="0" xfId="0" applyFont="1" applyAlignment="1" applyProtection="1">
      <alignment/>
      <protection/>
    </xf>
    <xf numFmtId="7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Continuous"/>
    </xf>
    <xf numFmtId="0" fontId="1" fillId="0" borderId="33" xfId="0" applyFont="1" applyBorder="1" applyAlignment="1" applyProtection="1">
      <alignment horizontal="centerContinuous"/>
      <protection/>
    </xf>
    <xf numFmtId="167" fontId="0" fillId="0" borderId="33" xfId="0" applyNumberFormat="1" applyFont="1" applyBorder="1" applyAlignment="1">
      <alignment horizontal="centerContinuous"/>
    </xf>
    <xf numFmtId="0" fontId="38" fillId="0" borderId="39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/>
      <protection/>
    </xf>
    <xf numFmtId="0" fontId="40" fillId="0" borderId="0" xfId="0" applyFont="1" applyBorder="1" applyAlignment="1">
      <alignment horizontal="center"/>
    </xf>
    <xf numFmtId="0" fontId="40" fillId="0" borderId="0" xfId="0" applyFont="1" applyBorder="1" applyAlignment="1" applyProtection="1">
      <alignment horizontal="left" vertical="top"/>
      <protection/>
    </xf>
    <xf numFmtId="0" fontId="41" fillId="0" borderId="0" xfId="0" applyFont="1" applyBorder="1" applyAlignment="1">
      <alignment/>
    </xf>
    <xf numFmtId="0" fontId="41" fillId="0" borderId="10" xfId="0" applyFont="1" applyBorder="1" applyAlignment="1">
      <alignment/>
    </xf>
    <xf numFmtId="0" fontId="38" fillId="0" borderId="0" xfId="0" applyFont="1" applyBorder="1" applyAlignment="1" applyProtection="1">
      <alignment horizontal="center"/>
      <protection/>
    </xf>
    <xf numFmtId="2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>
      <alignment horizontal="center"/>
      <protection/>
    </xf>
    <xf numFmtId="168" fontId="38" fillId="0" borderId="0" xfId="0" applyNumberFormat="1" applyFont="1" applyBorder="1" applyAlignment="1" applyProtection="1" quotePrefix="1">
      <alignment horizontal="center"/>
      <protection/>
    </xf>
    <xf numFmtId="2" fontId="42" fillId="0" borderId="0" xfId="0" applyNumberFormat="1" applyFont="1" applyBorder="1" applyAlignment="1">
      <alignment horizontal="center"/>
    </xf>
    <xf numFmtId="168" fontId="43" fillId="0" borderId="0" xfId="0" applyNumberFormat="1" applyFont="1" applyBorder="1" applyAlignment="1" applyProtection="1" quotePrefix="1">
      <alignment horizontal="center"/>
      <protection/>
    </xf>
    <xf numFmtId="4" fontId="43" fillId="0" borderId="0" xfId="0" applyNumberFormat="1" applyFont="1" applyBorder="1" applyAlignment="1">
      <alignment horizontal="center"/>
    </xf>
    <xf numFmtId="4" fontId="44" fillId="0" borderId="0" xfId="0" applyNumberFormat="1" applyFont="1" applyBorder="1" applyAlignment="1">
      <alignment horizontal="right"/>
    </xf>
    <xf numFmtId="2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7" fontId="11" fillId="0" borderId="30" xfId="0" applyNumberFormat="1" applyFont="1" applyFill="1" applyBorder="1" applyAlignment="1">
      <alignment horizontal="right"/>
    </xf>
    <xf numFmtId="0" fontId="38" fillId="0" borderId="0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7" fontId="44" fillId="0" borderId="0" xfId="0" applyNumberFormat="1" applyFont="1" applyFill="1" applyBorder="1" applyAlignment="1">
      <alignment horizontal="right"/>
    </xf>
    <xf numFmtId="0" fontId="38" fillId="0" borderId="11" xfId="0" applyFont="1" applyBorder="1" applyAlignment="1">
      <alignment/>
    </xf>
    <xf numFmtId="0" fontId="46" fillId="33" borderId="30" xfId="0" applyFont="1" applyFill="1" applyBorder="1" applyAlignment="1" applyProtection="1">
      <alignment horizontal="center" vertical="center"/>
      <protection/>
    </xf>
    <xf numFmtId="0" fontId="47" fillId="33" borderId="21" xfId="0" applyFont="1" applyFill="1" applyBorder="1" applyAlignment="1">
      <alignment/>
    </xf>
    <xf numFmtId="0" fontId="47" fillId="33" borderId="12" xfId="0" applyFont="1" applyFill="1" applyBorder="1" applyAlignment="1">
      <alignment/>
    </xf>
    <xf numFmtId="168" fontId="48" fillId="33" borderId="12" xfId="0" applyNumberFormat="1" applyFont="1" applyFill="1" applyBorder="1" applyAlignment="1" applyProtection="1">
      <alignment horizontal="center"/>
      <protection/>
    </xf>
    <xf numFmtId="168" fontId="48" fillId="33" borderId="13" xfId="0" applyNumberFormat="1" applyFont="1" applyFill="1" applyBorder="1" applyAlignment="1" applyProtection="1">
      <alignment horizontal="center"/>
      <protection/>
    </xf>
    <xf numFmtId="4" fontId="45" fillId="0" borderId="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169" fontId="10" fillId="0" borderId="0" xfId="0" applyNumberFormat="1" applyFont="1" applyBorder="1" applyAlignment="1">
      <alignment horizontal="center"/>
    </xf>
    <xf numFmtId="167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0" fillId="0" borderId="0" xfId="0" applyFont="1" applyBorder="1" applyAlignment="1" applyProtection="1">
      <alignment horizontal="right"/>
      <protection/>
    </xf>
    <xf numFmtId="10" fontId="18" fillId="0" borderId="0" xfId="0" applyNumberFormat="1" applyFont="1" applyFill="1" applyBorder="1" applyAlignment="1">
      <alignment/>
    </xf>
    <xf numFmtId="167" fontId="10" fillId="0" borderId="0" xfId="0" applyNumberFormat="1" applyFont="1" applyBorder="1" applyAlignment="1">
      <alignment/>
    </xf>
    <xf numFmtId="2" fontId="10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 applyProtection="1">
      <alignment horizontal="right"/>
      <protection/>
    </xf>
    <xf numFmtId="7" fontId="10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 applyProtection="1">
      <alignment horizontal="right"/>
      <protection/>
    </xf>
    <xf numFmtId="0" fontId="33" fillId="0" borderId="0" xfId="0" applyFont="1" applyBorder="1" applyAlignment="1">
      <alignment/>
    </xf>
    <xf numFmtId="7" fontId="10" fillId="0" borderId="0" xfId="0" applyNumberFormat="1" applyFont="1" applyBorder="1" applyAlignment="1" applyProtection="1">
      <alignment horizontal="center"/>
      <protection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50" fillId="34" borderId="30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/>
    </xf>
    <xf numFmtId="0" fontId="51" fillId="34" borderId="12" xfId="0" applyFont="1" applyFill="1" applyBorder="1" applyAlignment="1">
      <alignment/>
    </xf>
    <xf numFmtId="0" fontId="50" fillId="35" borderId="30" xfId="0" applyFont="1" applyFill="1" applyBorder="1" applyAlignment="1">
      <alignment horizontal="center" vertical="center" wrapText="1"/>
    </xf>
    <xf numFmtId="0" fontId="51" fillId="35" borderId="21" xfId="0" applyFont="1" applyFill="1" applyBorder="1" applyAlignment="1">
      <alignment/>
    </xf>
    <xf numFmtId="0" fontId="51" fillId="35" borderId="12" xfId="0" applyFont="1" applyFill="1" applyBorder="1" applyAlignment="1">
      <alignment/>
    </xf>
    <xf numFmtId="0" fontId="27" fillId="36" borderId="30" xfId="0" applyFont="1" applyFill="1" applyBorder="1" applyAlignment="1" applyProtection="1">
      <alignment horizontal="centerContinuous" vertical="center" wrapText="1"/>
      <protection/>
    </xf>
    <xf numFmtId="0" fontId="25" fillId="36" borderId="31" xfId="0" applyFont="1" applyFill="1" applyBorder="1" applyAlignment="1">
      <alignment horizontal="centerContinuous"/>
    </xf>
    <xf numFmtId="0" fontId="27" fillId="36" borderId="33" xfId="0" applyFont="1" applyFill="1" applyBorder="1" applyAlignment="1">
      <alignment horizontal="centerContinuous" vertical="center"/>
    </xf>
    <xf numFmtId="0" fontId="53" fillId="36" borderId="40" xfId="0" applyFont="1" applyFill="1" applyBorder="1" applyAlignment="1">
      <alignment horizontal="center"/>
    </xf>
    <xf numFmtId="0" fontId="53" fillId="36" borderId="41" xfId="0" applyFont="1" applyFill="1" applyBorder="1" applyAlignment="1">
      <alignment/>
    </xf>
    <xf numFmtId="0" fontId="53" fillId="36" borderId="42" xfId="0" applyFont="1" applyFill="1" applyBorder="1" applyAlignment="1">
      <alignment/>
    </xf>
    <xf numFmtId="0" fontId="53" fillId="36" borderId="43" xfId="0" applyFont="1" applyFill="1" applyBorder="1" applyAlignment="1">
      <alignment horizontal="center"/>
    </xf>
    <xf numFmtId="0" fontId="53" fillId="36" borderId="44" xfId="0" applyFont="1" applyFill="1" applyBorder="1" applyAlignment="1">
      <alignment/>
    </xf>
    <xf numFmtId="0" fontId="53" fillId="36" borderId="29" xfId="0" applyFont="1" applyFill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27" fillId="37" borderId="30" xfId="0" applyFont="1" applyFill="1" applyBorder="1" applyAlignment="1" applyProtection="1">
      <alignment horizontal="centerContinuous" vertical="center" wrapText="1"/>
      <protection/>
    </xf>
    <xf numFmtId="0" fontId="25" fillId="37" borderId="31" xfId="0" applyFont="1" applyFill="1" applyBorder="1" applyAlignment="1">
      <alignment horizontal="centerContinuous"/>
    </xf>
    <xf numFmtId="0" fontId="27" fillId="37" borderId="33" xfId="0" applyFont="1" applyFill="1" applyBorder="1" applyAlignment="1">
      <alignment horizontal="centerContinuous" vertical="center"/>
    </xf>
    <xf numFmtId="0" fontId="53" fillId="37" borderId="40" xfId="0" applyFont="1" applyFill="1" applyBorder="1" applyAlignment="1">
      <alignment horizontal="center"/>
    </xf>
    <xf numFmtId="0" fontId="53" fillId="37" borderId="41" xfId="0" applyFont="1" applyFill="1" applyBorder="1" applyAlignment="1">
      <alignment/>
    </xf>
    <xf numFmtId="0" fontId="53" fillId="37" borderId="42" xfId="0" applyFont="1" applyFill="1" applyBorder="1" applyAlignment="1">
      <alignment/>
    </xf>
    <xf numFmtId="0" fontId="53" fillId="37" borderId="43" xfId="0" applyFont="1" applyFill="1" applyBorder="1" applyAlignment="1">
      <alignment horizontal="center"/>
    </xf>
    <xf numFmtId="0" fontId="53" fillId="37" borderId="44" xfId="0" applyFont="1" applyFill="1" applyBorder="1" applyAlignment="1">
      <alignment/>
    </xf>
    <xf numFmtId="0" fontId="53" fillId="37" borderId="29" xfId="0" applyFont="1" applyFill="1" applyBorder="1" applyAlignment="1">
      <alignment/>
    </xf>
    <xf numFmtId="0" fontId="27" fillId="36" borderId="30" xfId="0" applyFont="1" applyFill="1" applyBorder="1" applyAlignment="1">
      <alignment horizontal="center" vertical="center" wrapText="1"/>
    </xf>
    <xf numFmtId="0" fontId="27" fillId="38" borderId="30" xfId="0" applyFont="1" applyFill="1" applyBorder="1" applyAlignment="1">
      <alignment horizontal="center" vertical="center" wrapText="1"/>
    </xf>
    <xf numFmtId="0" fontId="53" fillId="38" borderId="21" xfId="0" applyFont="1" applyFill="1" applyBorder="1" applyAlignment="1">
      <alignment/>
    </xf>
    <xf numFmtId="0" fontId="53" fillId="38" borderId="12" xfId="0" applyFont="1" applyFill="1" applyBorder="1" applyAlignment="1">
      <alignment/>
    </xf>
    <xf numFmtId="0" fontId="50" fillId="39" borderId="30" xfId="0" applyFont="1" applyFill="1" applyBorder="1" applyAlignment="1">
      <alignment horizontal="center" vertical="center" wrapText="1"/>
    </xf>
    <xf numFmtId="0" fontId="51" fillId="39" borderId="21" xfId="0" applyFont="1" applyFill="1" applyBorder="1" applyAlignment="1">
      <alignment/>
    </xf>
    <xf numFmtId="0" fontId="51" fillId="39" borderId="12" xfId="0" applyFont="1" applyFill="1" applyBorder="1" applyAlignment="1">
      <alignment/>
    </xf>
    <xf numFmtId="2" fontId="49" fillId="34" borderId="30" xfId="0" applyNumberFormat="1" applyFont="1" applyFill="1" applyBorder="1" applyAlignment="1">
      <alignment horizontal="center"/>
    </xf>
    <xf numFmtId="2" fontId="49" fillId="35" borderId="30" xfId="0" applyNumberFormat="1" applyFont="1" applyFill="1" applyBorder="1" applyAlignment="1">
      <alignment horizontal="center"/>
    </xf>
    <xf numFmtId="168" fontId="54" fillId="36" borderId="30" xfId="0" applyNumberFormat="1" applyFont="1" applyFill="1" applyBorder="1" applyAlignment="1" applyProtection="1" quotePrefix="1">
      <alignment horizontal="center"/>
      <protection/>
    </xf>
    <xf numFmtId="4" fontId="54" fillId="36" borderId="30" xfId="0" applyNumberFormat="1" applyFont="1" applyFill="1" applyBorder="1" applyAlignment="1">
      <alignment horizontal="center"/>
    </xf>
    <xf numFmtId="168" fontId="54" fillId="37" borderId="30" xfId="0" applyNumberFormat="1" applyFont="1" applyFill="1" applyBorder="1" applyAlignment="1" applyProtection="1" quotePrefix="1">
      <alignment horizontal="center"/>
      <protection/>
    </xf>
    <xf numFmtId="4" fontId="54" fillId="37" borderId="30" xfId="0" applyNumberFormat="1" applyFont="1" applyFill="1" applyBorder="1" applyAlignment="1">
      <alignment horizontal="center"/>
    </xf>
    <xf numFmtId="168" fontId="54" fillId="38" borderId="30" xfId="0" applyNumberFormat="1" applyFont="1" applyFill="1" applyBorder="1" applyAlignment="1" applyProtection="1" quotePrefix="1">
      <alignment horizontal="center"/>
      <protection/>
    </xf>
    <xf numFmtId="4" fontId="49" fillId="39" borderId="30" xfId="0" applyNumberFormat="1" applyFont="1" applyFill="1" applyBorder="1" applyAlignment="1">
      <alignment horizontal="center"/>
    </xf>
    <xf numFmtId="0" fontId="50" fillId="39" borderId="30" xfId="0" applyFont="1" applyFill="1" applyBorder="1" applyAlignment="1" applyProtection="1">
      <alignment horizontal="center" vertical="center"/>
      <protection/>
    </xf>
    <xf numFmtId="0" fontId="27" fillId="40" borderId="30" xfId="0" applyFont="1" applyFill="1" applyBorder="1" applyAlignment="1">
      <alignment horizontal="center" vertical="center" wrapText="1"/>
    </xf>
    <xf numFmtId="0" fontId="55" fillId="0" borderId="14" xfId="0" applyFont="1" applyBorder="1" applyAlignment="1">
      <alignment/>
    </xf>
    <xf numFmtId="0" fontId="56" fillId="33" borderId="36" xfId="0" applyFont="1" applyFill="1" applyBorder="1" applyAlignment="1">
      <alignment horizontal="center"/>
    </xf>
    <xf numFmtId="168" fontId="56" fillId="33" borderId="23" xfId="0" applyNumberFormat="1" applyFont="1" applyFill="1" applyBorder="1" applyAlignment="1" applyProtection="1">
      <alignment horizontal="center"/>
      <protection/>
    </xf>
    <xf numFmtId="168" fontId="56" fillId="33" borderId="12" xfId="0" applyNumberFormat="1" applyFont="1" applyFill="1" applyBorder="1" applyAlignment="1" applyProtection="1">
      <alignment horizontal="center"/>
      <protection/>
    </xf>
    <xf numFmtId="168" fontId="56" fillId="33" borderId="13" xfId="0" applyNumberFormat="1" applyFont="1" applyFill="1" applyBorder="1" applyAlignment="1" applyProtection="1">
      <alignment horizontal="center"/>
      <protection/>
    </xf>
    <xf numFmtId="164" fontId="52" fillId="39" borderId="23" xfId="0" applyNumberFormat="1" applyFont="1" applyFill="1" applyBorder="1" applyAlignment="1" applyProtection="1">
      <alignment horizontal="center"/>
      <protection/>
    </xf>
    <xf numFmtId="2" fontId="54" fillId="40" borderId="23" xfId="0" applyNumberFormat="1" applyFont="1" applyFill="1" applyBorder="1" applyAlignment="1">
      <alignment horizontal="center"/>
    </xf>
    <xf numFmtId="4" fontId="54" fillId="40" borderId="30" xfId="0" applyNumberFormat="1" applyFont="1" applyFill="1" applyBorder="1" applyAlignment="1">
      <alignment horizontal="center"/>
    </xf>
    <xf numFmtId="0" fontId="52" fillId="39" borderId="21" xfId="0" applyFont="1" applyFill="1" applyBorder="1" applyAlignment="1">
      <alignment horizontal="center"/>
    </xf>
    <xf numFmtId="0" fontId="54" fillId="40" borderId="21" xfId="0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168" fontId="54" fillId="37" borderId="40" xfId="0" applyNumberFormat="1" applyFont="1" applyFill="1" applyBorder="1" applyAlignment="1" applyProtection="1" quotePrefix="1">
      <alignment horizontal="center"/>
      <protection/>
    </xf>
    <xf numFmtId="168" fontId="54" fillId="37" borderId="25" xfId="0" applyNumberFormat="1" applyFont="1" applyFill="1" applyBorder="1" applyAlignment="1" applyProtection="1" quotePrefix="1">
      <alignment horizontal="center"/>
      <protection/>
    </xf>
    <xf numFmtId="4" fontId="54" fillId="37" borderId="30" xfId="0" applyNumberFormat="1" applyFont="1" applyFill="1" applyBorder="1" applyAlignment="1">
      <alignment horizontal="center"/>
    </xf>
    <xf numFmtId="4" fontId="54" fillId="37" borderId="45" xfId="0" applyNumberFormat="1" applyFont="1" applyFill="1" applyBorder="1" applyAlignment="1">
      <alignment horizontal="center"/>
    </xf>
    <xf numFmtId="0" fontId="27" fillId="37" borderId="32" xfId="0" applyFont="1" applyFill="1" applyBorder="1" applyAlignment="1" applyProtection="1">
      <alignment horizontal="centerContinuous" vertical="center" wrapText="1"/>
      <protection/>
    </xf>
    <xf numFmtId="168" fontId="54" fillId="37" borderId="46" xfId="0" applyNumberFormat="1" applyFont="1" applyFill="1" applyBorder="1" applyAlignment="1" applyProtection="1" quotePrefix="1">
      <alignment horizontal="center"/>
      <protection/>
    </xf>
    <xf numFmtId="168" fontId="54" fillId="37" borderId="47" xfId="0" applyNumberFormat="1" applyFont="1" applyFill="1" applyBorder="1" applyAlignment="1" applyProtection="1" quotePrefix="1">
      <alignment horizontal="center"/>
      <protection/>
    </xf>
    <xf numFmtId="168" fontId="7" fillId="0" borderId="21" xfId="0" applyNumberFormat="1" applyFont="1" applyBorder="1" applyAlignment="1" applyProtection="1">
      <alignment horizontal="center"/>
      <protection/>
    </xf>
    <xf numFmtId="0" fontId="57" fillId="33" borderId="21" xfId="0" applyFont="1" applyFill="1" applyBorder="1" applyAlignment="1">
      <alignment/>
    </xf>
    <xf numFmtId="0" fontId="57" fillId="33" borderId="12" xfId="0" applyFont="1" applyFill="1" applyBorder="1" applyAlignment="1">
      <alignment/>
    </xf>
    <xf numFmtId="168" fontId="56" fillId="33" borderId="12" xfId="0" applyNumberFormat="1" applyFont="1" applyFill="1" applyBorder="1" applyAlignment="1" applyProtection="1">
      <alignment horizontal="center"/>
      <protection/>
    </xf>
    <xf numFmtId="168" fontId="56" fillId="33" borderId="13" xfId="0" applyNumberFormat="1" applyFont="1" applyFill="1" applyBorder="1" applyAlignment="1" applyProtection="1">
      <alignment horizontal="center"/>
      <protection/>
    </xf>
    <xf numFmtId="168" fontId="54" fillId="36" borderId="21" xfId="0" applyNumberFormat="1" applyFont="1" applyFill="1" applyBorder="1" applyAlignment="1" applyProtection="1" quotePrefix="1">
      <alignment horizontal="center"/>
      <protection/>
    </xf>
    <xf numFmtId="168" fontId="54" fillId="36" borderId="23" xfId="0" applyNumberFormat="1" applyFont="1" applyFill="1" applyBorder="1" applyAlignment="1" applyProtection="1" quotePrefix="1">
      <alignment horizontal="center"/>
      <protection/>
    </xf>
    <xf numFmtId="4" fontId="54" fillId="36" borderId="45" xfId="0" applyNumberFormat="1" applyFont="1" applyFill="1" applyBorder="1" applyAlignment="1">
      <alignment horizontal="center"/>
    </xf>
    <xf numFmtId="173" fontId="0" fillId="0" borderId="33" xfId="0" applyNumberFormat="1" applyFont="1" applyBorder="1" applyAlignment="1">
      <alignment horizontal="center"/>
    </xf>
    <xf numFmtId="173" fontId="10" fillId="0" borderId="0" xfId="0" applyNumberFormat="1" applyFont="1" applyBorder="1" applyAlignment="1">
      <alignment horizontal="center"/>
    </xf>
    <xf numFmtId="0" fontId="55" fillId="0" borderId="15" xfId="0" applyFont="1" applyBorder="1" applyAlignment="1">
      <alignment/>
    </xf>
    <xf numFmtId="0" fontId="0" fillId="0" borderId="20" xfId="0" applyBorder="1" applyAlignment="1">
      <alignment horizontal="center"/>
    </xf>
    <xf numFmtId="7" fontId="0" fillId="0" borderId="21" xfId="0" applyNumberFormat="1" applyBorder="1" applyAlignment="1">
      <alignment/>
    </xf>
    <xf numFmtId="0" fontId="58" fillId="0" borderId="0" xfId="0" applyFont="1" applyAlignment="1">
      <alignment horizontal="right" vertical="top"/>
    </xf>
    <xf numFmtId="0" fontId="19" fillId="0" borderId="0" xfId="0" applyFont="1" applyBorder="1" applyAlignment="1">
      <alignment/>
    </xf>
    <xf numFmtId="0" fontId="16" fillId="0" borderId="10" xfId="0" applyFont="1" applyBorder="1" applyAlignment="1">
      <alignment horizontal="centerContinuous"/>
    </xf>
    <xf numFmtId="0" fontId="36" fillId="0" borderId="0" xfId="0" applyFont="1" applyFill="1" applyBorder="1" applyAlignment="1">
      <alignment horizontal="centerContinuous"/>
    </xf>
    <xf numFmtId="0" fontId="36" fillId="0" borderId="0" xfId="0" applyFont="1" applyFill="1" applyAlignment="1">
      <alignment horizontal="centerContinuous"/>
    </xf>
    <xf numFmtId="0" fontId="36" fillId="0" borderId="11" xfId="0" applyFont="1" applyFill="1" applyBorder="1" applyAlignment="1">
      <alignment horizontal="centerContinuous"/>
    </xf>
    <xf numFmtId="0" fontId="15" fillId="0" borderId="11" xfId="0" applyFont="1" applyFill="1" applyBorder="1" applyAlignment="1">
      <alignment horizontal="centerContinuous"/>
    </xf>
    <xf numFmtId="0" fontId="1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0" applyFont="1" applyFill="1" applyBorder="1" applyAlignment="1">
      <alignment/>
    </xf>
    <xf numFmtId="5" fontId="10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0" fillId="0" borderId="48" xfId="0" applyFont="1" applyBorder="1" applyAlignment="1">
      <alignment horizontal="centerContinuous"/>
    </xf>
    <xf numFmtId="0" fontId="10" fillId="0" borderId="49" xfId="0" applyFont="1" applyFill="1" applyBorder="1" applyAlignment="1">
      <alignment/>
    </xf>
    <xf numFmtId="0" fontId="10" fillId="0" borderId="50" xfId="0" applyFont="1" applyBorder="1" applyAlignment="1" applyProtection="1">
      <alignment horizontal="right"/>
      <protection/>
    </xf>
    <xf numFmtId="173" fontId="10" fillId="0" borderId="51" xfId="0" applyNumberFormat="1" applyFont="1" applyBorder="1" applyAlignment="1">
      <alignment horizontal="center"/>
    </xf>
    <xf numFmtId="171" fontId="25" fillId="0" borderId="52" xfId="0" applyNumberFormat="1" applyFont="1" applyBorder="1" applyAlignment="1">
      <alignment horizontal="centerContinuous"/>
    </xf>
    <xf numFmtId="0" fontId="10" fillId="0" borderId="53" xfId="0" applyFont="1" applyBorder="1" applyAlignment="1">
      <alignment horizontal="centerContinuous"/>
    </xf>
    <xf numFmtId="0" fontId="10" fillId="0" borderId="54" xfId="0" applyFont="1" applyFill="1" applyBorder="1" applyAlignment="1">
      <alignment/>
    </xf>
    <xf numFmtId="168" fontId="10" fillId="0" borderId="55" xfId="0" applyNumberFormat="1" applyFont="1" applyBorder="1" applyAlignment="1" applyProtection="1">
      <alignment horizontal="right"/>
      <protection/>
    </xf>
    <xf numFmtId="171" fontId="10" fillId="0" borderId="56" xfId="0" applyNumberFormat="1" applyFont="1" applyBorder="1" applyAlignment="1">
      <alignment horizontal="center"/>
    </xf>
    <xf numFmtId="171" fontId="10" fillId="0" borderId="0" xfId="0" applyNumberFormat="1" applyFont="1" applyBorder="1" applyAlignment="1">
      <alignment horizontal="center"/>
    </xf>
    <xf numFmtId="171" fontId="25" fillId="0" borderId="55" xfId="0" applyNumberFormat="1" applyFont="1" applyBorder="1" applyAlignment="1">
      <alignment horizontal="centerContinuous"/>
    </xf>
    <xf numFmtId="0" fontId="10" fillId="0" borderId="57" xfId="0" applyFont="1" applyBorder="1" applyAlignment="1">
      <alignment horizontal="centerContinuous"/>
    </xf>
    <xf numFmtId="7" fontId="10" fillId="0" borderId="0" xfId="0" applyNumberFormat="1" applyFont="1" applyBorder="1" applyAlignment="1">
      <alignment horizontal="center"/>
    </xf>
    <xf numFmtId="0" fontId="19" fillId="0" borderId="0" xfId="0" applyFont="1" applyBorder="1" applyAlignment="1" applyProtection="1">
      <alignment horizontal="left"/>
      <protection/>
    </xf>
    <xf numFmtId="7" fontId="10" fillId="0" borderId="58" xfId="0" applyNumberFormat="1" applyFont="1" applyBorder="1" applyAlignment="1">
      <alignment horizontal="center"/>
    </xf>
    <xf numFmtId="0" fontId="8" fillId="0" borderId="32" xfId="0" applyFont="1" applyBorder="1" applyAlignment="1" applyProtection="1">
      <alignment horizontal="center"/>
      <protection/>
    </xf>
    <xf numFmtId="0" fontId="10" fillId="0" borderId="59" xfId="0" applyFont="1" applyBorder="1" applyAlignment="1" applyProtection="1">
      <alignment horizontal="center"/>
      <protection/>
    </xf>
    <xf numFmtId="0" fontId="10" fillId="0" borderId="52" xfId="0" applyFont="1" applyBorder="1" applyAlignment="1" applyProtection="1">
      <alignment horizontal="center"/>
      <protection/>
    </xf>
    <xf numFmtId="2" fontId="10" fillId="0" borderId="52" xfId="0" applyNumberFormat="1" applyFont="1" applyBorder="1" applyAlignment="1" applyProtection="1">
      <alignment horizontal="center"/>
      <protection/>
    </xf>
    <xf numFmtId="168" fontId="10" fillId="0" borderId="52" xfId="0" applyNumberFormat="1" applyFont="1" applyBorder="1" applyAlignment="1" applyProtection="1">
      <alignment horizontal="center"/>
      <protection/>
    </xf>
    <xf numFmtId="7" fontId="19" fillId="0" borderId="60" xfId="0" applyNumberFormat="1" applyFont="1" applyBorder="1" applyAlignment="1">
      <alignment horizontal="center"/>
    </xf>
    <xf numFmtId="0" fontId="10" fillId="0" borderId="61" xfId="0" applyFont="1" applyBorder="1" applyAlignment="1" applyProtection="1">
      <alignment horizontal="center"/>
      <protection/>
    </xf>
    <xf numFmtId="0" fontId="10" fillId="0" borderId="62" xfId="0" applyFont="1" applyBorder="1" applyAlignment="1" applyProtection="1">
      <alignment horizontal="center"/>
      <protection/>
    </xf>
    <xf numFmtId="2" fontId="10" fillId="0" borderId="62" xfId="0" applyNumberFormat="1" applyFont="1" applyBorder="1" applyAlignment="1" applyProtection="1">
      <alignment horizontal="center"/>
      <protection/>
    </xf>
    <xf numFmtId="168" fontId="10" fillId="0" borderId="62" xfId="0" applyNumberFormat="1" applyFont="1" applyBorder="1" applyAlignment="1" applyProtection="1">
      <alignment horizontal="center"/>
      <protection/>
    </xf>
    <xf numFmtId="7" fontId="10" fillId="0" borderId="62" xfId="0" applyNumberFormat="1" applyFont="1" applyBorder="1" applyAlignment="1" applyProtection="1">
      <alignment horizontal="center"/>
      <protection/>
    </xf>
    <xf numFmtId="7" fontId="10" fillId="0" borderId="62" xfId="0" applyNumberFormat="1" applyFont="1" applyBorder="1" applyAlignment="1" applyProtection="1">
      <alignment horizontal="centerContinuous"/>
      <protection/>
    </xf>
    <xf numFmtId="0" fontId="10" fillId="0" borderId="62" xfId="0" applyFont="1" applyBorder="1" applyAlignment="1" applyProtection="1">
      <alignment horizontal="centerContinuous"/>
      <protection/>
    </xf>
    <xf numFmtId="0" fontId="10" fillId="0" borderId="62" xfId="0" applyFont="1" applyBorder="1" applyAlignment="1" applyProtection="1">
      <alignment horizontal="right"/>
      <protection/>
    </xf>
    <xf numFmtId="7" fontId="10" fillId="0" borderId="63" xfId="0" applyNumberFormat="1" applyFont="1" applyBorder="1" applyAlignment="1" applyProtection="1">
      <alignment horizontal="center"/>
      <protection/>
    </xf>
    <xf numFmtId="0" fontId="10" fillId="0" borderId="64" xfId="0" applyFont="1" applyBorder="1" applyAlignment="1" applyProtection="1">
      <alignment horizontal="center"/>
      <protection/>
    </xf>
    <xf numFmtId="0" fontId="10" fillId="0" borderId="58" xfId="0" applyFont="1" applyBorder="1" applyAlignment="1" applyProtection="1">
      <alignment horizontal="center"/>
      <protection/>
    </xf>
    <xf numFmtId="2" fontId="10" fillId="0" borderId="58" xfId="0" applyNumberFormat="1" applyFont="1" applyBorder="1" applyAlignment="1" applyProtection="1">
      <alignment horizontal="center"/>
      <protection/>
    </xf>
    <xf numFmtId="168" fontId="10" fillId="0" borderId="58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"/>
      <protection/>
    </xf>
    <xf numFmtId="7" fontId="10" fillId="0" borderId="58" xfId="0" applyNumberFormat="1" applyFont="1" applyBorder="1" applyAlignment="1" applyProtection="1">
      <alignment horizontal="centerContinuous"/>
      <protection/>
    </xf>
    <xf numFmtId="0" fontId="10" fillId="0" borderId="58" xfId="0" applyFont="1" applyBorder="1" applyAlignment="1" applyProtection="1">
      <alignment horizontal="centerContinuous"/>
      <protection/>
    </xf>
    <xf numFmtId="0" fontId="10" fillId="0" borderId="58" xfId="0" applyFont="1" applyBorder="1" applyAlignment="1" applyProtection="1">
      <alignment horizontal="right"/>
      <protection/>
    </xf>
    <xf numFmtId="7" fontId="10" fillId="0" borderId="65" xfId="0" applyNumberFormat="1" applyFont="1" applyBorder="1" applyAlignment="1" applyProtection="1">
      <alignment horizontal="center"/>
      <protection/>
    </xf>
    <xf numFmtId="7" fontId="10" fillId="0" borderId="60" xfId="0" applyNumberFormat="1" applyFont="1" applyBorder="1" applyAlignment="1" applyProtection="1">
      <alignment horizontal="center"/>
      <protection/>
    </xf>
    <xf numFmtId="0" fontId="0" fillId="0" borderId="59" xfId="0" applyBorder="1" applyAlignment="1">
      <alignment horizontal="centerContinuous"/>
    </xf>
    <xf numFmtId="0" fontId="10" fillId="0" borderId="52" xfId="0" applyFont="1" applyBorder="1" applyAlignment="1" applyProtection="1">
      <alignment horizontal="centerContinuous"/>
      <protection/>
    </xf>
    <xf numFmtId="0" fontId="0" fillId="0" borderId="52" xfId="0" applyBorder="1" applyAlignment="1">
      <alignment horizontal="center"/>
    </xf>
    <xf numFmtId="168" fontId="10" fillId="0" borderId="59" xfId="0" applyNumberFormat="1" applyFont="1" applyBorder="1" applyAlignment="1" applyProtection="1">
      <alignment horizontal="centerContinuous"/>
      <protection/>
    </xf>
    <xf numFmtId="2" fontId="22" fillId="0" borderId="66" xfId="0" applyNumberFormat="1" applyFont="1" applyBorder="1" applyAlignment="1">
      <alignment horizontal="centerContinuous"/>
    </xf>
    <xf numFmtId="7" fontId="10" fillId="0" borderId="61" xfId="0" applyNumberFormat="1" applyFont="1" applyBorder="1" applyAlignment="1">
      <alignment horizontal="centerContinuous"/>
    </xf>
    <xf numFmtId="168" fontId="10" fillId="0" borderId="62" xfId="0" applyNumberFormat="1" applyFont="1" applyBorder="1" applyAlignment="1" applyProtection="1" quotePrefix="1">
      <alignment horizontal="center"/>
      <protection/>
    </xf>
    <xf numFmtId="7" fontId="10" fillId="0" borderId="61" xfId="0" applyNumberFormat="1" applyFont="1" applyBorder="1" applyAlignment="1" applyProtection="1">
      <alignment horizontal="centerContinuous"/>
      <protection/>
    </xf>
    <xf numFmtId="2" fontId="22" fillId="0" borderId="67" xfId="0" applyNumberFormat="1" applyFont="1" applyBorder="1" applyAlignment="1">
      <alignment horizontal="centerContinuous"/>
    </xf>
    <xf numFmtId="0" fontId="10" fillId="0" borderId="68" xfId="0" applyFont="1" applyBorder="1" applyAlignment="1" applyProtection="1">
      <alignment horizontal="center"/>
      <protection/>
    </xf>
    <xf numFmtId="7" fontId="10" fillId="0" borderId="69" xfId="0" applyNumberFormat="1" applyFont="1" applyBorder="1" applyAlignment="1" applyProtection="1">
      <alignment horizontal="center"/>
      <protection/>
    </xf>
    <xf numFmtId="7" fontId="10" fillId="0" borderId="68" xfId="0" applyNumberFormat="1" applyFont="1" applyBorder="1" applyAlignment="1">
      <alignment horizontal="centerContinuous"/>
    </xf>
    <xf numFmtId="0" fontId="10" fillId="0" borderId="0" xfId="0" applyFont="1" applyBorder="1" applyAlignment="1" applyProtection="1">
      <alignment horizontal="centerContinuous"/>
      <protection/>
    </xf>
    <xf numFmtId="7" fontId="10" fillId="0" borderId="68" xfId="0" applyNumberFormat="1" applyFont="1" applyBorder="1" applyAlignment="1" applyProtection="1">
      <alignment horizontal="centerContinuous"/>
      <protection/>
    </xf>
    <xf numFmtId="2" fontId="22" fillId="0" borderId="70" xfId="0" applyNumberFormat="1" applyFont="1" applyBorder="1" applyAlignment="1">
      <alignment horizontal="centerContinuous"/>
    </xf>
    <xf numFmtId="7" fontId="10" fillId="0" borderId="64" xfId="0" applyNumberFormat="1" applyFont="1" applyBorder="1" applyAlignment="1">
      <alignment horizontal="centerContinuous"/>
    </xf>
    <xf numFmtId="168" fontId="10" fillId="0" borderId="58" xfId="0" applyNumberFormat="1" applyFont="1" applyBorder="1" applyAlignment="1" applyProtection="1" quotePrefix="1">
      <alignment horizontal="center"/>
      <protection/>
    </xf>
    <xf numFmtId="7" fontId="10" fillId="0" borderId="64" xfId="0" applyNumberFormat="1" applyFont="1" applyBorder="1" applyAlignment="1" applyProtection="1">
      <alignment horizontal="centerContinuous"/>
      <protection/>
    </xf>
    <xf numFmtId="2" fontId="22" fillId="0" borderId="44" xfId="0" applyNumberFormat="1" applyFont="1" applyBorder="1" applyAlignment="1">
      <alignment horizontal="centerContinuous"/>
    </xf>
    <xf numFmtId="7" fontId="10" fillId="0" borderId="59" xfId="0" applyNumberFormat="1" applyFont="1" applyBorder="1" applyAlignment="1" applyProtection="1">
      <alignment horizontal="centerContinuous"/>
      <protection/>
    </xf>
    <xf numFmtId="5" fontId="8" fillId="0" borderId="32" xfId="0" applyNumberFormat="1" applyFont="1" applyBorder="1" applyAlignment="1" applyProtection="1">
      <alignment horizontal="center"/>
      <protection/>
    </xf>
    <xf numFmtId="7" fontId="8" fillId="0" borderId="33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left"/>
    </xf>
    <xf numFmtId="7" fontId="62" fillId="0" borderId="33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/>
    </xf>
    <xf numFmtId="8" fontId="8" fillId="0" borderId="33" xfId="0" applyNumberFormat="1" applyFont="1" applyBorder="1" applyAlignment="1" applyProtection="1">
      <alignment horizontal="center"/>
      <protection/>
    </xf>
    <xf numFmtId="7" fontId="10" fillId="0" borderId="0" xfId="0" applyNumberFormat="1" applyFont="1" applyBorder="1" applyAlignment="1" applyProtection="1">
      <alignment horizontal="centerContinuous"/>
      <protection/>
    </xf>
    <xf numFmtId="2" fontId="10" fillId="0" borderId="52" xfId="0" applyNumberFormat="1" applyFont="1" applyBorder="1" applyAlignment="1" applyProtection="1">
      <alignment horizontal="centerContinuous"/>
      <protection/>
    </xf>
    <xf numFmtId="2" fontId="10" fillId="0" borderId="66" xfId="0" applyNumberFormat="1" applyFont="1" applyBorder="1" applyAlignment="1" applyProtection="1">
      <alignment horizontal="centerContinuous"/>
      <protection/>
    </xf>
    <xf numFmtId="2" fontId="10" fillId="0" borderId="62" xfId="0" applyNumberFormat="1" applyFont="1" applyBorder="1" applyAlignment="1" applyProtection="1">
      <alignment horizontal="centerContinuous"/>
      <protection/>
    </xf>
    <xf numFmtId="2" fontId="10" fillId="0" borderId="67" xfId="0" applyNumberFormat="1" applyFont="1" applyBorder="1" applyAlignment="1" applyProtection="1">
      <alignment horizontal="centerContinuous"/>
      <protection/>
    </xf>
    <xf numFmtId="2" fontId="10" fillId="0" borderId="0" xfId="0" applyNumberFormat="1" applyFont="1" applyBorder="1" applyAlignment="1" applyProtection="1">
      <alignment horizontal="centerContinuous"/>
      <protection/>
    </xf>
    <xf numFmtId="2" fontId="10" fillId="0" borderId="70" xfId="0" applyNumberFormat="1" applyFont="1" applyBorder="1" applyAlignment="1" applyProtection="1">
      <alignment horizontal="centerContinuous"/>
      <protection/>
    </xf>
    <xf numFmtId="2" fontId="10" fillId="0" borderId="58" xfId="0" applyNumberFormat="1" applyFont="1" applyBorder="1" applyAlignment="1" applyProtection="1">
      <alignment horizontal="centerContinuous"/>
      <protection/>
    </xf>
    <xf numFmtId="2" fontId="10" fillId="0" borderId="44" xfId="0" applyNumberFormat="1" applyFont="1" applyBorder="1" applyAlignment="1" applyProtection="1">
      <alignment horizontal="centerContinuous"/>
      <protection/>
    </xf>
    <xf numFmtId="0" fontId="0" fillId="0" borderId="32" xfId="0" applyFont="1" applyBorder="1" applyAlignment="1" applyProtection="1">
      <alignment horizontal="center" vertical="center"/>
      <protection/>
    </xf>
    <xf numFmtId="173" fontId="0" fillId="0" borderId="32" xfId="0" applyNumberFormat="1" applyFont="1" applyBorder="1" applyAlignment="1">
      <alignment horizontal="centerContinuous" vertical="center"/>
    </xf>
    <xf numFmtId="0" fontId="1" fillId="0" borderId="33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0" fontId="7" fillId="0" borderId="71" xfId="0" applyFont="1" applyBorder="1" applyAlignment="1" applyProtection="1">
      <alignment/>
      <protection locked="0"/>
    </xf>
    <xf numFmtId="0" fontId="7" fillId="0" borderId="72" xfId="0" applyFont="1" applyBorder="1" applyAlignment="1" applyProtection="1">
      <alignment horizontal="center"/>
      <protection locked="0"/>
    </xf>
    <xf numFmtId="2" fontId="7" fillId="0" borderId="72" xfId="0" applyNumberFormat="1" applyFont="1" applyBorder="1" applyAlignment="1" applyProtection="1">
      <alignment horizontal="center"/>
      <protection locked="0"/>
    </xf>
    <xf numFmtId="168" fontId="7" fillId="0" borderId="13" xfId="0" applyNumberFormat="1" applyFont="1" applyBorder="1" applyAlignment="1" applyProtection="1">
      <alignment horizontal="center"/>
      <protection locked="0"/>
    </xf>
    <xf numFmtId="22" fontId="7" fillId="0" borderId="12" xfId="0" applyNumberFormat="1" applyFont="1" applyBorder="1" applyAlignment="1" applyProtection="1">
      <alignment horizontal="center"/>
      <protection locked="0"/>
    </xf>
    <xf numFmtId="168" fontId="7" fillId="0" borderId="12" xfId="0" applyNumberFormat="1" applyFont="1" applyBorder="1" applyAlignment="1" applyProtection="1">
      <alignment horizontal="center"/>
      <protection locked="0"/>
    </xf>
    <xf numFmtId="22" fontId="7" fillId="0" borderId="13" xfId="0" applyNumberFormat="1" applyFont="1" applyBorder="1" applyAlignment="1" applyProtection="1">
      <alignment horizontal="center"/>
      <protection locked="0"/>
    </xf>
    <xf numFmtId="168" fontId="49" fillId="34" borderId="13" xfId="0" applyNumberFormat="1" applyFont="1" applyFill="1" applyBorder="1" applyAlignment="1" applyProtection="1" quotePrefix="1">
      <alignment horizontal="center"/>
      <protection locked="0"/>
    </xf>
    <xf numFmtId="168" fontId="49" fillId="35" borderId="13" xfId="0" applyNumberFormat="1" applyFont="1" applyFill="1" applyBorder="1" applyAlignment="1" applyProtection="1" quotePrefix="1">
      <alignment horizontal="center"/>
      <protection locked="0"/>
    </xf>
    <xf numFmtId="168" fontId="54" fillId="36" borderId="73" xfId="0" applyNumberFormat="1" applyFont="1" applyFill="1" applyBorder="1" applyAlignment="1" applyProtection="1" quotePrefix="1">
      <alignment horizontal="center"/>
      <protection locked="0"/>
    </xf>
    <xf numFmtId="4" fontId="54" fillId="36" borderId="74" xfId="0" applyNumberFormat="1" applyFont="1" applyFill="1" applyBorder="1" applyAlignment="1" applyProtection="1">
      <alignment horizontal="center"/>
      <protection locked="0"/>
    </xf>
    <xf numFmtId="4" fontId="54" fillId="36" borderId="27" xfId="0" applyNumberFormat="1" applyFont="1" applyFill="1" applyBorder="1" applyAlignment="1" applyProtection="1">
      <alignment horizontal="center"/>
      <protection locked="0"/>
    </xf>
    <xf numFmtId="168" fontId="54" fillId="37" borderId="73" xfId="0" applyNumberFormat="1" applyFont="1" applyFill="1" applyBorder="1" applyAlignment="1" applyProtection="1" quotePrefix="1">
      <alignment horizontal="center"/>
      <protection locked="0"/>
    </xf>
    <xf numFmtId="4" fontId="54" fillId="37" borderId="74" xfId="0" applyNumberFormat="1" applyFont="1" applyFill="1" applyBorder="1" applyAlignment="1" applyProtection="1">
      <alignment horizontal="center"/>
      <protection locked="0"/>
    </xf>
    <xf numFmtId="4" fontId="54" fillId="37" borderId="27" xfId="0" applyNumberFormat="1" applyFont="1" applyFill="1" applyBorder="1" applyAlignment="1" applyProtection="1">
      <alignment horizontal="center"/>
      <protection locked="0"/>
    </xf>
    <xf numFmtId="4" fontId="54" fillId="38" borderId="13" xfId="0" applyNumberFormat="1" applyFont="1" applyFill="1" applyBorder="1" applyAlignment="1" applyProtection="1">
      <alignment horizontal="center"/>
      <protection locked="0"/>
    </xf>
    <xf numFmtId="4" fontId="49" fillId="39" borderId="13" xfId="0" applyNumberFormat="1" applyFont="1" applyFill="1" applyBorder="1" applyAlignment="1" applyProtection="1">
      <alignment horizontal="center"/>
      <protection locked="0"/>
    </xf>
    <xf numFmtId="4" fontId="7" fillId="0" borderId="13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51" fillId="34" borderId="12" xfId="0" applyFont="1" applyFill="1" applyBorder="1" applyAlignment="1" applyProtection="1">
      <alignment/>
      <protection locked="0"/>
    </xf>
    <xf numFmtId="0" fontId="51" fillId="35" borderId="12" xfId="0" applyFont="1" applyFill="1" applyBorder="1" applyAlignment="1" applyProtection="1">
      <alignment/>
      <protection locked="0"/>
    </xf>
    <xf numFmtId="0" fontId="53" fillId="36" borderId="43" xfId="0" applyFont="1" applyFill="1" applyBorder="1" applyAlignment="1" applyProtection="1">
      <alignment horizontal="center"/>
      <protection locked="0"/>
    </xf>
    <xf numFmtId="0" fontId="53" fillId="36" borderId="44" xfId="0" applyFont="1" applyFill="1" applyBorder="1" applyAlignment="1" applyProtection="1">
      <alignment/>
      <protection locked="0"/>
    </xf>
    <xf numFmtId="0" fontId="53" fillId="36" borderId="29" xfId="0" applyFont="1" applyFill="1" applyBorder="1" applyAlignment="1" applyProtection="1">
      <alignment/>
      <protection locked="0"/>
    </xf>
    <xf numFmtId="0" fontId="53" fillId="37" borderId="43" xfId="0" applyFont="1" applyFill="1" applyBorder="1" applyAlignment="1" applyProtection="1">
      <alignment horizontal="center"/>
      <protection locked="0"/>
    </xf>
    <xf numFmtId="0" fontId="53" fillId="37" borderId="44" xfId="0" applyFont="1" applyFill="1" applyBorder="1" applyAlignment="1" applyProtection="1">
      <alignment/>
      <protection locked="0"/>
    </xf>
    <xf numFmtId="0" fontId="53" fillId="37" borderId="29" xfId="0" applyFont="1" applyFill="1" applyBorder="1" applyAlignment="1" applyProtection="1">
      <alignment/>
      <protection locked="0"/>
    </xf>
    <xf numFmtId="0" fontId="53" fillId="38" borderId="12" xfId="0" applyFont="1" applyFill="1" applyBorder="1" applyAlignment="1" applyProtection="1">
      <alignment/>
      <protection locked="0"/>
    </xf>
    <xf numFmtId="0" fontId="51" fillId="39" borderId="12" xfId="0" applyFont="1" applyFill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13" fillId="0" borderId="28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13" fillId="0" borderId="71" xfId="0" applyFont="1" applyBorder="1" applyAlignment="1" applyProtection="1">
      <alignment horizontal="center"/>
      <protection locked="0"/>
    </xf>
    <xf numFmtId="0" fontId="13" fillId="0" borderId="13" xfId="0" applyFont="1" applyBorder="1" applyAlignment="1" applyProtection="1">
      <alignment horizontal="center"/>
      <protection locked="0"/>
    </xf>
    <xf numFmtId="22" fontId="7" fillId="0" borderId="43" xfId="0" applyNumberFormat="1" applyFont="1" applyBorder="1" applyAlignment="1" applyProtection="1">
      <alignment horizontal="center"/>
      <protection locked="0"/>
    </xf>
    <xf numFmtId="22" fontId="7" fillId="0" borderId="28" xfId="0" applyNumberFormat="1" applyFont="1" applyBorder="1" applyAlignment="1" applyProtection="1">
      <alignment horizontal="center"/>
      <protection locked="0"/>
    </xf>
    <xf numFmtId="168" fontId="7" fillId="0" borderId="27" xfId="0" applyNumberFormat="1" applyFont="1" applyBorder="1" applyAlignment="1" applyProtection="1">
      <alignment horizontal="center"/>
      <protection locked="0"/>
    </xf>
    <xf numFmtId="168" fontId="7" fillId="0" borderId="29" xfId="0" applyNumberFormat="1" applyFont="1" applyBorder="1" applyAlignment="1" applyProtection="1">
      <alignment horizontal="center"/>
      <protection locked="0"/>
    </xf>
    <xf numFmtId="164" fontId="52" fillId="39" borderId="13" xfId="0" applyNumberFormat="1" applyFont="1" applyFill="1" applyBorder="1" applyAlignment="1" applyProtection="1">
      <alignment horizontal="center"/>
      <protection locked="0"/>
    </xf>
    <xf numFmtId="2" fontId="54" fillId="40" borderId="13" xfId="0" applyNumberFormat="1" applyFont="1" applyFill="1" applyBorder="1" applyAlignment="1" applyProtection="1">
      <alignment horizontal="center"/>
      <protection locked="0"/>
    </xf>
    <xf numFmtId="168" fontId="54" fillId="37" borderId="75" xfId="0" applyNumberFormat="1" applyFont="1" applyFill="1" applyBorder="1" applyAlignment="1" applyProtection="1" quotePrefix="1">
      <alignment horizontal="center"/>
      <protection locked="0"/>
    </xf>
    <xf numFmtId="168" fontId="54" fillId="36" borderId="13" xfId="0" applyNumberFormat="1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center"/>
    </xf>
    <xf numFmtId="0" fontId="63" fillId="0" borderId="0" xfId="0" applyNumberFormat="1" applyFont="1" applyBorder="1" applyAlignment="1">
      <alignment horizontal="left"/>
    </xf>
    <xf numFmtId="168" fontId="11" fillId="0" borderId="52" xfId="0" applyNumberFormat="1" applyFont="1" applyBorder="1" applyAlignment="1" applyProtection="1">
      <alignment horizontal="center"/>
      <protection/>
    </xf>
    <xf numFmtId="168" fontId="61" fillId="0" borderId="0" xfId="0" applyNumberFormat="1" applyFont="1" applyBorder="1" applyAlignment="1" applyProtection="1" quotePrefix="1">
      <alignment horizontal="left"/>
      <protection/>
    </xf>
    <xf numFmtId="168" fontId="61" fillId="0" borderId="62" xfId="0" applyNumberFormat="1" applyFont="1" applyBorder="1" applyAlignment="1" applyProtection="1" quotePrefix="1">
      <alignment horizontal="left"/>
      <protection/>
    </xf>
    <xf numFmtId="168" fontId="61" fillId="0" borderId="58" xfId="0" applyNumberFormat="1" applyFont="1" applyBorder="1" applyAlignment="1" applyProtection="1" quotePrefix="1">
      <alignment horizontal="left"/>
      <protection/>
    </xf>
    <xf numFmtId="168" fontId="11" fillId="0" borderId="52" xfId="0" applyNumberFormat="1" applyFont="1" applyBorder="1" applyAlignment="1" applyProtection="1">
      <alignment horizontal="left"/>
      <protection/>
    </xf>
    <xf numFmtId="177" fontId="11" fillId="0" borderId="52" xfId="0" applyNumberFormat="1" applyFont="1" applyBorder="1" applyAlignment="1" applyProtection="1">
      <alignment horizontal="right"/>
      <protection/>
    </xf>
    <xf numFmtId="177" fontId="11" fillId="0" borderId="60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Continuous" vertical="center"/>
    </xf>
    <xf numFmtId="167" fontId="0" fillId="0" borderId="0" xfId="0" applyNumberFormat="1" applyFont="1" applyBorder="1" applyAlignment="1">
      <alignment horizontal="centerContinuous"/>
    </xf>
    <xf numFmtId="0" fontId="23" fillId="0" borderId="0" xfId="0" applyFont="1" applyAlignment="1">
      <alignment horizontal="centerContinuous"/>
    </xf>
    <xf numFmtId="0" fontId="7" fillId="0" borderId="76" xfId="0" applyFont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29" fillId="0" borderId="0" xfId="0" applyFont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8" fontId="11" fillId="0" borderId="30" xfId="51" applyNumberFormat="1" applyFont="1" applyBorder="1" applyAlignment="1">
      <alignment horizontal="right"/>
    </xf>
    <xf numFmtId="168" fontId="7" fillId="0" borderId="12" xfId="0" applyNumberFormat="1" applyFont="1" applyBorder="1" applyAlignment="1" applyProtection="1" quotePrefix="1">
      <alignment horizontal="center"/>
      <protection/>
    </xf>
    <xf numFmtId="2" fontId="49" fillId="34" borderId="12" xfId="0" applyNumberFormat="1" applyFont="1" applyFill="1" applyBorder="1" applyAlignment="1" applyProtection="1">
      <alignment horizontal="center"/>
      <protection/>
    </xf>
    <xf numFmtId="2" fontId="49" fillId="35" borderId="12" xfId="0" applyNumberFormat="1" applyFont="1" applyFill="1" applyBorder="1" applyAlignment="1" applyProtection="1">
      <alignment horizontal="center"/>
      <protection/>
    </xf>
    <xf numFmtId="168" fontId="54" fillId="36" borderId="43" xfId="0" applyNumberFormat="1" applyFont="1" applyFill="1" applyBorder="1" applyAlignment="1" applyProtection="1" quotePrefix="1">
      <alignment horizontal="center"/>
      <protection/>
    </xf>
    <xf numFmtId="168" fontId="54" fillId="36" borderId="44" xfId="0" applyNumberFormat="1" applyFont="1" applyFill="1" applyBorder="1" applyAlignment="1" applyProtection="1" quotePrefix="1">
      <alignment horizontal="center"/>
      <protection/>
    </xf>
    <xf numFmtId="4" fontId="54" fillId="36" borderId="29" xfId="0" applyNumberFormat="1" applyFont="1" applyFill="1" applyBorder="1" applyAlignment="1" applyProtection="1">
      <alignment horizontal="center"/>
      <protection/>
    </xf>
    <xf numFmtId="168" fontId="54" fillId="37" borderId="43" xfId="0" applyNumberFormat="1" applyFont="1" applyFill="1" applyBorder="1" applyAlignment="1" applyProtection="1" quotePrefix="1">
      <alignment horizontal="center"/>
      <protection/>
    </xf>
    <xf numFmtId="168" fontId="54" fillId="37" borderId="44" xfId="0" applyNumberFormat="1" applyFont="1" applyFill="1" applyBorder="1" applyAlignment="1" applyProtection="1" quotePrefix="1">
      <alignment horizontal="center"/>
      <protection/>
    </xf>
    <xf numFmtId="4" fontId="54" fillId="37" borderId="29" xfId="0" applyNumberFormat="1" applyFont="1" applyFill="1" applyBorder="1" applyAlignment="1" applyProtection="1">
      <alignment horizontal="center"/>
      <protection/>
    </xf>
    <xf numFmtId="4" fontId="54" fillId="38" borderId="12" xfId="0" applyNumberFormat="1" applyFont="1" applyFill="1" applyBorder="1" applyAlignment="1" applyProtection="1">
      <alignment horizontal="center"/>
      <protection/>
    </xf>
    <xf numFmtId="4" fontId="49" fillId="39" borderId="12" xfId="0" applyNumberFormat="1" applyFont="1" applyFill="1" applyBorder="1" applyAlignment="1" applyProtection="1">
      <alignment horizontal="center"/>
      <protection/>
    </xf>
    <xf numFmtId="4" fontId="7" fillId="0" borderId="12" xfId="0" applyNumberFormat="1" applyFont="1" applyBorder="1" applyAlignment="1" applyProtection="1">
      <alignment horizontal="center"/>
      <protection/>
    </xf>
    <xf numFmtId="168" fontId="7" fillId="0" borderId="12" xfId="0" applyNumberFormat="1" applyFont="1" applyBorder="1" applyAlignment="1" applyProtection="1">
      <alignment horizontal="center"/>
      <protection/>
    </xf>
    <xf numFmtId="164" fontId="52" fillId="39" borderId="12" xfId="0" applyNumberFormat="1" applyFont="1" applyFill="1" applyBorder="1" applyAlignment="1" applyProtection="1">
      <alignment horizontal="center"/>
      <protection/>
    </xf>
    <xf numFmtId="2" fontId="54" fillId="40" borderId="12" xfId="0" applyNumberFormat="1" applyFont="1" applyFill="1" applyBorder="1" applyAlignment="1" applyProtection="1">
      <alignment horizontal="center"/>
      <protection/>
    </xf>
    <xf numFmtId="168" fontId="54" fillId="37" borderId="77" xfId="0" applyNumberFormat="1" applyFont="1" applyFill="1" applyBorder="1" applyAlignment="1" applyProtection="1" quotePrefix="1">
      <alignment horizontal="center"/>
      <protection/>
    </xf>
    <xf numFmtId="168" fontId="54" fillId="36" borderId="12" xfId="0" applyNumberFormat="1" applyFont="1" applyFill="1" applyBorder="1" applyAlignment="1" applyProtection="1" quotePrefix="1">
      <alignment horizontal="center"/>
      <protection/>
    </xf>
    <xf numFmtId="0" fontId="52" fillId="0" borderId="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78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0" fontId="68" fillId="0" borderId="0" xfId="0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0" fontId="28" fillId="0" borderId="0" xfId="54" applyFont="1">
      <alignment/>
      <protection/>
    </xf>
    <xf numFmtId="0" fontId="58" fillId="0" borderId="0" xfId="54" applyFont="1" applyAlignment="1">
      <alignment horizontal="right" vertical="top"/>
      <protection/>
    </xf>
    <xf numFmtId="0" fontId="23" fillId="0" borderId="0" xfId="54" applyFont="1" applyAlignment="1">
      <alignment horizontal="centerContinuous"/>
      <protection/>
    </xf>
    <xf numFmtId="0" fontId="28" fillId="0" borderId="0" xfId="54" applyFont="1" applyAlignment="1">
      <alignment horizontal="centerContinuous"/>
      <protection/>
    </xf>
    <xf numFmtId="0" fontId="7" fillId="0" borderId="0" xfId="54" applyFont="1">
      <alignment/>
      <protection/>
    </xf>
    <xf numFmtId="0" fontId="29" fillId="0" borderId="0" xfId="54" applyFont="1" applyFill="1" applyBorder="1" applyAlignment="1" applyProtection="1">
      <alignment horizontal="left"/>
      <protection/>
    </xf>
    <xf numFmtId="0" fontId="30" fillId="0" borderId="0" xfId="54" applyFont="1">
      <alignment/>
      <protection/>
    </xf>
    <xf numFmtId="0" fontId="29" fillId="0" borderId="0" xfId="54" applyFont="1" applyBorder="1" applyAlignment="1" applyProtection="1">
      <alignment horizontal="center"/>
      <protection/>
    </xf>
    <xf numFmtId="0" fontId="7" fillId="0" borderId="14" xfId="54" applyFont="1" applyBorder="1">
      <alignment/>
      <protection/>
    </xf>
    <xf numFmtId="0" fontId="7" fillId="0" borderId="15" xfId="54" applyFont="1" applyBorder="1">
      <alignment/>
      <protection/>
    </xf>
    <xf numFmtId="0" fontId="7" fillId="0" borderId="16" xfId="54" applyFont="1" applyBorder="1">
      <alignment/>
      <protection/>
    </xf>
    <xf numFmtId="0" fontId="16" fillId="0" borderId="0" xfId="54" applyFont="1">
      <alignment/>
      <protection/>
    </xf>
    <xf numFmtId="0" fontId="16" fillId="0" borderId="10" xfId="54" applyFont="1" applyBorder="1">
      <alignment/>
      <protection/>
    </xf>
    <xf numFmtId="0" fontId="16" fillId="0" borderId="0" xfId="54" applyFont="1" applyBorder="1">
      <alignment/>
      <protection/>
    </xf>
    <xf numFmtId="0" fontId="12" fillId="0" borderId="0" xfId="54" applyFont="1" applyBorder="1">
      <alignment/>
      <protection/>
    </xf>
    <xf numFmtId="0" fontId="16" fillId="0" borderId="11" xfId="54" applyFont="1" applyBorder="1">
      <alignment/>
      <protection/>
    </xf>
    <xf numFmtId="0" fontId="7" fillId="0" borderId="10" xfId="54" applyFont="1" applyBorder="1">
      <alignment/>
      <protection/>
    </xf>
    <xf numFmtId="0" fontId="7" fillId="0" borderId="0" xfId="54" applyFont="1" applyBorder="1">
      <alignment/>
      <protection/>
    </xf>
    <xf numFmtId="0" fontId="24" fillId="0" borderId="0" xfId="54" applyFont="1" applyBorder="1">
      <alignment/>
      <protection/>
    </xf>
    <xf numFmtId="0" fontId="7" fillId="0" borderId="11" xfId="54" applyFont="1" applyBorder="1">
      <alignment/>
      <protection/>
    </xf>
    <xf numFmtId="0" fontId="31" fillId="0" borderId="0" xfId="54" applyFont="1" applyBorder="1">
      <alignment/>
      <protection/>
    </xf>
    <xf numFmtId="0" fontId="17" fillId="0" borderId="0" xfId="54" applyFont="1">
      <alignment/>
      <protection/>
    </xf>
    <xf numFmtId="0" fontId="15" fillId="0" borderId="10" xfId="54" applyFont="1" applyBorder="1" applyAlignment="1" applyProtection="1">
      <alignment horizontal="centerContinuous"/>
      <protection/>
    </xf>
    <xf numFmtId="0" fontId="17" fillId="0" borderId="0" xfId="54" applyFont="1" applyBorder="1" applyAlignment="1">
      <alignment horizontal="centerContinuous"/>
      <protection/>
    </xf>
    <xf numFmtId="0" fontId="15" fillId="0" borderId="0" xfId="54" applyFont="1" applyBorder="1" applyAlignment="1" applyProtection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7" fillId="0" borderId="11" xfId="54" applyFont="1" applyBorder="1" applyAlignment="1">
      <alignment horizontal="centerContinuous"/>
      <protection/>
    </xf>
    <xf numFmtId="0" fontId="7" fillId="0" borderId="0" xfId="54" applyFont="1" applyBorder="1" applyProtection="1">
      <alignment/>
      <protection/>
    </xf>
    <xf numFmtId="0" fontId="0" fillId="0" borderId="32" xfId="54" applyFont="1" applyBorder="1" applyAlignment="1" applyProtection="1">
      <alignment horizontal="left"/>
      <protection/>
    </xf>
    <xf numFmtId="0" fontId="0" fillId="0" borderId="30" xfId="54" applyFont="1" applyBorder="1" applyAlignment="1">
      <alignment horizontal="center"/>
      <protection/>
    </xf>
    <xf numFmtId="0" fontId="0" fillId="0" borderId="0" xfId="54" applyFont="1" applyAlignment="1" applyProtection="1">
      <alignment/>
      <protection/>
    </xf>
    <xf numFmtId="0" fontId="69" fillId="0" borderId="0" xfId="54" applyFont="1">
      <alignment/>
      <protection/>
    </xf>
    <xf numFmtId="22" fontId="7" fillId="0" borderId="0" xfId="54" applyNumberFormat="1" applyFont="1" applyBorder="1">
      <alignment/>
      <protection/>
    </xf>
    <xf numFmtId="0" fontId="0" fillId="0" borderId="32" xfId="54" applyFont="1" applyBorder="1">
      <alignment/>
      <protection/>
    </xf>
    <xf numFmtId="0" fontId="0" fillId="0" borderId="13" xfId="54" applyFont="1" applyBorder="1" applyAlignment="1">
      <alignment horizontal="center"/>
      <protection/>
    </xf>
    <xf numFmtId="0" fontId="7" fillId="0" borderId="0" xfId="54" applyFont="1" applyBorder="1" applyAlignment="1">
      <alignment horizontal="left"/>
      <protection/>
    </xf>
    <xf numFmtId="171" fontId="7" fillId="0" borderId="0" xfId="54" applyNumberFormat="1" applyFont="1" applyBorder="1">
      <alignment/>
      <protection/>
    </xf>
    <xf numFmtId="0" fontId="7" fillId="0" borderId="0" xfId="54" applyFont="1" applyBorder="1" applyAlignment="1" quotePrefix="1">
      <alignment horizontal="center"/>
      <protection/>
    </xf>
    <xf numFmtId="0" fontId="7" fillId="0" borderId="0" xfId="54" applyFont="1" applyBorder="1" applyAlignment="1">
      <alignment horizontal="center"/>
      <protection/>
    </xf>
    <xf numFmtId="0" fontId="0" fillId="0" borderId="32" xfId="54" applyFont="1" applyBorder="1" applyAlignment="1">
      <alignment horizontal="left"/>
      <protection/>
    </xf>
    <xf numFmtId="1" fontId="0" fillId="0" borderId="13" xfId="54" applyNumberFormat="1" applyFont="1" applyBorder="1" applyAlignment="1">
      <alignment horizontal="center"/>
      <protection/>
    </xf>
    <xf numFmtId="0" fontId="0" fillId="0" borderId="0" xfId="54" applyFont="1" applyBorder="1" applyAlignment="1">
      <alignment horizontal="left"/>
      <protection/>
    </xf>
    <xf numFmtId="171" fontId="25" fillId="0" borderId="0" xfId="54" applyNumberFormat="1" applyFont="1" applyBorder="1" applyAlignment="1">
      <alignment horizontal="center"/>
      <protection/>
    </xf>
    <xf numFmtId="1" fontId="0" fillId="0" borderId="0" xfId="54" applyNumberFormat="1" applyFont="1" applyBorder="1" applyAlignment="1">
      <alignment horizontal="center"/>
      <protection/>
    </xf>
    <xf numFmtId="0" fontId="52" fillId="0" borderId="10" xfId="54" applyFont="1" applyBorder="1">
      <alignment/>
      <protection/>
    </xf>
    <xf numFmtId="0" fontId="52" fillId="0" borderId="0" xfId="54" applyFont="1" applyBorder="1">
      <alignment/>
      <protection/>
    </xf>
    <xf numFmtId="0" fontId="52" fillId="0" borderId="11" xfId="54" applyFont="1" applyBorder="1">
      <alignment/>
      <protection/>
    </xf>
    <xf numFmtId="0" fontId="52" fillId="0" borderId="0" xfId="54" applyFont="1">
      <alignment/>
      <protection/>
    </xf>
    <xf numFmtId="0" fontId="26" fillId="0" borderId="30" xfId="54" applyFont="1" applyFill="1" applyBorder="1" applyAlignment="1">
      <alignment horizontal="center" vertical="center"/>
      <protection/>
    </xf>
    <xf numFmtId="0" fontId="26" fillId="0" borderId="30" xfId="54" applyFont="1" applyBorder="1" applyAlignment="1">
      <alignment horizontal="center" vertical="center"/>
      <protection/>
    </xf>
    <xf numFmtId="0" fontId="26" fillId="0" borderId="30" xfId="54" applyFont="1" applyFill="1" applyBorder="1" applyAlignment="1" applyProtection="1">
      <alignment horizontal="center" vertical="center" wrapText="1"/>
      <protection/>
    </xf>
    <xf numFmtId="0" fontId="26" fillId="0" borderId="33" xfId="54" applyFont="1" applyFill="1" applyBorder="1" applyAlignment="1" applyProtection="1">
      <alignment horizontal="center" vertical="center"/>
      <protection/>
    </xf>
    <xf numFmtId="0" fontId="26" fillId="0" borderId="31" xfId="54" applyFont="1" applyFill="1" applyBorder="1" applyAlignment="1">
      <alignment horizontal="center" vertical="center" wrapText="1"/>
      <protection/>
    </xf>
    <xf numFmtId="0" fontId="46" fillId="33" borderId="30" xfId="54" applyFont="1" applyFill="1" applyBorder="1" applyAlignment="1" applyProtection="1">
      <alignment horizontal="center" vertical="center"/>
      <protection/>
    </xf>
    <xf numFmtId="0" fontId="26" fillId="0" borderId="30" xfId="54" applyFont="1" applyFill="1" applyBorder="1" applyAlignment="1" applyProtection="1">
      <alignment horizontal="center" vertical="center"/>
      <protection/>
    </xf>
    <xf numFmtId="0" fontId="26" fillId="0" borderId="33" xfId="54" applyFont="1" applyFill="1" applyBorder="1" applyAlignment="1" applyProtection="1">
      <alignment horizontal="center" vertical="center" wrapText="1"/>
      <protection/>
    </xf>
    <xf numFmtId="0" fontId="26" fillId="0" borderId="32" xfId="54" applyFont="1" applyBorder="1" applyAlignment="1" applyProtection="1">
      <alignment horizontal="center" vertical="center" wrapText="1"/>
      <protection/>
    </xf>
    <xf numFmtId="0" fontId="26" fillId="0" borderId="32" xfId="54" applyFont="1" applyFill="1" applyBorder="1" applyAlignment="1" applyProtection="1">
      <alignment horizontal="center" vertical="center"/>
      <protection/>
    </xf>
    <xf numFmtId="0" fontId="50" fillId="37" borderId="30" xfId="54" applyFont="1" applyFill="1" applyBorder="1" applyAlignment="1" applyProtection="1">
      <alignment horizontal="center" vertical="center"/>
      <protection/>
    </xf>
    <xf numFmtId="0" fontId="27" fillId="36" borderId="30" xfId="54" applyFont="1" applyFill="1" applyBorder="1" applyAlignment="1">
      <alignment horizontal="center" vertical="center" wrapText="1"/>
      <protection/>
    </xf>
    <xf numFmtId="0" fontId="50" fillId="34" borderId="32" xfId="54" applyFont="1" applyFill="1" applyBorder="1" applyAlignment="1" applyProtection="1">
      <alignment horizontal="centerContinuous" vertical="center" wrapText="1"/>
      <protection/>
    </xf>
    <xf numFmtId="0" fontId="50" fillId="34" borderId="33" xfId="54" applyFont="1" applyFill="1" applyBorder="1" applyAlignment="1">
      <alignment horizontal="centerContinuous" vertical="center"/>
      <protection/>
    </xf>
    <xf numFmtId="0" fontId="50" fillId="39" borderId="30" xfId="54" applyFont="1" applyFill="1" applyBorder="1" applyAlignment="1" applyProtection="1">
      <alignment horizontal="centerContinuous" vertical="center" wrapText="1"/>
      <protection/>
    </xf>
    <xf numFmtId="0" fontId="26" fillId="0" borderId="3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>
      <alignment/>
      <protection/>
    </xf>
    <xf numFmtId="0" fontId="7" fillId="0" borderId="12" xfId="54" applyFont="1" applyFill="1" applyBorder="1" applyAlignment="1">
      <alignment horizontal="center"/>
      <protection/>
    </xf>
    <xf numFmtId="0" fontId="7" fillId="0" borderId="28" xfId="54" applyFont="1" applyFill="1" applyBorder="1" applyAlignment="1">
      <alignment horizontal="center"/>
      <protection/>
    </xf>
    <xf numFmtId="0" fontId="13" fillId="0" borderId="28" xfId="54" applyFont="1" applyFill="1" applyBorder="1" applyAlignment="1" applyProtection="1">
      <alignment horizontal="center"/>
      <protection/>
    </xf>
    <xf numFmtId="172" fontId="9" fillId="0" borderId="12" xfId="54" applyNumberFormat="1" applyFont="1" applyFill="1" applyBorder="1" applyAlignment="1" applyProtection="1">
      <alignment horizontal="center"/>
      <protection/>
    </xf>
    <xf numFmtId="171" fontId="48" fillId="33" borderId="12" xfId="54" applyNumberFormat="1" applyFont="1" applyFill="1" applyBorder="1" applyAlignment="1" applyProtection="1">
      <alignment horizontal="center"/>
      <protection/>
    </xf>
    <xf numFmtId="22" fontId="7" fillId="0" borderId="23" xfId="54" applyNumberFormat="1" applyFont="1" applyFill="1" applyBorder="1" applyAlignment="1">
      <alignment horizontal="center"/>
      <protection/>
    </xf>
    <xf numFmtId="22" fontId="7" fillId="0" borderId="77" xfId="54" applyNumberFormat="1" applyFont="1" applyFill="1" applyBorder="1" applyAlignment="1" applyProtection="1">
      <alignment horizontal="center"/>
      <protection/>
    </xf>
    <xf numFmtId="2" fontId="7" fillId="0" borderId="29" xfId="54" applyNumberFormat="1" applyFont="1" applyFill="1" applyBorder="1" applyAlignment="1" applyProtection="1">
      <alignment horizontal="center"/>
      <protection/>
    </xf>
    <xf numFmtId="164" fontId="7" fillId="0" borderId="12" xfId="54" applyNumberFormat="1" applyFont="1" applyFill="1" applyBorder="1" applyAlignment="1" applyProtection="1" quotePrefix="1">
      <alignment horizontal="center"/>
      <protection/>
    </xf>
    <xf numFmtId="168" fontId="7" fillId="0" borderId="42" xfId="54" applyNumberFormat="1" applyFont="1" applyFill="1" applyBorder="1" applyAlignment="1" applyProtection="1">
      <alignment horizontal="center"/>
      <protection/>
    </xf>
    <xf numFmtId="164" fontId="49" fillId="37" borderId="21" xfId="54" applyNumberFormat="1" applyFont="1" applyFill="1" applyBorder="1" applyAlignment="1" applyProtection="1">
      <alignment horizontal="center"/>
      <protection/>
    </xf>
    <xf numFmtId="2" fontId="54" fillId="36" borderId="21" xfId="54" applyNumberFormat="1" applyFont="1" applyFill="1" applyBorder="1" applyAlignment="1">
      <alignment horizontal="center"/>
      <protection/>
    </xf>
    <xf numFmtId="168" fontId="49" fillId="34" borderId="40" xfId="54" applyNumberFormat="1" applyFont="1" applyFill="1" applyBorder="1" applyAlignment="1" applyProtection="1" quotePrefix="1">
      <alignment horizontal="center"/>
      <protection/>
    </xf>
    <xf numFmtId="168" fontId="49" fillId="34" borderId="46" xfId="54" applyNumberFormat="1" applyFont="1" applyFill="1" applyBorder="1" applyAlignment="1" applyProtection="1" quotePrefix="1">
      <alignment horizontal="center"/>
      <protection/>
    </xf>
    <xf numFmtId="168" fontId="49" fillId="39" borderId="21" xfId="54" applyNumberFormat="1" applyFont="1" applyFill="1" applyBorder="1" applyAlignment="1" applyProtection="1" quotePrefix="1">
      <alignment horizontal="center"/>
      <protection/>
    </xf>
    <xf numFmtId="168" fontId="7" fillId="0" borderId="21" xfId="54" applyNumberFormat="1" applyFont="1" applyFill="1" applyBorder="1" applyAlignment="1" applyProtection="1">
      <alignment horizontal="center"/>
      <protection/>
    </xf>
    <xf numFmtId="168" fontId="10" fillId="0" borderId="21" xfId="54" applyNumberFormat="1" applyFont="1" applyFill="1" applyBorder="1" applyAlignment="1">
      <alignment horizontal="center"/>
      <protection/>
    </xf>
    <xf numFmtId="168" fontId="7" fillId="0" borderId="29" xfId="54" applyNumberFormat="1" applyFont="1" applyFill="1" applyBorder="1" applyAlignment="1" applyProtection="1">
      <alignment horizontal="center"/>
      <protection/>
    </xf>
    <xf numFmtId="164" fontId="49" fillId="37" borderId="12" xfId="54" applyNumberFormat="1" applyFont="1" applyFill="1" applyBorder="1" applyAlignment="1" applyProtection="1">
      <alignment horizontal="center"/>
      <protection/>
    </xf>
    <xf numFmtId="2" fontId="54" fillId="36" borderId="12" xfId="54" applyNumberFormat="1" applyFont="1" applyFill="1" applyBorder="1" applyAlignment="1">
      <alignment horizontal="center"/>
      <protection/>
    </xf>
    <xf numFmtId="168" fontId="49" fillId="34" borderId="43" xfId="54" applyNumberFormat="1" applyFont="1" applyFill="1" applyBorder="1" applyAlignment="1" applyProtection="1" quotePrefix="1">
      <alignment horizontal="center"/>
      <protection/>
    </xf>
    <xf numFmtId="168" fontId="49" fillId="34" borderId="77" xfId="54" applyNumberFormat="1" applyFont="1" applyFill="1" applyBorder="1" applyAlignment="1" applyProtection="1" quotePrefix="1">
      <alignment horizontal="center"/>
      <protection/>
    </xf>
    <xf numFmtId="168" fontId="49" fillId="39" borderId="12" xfId="54" applyNumberFormat="1" applyFont="1" applyFill="1" applyBorder="1" applyAlignment="1" applyProtection="1" quotePrefix="1">
      <alignment horizontal="center"/>
      <protection/>
    </xf>
    <xf numFmtId="168" fontId="7" fillId="0" borderId="12" xfId="54" applyNumberFormat="1" applyFont="1" applyFill="1" applyBorder="1" applyAlignment="1" applyProtection="1">
      <alignment horizontal="center"/>
      <protection/>
    </xf>
    <xf numFmtId="168" fontId="10" fillId="0" borderId="12" xfId="54" applyNumberFormat="1" applyFont="1" applyFill="1" applyBorder="1" applyAlignment="1">
      <alignment horizontal="center"/>
      <protection/>
    </xf>
    <xf numFmtId="0" fontId="7" fillId="0" borderId="12" xfId="54" applyFont="1" applyFill="1" applyBorder="1" applyAlignment="1" applyProtection="1">
      <alignment horizontal="center"/>
      <protection locked="0"/>
    </xf>
    <xf numFmtId="0" fontId="7" fillId="0" borderId="28" xfId="54" applyFont="1" applyFill="1" applyBorder="1" applyAlignment="1" applyProtection="1">
      <alignment horizontal="center"/>
      <protection locked="0"/>
    </xf>
    <xf numFmtId="0" fontId="13" fillId="0" borderId="28" xfId="54" applyFont="1" applyFill="1" applyBorder="1" applyAlignment="1" applyProtection="1">
      <alignment horizontal="center"/>
      <protection locked="0"/>
    </xf>
    <xf numFmtId="172" fontId="9" fillId="0" borderId="12" xfId="54" applyNumberFormat="1" applyFont="1" applyFill="1" applyBorder="1" applyAlignment="1" applyProtection="1">
      <alignment horizontal="center"/>
      <protection locked="0"/>
    </xf>
    <xf numFmtId="22" fontId="7" fillId="0" borderId="23" xfId="54" applyNumberFormat="1" applyFont="1" applyFill="1" applyBorder="1" applyAlignment="1" applyProtection="1">
      <alignment horizontal="center"/>
      <protection locked="0"/>
    </xf>
    <xf numFmtId="22" fontId="7" fillId="0" borderId="77" xfId="54" applyNumberFormat="1" applyFont="1" applyFill="1" applyBorder="1" applyAlignment="1" applyProtection="1">
      <alignment horizontal="center"/>
      <protection locked="0"/>
    </xf>
    <xf numFmtId="168" fontId="7" fillId="0" borderId="29" xfId="54" applyNumberFormat="1" applyFont="1" applyFill="1" applyBorder="1" applyAlignment="1" applyProtection="1">
      <alignment horizontal="center"/>
      <protection locked="0"/>
    </xf>
    <xf numFmtId="2" fontId="54" fillId="36" borderId="12" xfId="54" applyNumberFormat="1" applyFont="1" applyFill="1" applyBorder="1" applyAlignment="1" applyProtection="1">
      <alignment horizontal="center"/>
      <protection/>
    </xf>
    <xf numFmtId="168" fontId="10" fillId="0" borderId="12" xfId="54" applyNumberFormat="1" applyFont="1" applyFill="1" applyBorder="1" applyAlignment="1">
      <alignment horizontal="right"/>
      <protection/>
    </xf>
    <xf numFmtId="0" fontId="7" fillId="0" borderId="13" xfId="54" applyFont="1" applyFill="1" applyBorder="1" applyProtection="1">
      <alignment/>
      <protection locked="0"/>
    </xf>
    <xf numFmtId="0" fontId="48" fillId="33" borderId="13" xfId="54" applyFont="1" applyFill="1" applyBorder="1">
      <alignment/>
      <protection/>
    </xf>
    <xf numFmtId="0" fontId="7" fillId="0" borderId="13" xfId="54" applyFont="1" applyFill="1" applyBorder="1">
      <alignment/>
      <protection/>
    </xf>
    <xf numFmtId="0" fontId="49" fillId="37" borderId="13" xfId="54" applyFont="1" applyFill="1" applyBorder="1" applyProtection="1">
      <alignment/>
      <protection locked="0"/>
    </xf>
    <xf numFmtId="0" fontId="54" fillId="36" borderId="13" xfId="54" applyFont="1" applyFill="1" applyBorder="1" applyProtection="1">
      <alignment/>
      <protection locked="0"/>
    </xf>
    <xf numFmtId="0" fontId="49" fillId="34" borderId="73" xfId="54" applyFont="1" applyFill="1" applyBorder="1" applyProtection="1">
      <alignment/>
      <protection locked="0"/>
    </xf>
    <xf numFmtId="0" fontId="49" fillId="34" borderId="75" xfId="54" applyFont="1" applyFill="1" applyBorder="1" applyProtection="1">
      <alignment/>
      <protection locked="0"/>
    </xf>
    <xf numFmtId="0" fontId="49" fillId="39" borderId="13" xfId="54" applyFont="1" applyFill="1" applyBorder="1" applyProtection="1">
      <alignment/>
      <protection locked="0"/>
    </xf>
    <xf numFmtId="0" fontId="10" fillId="0" borderId="22" xfId="54" applyFont="1" applyFill="1" applyBorder="1">
      <alignment/>
      <protection/>
    </xf>
    <xf numFmtId="0" fontId="38" fillId="0" borderId="39" xfId="54" applyFont="1" applyBorder="1" applyAlignment="1">
      <alignment horizontal="center"/>
      <protection/>
    </xf>
    <xf numFmtId="0" fontId="38" fillId="0" borderId="0" xfId="54" applyFont="1" applyBorder="1" applyAlignment="1">
      <alignment horizontal="center"/>
      <protection/>
    </xf>
    <xf numFmtId="0" fontId="40" fillId="0" borderId="0" xfId="54" applyFont="1" applyBorder="1" applyAlignment="1" applyProtection="1">
      <alignment horizontal="left"/>
      <protection/>
    </xf>
    <xf numFmtId="0" fontId="7" fillId="0" borderId="0" xfId="54" applyFont="1" applyFill="1" applyBorder="1">
      <alignment/>
      <protection/>
    </xf>
    <xf numFmtId="2" fontId="54" fillId="36" borderId="30" xfId="54" applyNumberFormat="1" applyFont="1" applyFill="1" applyBorder="1" applyAlignment="1">
      <alignment horizontal="center"/>
      <protection/>
    </xf>
    <xf numFmtId="2" fontId="49" fillId="34" borderId="30" xfId="54" applyNumberFormat="1" applyFont="1" applyFill="1" applyBorder="1" applyAlignment="1">
      <alignment horizontal="center"/>
      <protection/>
    </xf>
    <xf numFmtId="2" fontId="49" fillId="39" borderId="30" xfId="54" applyNumberFormat="1" applyFont="1" applyFill="1" applyBorder="1" applyAlignment="1">
      <alignment horizontal="center"/>
      <protection/>
    </xf>
    <xf numFmtId="7" fontId="7" fillId="0" borderId="0" xfId="54" applyNumberFormat="1" applyFont="1" applyFill="1" applyBorder="1" applyAlignment="1">
      <alignment horizontal="center"/>
      <protection/>
    </xf>
    <xf numFmtId="7" fontId="11" fillId="0" borderId="30" xfId="54" applyNumberFormat="1" applyFont="1" applyFill="1" applyBorder="1" applyAlignment="1">
      <alignment horizontal="right"/>
      <protection/>
    </xf>
    <xf numFmtId="0" fontId="38" fillId="0" borderId="0" xfId="54" applyFont="1">
      <alignment/>
      <protection/>
    </xf>
    <xf numFmtId="0" fontId="38" fillId="0" borderId="10" xfId="54" applyFont="1" applyBorder="1">
      <alignment/>
      <protection/>
    </xf>
    <xf numFmtId="0" fontId="40" fillId="0" borderId="0" xfId="54" applyFont="1" applyBorder="1" applyAlignment="1">
      <alignment horizontal="center"/>
      <protection/>
    </xf>
    <xf numFmtId="0" fontId="40" fillId="0" borderId="0" xfId="54" applyFont="1" applyBorder="1" applyAlignment="1" applyProtection="1">
      <alignment horizontal="left" vertical="top"/>
      <protection/>
    </xf>
    <xf numFmtId="0" fontId="38" fillId="0" borderId="0" xfId="54" applyFont="1" applyFill="1" applyBorder="1">
      <alignment/>
      <protection/>
    </xf>
    <xf numFmtId="7" fontId="38" fillId="0" borderId="0" xfId="54" applyNumberFormat="1" applyFont="1" applyFill="1" applyBorder="1" applyAlignment="1">
      <alignment horizontal="center"/>
      <protection/>
    </xf>
    <xf numFmtId="7" fontId="44" fillId="0" borderId="0" xfId="54" applyNumberFormat="1" applyFont="1" applyFill="1" applyBorder="1" applyAlignment="1">
      <alignment horizontal="right"/>
      <protection/>
    </xf>
    <xf numFmtId="0" fontId="38" fillId="0" borderId="11" xfId="54" applyFont="1" applyFill="1" applyBorder="1">
      <alignment/>
      <protection/>
    </xf>
    <xf numFmtId="0" fontId="7" fillId="0" borderId="18" xfId="54" applyFont="1" applyFill="1" applyBorder="1">
      <alignment/>
      <protection/>
    </xf>
    <xf numFmtId="0" fontId="7" fillId="0" borderId="19" xfId="54" applyFont="1" applyFill="1" applyBorder="1">
      <alignment/>
      <protection/>
    </xf>
    <xf numFmtId="0" fontId="0" fillId="0" borderId="0" xfId="54" applyFont="1">
      <alignment/>
      <protection/>
    </xf>
    <xf numFmtId="0" fontId="0" fillId="0" borderId="0" xfId="54">
      <alignment/>
      <protection/>
    </xf>
    <xf numFmtId="0" fontId="68" fillId="0" borderId="0" xfId="54" applyFont="1" applyBorder="1" applyAlignment="1">
      <alignment horizontal="left"/>
      <protection/>
    </xf>
    <xf numFmtId="0" fontId="19" fillId="0" borderId="0" xfId="0" applyFont="1" applyBorder="1" applyAlignment="1" applyProtection="1">
      <alignment horizontal="left"/>
      <protection/>
    </xf>
    <xf numFmtId="0" fontId="71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0" fontId="72" fillId="0" borderId="0" xfId="0" applyFont="1" applyAlignment="1">
      <alignment/>
    </xf>
    <xf numFmtId="0" fontId="72" fillId="0" borderId="0" xfId="0" applyFont="1" applyAlignment="1">
      <alignment horizontal="centerContinuous"/>
    </xf>
    <xf numFmtId="0" fontId="5" fillId="0" borderId="0" xfId="0" applyFont="1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3" fillId="0" borderId="0" xfId="0" applyFont="1" applyBorder="1" applyAlignment="1">
      <alignment horizontal="centerContinuous"/>
    </xf>
    <xf numFmtId="0" fontId="74" fillId="0" borderId="0" xfId="0" applyFont="1" applyBorder="1" applyAlignment="1" applyProtection="1">
      <alignment horizontal="left"/>
      <protection/>
    </xf>
    <xf numFmtId="0" fontId="75" fillId="0" borderId="0" xfId="0" applyFont="1" applyBorder="1" applyAlignment="1" applyProtection="1">
      <alignment horizontal="centerContinuous"/>
      <protection/>
    </xf>
    <xf numFmtId="0" fontId="75" fillId="0" borderId="0" xfId="0" applyFont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6" fillId="0" borderId="15" xfId="0" applyFont="1" applyBorder="1" applyAlignment="1">
      <alignment/>
    </xf>
    <xf numFmtId="0" fontId="0" fillId="0" borderId="16" xfId="0" applyBorder="1" applyAlignment="1">
      <alignment/>
    </xf>
    <xf numFmtId="0" fontId="7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78" xfId="0" applyBorder="1" applyAlignment="1">
      <alignment/>
    </xf>
    <xf numFmtId="0" fontId="76" fillId="0" borderId="0" xfId="0" applyFont="1" applyBorder="1" applyAlignment="1" applyProtection="1">
      <alignment horizontal="center"/>
      <protection/>
    </xf>
    <xf numFmtId="0" fontId="76" fillId="0" borderId="0" xfId="0" applyFont="1" applyBorder="1" applyAlignment="1">
      <alignment/>
    </xf>
    <xf numFmtId="0" fontId="0" fillId="0" borderId="10" xfId="0" applyBorder="1" applyAlignment="1">
      <alignment horizontal="centerContinuous" vertical="center"/>
    </xf>
    <xf numFmtId="0" fontId="0" fillId="41" borderId="71" xfId="0" applyFont="1" applyFill="1" applyBorder="1" applyAlignment="1">
      <alignment horizontal="centerContinuous" vertical="center"/>
    </xf>
    <xf numFmtId="0" fontId="77" fillId="41" borderId="79" xfId="0" applyFont="1" applyFill="1" applyBorder="1" applyAlignment="1" applyProtection="1">
      <alignment horizontal="centerContinuous" vertical="center"/>
      <protection/>
    </xf>
    <xf numFmtId="0" fontId="77" fillId="41" borderId="79" xfId="0" applyFont="1" applyFill="1" applyBorder="1" applyAlignment="1" applyProtection="1">
      <alignment horizontal="centerContinuous" vertical="center" wrapText="1"/>
      <protection/>
    </xf>
    <xf numFmtId="168" fontId="77" fillId="41" borderId="30" xfId="0" applyNumberFormat="1" applyFont="1" applyFill="1" applyBorder="1" applyAlignment="1" applyProtection="1">
      <alignment horizontal="centerContinuous" vertical="center" wrapText="1"/>
      <protection/>
    </xf>
    <xf numFmtId="17" fontId="77" fillId="41" borderId="3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41" borderId="28" xfId="0" applyFont="1" applyFill="1" applyBorder="1" applyAlignment="1">
      <alignment/>
    </xf>
    <xf numFmtId="0" fontId="76" fillId="41" borderId="80" xfId="0" applyFont="1" applyFill="1" applyBorder="1" applyAlignment="1">
      <alignment/>
    </xf>
    <xf numFmtId="0" fontId="76" fillId="41" borderId="36" xfId="0" applyFont="1" applyFill="1" applyBorder="1" applyAlignment="1">
      <alignment/>
    </xf>
    <xf numFmtId="0" fontId="0" fillId="0" borderId="76" xfId="0" applyBorder="1" applyAlignment="1">
      <alignment/>
    </xf>
    <xf numFmtId="0" fontId="7" fillId="41" borderId="38" xfId="0" applyFont="1" applyFill="1" applyBorder="1" applyAlignment="1">
      <alignment horizontal="center"/>
    </xf>
    <xf numFmtId="0" fontId="7" fillId="41" borderId="81" xfId="0" applyFont="1" applyFill="1" applyBorder="1" applyAlignment="1" applyProtection="1">
      <alignment horizontal="center"/>
      <protection/>
    </xf>
    <xf numFmtId="2" fontId="7" fillId="41" borderId="82" xfId="0" applyNumberFormat="1" applyFont="1" applyFill="1" applyBorder="1" applyAlignment="1" applyProtection="1">
      <alignment horizontal="center"/>
      <protection/>
    </xf>
    <xf numFmtId="1" fontId="7" fillId="42" borderId="82" xfId="0" applyNumberFormat="1" applyFont="1" applyFill="1" applyBorder="1" applyAlignment="1">
      <alignment horizontal="center"/>
    </xf>
    <xf numFmtId="0" fontId="0" fillId="0" borderId="36" xfId="0" applyBorder="1" applyAlignment="1">
      <alignment/>
    </xf>
    <xf numFmtId="0" fontId="10" fillId="43" borderId="24" xfId="0" applyFont="1" applyFill="1" applyBorder="1" applyAlignment="1">
      <alignment horizontal="center"/>
    </xf>
    <xf numFmtId="0" fontId="10" fillId="43" borderId="23" xfId="0" applyFont="1" applyFill="1" applyBorder="1" applyAlignment="1">
      <alignment horizontal="center"/>
    </xf>
    <xf numFmtId="0" fontId="10" fillId="41" borderId="24" xfId="0" applyFont="1" applyFill="1" applyBorder="1" applyAlignment="1">
      <alignment horizontal="center"/>
    </xf>
    <xf numFmtId="0" fontId="10" fillId="41" borderId="23" xfId="0" applyFont="1" applyFill="1" applyBorder="1" applyAlignment="1">
      <alignment horizontal="center"/>
    </xf>
    <xf numFmtId="0" fontId="7" fillId="41" borderId="71" xfId="0" applyFont="1" applyFill="1" applyBorder="1" applyAlignment="1">
      <alignment horizontal="center"/>
    </xf>
    <xf numFmtId="0" fontId="7" fillId="41" borderId="83" xfId="0" applyFont="1" applyFill="1" applyBorder="1" applyAlignment="1" applyProtection="1">
      <alignment horizontal="left"/>
      <protection/>
    </xf>
    <xf numFmtId="0" fontId="7" fillId="41" borderId="83" xfId="0" applyFont="1" applyFill="1" applyBorder="1" applyAlignment="1" applyProtection="1">
      <alignment horizontal="center"/>
      <protection/>
    </xf>
    <xf numFmtId="2" fontId="7" fillId="41" borderId="7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39" xfId="0" applyFont="1" applyFill="1" applyBorder="1" applyAlignment="1" applyProtection="1">
      <alignment horizontal="right"/>
      <protection/>
    </xf>
    <xf numFmtId="168" fontId="5" fillId="0" borderId="72" xfId="0" applyNumberFormat="1" applyFont="1" applyFill="1" applyBorder="1" applyAlignment="1" applyProtection="1">
      <alignment horizontal="center"/>
      <protection/>
    </xf>
    <xf numFmtId="1" fontId="0" fillId="41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1" fontId="7" fillId="41" borderId="30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/>
    </xf>
    <xf numFmtId="17" fontId="5" fillId="0" borderId="0" xfId="0" applyNumberFormat="1" applyFont="1" applyFill="1" applyBorder="1" applyAlignment="1">
      <alignment horizontal="right"/>
    </xf>
    <xf numFmtId="2" fontId="11" fillId="41" borderId="30" xfId="0" applyNumberFormat="1" applyFont="1" applyFill="1" applyBorder="1" applyAlignment="1">
      <alignment horizontal="center"/>
    </xf>
    <xf numFmtId="0" fontId="7" fillId="41" borderId="84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/>
    </xf>
    <xf numFmtId="168" fontId="5" fillId="0" borderId="0" xfId="0" applyNumberFormat="1" applyFont="1" applyFill="1" applyBorder="1" applyAlignment="1" applyProtection="1">
      <alignment horizontal="right"/>
      <protection/>
    </xf>
    <xf numFmtId="2" fontId="0" fillId="0" borderId="0" xfId="0" applyNumberFormat="1" applyFont="1" applyFill="1" applyBorder="1" applyAlignment="1">
      <alignment horizontal="center"/>
    </xf>
    <xf numFmtId="0" fontId="78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2" fontId="79" fillId="0" borderId="31" xfId="0" applyNumberFormat="1" applyFont="1" applyBorder="1" applyAlignment="1">
      <alignment horizontal="center"/>
    </xf>
    <xf numFmtId="0" fontId="78" fillId="0" borderId="17" xfId="0" applyFont="1" applyBorder="1" applyAlignment="1">
      <alignment/>
    </xf>
    <xf numFmtId="0" fontId="5" fillId="0" borderId="18" xfId="0" applyFont="1" applyBorder="1" applyAlignment="1" applyProtection="1">
      <alignment horizontal="left"/>
      <protection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3" fontId="0" fillId="0" borderId="32" xfId="0" applyNumberFormat="1" applyFont="1" applyBorder="1" applyAlignment="1">
      <alignment horizontal="centerContinuous" vertical="center"/>
    </xf>
    <xf numFmtId="167" fontId="0" fillId="0" borderId="33" xfId="0" applyNumberFormat="1" applyFont="1" applyBorder="1" applyAlignment="1">
      <alignment horizontal="centerContinuous" vertical="center"/>
    </xf>
    <xf numFmtId="171" fontId="0" fillId="0" borderId="45" xfId="0" applyNumberFormat="1" applyFont="1" applyBorder="1" applyAlignment="1" applyProtection="1">
      <alignment horizontal="center"/>
      <protection/>
    </xf>
    <xf numFmtId="171" fontId="25" fillId="0" borderId="45" xfId="0" applyNumberFormat="1" applyFont="1" applyBorder="1" applyAlignment="1">
      <alignment horizontal="center"/>
    </xf>
    <xf numFmtId="0" fontId="0" fillId="0" borderId="85" xfId="0" applyFont="1" applyBorder="1" applyAlignment="1" applyProtection="1">
      <alignment horizontal="left"/>
      <protection/>
    </xf>
    <xf numFmtId="171" fontId="0" fillId="0" borderId="86" xfId="0" applyNumberFormat="1" applyFont="1" applyBorder="1" applyAlignment="1" applyProtection="1">
      <alignment horizontal="centerContinuous"/>
      <protection/>
    </xf>
    <xf numFmtId="0" fontId="0" fillId="0" borderId="87" xfId="0" applyFont="1" applyBorder="1" applyAlignment="1">
      <alignment/>
    </xf>
    <xf numFmtId="0" fontId="0" fillId="0" borderId="88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161925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9525"/>
          <a:ext cx="5905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219075</xdr:colOff>
      <xdr:row>0</xdr:row>
      <xdr:rowOff>9525</xdr:rowOff>
    </xdr:from>
    <xdr:to>
      <xdr:col>3</xdr:col>
      <xdr:colOff>228600</xdr:colOff>
      <xdr:row>3</xdr:row>
      <xdr:rowOff>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9525"/>
          <a:ext cx="6000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12</xdr:row>
      <xdr:rowOff>0</xdr:rowOff>
    </xdr:from>
    <xdr:to>
      <xdr:col>9</xdr:col>
      <xdr:colOff>9525</xdr:colOff>
      <xdr:row>14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790825"/>
          <a:ext cx="3009900" cy="466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142875</xdr:colOff>
      <xdr:row>0</xdr:row>
      <xdr:rowOff>0</xdr:rowOff>
    </xdr:from>
    <xdr:to>
      <xdr:col>1</xdr:col>
      <xdr:colOff>752475</xdr:colOff>
      <xdr:row>2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0"/>
          <a:ext cx="6096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0</xdr:rowOff>
    </xdr:from>
    <xdr:to>
      <xdr:col>1</xdr:col>
      <xdr:colOff>85725</xdr:colOff>
      <xdr:row>1</xdr:row>
      <xdr:rowOff>361950</xdr:rowOff>
    </xdr:to>
    <xdr:pic>
      <xdr:nvPicPr>
        <xdr:cNvPr id="1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erver\files\transporte\Transporte\ARCHIVOS.XLS\P-TRASPA\TBASETP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ugor\files\transporte\y\transporte\Y\transporte\Transporte\ARCHIVOS.XLS\P-TRASPA\TBASETP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ASPA\TBASETP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  <sheetDataSet>
      <sheetData sheetId="0"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EA17" t="str">
            <v>XXXX</v>
          </cell>
          <cell r="EB17" t="str">
            <v>XXXX</v>
          </cell>
          <cell r="EC17" t="str">
            <v>XXXX</v>
          </cell>
          <cell r="ED17" t="str">
            <v>XXXX</v>
          </cell>
          <cell r="EE17" t="str">
            <v>XXXX</v>
          </cell>
          <cell r="EF17" t="str">
            <v>XXXX</v>
          </cell>
          <cell r="EG17" t="str">
            <v>XXXX</v>
          </cell>
          <cell r="EH17" t="str">
            <v>XXXX</v>
          </cell>
          <cell r="EI17" t="str">
            <v>XXXX</v>
          </cell>
          <cell r="EJ17" t="str">
            <v>XXXX</v>
          </cell>
          <cell r="EK17" t="str">
            <v>XXXX</v>
          </cell>
          <cell r="EL17" t="str">
            <v>XXXX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Grafico"/>
      <sheetName val="FM"/>
    </sheetNames>
    <sheetDataSet>
      <sheetData sheetId="0">
        <row r="15">
          <cell r="HN15">
            <v>41183</v>
          </cell>
          <cell r="HO15">
            <v>41214</v>
          </cell>
          <cell r="HP15">
            <v>41244</v>
          </cell>
          <cell r="HQ15">
            <v>41275</v>
          </cell>
          <cell r="HR15">
            <v>41306</v>
          </cell>
          <cell r="HS15">
            <v>41334</v>
          </cell>
          <cell r="HT15">
            <v>41365</v>
          </cell>
          <cell r="HU15">
            <v>41395</v>
          </cell>
          <cell r="HV15">
            <v>41426</v>
          </cell>
          <cell r="HW15">
            <v>41456</v>
          </cell>
          <cell r="HX15">
            <v>41487</v>
          </cell>
          <cell r="HY15">
            <v>41518</v>
          </cell>
          <cell r="HZ15">
            <v>41548</v>
          </cell>
        </row>
        <row r="17">
          <cell r="C17">
            <v>1</v>
          </cell>
          <cell r="D17" t="str">
            <v>AMEGHINO - COMODORO RIVADAVIA</v>
          </cell>
          <cell r="E17">
            <v>132</v>
          </cell>
          <cell r="F17">
            <v>305</v>
          </cell>
          <cell r="HN17" t="str">
            <v>XXXX</v>
          </cell>
          <cell r="HO17" t="str">
            <v>XXXX</v>
          </cell>
          <cell r="HP17" t="str">
            <v>XXXX</v>
          </cell>
          <cell r="HQ17" t="str">
            <v>XXXX</v>
          </cell>
          <cell r="HR17" t="str">
            <v>XXXX</v>
          </cell>
          <cell r="HS17" t="str">
            <v>XXXX</v>
          </cell>
          <cell r="HT17" t="str">
            <v>XXXX</v>
          </cell>
          <cell r="HU17" t="str">
            <v>XXXX</v>
          </cell>
          <cell r="HV17" t="str">
            <v>XXXX</v>
          </cell>
          <cell r="HW17" t="str">
            <v>XXXX</v>
          </cell>
          <cell r="HX17" t="str">
            <v>XXXX</v>
          </cell>
          <cell r="HY17" t="str">
            <v>XXXX</v>
          </cell>
        </row>
        <row r="18">
          <cell r="C18">
            <v>2</v>
          </cell>
          <cell r="D18" t="str">
            <v>AMEGHINO - ESTACION PATAGONIA</v>
          </cell>
          <cell r="E18">
            <v>132</v>
          </cell>
          <cell r="F18">
            <v>299.6</v>
          </cell>
          <cell r="HP18">
            <v>1</v>
          </cell>
          <cell r="HT18">
            <v>2</v>
          </cell>
          <cell r="HW18">
            <v>1</v>
          </cell>
        </row>
        <row r="19">
          <cell r="C19">
            <v>3</v>
          </cell>
          <cell r="D19" t="str">
            <v>AMEGHINO - TRELEW</v>
          </cell>
          <cell r="E19">
            <v>132</v>
          </cell>
          <cell r="F19">
            <v>112</v>
          </cell>
          <cell r="HR19">
            <v>1</v>
          </cell>
        </row>
        <row r="20">
          <cell r="C20">
            <v>4</v>
          </cell>
          <cell r="D20" t="str">
            <v>FUTALEUFU - ESQUEL</v>
          </cell>
          <cell r="E20">
            <v>132</v>
          </cell>
          <cell r="F20">
            <v>28.4</v>
          </cell>
          <cell r="HX20">
            <v>1</v>
          </cell>
        </row>
        <row r="21">
          <cell r="C21">
            <v>5</v>
          </cell>
          <cell r="D21" t="str">
            <v>BARRIO SAN MARTIN - ESTACION PATAGONIA</v>
          </cell>
          <cell r="E21">
            <v>132</v>
          </cell>
          <cell r="F21">
            <v>9.4</v>
          </cell>
        </row>
        <row r="22">
          <cell r="C22">
            <v>6</v>
          </cell>
          <cell r="D22" t="str">
            <v>COMODORO RIVADAVIA - E.T. A1</v>
          </cell>
          <cell r="E22">
            <v>132</v>
          </cell>
          <cell r="F22">
            <v>0.5</v>
          </cell>
        </row>
        <row r="23">
          <cell r="C23">
            <v>7</v>
          </cell>
          <cell r="D23" t="str">
            <v>COMODORO RIVADAVIA (A1) - ESTACION PATAGONIA</v>
          </cell>
          <cell r="E23">
            <v>132</v>
          </cell>
          <cell r="F23">
            <v>6.9</v>
          </cell>
        </row>
        <row r="24">
          <cell r="C24">
            <v>8</v>
          </cell>
          <cell r="D24" t="str">
            <v>COMODORO RIVADAVIA - PICO TRUNCADO</v>
          </cell>
          <cell r="E24">
            <v>132</v>
          </cell>
          <cell r="F24">
            <v>138</v>
          </cell>
          <cell r="HX24">
            <v>1</v>
          </cell>
        </row>
        <row r="25">
          <cell r="C25">
            <v>9</v>
          </cell>
          <cell r="D25" t="str">
            <v>FUTALEUFÚ - PUERTO MADRYN 1</v>
          </cell>
          <cell r="E25">
            <v>330</v>
          </cell>
          <cell r="F25">
            <v>550</v>
          </cell>
          <cell r="HW25">
            <v>1</v>
          </cell>
        </row>
        <row r="26">
          <cell r="C26">
            <v>10</v>
          </cell>
          <cell r="D26" t="str">
            <v>FUTALEUFÚ - PUERTO MADRYN 2</v>
          </cell>
          <cell r="E26">
            <v>330</v>
          </cell>
          <cell r="F26">
            <v>550</v>
          </cell>
        </row>
        <row r="27">
          <cell r="C27">
            <v>11</v>
          </cell>
          <cell r="D27" t="str">
            <v>PLANTA ALUMINIO APPA - PUERTO MADRYN 1</v>
          </cell>
          <cell r="E27">
            <v>330</v>
          </cell>
          <cell r="F27">
            <v>5.5</v>
          </cell>
          <cell r="HQ27">
            <v>1</v>
          </cell>
        </row>
        <row r="28">
          <cell r="C28">
            <v>12</v>
          </cell>
          <cell r="D28" t="str">
            <v>PLANTA ALUMINIO APPA - PUERTO MADRYN 2</v>
          </cell>
          <cell r="E28">
            <v>330</v>
          </cell>
          <cell r="F28">
            <v>5.5</v>
          </cell>
        </row>
        <row r="29">
          <cell r="C29">
            <v>13</v>
          </cell>
          <cell r="D29" t="str">
            <v>PICO TRUNCADO I - PICO TRUNCADO II</v>
          </cell>
          <cell r="E29">
            <v>132</v>
          </cell>
          <cell r="F29">
            <v>13.4</v>
          </cell>
        </row>
        <row r="30">
          <cell r="C30">
            <v>14</v>
          </cell>
          <cell r="D30" t="str">
            <v>PLANTA ALUMINIO DGPA - PTO MADRYN</v>
          </cell>
          <cell r="E30">
            <v>132</v>
          </cell>
          <cell r="F30">
            <v>5.7</v>
          </cell>
          <cell r="HO30">
            <v>1</v>
          </cell>
        </row>
        <row r="31">
          <cell r="C31">
            <v>15</v>
          </cell>
          <cell r="D31" t="str">
            <v>PLANTA ALUMINIO DGPA - SS.AA. PTO MADRYN</v>
          </cell>
          <cell r="E31">
            <v>33</v>
          </cell>
          <cell r="F31">
            <v>6</v>
          </cell>
          <cell r="HN31" t="str">
            <v>XXXX</v>
          </cell>
          <cell r="HO31" t="str">
            <v>XXXX</v>
          </cell>
          <cell r="HP31" t="str">
            <v>XXXX</v>
          </cell>
          <cell r="HQ31" t="str">
            <v>XXXX</v>
          </cell>
          <cell r="HR31" t="str">
            <v>XXXX</v>
          </cell>
          <cell r="HS31" t="str">
            <v>XXXX</v>
          </cell>
          <cell r="HT31" t="str">
            <v>XXXX</v>
          </cell>
          <cell r="HU31" t="str">
            <v>XXXX</v>
          </cell>
          <cell r="HV31" t="str">
            <v>XXXX</v>
          </cell>
          <cell r="HW31" t="str">
            <v>XXXX</v>
          </cell>
          <cell r="HX31" t="str">
            <v>XXXX</v>
          </cell>
          <cell r="HY31" t="str">
            <v>XXXX</v>
          </cell>
        </row>
        <row r="32">
          <cell r="C32">
            <v>16</v>
          </cell>
          <cell r="D32" t="str">
            <v>PLANTA ALUMINIO DGPA - TRELEW</v>
          </cell>
          <cell r="E32">
            <v>132</v>
          </cell>
          <cell r="F32">
            <v>62</v>
          </cell>
          <cell r="HT32">
            <v>1</v>
          </cell>
        </row>
        <row r="33">
          <cell r="C33">
            <v>17</v>
          </cell>
          <cell r="D33" t="str">
            <v>PUERTO MADRYN - SIERRA GRANDE</v>
          </cell>
          <cell r="E33">
            <v>132</v>
          </cell>
          <cell r="F33">
            <v>121.5</v>
          </cell>
          <cell r="HO33">
            <v>1</v>
          </cell>
          <cell r="HQ33">
            <v>1</v>
          </cell>
        </row>
        <row r="34">
          <cell r="C34">
            <v>18</v>
          </cell>
          <cell r="D34" t="str">
            <v>BARRIO SAN MARTIN - A CONEXION "T"</v>
          </cell>
          <cell r="E34">
            <v>132</v>
          </cell>
          <cell r="F34">
            <v>7.5</v>
          </cell>
          <cell r="HN34" t="str">
            <v>XXXX</v>
          </cell>
          <cell r="HO34" t="str">
            <v>XXXX</v>
          </cell>
          <cell r="HP34" t="str">
            <v>XXXX</v>
          </cell>
          <cell r="HQ34" t="str">
            <v>XXXX</v>
          </cell>
          <cell r="HR34" t="str">
            <v>XXXX</v>
          </cell>
          <cell r="HS34" t="str">
            <v>XXXX</v>
          </cell>
          <cell r="HT34" t="str">
            <v>XXXX</v>
          </cell>
          <cell r="HU34" t="str">
            <v>XXXX</v>
          </cell>
          <cell r="HV34" t="str">
            <v>XXXX</v>
          </cell>
          <cell r="HW34" t="str">
            <v>XXXX</v>
          </cell>
          <cell r="HX34" t="str">
            <v>XXXX</v>
          </cell>
          <cell r="HY34" t="str">
            <v>XXXX</v>
          </cell>
        </row>
        <row r="35">
          <cell r="C35">
            <v>19</v>
          </cell>
          <cell r="D35" t="str">
            <v>PICO TRUNCADO I - LAS HERAS</v>
          </cell>
          <cell r="E35">
            <v>132</v>
          </cell>
          <cell r="F35">
            <v>82.5</v>
          </cell>
          <cell r="HN35" t="str">
            <v>XXXX</v>
          </cell>
          <cell r="HO35" t="str">
            <v>XXXX</v>
          </cell>
          <cell r="HP35" t="str">
            <v>XXXX</v>
          </cell>
          <cell r="HQ35" t="str">
            <v>XXXX</v>
          </cell>
          <cell r="HR35" t="str">
            <v>XXXX</v>
          </cell>
          <cell r="HS35" t="str">
            <v>XXXX</v>
          </cell>
          <cell r="HT35" t="str">
            <v>XXXX</v>
          </cell>
          <cell r="HU35" t="str">
            <v>XXXX</v>
          </cell>
          <cell r="HV35" t="str">
            <v>XXXX</v>
          </cell>
          <cell r="HW35" t="str">
            <v>XXXX</v>
          </cell>
          <cell r="HX35" t="str">
            <v>XXXX</v>
          </cell>
          <cell r="HY35" t="str">
            <v>XXXX</v>
          </cell>
        </row>
        <row r="36">
          <cell r="C36">
            <v>20</v>
          </cell>
          <cell r="D36" t="str">
            <v>LAS HERAS - LOS PERALES</v>
          </cell>
          <cell r="E36">
            <v>132</v>
          </cell>
          <cell r="F36">
            <v>47</v>
          </cell>
        </row>
        <row r="37">
          <cell r="C37">
            <v>21</v>
          </cell>
          <cell r="D37" t="str">
            <v>N. P. MADRYN - P. MADRYN 330 kV</v>
          </cell>
          <cell r="E37">
            <v>330</v>
          </cell>
          <cell r="F37">
            <v>0.47</v>
          </cell>
        </row>
        <row r="38">
          <cell r="C38">
            <v>31</v>
          </cell>
          <cell r="D38" t="str">
            <v>LAS HERAS - MINA SAN JOSE</v>
          </cell>
          <cell r="E38">
            <v>132</v>
          </cell>
          <cell r="F38">
            <v>128</v>
          </cell>
        </row>
        <row r="39">
          <cell r="C39">
            <v>27</v>
          </cell>
          <cell r="D39" t="str">
            <v>PAMPA DEL CASTILLO - EL TORDILLO</v>
          </cell>
          <cell r="E39">
            <v>132</v>
          </cell>
          <cell r="F39">
            <v>8.9</v>
          </cell>
        </row>
        <row r="40">
          <cell r="C40">
            <v>28</v>
          </cell>
          <cell r="D40" t="str">
            <v>PLANTA ALUMINIO APPA - PUERTO MADRYN 3</v>
          </cell>
          <cell r="E40">
            <v>330</v>
          </cell>
          <cell r="F40">
            <v>4.9</v>
          </cell>
        </row>
        <row r="41">
          <cell r="C41">
            <v>30</v>
          </cell>
          <cell r="D41" t="str">
            <v>TRELEW - RAWSON</v>
          </cell>
          <cell r="E41">
            <v>132</v>
          </cell>
          <cell r="F41">
            <v>21.8</v>
          </cell>
          <cell r="HR41">
            <v>1</v>
          </cell>
        </row>
        <row r="42">
          <cell r="C42">
            <v>37</v>
          </cell>
          <cell r="D42" t="str">
            <v>PICO TRUNCADO 1 - SANTA CRUZ NORTE     1</v>
          </cell>
          <cell r="E42">
            <v>132</v>
          </cell>
          <cell r="F42">
            <v>2.5</v>
          </cell>
          <cell r="HP42">
            <v>1</v>
          </cell>
        </row>
        <row r="43">
          <cell r="C43">
            <v>38</v>
          </cell>
          <cell r="D43" t="str">
            <v>PICO TRUNCADO 1 - SANTA CRUZ NORTE     2</v>
          </cell>
          <cell r="E43">
            <v>132</v>
          </cell>
          <cell r="F43">
            <v>2.5</v>
          </cell>
        </row>
        <row r="44">
          <cell r="C44">
            <v>39</v>
          </cell>
          <cell r="D44" t="str">
            <v>LAS HERAS - SANTA CRUZ NORTE</v>
          </cell>
          <cell r="E44">
            <v>132</v>
          </cell>
          <cell r="F44">
            <v>80</v>
          </cell>
        </row>
        <row r="45">
          <cell r="C45">
            <v>40</v>
          </cell>
          <cell r="D45" t="str">
            <v>RAWSON-RAWSONG1 </v>
          </cell>
          <cell r="E45">
            <v>132</v>
          </cell>
          <cell r="F45">
            <v>7.2</v>
          </cell>
        </row>
        <row r="47">
          <cell r="C47">
            <v>19</v>
          </cell>
          <cell r="D47" t="str">
            <v>PUNTA COLORADA - SIERRA GRANDE</v>
          </cell>
          <cell r="E47">
            <v>132</v>
          </cell>
          <cell r="F47">
            <v>31</v>
          </cell>
        </row>
        <row r="48">
          <cell r="C48">
            <v>20</v>
          </cell>
          <cell r="D48" t="str">
            <v>CARMEN DE PATAGONES - VIEDMA</v>
          </cell>
          <cell r="E48">
            <v>132</v>
          </cell>
          <cell r="F48">
            <v>7</v>
          </cell>
          <cell r="HN48" t="str">
            <v>XXXX</v>
          </cell>
          <cell r="HO48" t="str">
            <v>XXXX</v>
          </cell>
          <cell r="HP48" t="str">
            <v>XXXX</v>
          </cell>
          <cell r="HQ48" t="str">
            <v>XXXX</v>
          </cell>
          <cell r="HR48" t="str">
            <v>XXXX</v>
          </cell>
          <cell r="HS48" t="str">
            <v>XXXX</v>
          </cell>
          <cell r="HT48" t="str">
            <v>XXXX</v>
          </cell>
          <cell r="HU48" t="str">
            <v>XXXX</v>
          </cell>
          <cell r="HV48" t="str">
            <v>XXXX</v>
          </cell>
          <cell r="HW48" t="str">
            <v>XXXX</v>
          </cell>
          <cell r="HX48" t="str">
            <v>XXXX</v>
          </cell>
          <cell r="HY48" t="str">
            <v>XXXX</v>
          </cell>
        </row>
        <row r="49">
          <cell r="D49" t="str">
            <v>CARMEN DE PATAGONES - VIEDMA</v>
          </cell>
          <cell r="E49">
            <v>132</v>
          </cell>
          <cell r="F49">
            <v>4.4</v>
          </cell>
        </row>
        <row r="50">
          <cell r="C50">
            <v>21</v>
          </cell>
          <cell r="D50" t="str">
            <v>SAN ANTONIO OESTE - SIERRA GRANDE</v>
          </cell>
          <cell r="E50">
            <v>132</v>
          </cell>
          <cell r="F50">
            <v>110.3</v>
          </cell>
        </row>
        <row r="51">
          <cell r="C51">
            <v>22</v>
          </cell>
          <cell r="D51" t="str">
            <v>SAN ANTONIO OESTE -VIEDMA-SAN ANTONIO ESTE</v>
          </cell>
          <cell r="E51">
            <v>132</v>
          </cell>
          <cell r="F51">
            <v>185.6</v>
          </cell>
          <cell r="HN51">
            <v>2</v>
          </cell>
          <cell r="HQ51">
            <v>2</v>
          </cell>
          <cell r="HS51">
            <v>1</v>
          </cell>
        </row>
        <row r="52">
          <cell r="C52">
            <v>32</v>
          </cell>
          <cell r="D52" t="str">
            <v>SAN ANTONIO ESTE - VIEDMA</v>
          </cell>
          <cell r="E52">
            <v>132</v>
          </cell>
          <cell r="F52">
            <v>162.6</v>
          </cell>
          <cell r="HN52" t="str">
            <v>XXXX</v>
          </cell>
          <cell r="HO52" t="str">
            <v>XXXX</v>
          </cell>
          <cell r="HP52" t="str">
            <v>XXXX</v>
          </cell>
          <cell r="HQ52" t="str">
            <v>XXXX</v>
          </cell>
          <cell r="HR52" t="str">
            <v>XXXX</v>
          </cell>
          <cell r="HS52" t="str">
            <v>XXXX</v>
          </cell>
          <cell r="HT52" t="str">
            <v>XXXX</v>
          </cell>
          <cell r="HU52" t="str">
            <v>XXXX</v>
          </cell>
          <cell r="HV52" t="str">
            <v>XXXX</v>
          </cell>
          <cell r="HW52" t="str">
            <v>XXXX</v>
          </cell>
          <cell r="HX52" t="str">
            <v>XXXX</v>
          </cell>
          <cell r="HY52" t="str">
            <v>XXXX</v>
          </cell>
        </row>
        <row r="54">
          <cell r="C54">
            <v>23</v>
          </cell>
          <cell r="D54" t="str">
            <v>PICO TRUNCADO I - PUERTO DESEADO</v>
          </cell>
          <cell r="E54">
            <v>132</v>
          </cell>
          <cell r="F54">
            <v>209</v>
          </cell>
          <cell r="HN54" t="str">
            <v>XXXX</v>
          </cell>
          <cell r="HO54" t="str">
            <v>XXXX</v>
          </cell>
          <cell r="HP54" t="str">
            <v>XXXX</v>
          </cell>
          <cell r="HQ54" t="str">
            <v>XXXX</v>
          </cell>
          <cell r="HR54" t="str">
            <v>XXXX</v>
          </cell>
          <cell r="HS54" t="str">
            <v>XXXX</v>
          </cell>
          <cell r="HT54" t="str">
            <v>XXXX</v>
          </cell>
          <cell r="HU54" t="str">
            <v>XXXX</v>
          </cell>
          <cell r="HV54" t="str">
            <v>XXXX</v>
          </cell>
          <cell r="HW54" t="str">
            <v>XXXX</v>
          </cell>
          <cell r="HX54" t="str">
            <v>XXXX</v>
          </cell>
          <cell r="HY54" t="str">
            <v>XXXX</v>
          </cell>
        </row>
        <row r="55">
          <cell r="C55">
            <v>35</v>
          </cell>
          <cell r="D55" t="str">
            <v>PICO TRUNCADO I - PTQ C.RIVADAVIA</v>
          </cell>
          <cell r="E55">
            <v>132</v>
          </cell>
          <cell r="F55">
            <v>1.5</v>
          </cell>
        </row>
        <row r="56">
          <cell r="C56">
            <v>36</v>
          </cell>
          <cell r="D56" t="str">
            <v>PTQ C.RIVADAVIA - P.DESEADO</v>
          </cell>
          <cell r="E56">
            <v>132</v>
          </cell>
          <cell r="F56">
            <v>207.5</v>
          </cell>
          <cell r="HT56">
            <v>2</v>
          </cell>
        </row>
        <row r="58">
          <cell r="C58">
            <v>24</v>
          </cell>
          <cell r="D58" t="str">
            <v>E.T. PATAGONIA - PAMPA DEL CASTILLO</v>
          </cell>
          <cell r="E58">
            <v>132</v>
          </cell>
          <cell r="F58">
            <v>42.6</v>
          </cell>
          <cell r="HN58" t="str">
            <v>XXXX</v>
          </cell>
          <cell r="HO58" t="str">
            <v>XXXX</v>
          </cell>
          <cell r="HP58" t="str">
            <v>XXXX</v>
          </cell>
          <cell r="HQ58" t="str">
            <v>XXXX</v>
          </cell>
          <cell r="HR58" t="str">
            <v>XXXX</v>
          </cell>
          <cell r="HS58" t="str">
            <v>XXXX</v>
          </cell>
          <cell r="HT58" t="str">
            <v>XXXX</v>
          </cell>
          <cell r="HU58" t="str">
            <v>XXXX</v>
          </cell>
          <cell r="HV58" t="str">
            <v>XXXX</v>
          </cell>
          <cell r="HW58" t="str">
            <v>XXXX</v>
          </cell>
          <cell r="HX58" t="str">
            <v>XXXX</v>
          </cell>
          <cell r="HY58" t="str">
            <v>XXXX</v>
          </cell>
        </row>
        <row r="59">
          <cell r="C59">
            <v>25</v>
          </cell>
          <cell r="D59" t="str">
            <v>PAMPA DEL CASTILLO - VALLE HERMOSO</v>
          </cell>
          <cell r="E59">
            <v>132</v>
          </cell>
          <cell r="F59">
            <v>33.6</v>
          </cell>
          <cell r="HW59">
            <v>1</v>
          </cell>
        </row>
        <row r="60">
          <cell r="C60">
            <v>26</v>
          </cell>
          <cell r="D60" t="str">
            <v>VALLE HERMOSO - CERRO NEGRO</v>
          </cell>
          <cell r="E60">
            <v>132</v>
          </cell>
          <cell r="F60">
            <v>41</v>
          </cell>
        </row>
        <row r="61">
          <cell r="C61">
            <v>33</v>
          </cell>
          <cell r="D61" t="str">
            <v>E.T. PATAGONIA - DIADEMA</v>
          </cell>
          <cell r="E61">
            <v>132</v>
          </cell>
          <cell r="F61">
            <v>15</v>
          </cell>
        </row>
        <row r="62">
          <cell r="C62">
            <v>34</v>
          </cell>
          <cell r="D62" t="str">
            <v>DIADEMA - PAMAPA DEL CASTILLO</v>
          </cell>
          <cell r="E62">
            <v>132</v>
          </cell>
          <cell r="F62">
            <v>27.6</v>
          </cell>
          <cell r="HN62">
            <v>1</v>
          </cell>
          <cell r="HW62">
            <v>1</v>
          </cell>
        </row>
        <row r="63">
          <cell r="C63">
            <v>29</v>
          </cell>
          <cell r="D63" t="str">
            <v>ESQUEL-EL COHIUE</v>
          </cell>
          <cell r="E63">
            <v>132</v>
          </cell>
          <cell r="F63">
            <v>127.98</v>
          </cell>
          <cell r="HV63">
            <v>1</v>
          </cell>
          <cell r="HX63">
            <v>1</v>
          </cell>
        </row>
        <row r="73">
          <cell r="HN73">
            <v>1.13</v>
          </cell>
          <cell r="HO73">
            <v>1.07</v>
          </cell>
          <cell r="HP73">
            <v>1</v>
          </cell>
          <cell r="HQ73">
            <v>0.87</v>
          </cell>
          <cell r="HR73">
            <v>0.83</v>
          </cell>
          <cell r="HS73">
            <v>0.77</v>
          </cell>
          <cell r="HT73">
            <v>0.73</v>
          </cell>
          <cell r="HU73">
            <v>0.9</v>
          </cell>
          <cell r="HV73">
            <v>0.83</v>
          </cell>
          <cell r="HW73">
            <v>0.8</v>
          </cell>
          <cell r="HX73">
            <v>0.9</v>
          </cell>
          <cell r="HY73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6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10" customWidth="1"/>
    <col min="2" max="2" width="7.7109375" style="10" customWidth="1"/>
    <col min="3" max="3" width="9.8515625" style="10" customWidth="1"/>
    <col min="4" max="4" width="10.7109375" style="10" customWidth="1"/>
    <col min="5" max="5" width="10.57421875" style="10" customWidth="1"/>
    <col min="6" max="6" width="15.7109375" style="10" customWidth="1"/>
    <col min="7" max="7" width="24.28125" style="10" customWidth="1"/>
    <col min="8" max="8" width="11.00390625" style="10" customWidth="1"/>
    <col min="9" max="9" width="15.7109375" style="10" customWidth="1"/>
    <col min="10" max="10" width="15.00390625" style="10" customWidth="1"/>
    <col min="11" max="11" width="15.7109375" style="10" customWidth="1"/>
    <col min="12" max="13" width="11.421875" style="10" customWidth="1"/>
    <col min="14" max="14" width="14.140625" style="10" customWidth="1"/>
    <col min="15" max="15" width="11.421875" style="10" customWidth="1"/>
    <col min="16" max="16" width="14.7109375" style="10" customWidth="1"/>
    <col min="17" max="17" width="11.421875" style="10" customWidth="1"/>
    <col min="18" max="18" width="12.00390625" style="10" customWidth="1"/>
    <col min="19" max="16384" width="11.421875" style="10" customWidth="1"/>
  </cols>
  <sheetData>
    <row r="1" spans="2:11" s="100" customFormat="1" ht="26.25">
      <c r="B1" s="101"/>
      <c r="K1" s="311"/>
    </row>
    <row r="2" spans="2:10" s="100" customFormat="1" ht="26.25">
      <c r="B2" s="101" t="s">
        <v>155</v>
      </c>
      <c r="C2" s="626"/>
      <c r="D2" s="102"/>
      <c r="E2" s="102"/>
      <c r="F2" s="102"/>
      <c r="G2" s="102"/>
      <c r="H2" s="102"/>
      <c r="I2" s="102"/>
      <c r="J2" s="102"/>
    </row>
    <row r="3" spans="3:19" ht="12.75">
      <c r="C3"/>
      <c r="D3" s="22"/>
      <c r="E3" s="22"/>
      <c r="F3" s="22"/>
      <c r="G3" s="22"/>
      <c r="H3" s="22"/>
      <c r="I3" s="22"/>
      <c r="J3" s="22"/>
      <c r="P3" s="8"/>
      <c r="Q3" s="8"/>
      <c r="R3" s="8"/>
      <c r="S3" s="8"/>
    </row>
    <row r="4" spans="1:19" s="103" customFormat="1" ht="11.25">
      <c r="A4" s="118" t="s">
        <v>16</v>
      </c>
      <c r="B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</row>
    <row r="5" spans="1:19" s="103" customFormat="1" ht="11.25">
      <c r="A5" s="118" t="s">
        <v>17</v>
      </c>
      <c r="B5" s="119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</row>
    <row r="6" spans="2:19" s="100" customFormat="1" ht="26.25">
      <c r="B6" s="121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2:19" s="105" customFormat="1" ht="21">
      <c r="B7" s="157" t="s">
        <v>0</v>
      </c>
      <c r="C7" s="627"/>
      <c r="D7" s="123"/>
      <c r="E7" s="123"/>
      <c r="F7" s="124"/>
      <c r="G7" s="124"/>
      <c r="H7" s="124"/>
      <c r="I7" s="124"/>
      <c r="J7" s="124"/>
      <c r="K7" s="28"/>
      <c r="L7" s="28"/>
      <c r="M7" s="28"/>
      <c r="N7" s="28"/>
      <c r="O7" s="28"/>
      <c r="P7" s="28"/>
      <c r="Q7" s="28"/>
      <c r="R7" s="28"/>
      <c r="S7" s="28"/>
    </row>
    <row r="8" spans="9:19" ht="12.75"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2:19" s="105" customFormat="1" ht="21">
      <c r="B9" s="157" t="s">
        <v>1</v>
      </c>
      <c r="C9" s="627"/>
      <c r="D9" s="123"/>
      <c r="E9" s="123"/>
      <c r="F9" s="123"/>
      <c r="G9" s="123"/>
      <c r="H9" s="123"/>
      <c r="I9" s="124"/>
      <c r="J9" s="124"/>
      <c r="K9" s="28"/>
      <c r="L9" s="28"/>
      <c r="M9" s="28"/>
      <c r="N9" s="28"/>
      <c r="O9" s="28"/>
      <c r="P9" s="28"/>
      <c r="Q9" s="28"/>
      <c r="R9" s="28"/>
      <c r="S9" s="28"/>
    </row>
    <row r="10" spans="4:19" ht="12.75">
      <c r="D10" s="125"/>
      <c r="E10" s="125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s="105" customFormat="1" ht="20.25">
      <c r="B11" s="157" t="s">
        <v>144</v>
      </c>
      <c r="C11" s="65"/>
      <c r="D11" s="23"/>
      <c r="E11" s="23"/>
      <c r="F11" s="123"/>
      <c r="G11" s="123"/>
      <c r="H11" s="123"/>
      <c r="I11" s="124"/>
      <c r="J11" s="124"/>
      <c r="K11" s="28"/>
      <c r="L11" s="28"/>
      <c r="M11" s="28"/>
      <c r="N11" s="28"/>
      <c r="O11" s="28"/>
      <c r="P11" s="28"/>
      <c r="Q11" s="28"/>
      <c r="R11" s="28"/>
      <c r="S11" s="28"/>
    </row>
    <row r="12" spans="4:19" s="126" customFormat="1" ht="16.5" thickBot="1">
      <c r="D12" s="7"/>
      <c r="E12" s="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</row>
    <row r="13" spans="2:19" s="126" customFormat="1" ht="16.5" thickTop="1">
      <c r="B13" s="280">
        <v>1</v>
      </c>
      <c r="C13" s="308"/>
      <c r="D13" s="128"/>
      <c r="E13" s="128"/>
      <c r="F13" s="128"/>
      <c r="G13" s="128"/>
      <c r="H13" s="128"/>
      <c r="I13" s="128"/>
      <c r="J13" s="129"/>
      <c r="K13" s="127"/>
      <c r="L13" s="127"/>
      <c r="M13" s="127"/>
      <c r="N13" s="127"/>
      <c r="O13" s="127"/>
      <c r="P13" s="127"/>
      <c r="Q13" s="127"/>
      <c r="R13" s="127"/>
      <c r="S13" s="127"/>
    </row>
    <row r="14" spans="2:19" s="112" customFormat="1" ht="19.5">
      <c r="B14" s="184" t="s">
        <v>113</v>
      </c>
      <c r="C14" s="130"/>
      <c r="D14" s="131"/>
      <c r="E14" s="132"/>
      <c r="F14" s="132"/>
      <c r="G14" s="132"/>
      <c r="H14" s="132"/>
      <c r="I14" s="108"/>
      <c r="J14" s="111"/>
      <c r="K14" s="30"/>
      <c r="L14" s="30"/>
      <c r="M14" s="30"/>
      <c r="N14" s="30"/>
      <c r="O14" s="30"/>
      <c r="P14" s="30"/>
      <c r="Q14" s="30"/>
      <c r="R14" s="30"/>
      <c r="S14" s="30"/>
    </row>
    <row r="15" spans="2:19" s="112" customFormat="1" ht="9" customHeight="1">
      <c r="B15" s="133"/>
      <c r="C15" s="134"/>
      <c r="D15" s="134"/>
      <c r="E15" s="30"/>
      <c r="F15" s="135"/>
      <c r="G15" s="135"/>
      <c r="H15" s="135"/>
      <c r="I15" s="30"/>
      <c r="J15" s="136"/>
      <c r="K15" s="30"/>
      <c r="L15" s="30"/>
      <c r="M15" s="30"/>
      <c r="N15" s="30"/>
      <c r="O15" s="30"/>
      <c r="P15" s="30"/>
      <c r="Q15" s="30"/>
      <c r="R15" s="30"/>
      <c r="S15" s="30"/>
    </row>
    <row r="16" spans="2:18" s="112" customFormat="1" ht="9" customHeight="1">
      <c r="B16" s="184">
        <f>IF(B13=2,"Sanciones duplicadas por tasa de falla &gt; 4 Sal. x año/100km.","")</f>
      </c>
      <c r="C16" s="187"/>
      <c r="D16" s="187"/>
      <c r="E16" s="108"/>
      <c r="F16" s="132"/>
      <c r="G16" s="132"/>
      <c r="H16" s="108"/>
      <c r="I16" s="65"/>
      <c r="J16" s="111"/>
      <c r="K16" s="30"/>
      <c r="L16" s="30"/>
      <c r="M16" s="30"/>
      <c r="N16" s="30"/>
      <c r="O16" s="30"/>
      <c r="P16" s="30"/>
      <c r="Q16" s="30"/>
      <c r="R16" s="30"/>
    </row>
    <row r="17" spans="2:18" s="112" customFormat="1" ht="9" customHeight="1">
      <c r="B17" s="133"/>
      <c r="C17" s="134"/>
      <c r="D17" s="134"/>
      <c r="E17" s="30"/>
      <c r="F17" s="135"/>
      <c r="G17" s="135"/>
      <c r="H17" s="30"/>
      <c r="I17"/>
      <c r="J17" s="136"/>
      <c r="K17" s="30"/>
      <c r="L17" s="30"/>
      <c r="M17" s="30"/>
      <c r="N17" s="30"/>
      <c r="O17" s="30"/>
      <c r="P17" s="30"/>
      <c r="Q17" s="30"/>
      <c r="R17" s="30"/>
    </row>
    <row r="18" spans="2:19" s="112" customFormat="1" ht="19.5">
      <c r="B18" s="133"/>
      <c r="C18" s="137" t="s">
        <v>18</v>
      </c>
      <c r="D18" s="138" t="s">
        <v>19</v>
      </c>
      <c r="E18" s="30"/>
      <c r="F18" s="135"/>
      <c r="G18" s="135"/>
      <c r="H18" s="135"/>
      <c r="I18" s="29"/>
      <c r="J18" s="136"/>
      <c r="K18" s="30"/>
      <c r="L18" s="30"/>
      <c r="M18" s="30"/>
      <c r="N18" s="30"/>
      <c r="O18" s="30"/>
      <c r="P18" s="30"/>
      <c r="Q18" s="30"/>
      <c r="R18" s="30"/>
      <c r="S18" s="30"/>
    </row>
    <row r="19" spans="2:19" s="112" customFormat="1" ht="19.5">
      <c r="B19" s="133"/>
      <c r="C19"/>
      <c r="D19" s="137" t="s">
        <v>20</v>
      </c>
      <c r="E19" s="138" t="s">
        <v>21</v>
      </c>
      <c r="F19" s="135"/>
      <c r="G19" s="135"/>
      <c r="H19" s="135"/>
      <c r="I19" s="29">
        <f>'LI-10 (1)'!AA43</f>
        <v>667.8</v>
      </c>
      <c r="J19" s="136"/>
      <c r="K19" s="30"/>
      <c r="L19" s="30"/>
      <c r="M19" s="30"/>
      <c r="N19" s="30"/>
      <c r="O19" s="30"/>
      <c r="P19" s="30"/>
      <c r="Q19" s="30"/>
      <c r="R19" s="30"/>
      <c r="S19" s="30"/>
    </row>
    <row r="20" spans="2:19" s="112" customFormat="1" ht="19.5">
      <c r="B20" s="133"/>
      <c r="C20" s="137"/>
      <c r="D20" s="137" t="s">
        <v>22</v>
      </c>
      <c r="E20" s="138" t="s">
        <v>23</v>
      </c>
      <c r="F20" s="135"/>
      <c r="G20" s="135"/>
      <c r="H20" s="135"/>
      <c r="I20" s="29">
        <f>'LI-EDERSA-10 (1)'!AA43</f>
        <v>624.46</v>
      </c>
      <c r="J20" s="136"/>
      <c r="K20" s="30"/>
      <c r="L20" s="30"/>
      <c r="M20" s="30"/>
      <c r="N20" s="30"/>
      <c r="O20" s="30"/>
      <c r="P20" s="30"/>
      <c r="Q20" s="30"/>
      <c r="R20" s="30"/>
      <c r="S20" s="30"/>
    </row>
    <row r="21" spans="2:19" ht="13.5">
      <c r="B21" s="27"/>
      <c r="C21" s="139"/>
      <c r="D21" s="140"/>
      <c r="E21" s="8"/>
      <c r="F21" s="141"/>
      <c r="G21" s="141"/>
      <c r="H21" s="141"/>
      <c r="I21" s="142"/>
      <c r="J21" s="11"/>
      <c r="K21" s="8"/>
      <c r="L21" s="8"/>
      <c r="M21" s="8"/>
      <c r="N21" s="8"/>
      <c r="O21" s="8"/>
      <c r="P21" s="8"/>
      <c r="Q21" s="8"/>
      <c r="R21" s="8"/>
      <c r="S21" s="8"/>
    </row>
    <row r="22" spans="2:19" ht="18.75">
      <c r="B22" s="133"/>
      <c r="C22" s="134" t="s">
        <v>24</v>
      </c>
      <c r="D22" s="494" t="s">
        <v>129</v>
      </c>
      <c r="E22" s="30"/>
      <c r="F22" s="141"/>
      <c r="G22" s="141"/>
      <c r="H22" s="141"/>
      <c r="I22" s="142"/>
      <c r="J22" s="11"/>
      <c r="K22" s="8"/>
      <c r="L22" s="8"/>
      <c r="M22" s="8"/>
      <c r="N22" s="8"/>
      <c r="O22" s="8"/>
      <c r="P22" s="8"/>
      <c r="Q22" s="8"/>
      <c r="R22" s="8"/>
      <c r="S22" s="8"/>
    </row>
    <row r="23" spans="2:19" ht="13.5">
      <c r="B23" s="27"/>
      <c r="C23" s="139"/>
      <c r="D23" s="140"/>
      <c r="E23" s="8"/>
      <c r="F23" s="141"/>
      <c r="G23" s="141"/>
      <c r="H23" s="141"/>
      <c r="I23" s="142"/>
      <c r="J23" s="11"/>
      <c r="K23" s="8"/>
      <c r="L23" s="8"/>
      <c r="M23" s="8"/>
      <c r="N23" s="8"/>
      <c r="O23" s="8"/>
      <c r="P23" s="8"/>
      <c r="Q23" s="8"/>
      <c r="R23" s="8"/>
      <c r="S23" s="8"/>
    </row>
    <row r="24" spans="2:19" ht="19.5">
      <c r="B24" s="133"/>
      <c r="C24" s="134"/>
      <c r="D24" s="134" t="s">
        <v>130</v>
      </c>
      <c r="E24" s="9" t="s">
        <v>131</v>
      </c>
      <c r="F24" s="135"/>
      <c r="G24" s="141"/>
      <c r="H24" s="141"/>
      <c r="I24" s="142"/>
      <c r="J24" s="11"/>
      <c r="K24" s="8"/>
      <c r="L24" s="8"/>
      <c r="M24" s="8"/>
      <c r="N24" s="8"/>
      <c r="O24" s="8"/>
      <c r="P24" s="8"/>
      <c r="Q24" s="8"/>
      <c r="R24" s="8"/>
      <c r="S24" s="8"/>
    </row>
    <row r="25" spans="2:19" ht="18.75">
      <c r="B25" s="133"/>
      <c r="C25" s="134"/>
      <c r="D25" s="134"/>
      <c r="E25" s="134" t="s">
        <v>132</v>
      </c>
      <c r="F25" s="494" t="s">
        <v>23</v>
      </c>
      <c r="G25" s="141"/>
      <c r="H25" s="141"/>
      <c r="I25" s="29">
        <f>'SA-EDERSA-10 (1)'!V45</f>
        <v>40.97255</v>
      </c>
      <c r="J25" s="11"/>
      <c r="K25" s="8"/>
      <c r="L25" s="8"/>
      <c r="M25" s="8"/>
      <c r="N25" s="8"/>
      <c r="O25" s="8"/>
      <c r="P25" s="8"/>
      <c r="Q25" s="8"/>
      <c r="R25" s="8"/>
      <c r="S25" s="8"/>
    </row>
    <row r="26" spans="2:19" ht="13.5">
      <c r="B26" s="27"/>
      <c r="C26" s="139"/>
      <c r="D26" s="140"/>
      <c r="E26" s="8"/>
      <c r="F26" s="141"/>
      <c r="G26" s="141"/>
      <c r="H26" s="141"/>
      <c r="I26" s="142"/>
      <c r="J26" s="11"/>
      <c r="K26" s="8"/>
      <c r="L26" s="8"/>
      <c r="M26" s="8"/>
      <c r="N26" s="8"/>
      <c r="O26" s="8"/>
      <c r="P26" s="8"/>
      <c r="Q26" s="8"/>
      <c r="R26" s="8"/>
      <c r="S26" s="8"/>
    </row>
    <row r="27" spans="2:19" s="112" customFormat="1" ht="19.5">
      <c r="B27" s="133"/>
      <c r="C27" s="134" t="s">
        <v>25</v>
      </c>
      <c r="D27" s="138" t="s">
        <v>26</v>
      </c>
      <c r="E27" s="30"/>
      <c r="F27" s="135"/>
      <c r="G27" s="135"/>
      <c r="H27" s="135"/>
      <c r="I27" s="29">
        <f>'RE-10 (1)'!V43</f>
        <v>356.22</v>
      </c>
      <c r="J27" s="136"/>
      <c r="K27" s="30"/>
      <c r="L27" s="30"/>
      <c r="M27" s="30"/>
      <c r="N27" s="30"/>
      <c r="O27" s="30"/>
      <c r="P27" s="30"/>
      <c r="Q27" s="30"/>
      <c r="R27" s="30"/>
      <c r="S27" s="30"/>
    </row>
    <row r="28" spans="2:19" s="112" customFormat="1" ht="19.5">
      <c r="B28" s="133"/>
      <c r="C28" s="137"/>
      <c r="D28" s="138"/>
      <c r="E28" s="30"/>
      <c r="F28" s="135"/>
      <c r="G28" s="135"/>
      <c r="H28" s="135"/>
      <c r="I28" s="29"/>
      <c r="J28" s="136"/>
      <c r="K28" s="30"/>
      <c r="L28" s="30"/>
      <c r="M28" s="30"/>
      <c r="N28" s="30"/>
      <c r="O28" s="30"/>
      <c r="P28" s="30"/>
      <c r="Q28" s="30"/>
      <c r="R28" s="30"/>
      <c r="S28" s="30"/>
    </row>
    <row r="29" spans="2:19" s="112" customFormat="1" ht="19.5">
      <c r="B29" s="133"/>
      <c r="C29" s="134" t="s">
        <v>133</v>
      </c>
      <c r="D29" s="9" t="s">
        <v>27</v>
      </c>
      <c r="E29" s="135"/>
      <c r="F29"/>
      <c r="G29" s="135"/>
      <c r="H29" s="135"/>
      <c r="I29" s="29"/>
      <c r="J29" s="136"/>
      <c r="K29" s="30"/>
      <c r="L29" s="30"/>
      <c r="M29" s="30"/>
      <c r="N29" s="30"/>
      <c r="O29" s="30"/>
      <c r="P29" s="30"/>
      <c r="Q29" s="30"/>
      <c r="R29" s="30"/>
      <c r="S29" s="30"/>
    </row>
    <row r="30" spans="2:19" s="112" customFormat="1" ht="19.5">
      <c r="B30" s="133"/>
      <c r="C30" s="137"/>
      <c r="D30" s="134" t="s">
        <v>28</v>
      </c>
      <c r="E30" s="138" t="s">
        <v>23</v>
      </c>
      <c r="F30"/>
      <c r="G30" s="135"/>
      <c r="H30" s="135"/>
      <c r="I30" s="29">
        <f>'SUP-EDERSA'!I57</f>
        <v>166.35813750000003</v>
      </c>
      <c r="J30" s="136"/>
      <c r="K30" s="30"/>
      <c r="L30" s="30"/>
      <c r="M30" s="30"/>
      <c r="N30" s="30"/>
      <c r="O30" s="30"/>
      <c r="P30" s="30"/>
      <c r="Q30" s="30"/>
      <c r="R30" s="30"/>
      <c r="S30" s="30"/>
    </row>
    <row r="31" spans="2:19" s="112" customFormat="1" ht="20.25" thickBot="1">
      <c r="B31" s="133"/>
      <c r="C31" s="134"/>
      <c r="D31" s="134"/>
      <c r="E31" s="30"/>
      <c r="F31" s="135"/>
      <c r="G31" s="135"/>
      <c r="H31" s="135"/>
      <c r="I31" s="30"/>
      <c r="J31" s="136"/>
      <c r="K31" s="30"/>
      <c r="L31" s="30"/>
      <c r="M31" s="30"/>
      <c r="N31" s="30"/>
      <c r="O31" s="30"/>
      <c r="P31" s="30"/>
      <c r="Q31" s="30"/>
      <c r="R31" s="30"/>
      <c r="S31" s="30"/>
    </row>
    <row r="32" spans="2:19" s="112" customFormat="1" ht="20.25" thickBot="1" thickTop="1">
      <c r="B32" s="133"/>
      <c r="C32" s="137"/>
      <c r="D32" s="137"/>
      <c r="F32" s="143" t="s">
        <v>29</v>
      </c>
      <c r="G32" s="144">
        <f>SUM(I18:I30)</f>
        <v>1855.8106875</v>
      </c>
      <c r="H32" s="186"/>
      <c r="J32" s="136"/>
      <c r="K32" s="30"/>
      <c r="L32" s="30"/>
      <c r="M32" s="30"/>
      <c r="N32" s="30"/>
      <c r="O32" s="30"/>
      <c r="P32" s="30"/>
      <c r="Q32" s="30"/>
      <c r="R32" s="30"/>
      <c r="S32" s="30"/>
    </row>
    <row r="33" spans="2:19" s="112" customFormat="1" ht="8.25" customHeight="1" thickTop="1">
      <c r="B33" s="133"/>
      <c r="C33" s="137"/>
      <c r="D33" s="137"/>
      <c r="F33" s="451"/>
      <c r="G33" s="186"/>
      <c r="H33" s="186"/>
      <c r="J33" s="136"/>
      <c r="K33" s="30"/>
      <c r="L33" s="30"/>
      <c r="M33" s="30"/>
      <c r="N33" s="30"/>
      <c r="O33" s="30"/>
      <c r="P33" s="30"/>
      <c r="Q33" s="30"/>
      <c r="R33" s="30"/>
      <c r="S33" s="30"/>
    </row>
    <row r="34" spans="2:19" s="112" customFormat="1" ht="18.75">
      <c r="B34" s="133"/>
      <c r="C34" s="452" t="s">
        <v>127</v>
      </c>
      <c r="D34" s="137"/>
      <c r="F34" s="451"/>
      <c r="G34" s="186"/>
      <c r="H34" s="186"/>
      <c r="J34" s="136"/>
      <c r="K34" s="30"/>
      <c r="L34" s="30"/>
      <c r="M34" s="30"/>
      <c r="N34" s="30"/>
      <c r="O34" s="30"/>
      <c r="P34" s="30"/>
      <c r="Q34" s="30"/>
      <c r="R34" s="30"/>
      <c r="S34" s="30"/>
    </row>
    <row r="35" spans="2:19" s="126" customFormat="1" ht="6.75" customHeight="1" thickBot="1">
      <c r="B35" s="145"/>
      <c r="C35" s="146"/>
      <c r="D35" s="146"/>
      <c r="E35" s="147"/>
      <c r="F35" s="147"/>
      <c r="G35" s="147"/>
      <c r="H35" s="147"/>
      <c r="I35" s="147"/>
      <c r="J35" s="148"/>
      <c r="K35" s="127"/>
      <c r="L35" s="127"/>
      <c r="M35" s="63"/>
      <c r="N35" s="149"/>
      <c r="O35" s="149"/>
      <c r="P35" s="150"/>
      <c r="Q35" s="151"/>
      <c r="R35" s="127"/>
      <c r="S35" s="127"/>
    </row>
    <row r="36" spans="4:19" ht="13.5" thickTop="1">
      <c r="D36" s="8"/>
      <c r="F36" s="8"/>
      <c r="G36" s="8"/>
      <c r="H36" s="8"/>
      <c r="I36" s="8"/>
      <c r="J36" s="8"/>
      <c r="K36" s="8"/>
      <c r="L36" s="8"/>
      <c r="M36" s="19"/>
      <c r="N36" s="152"/>
      <c r="O36" s="152"/>
      <c r="P36" s="8"/>
      <c r="Q36" s="20"/>
      <c r="R36" s="8"/>
      <c r="S36" s="8"/>
    </row>
    <row r="37" spans="4:19" ht="12.75">
      <c r="D37" s="8"/>
      <c r="F37" s="8"/>
      <c r="G37" s="8"/>
      <c r="H37" s="8"/>
      <c r="I37" s="8"/>
      <c r="J37" s="8"/>
      <c r="K37" s="8"/>
      <c r="L37" s="8"/>
      <c r="M37" s="8"/>
      <c r="N37" s="153"/>
      <c r="O37" s="153"/>
      <c r="P37" s="154"/>
      <c r="Q37" s="20"/>
      <c r="R37" s="8"/>
      <c r="S37" s="8"/>
    </row>
    <row r="38" spans="4:19" ht="12.75">
      <c r="D38" s="8"/>
      <c r="E38" s="8"/>
      <c r="F38" s="8"/>
      <c r="G38" s="8"/>
      <c r="H38" s="8"/>
      <c r="I38" s="8"/>
      <c r="J38" s="8"/>
      <c r="K38" s="8"/>
      <c r="L38" s="8"/>
      <c r="M38" s="8"/>
      <c r="N38" s="153"/>
      <c r="O38" s="153"/>
      <c r="P38" s="154"/>
      <c r="Q38" s="20"/>
      <c r="R38" s="8"/>
      <c r="S38" s="8"/>
    </row>
    <row r="39" spans="4:19" ht="12.75">
      <c r="D39" s="8"/>
      <c r="E39" s="8"/>
      <c r="L39" s="8"/>
      <c r="M39" s="8"/>
      <c r="N39" s="8"/>
      <c r="O39" s="8"/>
      <c r="P39" s="8"/>
      <c r="Q39" s="8"/>
      <c r="R39" s="8"/>
      <c r="S39" s="8"/>
    </row>
    <row r="40" spans="4:19" ht="12.75">
      <c r="D40" s="8"/>
      <c r="E40" s="8"/>
      <c r="P40" s="8"/>
      <c r="Q40" s="8"/>
      <c r="R40" s="8"/>
      <c r="S40" s="8"/>
    </row>
    <row r="41" spans="4:19" ht="12.75">
      <c r="D41" s="8"/>
      <c r="E41" s="8"/>
      <c r="P41" s="8"/>
      <c r="Q41" s="8"/>
      <c r="R41" s="8"/>
      <c r="S41" s="8"/>
    </row>
    <row r="42" spans="4:19" ht="12.75">
      <c r="D42" s="8"/>
      <c r="E42" s="8"/>
      <c r="P42" s="8"/>
      <c r="Q42" s="8"/>
      <c r="R42" s="8"/>
      <c r="S42" s="8"/>
    </row>
    <row r="43" spans="4:19" ht="12.75">
      <c r="D43" s="8"/>
      <c r="E43" s="8"/>
      <c r="P43" s="8"/>
      <c r="Q43" s="8"/>
      <c r="R43" s="8"/>
      <c r="S43" s="8"/>
    </row>
    <row r="44" spans="4:19" ht="12.75">
      <c r="D44" s="8"/>
      <c r="E44" s="8"/>
      <c r="P44" s="8"/>
      <c r="Q44" s="8"/>
      <c r="R44" s="8"/>
      <c r="S44" s="8"/>
    </row>
    <row r="45" spans="16:19" ht="12.75">
      <c r="P45" s="8"/>
      <c r="Q45" s="8"/>
      <c r="R45" s="8"/>
      <c r="S45" s="8"/>
    </row>
    <row r="46" spans="16:19" ht="12.75">
      <c r="P46" s="8"/>
      <c r="Q46" s="8"/>
      <c r="R46" s="8"/>
      <c r="S46" s="8"/>
    </row>
  </sheetData>
  <sheetProtection/>
  <printOptions horizontalCentered="1"/>
  <pageMargins left="0.3937007874015748" right="0.1968503937007874" top="0.7874015748031497" bottom="0.7874015748031497" header="0.5118110236220472" footer="0.5118110236220472"/>
  <pageSetup fitToHeight="1" fitToWidth="1" orientation="landscape" paperSize="9" scale="84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A22" sqref="A22:IV24"/>
    </sheetView>
  </sheetViews>
  <sheetFormatPr defaultColWidth="11.421875" defaultRowHeight="12.75"/>
  <cols>
    <col min="1" max="2" width="4.28125" style="0" customWidth="1"/>
    <col min="3" max="3" width="5.421875" style="0" customWidth="1"/>
    <col min="4" max="5" width="13.7109375" style="0" customWidth="1"/>
    <col min="6" max="6" width="45.7109375" style="0" customWidth="1"/>
    <col min="7" max="7" width="9.7109375" style="0" customWidth="1"/>
    <col min="8" max="8" width="9.421875" style="0" customWidth="1"/>
    <col min="9" max="9" width="12.7109375" style="0" hidden="1" customWidth="1"/>
    <col min="10" max="11" width="15.7109375" style="0" customWidth="1"/>
    <col min="12" max="14" width="9.710937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28125" style="0" customWidth="1"/>
  </cols>
  <sheetData>
    <row r="1" s="100" customFormat="1" ht="26.25">
      <c r="AB1" s="311"/>
    </row>
    <row r="2" spans="2:28" s="100" customFormat="1" ht="26.25">
      <c r="B2" s="101" t="str">
        <f>'TOT-1013'!B2</f>
        <v>ANEXO IV al Memorándum  D.T.E.E.  N°      598     / 2014.-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="10" customFormat="1" ht="12.75"/>
    <row r="4" spans="1:3" s="103" customFormat="1" ht="11.25">
      <c r="A4" s="469" t="s">
        <v>16</v>
      </c>
      <c r="C4" s="468"/>
    </row>
    <row r="5" spans="1:3" s="103" customFormat="1" ht="11.25">
      <c r="A5" s="469" t="s">
        <v>110</v>
      </c>
      <c r="C5" s="468"/>
    </row>
    <row r="6" s="10" customFormat="1" ht="13.5" thickBot="1"/>
    <row r="7" spans="1:28" s="10" customFormat="1" ht="13.5" thickTop="1">
      <c r="A7" s="8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1:28" s="105" customFormat="1" ht="20.25">
      <c r="A8" s="28"/>
      <c r="B8" s="104"/>
      <c r="C8" s="28"/>
      <c r="D8" s="28"/>
      <c r="E8" s="28"/>
      <c r="F8" s="17" t="s">
        <v>30</v>
      </c>
      <c r="G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106"/>
    </row>
    <row r="9" spans="1:28" s="10" customFormat="1" ht="12.75">
      <c r="A9" s="8"/>
      <c r="B9" s="27"/>
      <c r="C9" s="8"/>
      <c r="D9" s="8"/>
      <c r="E9" s="8"/>
      <c r="F9" s="117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05" customFormat="1" ht="20.25">
      <c r="A10" s="28"/>
      <c r="B10" s="104"/>
      <c r="C10" s="28"/>
      <c r="D10" s="28"/>
      <c r="E10" s="28"/>
      <c r="F10" s="17" t="s">
        <v>31</v>
      </c>
      <c r="G10" s="17"/>
      <c r="H10" s="28"/>
      <c r="I10" s="107"/>
      <c r="J10" s="107"/>
      <c r="K10" s="107"/>
      <c r="L10" s="107"/>
      <c r="M10" s="107"/>
      <c r="N10" s="107"/>
      <c r="O10" s="10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06"/>
    </row>
    <row r="11" spans="1:28" s="10" customFormat="1" ht="12.75">
      <c r="A11" s="8"/>
      <c r="B11" s="27"/>
      <c r="C11" s="8"/>
      <c r="D11" s="8"/>
      <c r="E11" s="8"/>
      <c r="F11" s="116"/>
      <c r="G11" s="114"/>
      <c r="H11" s="8"/>
      <c r="I11" s="113"/>
      <c r="J11" s="113"/>
      <c r="K11" s="113"/>
      <c r="L11" s="113"/>
      <c r="M11" s="113"/>
      <c r="N11" s="113"/>
      <c r="O11" s="1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05" customFormat="1" ht="20.25">
      <c r="A12" s="28"/>
      <c r="B12" s="104"/>
      <c r="C12" s="28"/>
      <c r="D12" s="28"/>
      <c r="E12" s="28"/>
      <c r="F12" s="17" t="s">
        <v>32</v>
      </c>
      <c r="G12" s="17"/>
      <c r="H12" s="28"/>
      <c r="I12" s="107"/>
      <c r="J12" s="107"/>
      <c r="K12" s="107"/>
      <c r="L12" s="107"/>
      <c r="M12" s="107"/>
      <c r="N12" s="107"/>
      <c r="O12" s="107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106"/>
    </row>
    <row r="13" spans="1:28" s="10" customFormat="1" ht="12.75">
      <c r="A13" s="8"/>
      <c r="B13" s="27"/>
      <c r="C13" s="8"/>
      <c r="D13" s="8"/>
      <c r="E13" s="8"/>
      <c r="F13" s="116"/>
      <c r="G13" s="114"/>
      <c r="H13" s="8"/>
      <c r="I13" s="113"/>
      <c r="J13" s="113"/>
      <c r="K13" s="113"/>
      <c r="L13" s="113"/>
      <c r="M13" s="113"/>
      <c r="N13" s="113"/>
      <c r="O13" s="113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11"/>
    </row>
    <row r="14" spans="1:28" s="112" customFormat="1" ht="19.5">
      <c r="A14" s="30"/>
      <c r="B14" s="79" t="str">
        <f>+'TOT-1013'!B14</f>
        <v>Desde el 01 al 31 de octubre de 2013</v>
      </c>
      <c r="C14" s="108"/>
      <c r="D14" s="108"/>
      <c r="E14" s="108"/>
      <c r="F14" s="108"/>
      <c r="G14" s="109"/>
      <c r="H14" s="109"/>
      <c r="I14" s="110"/>
      <c r="J14" s="110"/>
      <c r="K14" s="110"/>
      <c r="L14" s="110"/>
      <c r="M14" s="110"/>
      <c r="N14" s="110"/>
      <c r="O14" s="110"/>
      <c r="P14" s="108"/>
      <c r="Q14" s="108"/>
      <c r="R14" s="108"/>
      <c r="S14" s="108"/>
      <c r="T14" s="108"/>
      <c r="U14" s="108"/>
      <c r="V14" s="108"/>
      <c r="W14" s="108"/>
      <c r="X14" s="108"/>
      <c r="Y14" s="108"/>
      <c r="Z14" s="108"/>
      <c r="AA14" s="108"/>
      <c r="AB14" s="111"/>
    </row>
    <row r="15" spans="1:28" s="10" customFormat="1" ht="13.5" thickBot="1">
      <c r="A15" s="8"/>
      <c r="B15" s="27"/>
      <c r="C15" s="8"/>
      <c r="D15" s="8"/>
      <c r="E15" s="8"/>
      <c r="F15" s="8"/>
      <c r="G15" s="114"/>
      <c r="H15" s="115"/>
      <c r="I15" s="113"/>
      <c r="J15" s="113"/>
      <c r="K15" s="113"/>
      <c r="L15" s="113"/>
      <c r="M15" s="113"/>
      <c r="N15" s="113"/>
      <c r="O15" s="113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11"/>
    </row>
    <row r="16" spans="1:28" s="86" customFormat="1" ht="16.5" customHeight="1" thickBot="1" thickTop="1">
      <c r="A16" s="83"/>
      <c r="B16" s="84"/>
      <c r="C16" s="83"/>
      <c r="D16" s="83"/>
      <c r="E16" s="83"/>
      <c r="F16" s="398" t="s">
        <v>33</v>
      </c>
      <c r="G16" s="695">
        <v>152.18335912113</v>
      </c>
      <c r="H16" s="400"/>
      <c r="I16" s="87"/>
      <c r="J16" s="87"/>
      <c r="K16" s="87"/>
      <c r="L16" s="87"/>
      <c r="M16" s="87"/>
      <c r="N16" s="87"/>
      <c r="O16" s="87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5"/>
    </row>
    <row r="17" spans="1:28" s="86" customFormat="1" ht="16.5" customHeight="1" thickBot="1" thickTop="1">
      <c r="A17" s="83"/>
      <c r="B17" s="84"/>
      <c r="C17" s="83"/>
      <c r="D17" s="83"/>
      <c r="E17" s="83"/>
      <c r="F17" s="398" t="s">
        <v>34</v>
      </c>
      <c r="G17" s="695">
        <v>145.41960366333</v>
      </c>
      <c r="H17" s="696"/>
      <c r="I17" s="83"/>
      <c r="K17" s="88" t="s">
        <v>35</v>
      </c>
      <c r="L17" s="89">
        <f>30*'TOT-1013'!B13</f>
        <v>30</v>
      </c>
      <c r="M17" s="185" t="str">
        <f>IF(L17=30," ",IF(L17=60,"Coeficiente duplicado por tasa de falla &gt;4 Sal. x año/100 km.","REVISAR COEFICIENTE"))</f>
        <v> </v>
      </c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5"/>
    </row>
    <row r="18" spans="1:28" s="492" customFormat="1" ht="14.25" thickBot="1" thickTop="1">
      <c r="A18" s="488"/>
      <c r="B18" s="489"/>
      <c r="C18" s="490">
        <v>3</v>
      </c>
      <c r="D18" s="490">
        <v>4</v>
      </c>
      <c r="E18" s="490">
        <v>5</v>
      </c>
      <c r="F18" s="490">
        <v>6</v>
      </c>
      <c r="G18" s="490">
        <v>7</v>
      </c>
      <c r="H18" s="490">
        <v>8</v>
      </c>
      <c r="I18" s="490">
        <v>9</v>
      </c>
      <c r="J18" s="490">
        <v>10</v>
      </c>
      <c r="K18" s="490">
        <v>11</v>
      </c>
      <c r="L18" s="490">
        <v>12</v>
      </c>
      <c r="M18" s="490">
        <v>13</v>
      </c>
      <c r="N18" s="490">
        <v>14</v>
      </c>
      <c r="O18" s="490">
        <v>15</v>
      </c>
      <c r="P18" s="490">
        <v>16</v>
      </c>
      <c r="Q18" s="490">
        <v>17</v>
      </c>
      <c r="R18" s="490">
        <v>18</v>
      </c>
      <c r="S18" s="490">
        <v>19</v>
      </c>
      <c r="T18" s="490">
        <v>20</v>
      </c>
      <c r="U18" s="490">
        <v>21</v>
      </c>
      <c r="V18" s="490">
        <v>22</v>
      </c>
      <c r="W18" s="490">
        <v>23</v>
      </c>
      <c r="X18" s="490">
        <v>24</v>
      </c>
      <c r="Y18" s="490">
        <v>25</v>
      </c>
      <c r="Z18" s="490">
        <v>26</v>
      </c>
      <c r="AA18" s="490">
        <v>27</v>
      </c>
      <c r="AB18" s="491"/>
    </row>
    <row r="19" spans="1:28" s="99" customFormat="1" ht="33.75" customHeight="1" thickBot="1" thickTop="1">
      <c r="A19" s="90"/>
      <c r="B19" s="91"/>
      <c r="C19" s="92" t="s">
        <v>36</v>
      </c>
      <c r="D19" s="92" t="s">
        <v>109</v>
      </c>
      <c r="E19" s="92" t="s">
        <v>108</v>
      </c>
      <c r="F19" s="93" t="s">
        <v>19</v>
      </c>
      <c r="G19" s="94" t="s">
        <v>37</v>
      </c>
      <c r="H19" s="95" t="s">
        <v>38</v>
      </c>
      <c r="I19" s="212" t="s">
        <v>39</v>
      </c>
      <c r="J19" s="93" t="s">
        <v>40</v>
      </c>
      <c r="K19" s="93" t="s">
        <v>41</v>
      </c>
      <c r="L19" s="94" t="s">
        <v>42</v>
      </c>
      <c r="M19" s="94" t="s">
        <v>43</v>
      </c>
      <c r="N19" s="96" t="s">
        <v>44</v>
      </c>
      <c r="O19" s="94" t="s">
        <v>45</v>
      </c>
      <c r="P19" s="237" t="s">
        <v>46</v>
      </c>
      <c r="Q19" s="240" t="s">
        <v>47</v>
      </c>
      <c r="R19" s="243" t="s">
        <v>48</v>
      </c>
      <c r="S19" s="244"/>
      <c r="T19" s="245"/>
      <c r="U19" s="254" t="s">
        <v>49</v>
      </c>
      <c r="V19" s="255"/>
      <c r="W19" s="256"/>
      <c r="X19" s="264" t="s">
        <v>50</v>
      </c>
      <c r="Y19" s="267" t="s">
        <v>51</v>
      </c>
      <c r="Z19" s="97" t="s">
        <v>52</v>
      </c>
      <c r="AA19" s="97" t="s">
        <v>53</v>
      </c>
      <c r="AB19" s="98"/>
    </row>
    <row r="20" spans="1:28" ht="16.5" customHeight="1" thickTop="1">
      <c r="A20" s="1"/>
      <c r="B20" s="2"/>
      <c r="C20" s="34"/>
      <c r="D20" s="467"/>
      <c r="E20" s="467"/>
      <c r="F20" s="309"/>
      <c r="G20" s="36"/>
      <c r="H20" s="36"/>
      <c r="I20" s="299"/>
      <c r="J20" s="36"/>
      <c r="K20" s="37"/>
      <c r="L20" s="37"/>
      <c r="M20" s="37"/>
      <c r="N20" s="35"/>
      <c r="O20" s="36"/>
      <c r="P20" s="238"/>
      <c r="Q20" s="241"/>
      <c r="R20" s="246"/>
      <c r="S20" s="247"/>
      <c r="T20" s="248"/>
      <c r="U20" s="257"/>
      <c r="V20" s="258"/>
      <c r="W20" s="259"/>
      <c r="X20" s="265"/>
      <c r="Y20" s="268"/>
      <c r="Z20" s="252"/>
      <c r="AA20" s="310"/>
      <c r="AB20" s="3"/>
    </row>
    <row r="21" spans="1:28" ht="16.5" customHeight="1">
      <c r="A21" s="1"/>
      <c r="B21" s="2"/>
      <c r="C21" s="423"/>
      <c r="D21" s="465"/>
      <c r="E21" s="465"/>
      <c r="F21" s="423"/>
      <c r="G21" s="424"/>
      <c r="H21" s="424"/>
      <c r="I21" s="300"/>
      <c r="J21" s="423"/>
      <c r="K21" s="425"/>
      <c r="L21" s="82"/>
      <c r="M21" s="82"/>
      <c r="N21" s="426"/>
      <c r="O21" s="423"/>
      <c r="P21" s="427"/>
      <c r="Q21" s="428"/>
      <c r="R21" s="429"/>
      <c r="S21" s="430"/>
      <c r="T21" s="431"/>
      <c r="U21" s="432"/>
      <c r="V21" s="433"/>
      <c r="W21" s="434"/>
      <c r="X21" s="435"/>
      <c r="Y21" s="436"/>
      <c r="Z21" s="437"/>
      <c r="AA21" s="82"/>
      <c r="AB21" s="3"/>
    </row>
    <row r="22" spans="1:28" ht="16.5" customHeight="1">
      <c r="A22" s="1"/>
      <c r="B22" s="2"/>
      <c r="C22" s="401">
        <v>1</v>
      </c>
      <c r="D22" s="401">
        <v>266275</v>
      </c>
      <c r="E22" s="401">
        <v>1838</v>
      </c>
      <c r="F22" s="402" t="s">
        <v>114</v>
      </c>
      <c r="G22" s="403">
        <v>132</v>
      </c>
      <c r="H22" s="404" t="s">
        <v>115</v>
      </c>
      <c r="I22" s="301">
        <f>IF(H22&gt;25,H22,25)*IF(G22=330,$G$16,$G$17)/100</f>
        <v>0.72709801831665</v>
      </c>
      <c r="J22" s="409">
        <v>41557.384722222225</v>
      </c>
      <c r="K22" s="409">
        <v>41557.58888888889</v>
      </c>
      <c r="L22" s="12">
        <f>IF(F22="","",(K22-J22)*24)</f>
        <v>4.899999999906868</v>
      </c>
      <c r="M22" s="13">
        <f>IF(F22="","",ROUND((K22-J22)*24*60,0))</f>
        <v>294</v>
      </c>
      <c r="N22" s="410" t="s">
        <v>116</v>
      </c>
      <c r="O22" s="483" t="s">
        <v>118</v>
      </c>
      <c r="P22" s="472">
        <f>IF(N22="P",ROUND(M22/60,2)*I22*$L$17*0.01,"--")</f>
        <v>1.0688340869254755</v>
      </c>
      <c r="Q22" s="473" t="str">
        <f>IF(N22="RP",ROUND(M22/60,2)*I22*$L$17*0.01*O22/100,"--")</f>
        <v>--</v>
      </c>
      <c r="R22" s="474" t="str">
        <f>IF(N22="F",I22*$L$17,"--")</f>
        <v>--</v>
      </c>
      <c r="S22" s="475" t="str">
        <f>IF(AND(M22&gt;10,N22="F"),I22*$L$17*IF(M22&gt;180,3,ROUND(M22/60,2)),"--")</f>
        <v>--</v>
      </c>
      <c r="T22" s="476" t="str">
        <f>IF(AND(M22&gt;180,N22="F"),(ROUND(M22/60,2)-3)*I22*$L$17*0.1,"--")</f>
        <v>--</v>
      </c>
      <c r="U22" s="477" t="str">
        <f>IF(N22="R",I22*$L$17*O22/100,"--")</f>
        <v>--</v>
      </c>
      <c r="V22" s="478" t="str">
        <f>IF(AND(M22&gt;10,N22="R"),I22*$L$17*O22/100*IF(M22&gt;180,3,ROUND(M22/60,2)),"--")</f>
        <v>--</v>
      </c>
      <c r="W22" s="479" t="str">
        <f>IF(AND(M22&gt;180,N22="R"),(ROUND(M22/60,2)-3)*O22/100*I22*$L$17*0.1,"--")</f>
        <v>--</v>
      </c>
      <c r="X22" s="480" t="str">
        <f>IF(N22="RF",ROUND(M22/60,2)*I22*$L$17*0.1,"--")</f>
        <v>--</v>
      </c>
      <c r="Y22" s="481" t="str">
        <f>IF(N22="RR",ROUND(M22/60,2)*O22/100*I22*$L$17*0.1,"--")</f>
        <v>--</v>
      </c>
      <c r="Z22" s="482" t="s">
        <v>117</v>
      </c>
      <c r="AA22" s="38">
        <f>IF(F22="","",SUM(P22:Y22)*IF(Z22="SI",1,2))</f>
        <v>1.0688340869254755</v>
      </c>
      <c r="AB22" s="3"/>
    </row>
    <row r="23" spans="1:28" ht="16.5" customHeight="1">
      <c r="A23" s="1"/>
      <c r="B23" s="2"/>
      <c r="C23" s="401">
        <v>2</v>
      </c>
      <c r="D23" s="401">
        <v>266276</v>
      </c>
      <c r="E23" s="401">
        <v>1628</v>
      </c>
      <c r="F23" s="402" t="s">
        <v>119</v>
      </c>
      <c r="G23" s="403">
        <v>132</v>
      </c>
      <c r="H23" s="404">
        <v>112</v>
      </c>
      <c r="I23" s="301">
        <f aca="true" t="shared" si="0" ref="I23:I38">IF(H23&gt;25,H23,25)*IF(G23=330,$G$16,$G$17)/100</f>
        <v>162.86995610292962</v>
      </c>
      <c r="J23" s="409">
        <v>41558.404861111114</v>
      </c>
      <c r="K23" s="409">
        <v>41558.709027777775</v>
      </c>
      <c r="L23" s="12">
        <f aca="true" t="shared" si="1" ref="L23:L38">IF(F23="","",(K23-J23)*24)</f>
        <v>7.299999999871943</v>
      </c>
      <c r="M23" s="13">
        <f aca="true" t="shared" si="2" ref="M23:M38">IF(F23="","",ROUND((K23-J23)*24*60,0))</f>
        <v>438</v>
      </c>
      <c r="N23" s="410" t="s">
        <v>116</v>
      </c>
      <c r="O23" s="483" t="s">
        <v>118</v>
      </c>
      <c r="P23" s="472">
        <f aca="true" t="shared" si="3" ref="P23:P38">IF(N23="P",ROUND(M23/60,2)*I23*$L$17*0.01,"--")</f>
        <v>356.6852038654158</v>
      </c>
      <c r="Q23" s="473" t="str">
        <f aca="true" t="shared" si="4" ref="Q23:Q38">IF(N23="RP",ROUND(M23/60,2)*I23*$L$17*0.01*O23/100,"--")</f>
        <v>--</v>
      </c>
      <c r="R23" s="474" t="str">
        <f aca="true" t="shared" si="5" ref="R23:R38">IF(N23="F",I23*$L$17,"--")</f>
        <v>--</v>
      </c>
      <c r="S23" s="475" t="str">
        <f aca="true" t="shared" si="6" ref="S23:S38">IF(AND(M23&gt;10,N23="F"),I23*$L$17*IF(M23&gt;180,3,ROUND(M23/60,2)),"--")</f>
        <v>--</v>
      </c>
      <c r="T23" s="476" t="str">
        <f aca="true" t="shared" si="7" ref="T23:T38">IF(AND(M23&gt;180,N23="F"),(ROUND(M23/60,2)-3)*I23*$L$17*0.1,"--")</f>
        <v>--</v>
      </c>
      <c r="U23" s="477" t="str">
        <f aca="true" t="shared" si="8" ref="U23:U38">IF(N23="R",I23*$L$17*O23/100,"--")</f>
        <v>--</v>
      </c>
      <c r="V23" s="478" t="str">
        <f aca="true" t="shared" si="9" ref="V23:V38">IF(AND(M23&gt;10,N23="R"),I23*$L$17*O23/100*IF(M23&gt;180,3,ROUND(M23/60,2)),"--")</f>
        <v>--</v>
      </c>
      <c r="W23" s="479" t="str">
        <f aca="true" t="shared" si="10" ref="W23:W38">IF(AND(M23&gt;180,N23="R"),(ROUND(M23/60,2)-3)*O23/100*I23*$L$17*0.1,"--")</f>
        <v>--</v>
      </c>
      <c r="X23" s="480" t="str">
        <f aca="true" t="shared" si="11" ref="X23:X38">IF(N23="RF",ROUND(M23/60,2)*I23*$L$17*0.1,"--")</f>
        <v>--</v>
      </c>
      <c r="Y23" s="481" t="str">
        <f aca="true" t="shared" si="12" ref="Y23:Y38">IF(N23="RR",ROUND(M23/60,2)*O23/100*I23*$L$17*0.1,"--")</f>
        <v>--</v>
      </c>
      <c r="Z23" s="482" t="s">
        <v>117</v>
      </c>
      <c r="AA23" s="38">
        <f aca="true" t="shared" si="13" ref="AA23:AA38">IF(F23="","",SUM(P23:Y23)*IF(Z23="SI",1,2))</f>
        <v>356.6852038654158</v>
      </c>
      <c r="AB23" s="3"/>
    </row>
    <row r="24" spans="1:28" ht="16.5" customHeight="1">
      <c r="A24" s="1"/>
      <c r="B24" s="2"/>
      <c r="C24" s="401">
        <v>3</v>
      </c>
      <c r="D24" s="401">
        <v>266931</v>
      </c>
      <c r="E24" s="401">
        <v>2036</v>
      </c>
      <c r="F24" s="402" t="s">
        <v>120</v>
      </c>
      <c r="G24" s="403">
        <v>132</v>
      </c>
      <c r="H24" s="404">
        <v>138</v>
      </c>
      <c r="I24" s="301">
        <f t="shared" si="0"/>
        <v>200.67905305539543</v>
      </c>
      <c r="J24" s="409">
        <v>41578.35833333333</v>
      </c>
      <c r="K24" s="409">
        <v>41578.572916666664</v>
      </c>
      <c r="L24" s="12">
        <f t="shared" si="1"/>
        <v>5.150000000023283</v>
      </c>
      <c r="M24" s="13">
        <f t="shared" si="2"/>
        <v>309</v>
      </c>
      <c r="N24" s="410" t="s">
        <v>116</v>
      </c>
      <c r="O24" s="483" t="s">
        <v>118</v>
      </c>
      <c r="P24" s="472">
        <f t="shared" si="3"/>
        <v>310.04913697058595</v>
      </c>
      <c r="Q24" s="473" t="str">
        <f t="shared" si="4"/>
        <v>--</v>
      </c>
      <c r="R24" s="474" t="str">
        <f t="shared" si="5"/>
        <v>--</v>
      </c>
      <c r="S24" s="475" t="str">
        <f t="shared" si="6"/>
        <v>--</v>
      </c>
      <c r="T24" s="476" t="str">
        <f t="shared" si="7"/>
        <v>--</v>
      </c>
      <c r="U24" s="477" t="str">
        <f t="shared" si="8"/>
        <v>--</v>
      </c>
      <c r="V24" s="478" t="str">
        <f t="shared" si="9"/>
        <v>--</v>
      </c>
      <c r="W24" s="479" t="str">
        <f t="shared" si="10"/>
        <v>--</v>
      </c>
      <c r="X24" s="480" t="str">
        <f t="shared" si="11"/>
        <v>--</v>
      </c>
      <c r="Y24" s="481" t="str">
        <f t="shared" si="12"/>
        <v>--</v>
      </c>
      <c r="Z24" s="482" t="s">
        <v>117</v>
      </c>
      <c r="AA24" s="38">
        <f t="shared" si="13"/>
        <v>310.04913697058595</v>
      </c>
      <c r="AB24" s="3"/>
    </row>
    <row r="25" spans="1:28" ht="16.5" customHeight="1">
      <c r="A25" s="1"/>
      <c r="B25" s="2"/>
      <c r="C25" s="401"/>
      <c r="D25" s="401"/>
      <c r="E25" s="401"/>
      <c r="F25" s="402"/>
      <c r="G25" s="403"/>
      <c r="H25" s="404"/>
      <c r="I25" s="301">
        <f t="shared" si="0"/>
        <v>36.3549009158325</v>
      </c>
      <c r="J25" s="409"/>
      <c r="K25" s="409"/>
      <c r="L25" s="12">
        <f t="shared" si="1"/>
      </c>
      <c r="M25" s="13">
        <f t="shared" si="2"/>
      </c>
      <c r="N25" s="410"/>
      <c r="O25" s="471">
        <f aca="true" t="shared" si="14" ref="O25:O38">IF(F25="","","--")</f>
      </c>
      <c r="P25" s="472" t="str">
        <f t="shared" si="3"/>
        <v>--</v>
      </c>
      <c r="Q25" s="473" t="str">
        <f t="shared" si="4"/>
        <v>--</v>
      </c>
      <c r="R25" s="474" t="str">
        <f t="shared" si="5"/>
        <v>--</v>
      </c>
      <c r="S25" s="475" t="str">
        <f t="shared" si="6"/>
        <v>--</v>
      </c>
      <c r="T25" s="476" t="str">
        <f t="shared" si="7"/>
        <v>--</v>
      </c>
      <c r="U25" s="477" t="str">
        <f t="shared" si="8"/>
        <v>--</v>
      </c>
      <c r="V25" s="478" t="str">
        <f t="shared" si="9"/>
        <v>--</v>
      </c>
      <c r="W25" s="479" t="str">
        <f t="shared" si="10"/>
        <v>--</v>
      </c>
      <c r="X25" s="480" t="str">
        <f t="shared" si="11"/>
        <v>--</v>
      </c>
      <c r="Y25" s="481" t="str">
        <f t="shared" si="12"/>
        <v>--</v>
      </c>
      <c r="Z25" s="482">
        <f aca="true" t="shared" si="15" ref="Z25:Z38">IF(F25="","","SI")</f>
      </c>
      <c r="AA25" s="38">
        <f t="shared" si="13"/>
      </c>
      <c r="AB25" s="3"/>
    </row>
    <row r="26" spans="1:28" ht="16.5" customHeight="1">
      <c r="A26" s="1"/>
      <c r="B26" s="2"/>
      <c r="C26" s="401"/>
      <c r="D26" s="401"/>
      <c r="E26" s="401"/>
      <c r="F26" s="402"/>
      <c r="G26" s="403"/>
      <c r="H26" s="404"/>
      <c r="I26" s="301">
        <f t="shared" si="0"/>
        <v>36.3549009158325</v>
      </c>
      <c r="J26" s="409"/>
      <c r="K26" s="409"/>
      <c r="L26" s="12">
        <f t="shared" si="1"/>
      </c>
      <c r="M26" s="13">
        <f t="shared" si="2"/>
      </c>
      <c r="N26" s="410"/>
      <c r="O26" s="471">
        <f t="shared" si="14"/>
      </c>
      <c r="P26" s="472" t="str">
        <f t="shared" si="3"/>
        <v>--</v>
      </c>
      <c r="Q26" s="473" t="str">
        <f t="shared" si="4"/>
        <v>--</v>
      </c>
      <c r="R26" s="474" t="str">
        <f t="shared" si="5"/>
        <v>--</v>
      </c>
      <c r="S26" s="475" t="str">
        <f t="shared" si="6"/>
        <v>--</v>
      </c>
      <c r="T26" s="476" t="str">
        <f t="shared" si="7"/>
        <v>--</v>
      </c>
      <c r="U26" s="477" t="str">
        <f t="shared" si="8"/>
        <v>--</v>
      </c>
      <c r="V26" s="478" t="str">
        <f t="shared" si="9"/>
        <v>--</v>
      </c>
      <c r="W26" s="479" t="str">
        <f t="shared" si="10"/>
        <v>--</v>
      </c>
      <c r="X26" s="480" t="str">
        <f t="shared" si="11"/>
        <v>--</v>
      </c>
      <c r="Y26" s="481" t="str">
        <f t="shared" si="12"/>
        <v>--</v>
      </c>
      <c r="Z26" s="482">
        <f t="shared" si="15"/>
      </c>
      <c r="AA26" s="38">
        <f t="shared" si="13"/>
      </c>
      <c r="AB26" s="3"/>
    </row>
    <row r="27" spans="1:28" ht="16.5" customHeight="1">
      <c r="A27" s="1"/>
      <c r="B27" s="2"/>
      <c r="C27" s="401"/>
      <c r="D27" s="401"/>
      <c r="E27" s="401"/>
      <c r="F27" s="402"/>
      <c r="G27" s="403"/>
      <c r="H27" s="404"/>
      <c r="I27" s="301">
        <f t="shared" si="0"/>
        <v>36.3549009158325</v>
      </c>
      <c r="J27" s="409"/>
      <c r="K27" s="409"/>
      <c r="L27" s="12">
        <f t="shared" si="1"/>
      </c>
      <c r="M27" s="13">
        <f t="shared" si="2"/>
      </c>
      <c r="N27" s="410"/>
      <c r="O27" s="471">
        <f t="shared" si="14"/>
      </c>
      <c r="P27" s="472" t="str">
        <f t="shared" si="3"/>
        <v>--</v>
      </c>
      <c r="Q27" s="473" t="str">
        <f t="shared" si="4"/>
        <v>--</v>
      </c>
      <c r="R27" s="474" t="str">
        <f t="shared" si="5"/>
        <v>--</v>
      </c>
      <c r="S27" s="475" t="str">
        <f t="shared" si="6"/>
        <v>--</v>
      </c>
      <c r="T27" s="476" t="str">
        <f t="shared" si="7"/>
        <v>--</v>
      </c>
      <c r="U27" s="477" t="str">
        <f t="shared" si="8"/>
        <v>--</v>
      </c>
      <c r="V27" s="478" t="str">
        <f t="shared" si="9"/>
        <v>--</v>
      </c>
      <c r="W27" s="479" t="str">
        <f t="shared" si="10"/>
        <v>--</v>
      </c>
      <c r="X27" s="480" t="str">
        <f t="shared" si="11"/>
        <v>--</v>
      </c>
      <c r="Y27" s="481" t="str">
        <f t="shared" si="12"/>
        <v>--</v>
      </c>
      <c r="Z27" s="482">
        <f t="shared" si="15"/>
      </c>
      <c r="AA27" s="38">
        <f t="shared" si="13"/>
      </c>
      <c r="AB27" s="3"/>
    </row>
    <row r="28" spans="1:28" ht="16.5" customHeight="1">
      <c r="A28" s="1"/>
      <c r="B28" s="2"/>
      <c r="C28" s="401"/>
      <c r="D28" s="401"/>
      <c r="E28" s="401"/>
      <c r="F28" s="402"/>
      <c r="G28" s="403"/>
      <c r="H28" s="404"/>
      <c r="I28" s="301">
        <f t="shared" si="0"/>
        <v>36.3549009158325</v>
      </c>
      <c r="J28" s="409"/>
      <c r="K28" s="409"/>
      <c r="L28" s="12">
        <f t="shared" si="1"/>
      </c>
      <c r="M28" s="13">
        <f t="shared" si="2"/>
      </c>
      <c r="N28" s="410"/>
      <c r="O28" s="471">
        <f t="shared" si="14"/>
      </c>
      <c r="P28" s="472" t="str">
        <f t="shared" si="3"/>
        <v>--</v>
      </c>
      <c r="Q28" s="473" t="str">
        <f t="shared" si="4"/>
        <v>--</v>
      </c>
      <c r="R28" s="474" t="str">
        <f t="shared" si="5"/>
        <v>--</v>
      </c>
      <c r="S28" s="475" t="str">
        <f t="shared" si="6"/>
        <v>--</v>
      </c>
      <c r="T28" s="476" t="str">
        <f t="shared" si="7"/>
        <v>--</v>
      </c>
      <c r="U28" s="477" t="str">
        <f t="shared" si="8"/>
        <v>--</v>
      </c>
      <c r="V28" s="478" t="str">
        <f t="shared" si="9"/>
        <v>--</v>
      </c>
      <c r="W28" s="479" t="str">
        <f t="shared" si="10"/>
        <v>--</v>
      </c>
      <c r="X28" s="480" t="str">
        <f t="shared" si="11"/>
        <v>--</v>
      </c>
      <c r="Y28" s="481" t="str">
        <f t="shared" si="12"/>
        <v>--</v>
      </c>
      <c r="Z28" s="482">
        <f t="shared" si="15"/>
      </c>
      <c r="AA28" s="38">
        <f t="shared" si="13"/>
      </c>
      <c r="AB28" s="3"/>
    </row>
    <row r="29" spans="1:28" ht="16.5" customHeight="1">
      <c r="A29" s="1"/>
      <c r="B29" s="2"/>
      <c r="C29" s="401"/>
      <c r="D29" s="401"/>
      <c r="E29" s="401"/>
      <c r="F29" s="402"/>
      <c r="G29" s="403"/>
      <c r="H29" s="404"/>
      <c r="I29" s="301">
        <f t="shared" si="0"/>
        <v>36.3549009158325</v>
      </c>
      <c r="J29" s="409"/>
      <c r="K29" s="409"/>
      <c r="L29" s="12">
        <f t="shared" si="1"/>
      </c>
      <c r="M29" s="13">
        <f t="shared" si="2"/>
      </c>
      <c r="N29" s="410"/>
      <c r="O29" s="471">
        <f t="shared" si="14"/>
      </c>
      <c r="P29" s="472" t="str">
        <f t="shared" si="3"/>
        <v>--</v>
      </c>
      <c r="Q29" s="473" t="str">
        <f t="shared" si="4"/>
        <v>--</v>
      </c>
      <c r="R29" s="474" t="str">
        <f t="shared" si="5"/>
        <v>--</v>
      </c>
      <c r="S29" s="475" t="str">
        <f t="shared" si="6"/>
        <v>--</v>
      </c>
      <c r="T29" s="476" t="str">
        <f t="shared" si="7"/>
        <v>--</v>
      </c>
      <c r="U29" s="477" t="str">
        <f t="shared" si="8"/>
        <v>--</v>
      </c>
      <c r="V29" s="478" t="str">
        <f t="shared" si="9"/>
        <v>--</v>
      </c>
      <c r="W29" s="479" t="str">
        <f t="shared" si="10"/>
        <v>--</v>
      </c>
      <c r="X29" s="480" t="str">
        <f t="shared" si="11"/>
        <v>--</v>
      </c>
      <c r="Y29" s="481" t="str">
        <f t="shared" si="12"/>
        <v>--</v>
      </c>
      <c r="Z29" s="482">
        <f t="shared" si="15"/>
      </c>
      <c r="AA29" s="38">
        <f t="shared" si="13"/>
      </c>
      <c r="AB29" s="3"/>
    </row>
    <row r="30" spans="1:28" ht="16.5" customHeight="1">
      <c r="A30" s="1"/>
      <c r="B30" s="2"/>
      <c r="C30" s="401"/>
      <c r="D30" s="401"/>
      <c r="E30" s="401"/>
      <c r="F30" s="402"/>
      <c r="G30" s="403"/>
      <c r="H30" s="404"/>
      <c r="I30" s="301">
        <f t="shared" si="0"/>
        <v>36.3549009158325</v>
      </c>
      <c r="J30" s="409"/>
      <c r="K30" s="409"/>
      <c r="L30" s="12">
        <f t="shared" si="1"/>
      </c>
      <c r="M30" s="13">
        <f t="shared" si="2"/>
      </c>
      <c r="N30" s="410"/>
      <c r="O30" s="471">
        <f t="shared" si="14"/>
      </c>
      <c r="P30" s="472" t="str">
        <f t="shared" si="3"/>
        <v>--</v>
      </c>
      <c r="Q30" s="473" t="str">
        <f t="shared" si="4"/>
        <v>--</v>
      </c>
      <c r="R30" s="474" t="str">
        <f t="shared" si="5"/>
        <v>--</v>
      </c>
      <c r="S30" s="475" t="str">
        <f t="shared" si="6"/>
        <v>--</v>
      </c>
      <c r="T30" s="476" t="str">
        <f t="shared" si="7"/>
        <v>--</v>
      </c>
      <c r="U30" s="477" t="str">
        <f t="shared" si="8"/>
        <v>--</v>
      </c>
      <c r="V30" s="478" t="str">
        <f t="shared" si="9"/>
        <v>--</v>
      </c>
      <c r="W30" s="479" t="str">
        <f t="shared" si="10"/>
        <v>--</v>
      </c>
      <c r="X30" s="480" t="str">
        <f t="shared" si="11"/>
        <v>--</v>
      </c>
      <c r="Y30" s="481" t="str">
        <f t="shared" si="12"/>
        <v>--</v>
      </c>
      <c r="Z30" s="482">
        <f t="shared" si="15"/>
      </c>
      <c r="AA30" s="38">
        <f t="shared" si="13"/>
      </c>
      <c r="AB30" s="3"/>
    </row>
    <row r="31" spans="1:28" ht="16.5" customHeight="1">
      <c r="A31" s="1"/>
      <c r="B31" s="2"/>
      <c r="C31" s="401"/>
      <c r="D31" s="401"/>
      <c r="E31" s="401"/>
      <c r="F31" s="402"/>
      <c r="G31" s="403"/>
      <c r="H31" s="404"/>
      <c r="I31" s="301">
        <f t="shared" si="0"/>
        <v>36.3549009158325</v>
      </c>
      <c r="J31" s="409"/>
      <c r="K31" s="409"/>
      <c r="L31" s="12">
        <f t="shared" si="1"/>
      </c>
      <c r="M31" s="13">
        <f t="shared" si="2"/>
      </c>
      <c r="N31" s="410"/>
      <c r="O31" s="471">
        <f t="shared" si="14"/>
      </c>
      <c r="P31" s="472" t="str">
        <f t="shared" si="3"/>
        <v>--</v>
      </c>
      <c r="Q31" s="473" t="str">
        <f t="shared" si="4"/>
        <v>--</v>
      </c>
      <c r="R31" s="474" t="str">
        <f t="shared" si="5"/>
        <v>--</v>
      </c>
      <c r="S31" s="475" t="str">
        <f t="shared" si="6"/>
        <v>--</v>
      </c>
      <c r="T31" s="476" t="str">
        <f t="shared" si="7"/>
        <v>--</v>
      </c>
      <c r="U31" s="477" t="str">
        <f t="shared" si="8"/>
        <v>--</v>
      </c>
      <c r="V31" s="478" t="str">
        <f t="shared" si="9"/>
        <v>--</v>
      </c>
      <c r="W31" s="479" t="str">
        <f t="shared" si="10"/>
        <v>--</v>
      </c>
      <c r="X31" s="480" t="str">
        <f t="shared" si="11"/>
        <v>--</v>
      </c>
      <c r="Y31" s="481" t="str">
        <f t="shared" si="12"/>
        <v>--</v>
      </c>
      <c r="Z31" s="482">
        <f t="shared" si="15"/>
      </c>
      <c r="AA31" s="38">
        <f t="shared" si="13"/>
      </c>
      <c r="AB31" s="3"/>
    </row>
    <row r="32" spans="1:28" ht="16.5" customHeight="1">
      <c r="A32" s="1"/>
      <c r="B32" s="2"/>
      <c r="C32" s="401"/>
      <c r="D32" s="401"/>
      <c r="E32" s="401"/>
      <c r="F32" s="402"/>
      <c r="G32" s="403"/>
      <c r="H32" s="404"/>
      <c r="I32" s="301">
        <f t="shared" si="0"/>
        <v>36.3549009158325</v>
      </c>
      <c r="J32" s="409"/>
      <c r="K32" s="409"/>
      <c r="L32" s="12">
        <f t="shared" si="1"/>
      </c>
      <c r="M32" s="13">
        <f t="shared" si="2"/>
      </c>
      <c r="N32" s="410"/>
      <c r="O32" s="471">
        <f t="shared" si="14"/>
      </c>
      <c r="P32" s="472" t="str">
        <f t="shared" si="3"/>
        <v>--</v>
      </c>
      <c r="Q32" s="473" t="str">
        <f t="shared" si="4"/>
        <v>--</v>
      </c>
      <c r="R32" s="474" t="str">
        <f t="shared" si="5"/>
        <v>--</v>
      </c>
      <c r="S32" s="475" t="str">
        <f t="shared" si="6"/>
        <v>--</v>
      </c>
      <c r="T32" s="476" t="str">
        <f t="shared" si="7"/>
        <v>--</v>
      </c>
      <c r="U32" s="477" t="str">
        <f t="shared" si="8"/>
        <v>--</v>
      </c>
      <c r="V32" s="478" t="str">
        <f t="shared" si="9"/>
        <v>--</v>
      </c>
      <c r="W32" s="479" t="str">
        <f t="shared" si="10"/>
        <v>--</v>
      </c>
      <c r="X32" s="480" t="str">
        <f t="shared" si="11"/>
        <v>--</v>
      </c>
      <c r="Y32" s="481" t="str">
        <f t="shared" si="12"/>
        <v>--</v>
      </c>
      <c r="Z32" s="482">
        <f t="shared" si="15"/>
      </c>
      <c r="AA32" s="38">
        <f t="shared" si="13"/>
      </c>
      <c r="AB32" s="3"/>
    </row>
    <row r="33" spans="1:28" ht="16.5" customHeight="1">
      <c r="A33" s="1"/>
      <c r="B33" s="2"/>
      <c r="C33" s="401"/>
      <c r="D33" s="401"/>
      <c r="E33" s="401"/>
      <c r="F33" s="402"/>
      <c r="G33" s="403"/>
      <c r="H33" s="404"/>
      <c r="I33" s="301">
        <f t="shared" si="0"/>
        <v>36.3549009158325</v>
      </c>
      <c r="J33" s="409"/>
      <c r="K33" s="409"/>
      <c r="L33" s="12">
        <f t="shared" si="1"/>
      </c>
      <c r="M33" s="13">
        <f t="shared" si="2"/>
      </c>
      <c r="N33" s="410"/>
      <c r="O33" s="471">
        <f t="shared" si="14"/>
      </c>
      <c r="P33" s="472" t="str">
        <f t="shared" si="3"/>
        <v>--</v>
      </c>
      <c r="Q33" s="473" t="str">
        <f t="shared" si="4"/>
        <v>--</v>
      </c>
      <c r="R33" s="474" t="str">
        <f t="shared" si="5"/>
        <v>--</v>
      </c>
      <c r="S33" s="475" t="str">
        <f t="shared" si="6"/>
        <v>--</v>
      </c>
      <c r="T33" s="476" t="str">
        <f t="shared" si="7"/>
        <v>--</v>
      </c>
      <c r="U33" s="477" t="str">
        <f t="shared" si="8"/>
        <v>--</v>
      </c>
      <c r="V33" s="478" t="str">
        <f t="shared" si="9"/>
        <v>--</v>
      </c>
      <c r="W33" s="479" t="str">
        <f t="shared" si="10"/>
        <v>--</v>
      </c>
      <c r="X33" s="480" t="str">
        <f t="shared" si="11"/>
        <v>--</v>
      </c>
      <c r="Y33" s="481" t="str">
        <f t="shared" si="12"/>
        <v>--</v>
      </c>
      <c r="Z33" s="482">
        <f t="shared" si="15"/>
      </c>
      <c r="AA33" s="38">
        <f t="shared" si="13"/>
      </c>
      <c r="AB33" s="3"/>
    </row>
    <row r="34" spans="1:28" ht="16.5" customHeight="1">
      <c r="A34" s="1"/>
      <c r="B34" s="2"/>
      <c r="C34" s="401"/>
      <c r="D34" s="401"/>
      <c r="E34" s="401"/>
      <c r="F34" s="402"/>
      <c r="G34" s="403"/>
      <c r="H34" s="404"/>
      <c r="I34" s="301">
        <f t="shared" si="0"/>
        <v>36.3549009158325</v>
      </c>
      <c r="J34" s="409"/>
      <c r="K34" s="409"/>
      <c r="L34" s="12">
        <f t="shared" si="1"/>
      </c>
      <c r="M34" s="13">
        <f t="shared" si="2"/>
      </c>
      <c r="N34" s="410"/>
      <c r="O34" s="471">
        <f t="shared" si="14"/>
      </c>
      <c r="P34" s="472" t="str">
        <f t="shared" si="3"/>
        <v>--</v>
      </c>
      <c r="Q34" s="473" t="str">
        <f t="shared" si="4"/>
        <v>--</v>
      </c>
      <c r="R34" s="474" t="str">
        <f t="shared" si="5"/>
        <v>--</v>
      </c>
      <c r="S34" s="475" t="str">
        <f t="shared" si="6"/>
        <v>--</v>
      </c>
      <c r="T34" s="476" t="str">
        <f t="shared" si="7"/>
        <v>--</v>
      </c>
      <c r="U34" s="477" t="str">
        <f t="shared" si="8"/>
        <v>--</v>
      </c>
      <c r="V34" s="478" t="str">
        <f t="shared" si="9"/>
        <v>--</v>
      </c>
      <c r="W34" s="479" t="str">
        <f t="shared" si="10"/>
        <v>--</v>
      </c>
      <c r="X34" s="480" t="str">
        <f t="shared" si="11"/>
        <v>--</v>
      </c>
      <c r="Y34" s="481" t="str">
        <f t="shared" si="12"/>
        <v>--</v>
      </c>
      <c r="Z34" s="482">
        <f t="shared" si="15"/>
      </c>
      <c r="AA34" s="38">
        <f t="shared" si="13"/>
      </c>
      <c r="AB34" s="3"/>
    </row>
    <row r="35" spans="1:28" ht="16.5" customHeight="1">
      <c r="A35" s="1"/>
      <c r="B35" s="2"/>
      <c r="C35" s="401"/>
      <c r="D35" s="401"/>
      <c r="E35" s="401"/>
      <c r="F35" s="402"/>
      <c r="G35" s="403"/>
      <c r="H35" s="404"/>
      <c r="I35" s="301">
        <f t="shared" si="0"/>
        <v>36.3549009158325</v>
      </c>
      <c r="J35" s="409"/>
      <c r="K35" s="409"/>
      <c r="L35" s="12">
        <f t="shared" si="1"/>
      </c>
      <c r="M35" s="13">
        <f t="shared" si="2"/>
      </c>
      <c r="N35" s="410"/>
      <c r="O35" s="471">
        <f t="shared" si="14"/>
      </c>
      <c r="P35" s="472" t="str">
        <f t="shared" si="3"/>
        <v>--</v>
      </c>
      <c r="Q35" s="473" t="str">
        <f t="shared" si="4"/>
        <v>--</v>
      </c>
      <c r="R35" s="474" t="str">
        <f t="shared" si="5"/>
        <v>--</v>
      </c>
      <c r="S35" s="475" t="str">
        <f t="shared" si="6"/>
        <v>--</v>
      </c>
      <c r="T35" s="476" t="str">
        <f t="shared" si="7"/>
        <v>--</v>
      </c>
      <c r="U35" s="477" t="str">
        <f t="shared" si="8"/>
        <v>--</v>
      </c>
      <c r="V35" s="478" t="str">
        <f t="shared" si="9"/>
        <v>--</v>
      </c>
      <c r="W35" s="479" t="str">
        <f t="shared" si="10"/>
        <v>--</v>
      </c>
      <c r="X35" s="480" t="str">
        <f t="shared" si="11"/>
        <v>--</v>
      </c>
      <c r="Y35" s="481" t="str">
        <f t="shared" si="12"/>
        <v>--</v>
      </c>
      <c r="Z35" s="482">
        <f t="shared" si="15"/>
      </c>
      <c r="AA35" s="38">
        <f t="shared" si="13"/>
      </c>
      <c r="AB35" s="3"/>
    </row>
    <row r="36" spans="1:28" ht="16.5" customHeight="1">
      <c r="A36" s="1"/>
      <c r="B36" s="2"/>
      <c r="C36" s="401"/>
      <c r="D36" s="401"/>
      <c r="E36" s="401"/>
      <c r="F36" s="402"/>
      <c r="G36" s="403"/>
      <c r="H36" s="404"/>
      <c r="I36" s="301">
        <f t="shared" si="0"/>
        <v>36.3549009158325</v>
      </c>
      <c r="J36" s="409"/>
      <c r="K36" s="409"/>
      <c r="L36" s="12">
        <f t="shared" si="1"/>
      </c>
      <c r="M36" s="13">
        <f t="shared" si="2"/>
      </c>
      <c r="N36" s="410"/>
      <c r="O36" s="471">
        <f t="shared" si="14"/>
      </c>
      <c r="P36" s="472" t="str">
        <f t="shared" si="3"/>
        <v>--</v>
      </c>
      <c r="Q36" s="473" t="str">
        <f t="shared" si="4"/>
        <v>--</v>
      </c>
      <c r="R36" s="474" t="str">
        <f t="shared" si="5"/>
        <v>--</v>
      </c>
      <c r="S36" s="475" t="str">
        <f t="shared" si="6"/>
        <v>--</v>
      </c>
      <c r="T36" s="476" t="str">
        <f t="shared" si="7"/>
        <v>--</v>
      </c>
      <c r="U36" s="477" t="str">
        <f t="shared" si="8"/>
        <v>--</v>
      </c>
      <c r="V36" s="478" t="str">
        <f t="shared" si="9"/>
        <v>--</v>
      </c>
      <c r="W36" s="479" t="str">
        <f t="shared" si="10"/>
        <v>--</v>
      </c>
      <c r="X36" s="480" t="str">
        <f t="shared" si="11"/>
        <v>--</v>
      </c>
      <c r="Y36" s="481" t="str">
        <f t="shared" si="12"/>
        <v>--</v>
      </c>
      <c r="Z36" s="482">
        <f t="shared" si="15"/>
      </c>
      <c r="AA36" s="38">
        <f t="shared" si="13"/>
      </c>
      <c r="AB36" s="3"/>
    </row>
    <row r="37" spans="1:28" ht="16.5" customHeight="1">
      <c r="A37" s="1"/>
      <c r="B37" s="2"/>
      <c r="C37" s="401"/>
      <c r="D37" s="401"/>
      <c r="E37" s="401"/>
      <c r="F37" s="402"/>
      <c r="G37" s="403"/>
      <c r="H37" s="404"/>
      <c r="I37" s="301">
        <f t="shared" si="0"/>
        <v>36.3549009158325</v>
      </c>
      <c r="J37" s="409"/>
      <c r="K37" s="409"/>
      <c r="L37" s="12">
        <f t="shared" si="1"/>
      </c>
      <c r="M37" s="13">
        <f t="shared" si="2"/>
      </c>
      <c r="N37" s="410"/>
      <c r="O37" s="471">
        <f t="shared" si="14"/>
      </c>
      <c r="P37" s="472" t="str">
        <f t="shared" si="3"/>
        <v>--</v>
      </c>
      <c r="Q37" s="473" t="str">
        <f t="shared" si="4"/>
        <v>--</v>
      </c>
      <c r="R37" s="474" t="str">
        <f t="shared" si="5"/>
        <v>--</v>
      </c>
      <c r="S37" s="475" t="str">
        <f t="shared" si="6"/>
        <v>--</v>
      </c>
      <c r="T37" s="476" t="str">
        <f t="shared" si="7"/>
        <v>--</v>
      </c>
      <c r="U37" s="477" t="str">
        <f t="shared" si="8"/>
        <v>--</v>
      </c>
      <c r="V37" s="478" t="str">
        <f t="shared" si="9"/>
        <v>--</v>
      </c>
      <c r="W37" s="479" t="str">
        <f t="shared" si="10"/>
        <v>--</v>
      </c>
      <c r="X37" s="480" t="str">
        <f t="shared" si="11"/>
        <v>--</v>
      </c>
      <c r="Y37" s="481" t="str">
        <f t="shared" si="12"/>
        <v>--</v>
      </c>
      <c r="Z37" s="482">
        <f t="shared" si="15"/>
      </c>
      <c r="AA37" s="38">
        <f t="shared" si="13"/>
      </c>
      <c r="AB37" s="3"/>
    </row>
    <row r="38" spans="2:28" ht="16.5" customHeight="1">
      <c r="B38" s="39"/>
      <c r="C38" s="401"/>
      <c r="D38" s="401"/>
      <c r="E38" s="401"/>
      <c r="F38" s="402"/>
      <c r="G38" s="403"/>
      <c r="H38" s="404"/>
      <c r="I38" s="301">
        <f t="shared" si="0"/>
        <v>36.3549009158325</v>
      </c>
      <c r="J38" s="409"/>
      <c r="K38" s="409"/>
      <c r="L38" s="12">
        <f t="shared" si="1"/>
      </c>
      <c r="M38" s="13">
        <f t="shared" si="2"/>
      </c>
      <c r="N38" s="410"/>
      <c r="O38" s="471">
        <f t="shared" si="14"/>
      </c>
      <c r="P38" s="472" t="str">
        <f t="shared" si="3"/>
        <v>--</v>
      </c>
      <c r="Q38" s="473" t="str">
        <f t="shared" si="4"/>
        <v>--</v>
      </c>
      <c r="R38" s="474" t="str">
        <f t="shared" si="5"/>
        <v>--</v>
      </c>
      <c r="S38" s="475" t="str">
        <f t="shared" si="6"/>
        <v>--</v>
      </c>
      <c r="T38" s="476" t="str">
        <f t="shared" si="7"/>
        <v>--</v>
      </c>
      <c r="U38" s="477" t="str">
        <f t="shared" si="8"/>
        <v>--</v>
      </c>
      <c r="V38" s="478" t="str">
        <f t="shared" si="9"/>
        <v>--</v>
      </c>
      <c r="W38" s="479" t="str">
        <f t="shared" si="10"/>
        <v>--</v>
      </c>
      <c r="X38" s="480" t="str">
        <f t="shared" si="11"/>
        <v>--</v>
      </c>
      <c r="Y38" s="481" t="str">
        <f t="shared" si="12"/>
        <v>--</v>
      </c>
      <c r="Z38" s="482">
        <f t="shared" si="15"/>
      </c>
      <c r="AA38" s="38">
        <f t="shared" si="13"/>
      </c>
      <c r="AB38" s="3"/>
    </row>
    <row r="39" spans="2:28" ht="16.5" customHeight="1">
      <c r="B39" s="39"/>
      <c r="C39" s="401"/>
      <c r="D39" s="401"/>
      <c r="E39" s="401"/>
      <c r="F39" s="402"/>
      <c r="G39" s="403"/>
      <c r="H39" s="404"/>
      <c r="I39" s="301">
        <f>IF(H39&gt;25,H39,25)*IF(G39=330,$G$16,$G$17)/100</f>
        <v>36.3549009158325</v>
      </c>
      <c r="J39" s="409"/>
      <c r="K39" s="409"/>
      <c r="L39" s="12">
        <f>IF(F39="","",(K39-J39)*24)</f>
      </c>
      <c r="M39" s="13">
        <f>IF(F39="","",ROUND((K39-J39)*24*60,0))</f>
      </c>
      <c r="N39" s="410"/>
      <c r="O39" s="471">
        <f>IF(F39="","","--")</f>
      </c>
      <c r="P39" s="472" t="str">
        <f>IF(N39="P",ROUND(M39/60,2)*I39*$L$17*0.01,"--")</f>
        <v>--</v>
      </c>
      <c r="Q39" s="473" t="str">
        <f>IF(N39="RP",ROUND(M39/60,2)*I39*$L$17*0.01*O39/100,"--")</f>
        <v>--</v>
      </c>
      <c r="R39" s="474" t="str">
        <f>IF(N39="F",I39*$L$17,"--")</f>
        <v>--</v>
      </c>
      <c r="S39" s="475" t="str">
        <f>IF(AND(M39&gt;10,N39="F"),I39*$L$17*IF(M39&gt;180,3,ROUND(M39/60,2)),"--")</f>
        <v>--</v>
      </c>
      <c r="T39" s="476" t="str">
        <f>IF(AND(M39&gt;180,N39="F"),(ROUND(M39/60,2)-3)*I39*$L$17*0.1,"--")</f>
        <v>--</v>
      </c>
      <c r="U39" s="477" t="str">
        <f>IF(N39="R",I39*$L$17*O39/100,"--")</f>
        <v>--</v>
      </c>
      <c r="V39" s="478" t="str">
        <f>IF(AND(M39&gt;10,N39="R"),I39*$L$17*O39/100*IF(M39&gt;180,3,ROUND(M39/60,2)),"--")</f>
        <v>--</v>
      </c>
      <c r="W39" s="479" t="str">
        <f>IF(AND(M39&gt;180,N39="R"),(ROUND(M39/60,2)-3)*O39/100*I39*$L$17*0.1,"--")</f>
        <v>--</v>
      </c>
      <c r="X39" s="480" t="str">
        <f>IF(N39="RF",ROUND(M39/60,2)*I39*$L$17*0.1,"--")</f>
        <v>--</v>
      </c>
      <c r="Y39" s="481" t="str">
        <f>IF(N39="RR",ROUND(M39/60,2)*O39/100*I39*$L$17*0.1,"--")</f>
        <v>--</v>
      </c>
      <c r="Z39" s="482">
        <f>IF(F39="","","SI")</f>
      </c>
      <c r="AA39" s="38">
        <f>IF(F39="","",SUM(P39:Y39)*IF(Z39="SI",1,2))</f>
      </c>
      <c r="AB39" s="3"/>
    </row>
    <row r="40" spans="2:28" ht="16.5" customHeight="1">
      <c r="B40" s="39"/>
      <c r="C40" s="401"/>
      <c r="D40" s="401"/>
      <c r="E40" s="401"/>
      <c r="F40" s="402"/>
      <c r="G40" s="403"/>
      <c r="H40" s="404"/>
      <c r="I40" s="301">
        <f>IF(H40&gt;25,H40,25)*IF(G40=330,$G$16,$G$17)/100</f>
        <v>36.3549009158325</v>
      </c>
      <c r="J40" s="409"/>
      <c r="K40" s="409"/>
      <c r="L40" s="12">
        <f>IF(F40="","",(K40-J40)*24)</f>
      </c>
      <c r="M40" s="13">
        <f>IF(F40="","",ROUND((K40-J40)*24*60,0))</f>
      </c>
      <c r="N40" s="410"/>
      <c r="O40" s="471">
        <f>IF(F40="","","--")</f>
      </c>
      <c r="P40" s="472" t="str">
        <f>IF(N40="P",ROUND(M40/60,2)*I40*$L$17*0.01,"--")</f>
        <v>--</v>
      </c>
      <c r="Q40" s="473" t="str">
        <f>IF(N40="RP",ROUND(M40/60,2)*I40*$L$17*0.01*O40/100,"--")</f>
        <v>--</v>
      </c>
      <c r="R40" s="474" t="str">
        <f>IF(N40="F",I40*$L$17,"--")</f>
        <v>--</v>
      </c>
      <c r="S40" s="475" t="str">
        <f>IF(AND(M40&gt;10,N40="F"),I40*$L$17*IF(M40&gt;180,3,ROUND(M40/60,2)),"--")</f>
        <v>--</v>
      </c>
      <c r="T40" s="476" t="str">
        <f>IF(AND(M40&gt;180,N40="F"),(ROUND(M40/60,2)-3)*I40*$L$17*0.1,"--")</f>
        <v>--</v>
      </c>
      <c r="U40" s="477" t="str">
        <f>IF(N40="R",I40*$L$17*O40/100,"--")</f>
        <v>--</v>
      </c>
      <c r="V40" s="478" t="str">
        <f>IF(AND(M40&gt;10,N40="R"),I40*$L$17*O40/100*IF(M40&gt;180,3,ROUND(M40/60,2)),"--")</f>
        <v>--</v>
      </c>
      <c r="W40" s="479" t="str">
        <f>IF(AND(M40&gt;180,N40="R"),(ROUND(M40/60,2)-3)*O40/100*I40*$L$17*0.1,"--")</f>
        <v>--</v>
      </c>
      <c r="X40" s="480" t="str">
        <f>IF(N40="RF",ROUND(M40/60,2)*I40*$L$17*0.1,"--")</f>
        <v>--</v>
      </c>
      <c r="Y40" s="481" t="str">
        <f>IF(N40="RR",ROUND(M40/60,2)*O40/100*I40*$L$17*0.1,"--")</f>
        <v>--</v>
      </c>
      <c r="Z40" s="482">
        <f>IF(F40="","","SI")</f>
      </c>
      <c r="AA40" s="38">
        <f>IF(F40="","",SUM(P40:Y40)*IF(Z40="SI",1,2))</f>
      </c>
      <c r="AB40" s="3"/>
    </row>
    <row r="41" spans="2:28" ht="16.5" customHeight="1">
      <c r="B41" s="39"/>
      <c r="C41" s="401"/>
      <c r="D41" s="401"/>
      <c r="E41" s="401"/>
      <c r="F41" s="402"/>
      <c r="G41" s="403"/>
      <c r="H41" s="404"/>
      <c r="I41" s="301">
        <f>IF(H41&gt;25,H41,25)*IF(G41=330,$G$16,$G$17)/100</f>
        <v>36.3549009158325</v>
      </c>
      <c r="J41" s="409"/>
      <c r="K41" s="409"/>
      <c r="L41" s="12">
        <f>IF(F41="","",(K41-J41)*24)</f>
      </c>
      <c r="M41" s="13">
        <f>IF(F41="","",ROUND((K41-J41)*24*60,0))</f>
      </c>
      <c r="N41" s="410"/>
      <c r="O41" s="471">
        <f>IF(F41="","","--")</f>
      </c>
      <c r="P41" s="472" t="str">
        <f>IF(N41="P",ROUND(M41/60,2)*I41*$L$17*0.01,"--")</f>
        <v>--</v>
      </c>
      <c r="Q41" s="473" t="str">
        <f>IF(N41="RP",ROUND(M41/60,2)*I41*$L$17*0.01*O41/100,"--")</f>
        <v>--</v>
      </c>
      <c r="R41" s="474" t="str">
        <f>IF(N41="F",I41*$L$17,"--")</f>
        <v>--</v>
      </c>
      <c r="S41" s="475" t="str">
        <f>IF(AND(M41&gt;10,N41="F"),I41*$L$17*IF(M41&gt;180,3,ROUND(M41/60,2)),"--")</f>
        <v>--</v>
      </c>
      <c r="T41" s="476" t="str">
        <f>IF(AND(M41&gt;180,N41="F"),(ROUND(M41/60,2)-3)*I41*$L$17*0.1,"--")</f>
        <v>--</v>
      </c>
      <c r="U41" s="477" t="str">
        <f>IF(N41="R",I41*$L$17*O41/100,"--")</f>
        <v>--</v>
      </c>
      <c r="V41" s="478" t="str">
        <f>IF(AND(M41&gt;10,N41="R"),I41*$L$17*O41/100*IF(M41&gt;180,3,ROUND(M41/60,2)),"--")</f>
        <v>--</v>
      </c>
      <c r="W41" s="479" t="str">
        <f>IF(AND(M41&gt;180,N41="R"),(ROUND(M41/60,2)-3)*O41/100*I41*$L$17*0.1,"--")</f>
        <v>--</v>
      </c>
      <c r="X41" s="480" t="str">
        <f>IF(N41="RF",ROUND(M41/60,2)*I41*$L$17*0.1,"--")</f>
        <v>--</v>
      </c>
      <c r="Y41" s="481" t="str">
        <f>IF(N41="RR",ROUND(M41/60,2)*O41/100*I41*$L$17*0.1,"--")</f>
        <v>--</v>
      </c>
      <c r="Z41" s="482">
        <f>IF(F41="","","SI")</f>
      </c>
      <c r="AA41" s="38">
        <f>IF(F41="","",SUM(P41:Y41)*IF(Z41="SI",1,2))</f>
      </c>
      <c r="AB41" s="3"/>
    </row>
    <row r="42" spans="1:28" ht="16.5" customHeight="1" thickBot="1">
      <c r="A42" s="1"/>
      <c r="B42" s="2"/>
      <c r="C42" s="405"/>
      <c r="D42" s="405"/>
      <c r="E42" s="405"/>
      <c r="F42" s="406"/>
      <c r="G42" s="407"/>
      <c r="H42" s="408"/>
      <c r="I42" s="302"/>
      <c r="J42" s="408"/>
      <c r="K42" s="408"/>
      <c r="L42" s="14"/>
      <c r="M42" s="14"/>
      <c r="N42" s="408"/>
      <c r="O42" s="411"/>
      <c r="P42" s="412"/>
      <c r="Q42" s="413"/>
      <c r="R42" s="414"/>
      <c r="S42" s="415"/>
      <c r="T42" s="416"/>
      <c r="U42" s="417"/>
      <c r="V42" s="418"/>
      <c r="W42" s="419"/>
      <c r="X42" s="420"/>
      <c r="Y42" s="421"/>
      <c r="Z42" s="422"/>
      <c r="AA42" s="40"/>
      <c r="AB42" s="3"/>
    </row>
    <row r="43" spans="1:28" ht="16.5" customHeight="1" thickBot="1" thickTop="1">
      <c r="A43" s="1"/>
      <c r="B43" s="2"/>
      <c r="C43" s="190" t="s">
        <v>54</v>
      </c>
      <c r="D43" s="493" t="s">
        <v>125</v>
      </c>
      <c r="E43" s="466"/>
      <c r="F43" s="191"/>
      <c r="G43" s="15"/>
      <c r="H43" s="16"/>
      <c r="I43" s="41"/>
      <c r="J43" s="41"/>
      <c r="K43" s="41"/>
      <c r="L43" s="41"/>
      <c r="M43" s="41"/>
      <c r="N43" s="41"/>
      <c r="O43" s="42"/>
      <c r="P43" s="270">
        <f aca="true" t="shared" si="16" ref="P43:Y43">ROUND(SUM(P20:P42),2)</f>
        <v>667.8</v>
      </c>
      <c r="Q43" s="271">
        <f t="shared" si="16"/>
        <v>0</v>
      </c>
      <c r="R43" s="272">
        <f t="shared" si="16"/>
        <v>0</v>
      </c>
      <c r="S43" s="272">
        <f t="shared" si="16"/>
        <v>0</v>
      </c>
      <c r="T43" s="273">
        <f t="shared" si="16"/>
        <v>0</v>
      </c>
      <c r="U43" s="274">
        <f t="shared" si="16"/>
        <v>0</v>
      </c>
      <c r="V43" s="274">
        <f t="shared" si="16"/>
        <v>0</v>
      </c>
      <c r="W43" s="275">
        <f t="shared" si="16"/>
        <v>0</v>
      </c>
      <c r="X43" s="276">
        <f t="shared" si="16"/>
        <v>0</v>
      </c>
      <c r="Y43" s="277">
        <f t="shared" si="16"/>
        <v>0</v>
      </c>
      <c r="Z43" s="43"/>
      <c r="AA43" s="470">
        <f>ROUND(SUM(AA20:AA42),2)</f>
        <v>667.8</v>
      </c>
      <c r="AB43" s="44"/>
    </row>
    <row r="44" spans="1:28" s="205" customFormat="1" ht="9.75" thickTop="1">
      <c r="A44" s="194"/>
      <c r="B44" s="195"/>
      <c r="C44" s="192"/>
      <c r="D44" s="192"/>
      <c r="E44" s="192"/>
      <c r="F44" s="193"/>
      <c r="G44" s="196"/>
      <c r="H44" s="197"/>
      <c r="I44" s="198"/>
      <c r="J44" s="198"/>
      <c r="K44" s="198"/>
      <c r="L44" s="198"/>
      <c r="M44" s="198"/>
      <c r="N44" s="198"/>
      <c r="O44" s="199"/>
      <c r="P44" s="200"/>
      <c r="Q44" s="200"/>
      <c r="R44" s="201"/>
      <c r="S44" s="201"/>
      <c r="T44" s="202"/>
      <c r="U44" s="202"/>
      <c r="V44" s="202"/>
      <c r="W44" s="202"/>
      <c r="X44" s="202"/>
      <c r="Y44" s="202"/>
      <c r="Z44" s="202"/>
      <c r="AA44" s="203"/>
      <c r="AB44" s="204"/>
    </row>
    <row r="45" spans="1:28" s="10" customFormat="1" ht="16.5" customHeight="1" thickBot="1">
      <c r="A45" s="8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3"/>
  <headerFooter alignWithMargins="0">
    <oddFooter>&amp;L&amp;"Times New Roman,Normal"&amp;8&amp;Z&amp;F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1"/>
  <sheetViews>
    <sheetView zoomScale="70" zoomScaleNormal="70" zoomScalePageLayoutView="0" workbookViewId="0" topLeftCell="A1">
      <selection activeCell="A22" sqref="A22:IV23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45.7109375" style="0" customWidth="1"/>
    <col min="7" max="8" width="9.7109375" style="0" customWidth="1"/>
    <col min="9" max="9" width="12.7109375" style="0" hidden="1" customWidth="1"/>
    <col min="10" max="11" width="15.7109375" style="0" customWidth="1"/>
    <col min="12" max="14" width="9.7109375" style="0" customWidth="1"/>
    <col min="15" max="15" width="14.140625" style="0" customWidth="1"/>
    <col min="16" max="25" width="14.140625" style="0" hidden="1" customWidth="1"/>
    <col min="26" max="26" width="14.140625" style="0" customWidth="1"/>
    <col min="27" max="27" width="15.7109375" style="0" customWidth="1"/>
    <col min="28" max="28" width="4.140625" style="0" customWidth="1"/>
  </cols>
  <sheetData>
    <row r="1" s="100" customFormat="1" ht="26.25">
      <c r="AB1" s="311"/>
    </row>
    <row r="2" spans="2:28" s="100" customFormat="1" ht="26.25">
      <c r="B2" s="101" t="str">
        <f>'TOT-1013'!B2</f>
        <v>ANEXO IV al Memorándum  D.T.E.E.  N°      598     / 2014.-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</row>
    <row r="3" s="10" customFormat="1" ht="12.75"/>
    <row r="4" spans="1:4" s="103" customFormat="1" ht="11.25">
      <c r="A4" s="469" t="s">
        <v>16</v>
      </c>
      <c r="C4" s="468"/>
      <c r="D4" s="468"/>
    </row>
    <row r="5" spans="1:4" s="103" customFormat="1" ht="11.25">
      <c r="A5" s="469" t="s">
        <v>110</v>
      </c>
      <c r="C5" s="468"/>
      <c r="D5" s="468"/>
    </row>
    <row r="6" s="10" customFormat="1" ht="13.5" thickBot="1"/>
    <row r="7" spans="1:28" s="10" customFormat="1" ht="13.5" thickTop="1">
      <c r="A7" s="8"/>
      <c r="B7" s="24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6"/>
    </row>
    <row r="8" spans="1:28" s="105" customFormat="1" ht="20.25">
      <c r="A8" s="28"/>
      <c r="B8" s="104"/>
      <c r="C8" s="28"/>
      <c r="D8" s="28"/>
      <c r="E8" s="28"/>
      <c r="F8" s="17" t="s">
        <v>30</v>
      </c>
      <c r="G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106"/>
    </row>
    <row r="9" spans="1:28" s="10" customFormat="1" ht="12.75">
      <c r="A9" s="8"/>
      <c r="B9" s="27"/>
      <c r="C9" s="8"/>
      <c r="D9" s="8"/>
      <c r="E9" s="8"/>
      <c r="F9" s="117"/>
      <c r="G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1"/>
    </row>
    <row r="10" spans="1:28" s="105" customFormat="1" ht="20.25">
      <c r="A10" s="28"/>
      <c r="B10" s="104"/>
      <c r="C10" s="28"/>
      <c r="D10" s="28"/>
      <c r="E10" s="28"/>
      <c r="F10" s="17" t="s">
        <v>107</v>
      </c>
      <c r="G10" s="17"/>
      <c r="H10" s="28"/>
      <c r="I10" s="107"/>
      <c r="J10" s="107"/>
      <c r="K10" s="107"/>
      <c r="L10" s="107"/>
      <c r="M10" s="107"/>
      <c r="N10" s="107"/>
      <c r="O10" s="107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106"/>
    </row>
    <row r="11" spans="1:28" s="10" customFormat="1" ht="12.75">
      <c r="A11" s="8"/>
      <c r="B11" s="27"/>
      <c r="C11" s="8"/>
      <c r="D11" s="8"/>
      <c r="E11" s="8"/>
      <c r="F11" s="116"/>
      <c r="G11" s="114"/>
      <c r="H11" s="8"/>
      <c r="I11" s="113"/>
      <c r="J11" s="113"/>
      <c r="K11" s="113"/>
      <c r="L11" s="113"/>
      <c r="M11" s="113"/>
      <c r="N11" s="113"/>
      <c r="O11" s="113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11"/>
    </row>
    <row r="12" spans="1:28" s="112" customFormat="1" ht="19.5">
      <c r="A12" s="30"/>
      <c r="B12" s="79" t="str">
        <f>+'TOT-1013'!B14</f>
        <v>Desde el 01 al 31 de octubre de 2013</v>
      </c>
      <c r="C12" s="108"/>
      <c r="D12" s="108"/>
      <c r="E12" s="108"/>
      <c r="F12" s="108"/>
      <c r="G12" s="109"/>
      <c r="H12" s="109"/>
      <c r="I12" s="110"/>
      <c r="J12" s="110"/>
      <c r="K12" s="110"/>
      <c r="L12" s="110"/>
      <c r="M12" s="110"/>
      <c r="N12" s="110"/>
      <c r="O12" s="110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11"/>
    </row>
    <row r="13" spans="1:28" s="112" customFormat="1" ht="7.5" customHeight="1">
      <c r="A13" s="30"/>
      <c r="B13" s="79"/>
      <c r="C13" s="108"/>
      <c r="D13" s="108"/>
      <c r="E13" s="108"/>
      <c r="F13" s="108"/>
      <c r="G13" s="109"/>
      <c r="H13" s="109"/>
      <c r="I13" s="110"/>
      <c r="J13" s="110"/>
      <c r="K13" s="110"/>
      <c r="L13" s="110"/>
      <c r="M13" s="110"/>
      <c r="N13" s="110"/>
      <c r="O13" s="110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11"/>
    </row>
    <row r="14" spans="1:28" s="10" customFormat="1" ht="7.5" customHeight="1" thickBot="1">
      <c r="A14" s="8"/>
      <c r="B14" s="27"/>
      <c r="C14" s="8"/>
      <c r="D14" s="8"/>
      <c r="E14" s="8"/>
      <c r="F14" s="8"/>
      <c r="G14" s="114"/>
      <c r="H14" s="115"/>
      <c r="I14" s="113"/>
      <c r="J14" s="113"/>
      <c r="K14" s="113"/>
      <c r="L14" s="113"/>
      <c r="M14" s="113"/>
      <c r="N14" s="113"/>
      <c r="O14" s="113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11"/>
    </row>
    <row r="15" spans="1:28" s="86" customFormat="1" ht="16.5" customHeight="1" thickBot="1" thickTop="1">
      <c r="A15" s="83"/>
      <c r="B15" s="84"/>
      <c r="C15" s="83"/>
      <c r="D15" s="83"/>
      <c r="E15" s="83"/>
      <c r="F15" s="398" t="s">
        <v>33</v>
      </c>
      <c r="G15" s="399" t="s">
        <v>126</v>
      </c>
      <c r="H15" s="188"/>
      <c r="I15" s="87"/>
      <c r="J15" s="87"/>
      <c r="K15" s="87"/>
      <c r="L15" s="87"/>
      <c r="M15" s="87"/>
      <c r="N15" s="87"/>
      <c r="O15" s="87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5"/>
    </row>
    <row r="16" spans="1:28" s="86" customFormat="1" ht="16.5" customHeight="1" thickBot="1" thickTop="1">
      <c r="A16" s="83"/>
      <c r="B16" s="84"/>
      <c r="C16" s="83"/>
      <c r="D16" s="83"/>
      <c r="E16" s="83"/>
      <c r="F16" s="398" t="s">
        <v>34</v>
      </c>
      <c r="G16" s="695">
        <v>145.41960366333</v>
      </c>
      <c r="H16" s="189"/>
      <c r="I16" s="83"/>
      <c r="K16" s="88" t="s">
        <v>35</v>
      </c>
      <c r="L16" s="89">
        <f>30*'TOT-1013'!B13</f>
        <v>30</v>
      </c>
      <c r="M16" s="185" t="str">
        <f>IF(L16=30," ",IF(L16=60,"Coeficiente duplicado por tasa de falla &gt;4 Sal. x año/100 km.","REVISAR COEFICIENTE"))</f>
        <v> </v>
      </c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5"/>
    </row>
    <row r="17" spans="1:28" s="86" customFormat="1" ht="7.5" customHeight="1" thickTop="1">
      <c r="A17" s="83"/>
      <c r="B17" s="84"/>
      <c r="C17" s="83"/>
      <c r="D17" s="83"/>
      <c r="E17" s="83"/>
      <c r="F17" s="460"/>
      <c r="G17" s="461"/>
      <c r="H17" s="462"/>
      <c r="I17" s="83"/>
      <c r="K17" s="88"/>
      <c r="L17" s="89"/>
      <c r="M17" s="185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5"/>
    </row>
    <row r="18" spans="1:28" s="492" customFormat="1" ht="15" customHeight="1" thickBot="1">
      <c r="A18" s="488"/>
      <c r="B18" s="489"/>
      <c r="C18" s="490">
        <v>3</v>
      </c>
      <c r="D18" s="490">
        <v>4</v>
      </c>
      <c r="E18" s="490">
        <v>5</v>
      </c>
      <c r="F18" s="490">
        <v>6</v>
      </c>
      <c r="G18" s="490">
        <v>7</v>
      </c>
      <c r="H18" s="490">
        <v>8</v>
      </c>
      <c r="I18" s="490">
        <v>9</v>
      </c>
      <c r="J18" s="490">
        <v>10</v>
      </c>
      <c r="K18" s="490">
        <v>11</v>
      </c>
      <c r="L18" s="490">
        <v>12</v>
      </c>
      <c r="M18" s="490">
        <v>13</v>
      </c>
      <c r="N18" s="490">
        <v>14</v>
      </c>
      <c r="O18" s="490">
        <v>15</v>
      </c>
      <c r="P18" s="490">
        <v>16</v>
      </c>
      <c r="Q18" s="490">
        <v>17</v>
      </c>
      <c r="R18" s="490">
        <v>18</v>
      </c>
      <c r="S18" s="490">
        <v>19</v>
      </c>
      <c r="T18" s="490">
        <v>20</v>
      </c>
      <c r="U18" s="490">
        <v>21</v>
      </c>
      <c r="V18" s="490">
        <v>22</v>
      </c>
      <c r="W18" s="490">
        <v>23</v>
      </c>
      <c r="X18" s="490">
        <v>24</v>
      </c>
      <c r="Y18" s="490">
        <v>25</v>
      </c>
      <c r="Z18" s="490">
        <v>26</v>
      </c>
      <c r="AA18" s="490">
        <v>27</v>
      </c>
      <c r="AB18" s="491"/>
    </row>
    <row r="19" spans="1:28" s="99" customFormat="1" ht="33.75" customHeight="1" thickBot="1" thickTop="1">
      <c r="A19" s="90"/>
      <c r="B19" s="91"/>
      <c r="C19" s="92" t="s">
        <v>36</v>
      </c>
      <c r="D19" s="92" t="s">
        <v>109</v>
      </c>
      <c r="E19" s="92" t="s">
        <v>108</v>
      </c>
      <c r="F19" s="93" t="s">
        <v>19</v>
      </c>
      <c r="G19" s="94" t="s">
        <v>37</v>
      </c>
      <c r="H19" s="95" t="s">
        <v>38</v>
      </c>
      <c r="I19" s="212" t="s">
        <v>39</v>
      </c>
      <c r="J19" s="93" t="s">
        <v>40</v>
      </c>
      <c r="K19" s="93" t="s">
        <v>41</v>
      </c>
      <c r="L19" s="94" t="s">
        <v>42</v>
      </c>
      <c r="M19" s="94" t="s">
        <v>43</v>
      </c>
      <c r="N19" s="96" t="s">
        <v>44</v>
      </c>
      <c r="O19" s="94" t="s">
        <v>45</v>
      </c>
      <c r="P19" s="237" t="s">
        <v>46</v>
      </c>
      <c r="Q19" s="240" t="s">
        <v>47</v>
      </c>
      <c r="R19" s="243" t="s">
        <v>48</v>
      </c>
      <c r="S19" s="244"/>
      <c r="T19" s="245"/>
      <c r="U19" s="254" t="s">
        <v>49</v>
      </c>
      <c r="V19" s="255"/>
      <c r="W19" s="256"/>
      <c r="X19" s="264" t="s">
        <v>50</v>
      </c>
      <c r="Y19" s="267" t="s">
        <v>51</v>
      </c>
      <c r="Z19" s="97" t="s">
        <v>52</v>
      </c>
      <c r="AA19" s="97" t="s">
        <v>53</v>
      </c>
      <c r="AB19" s="98"/>
    </row>
    <row r="20" spans="1:28" ht="16.5" customHeight="1" thickTop="1">
      <c r="A20" s="1"/>
      <c r="B20" s="2"/>
      <c r="C20" s="34"/>
      <c r="D20" s="80"/>
      <c r="E20" s="80"/>
      <c r="F20" s="35"/>
      <c r="G20" s="36"/>
      <c r="H20" s="36"/>
      <c r="I20" s="213"/>
      <c r="J20" s="36"/>
      <c r="K20" s="37"/>
      <c r="L20" s="37"/>
      <c r="M20" s="37"/>
      <c r="N20" s="35"/>
      <c r="O20" s="36"/>
      <c r="P20" s="238"/>
      <c r="Q20" s="241"/>
      <c r="R20" s="246"/>
      <c r="S20" s="247"/>
      <c r="T20" s="248"/>
      <c r="U20" s="257"/>
      <c r="V20" s="258"/>
      <c r="W20" s="259"/>
      <c r="X20" s="265"/>
      <c r="Y20" s="268"/>
      <c r="Z20" s="252"/>
      <c r="AA20" s="37"/>
      <c r="AB20" s="3"/>
    </row>
    <row r="21" spans="1:28" ht="16.5" customHeight="1">
      <c r="A21" s="1"/>
      <c r="B21" s="2"/>
      <c r="C21" s="34"/>
      <c r="D21" s="34"/>
      <c r="E21" s="34"/>
      <c r="F21" s="34"/>
      <c r="G21" s="81"/>
      <c r="H21" s="81"/>
      <c r="I21" s="214"/>
      <c r="J21" s="34"/>
      <c r="K21" s="82"/>
      <c r="L21" s="82"/>
      <c r="M21" s="82"/>
      <c r="N21" s="80"/>
      <c r="O21" s="34"/>
      <c r="P21" s="239"/>
      <c r="Q21" s="242"/>
      <c r="R21" s="249"/>
      <c r="S21" s="250"/>
      <c r="T21" s="251"/>
      <c r="U21" s="260"/>
      <c r="V21" s="261"/>
      <c r="W21" s="262"/>
      <c r="X21" s="266"/>
      <c r="Y21" s="269"/>
      <c r="Z21" s="253"/>
      <c r="AA21" s="82"/>
      <c r="AB21" s="3"/>
    </row>
    <row r="22" spans="1:28" ht="16.5" customHeight="1">
      <c r="A22" s="1"/>
      <c r="B22" s="2"/>
      <c r="C22" s="401">
        <v>4</v>
      </c>
      <c r="D22" s="401">
        <v>266833</v>
      </c>
      <c r="E22" s="401">
        <v>1634</v>
      </c>
      <c r="F22" s="402" t="s">
        <v>121</v>
      </c>
      <c r="G22" s="403">
        <v>132</v>
      </c>
      <c r="H22" s="404">
        <v>23</v>
      </c>
      <c r="I22" s="215">
        <f>IF(H22&gt;25,H22,25)*IF(G22=330,$G$15,$G$16)/100</f>
        <v>36.3549009158325</v>
      </c>
      <c r="J22" s="409">
        <v>41570.379166666666</v>
      </c>
      <c r="K22" s="409">
        <v>41570.697222222225</v>
      </c>
      <c r="L22" s="12">
        <f aca="true" t="shared" si="0" ref="L22:L41">IF(F22="","",(K22-J22)*24)</f>
        <v>7.633333333418705</v>
      </c>
      <c r="M22" s="13">
        <f aca="true" t="shared" si="1" ref="M22:M41">IF(F22="","",ROUND((K22-J22)*24*60,0))</f>
        <v>458</v>
      </c>
      <c r="N22" s="410" t="s">
        <v>116</v>
      </c>
      <c r="O22" s="483" t="s">
        <v>118</v>
      </c>
      <c r="P22" s="472">
        <f aca="true" t="shared" si="2" ref="P22:P41">IF(N22="P",ROUND(M22/60,2)*I22*$L$16*0.01,"--")</f>
        <v>83.2163681963406</v>
      </c>
      <c r="Q22" s="473" t="str">
        <f>IF(N22="RP",ROUND(M22/60,2)*I22*$L$16*0.01*O22/100,"--")</f>
        <v>--</v>
      </c>
      <c r="R22" s="474" t="str">
        <f aca="true" t="shared" si="3" ref="R22:R41">IF(N22="F",I22*$L$16,"--")</f>
        <v>--</v>
      </c>
      <c r="S22" s="475" t="str">
        <f aca="true" t="shared" si="4" ref="S22:S41">IF(AND(M22&gt;10,N22="F"),I22*$L$16*IF(M22&gt;180,3,ROUND(M22/60,2)),"--")</f>
        <v>--</v>
      </c>
      <c r="T22" s="476" t="str">
        <f aca="true" t="shared" si="5" ref="T22:T41">IF(AND(M22&gt;180,N22="F"),(ROUND(M22/60,2)-3)*I22*$L$16*0.1,"--")</f>
        <v>--</v>
      </c>
      <c r="U22" s="477" t="str">
        <f aca="true" t="shared" si="6" ref="U22:U41">IF(N22="R",I22*$L$16*O22/100,"--")</f>
        <v>--</v>
      </c>
      <c r="V22" s="478" t="str">
        <f aca="true" t="shared" si="7" ref="V22:V41">IF(AND(M22&gt;10,N22="R"),I22*$L$16*O22/100*IF(M22&gt;180,3,ROUND(M22/60,2)),"--")</f>
        <v>--</v>
      </c>
      <c r="W22" s="479" t="str">
        <f aca="true" t="shared" si="8" ref="W22:W41">IF(AND(M22&gt;180,N22="R"),(ROUND(M22/60,2)-3)*O22/100*I22*$L$16*0.1,"--")</f>
        <v>--</v>
      </c>
      <c r="X22" s="480" t="str">
        <f aca="true" t="shared" si="9" ref="X22:X41">IF(N22="RF",ROUND(M22/60,2)*I22*$L$16*0.1,"--")</f>
        <v>--</v>
      </c>
      <c r="Y22" s="481" t="str">
        <f aca="true" t="shared" si="10" ref="Y22:Y41">IF(N22="RR",ROUND(M22/60,2)*O22/100*I22*$L$16*0.1,"--")</f>
        <v>--</v>
      </c>
      <c r="Z22" s="482" t="s">
        <v>117</v>
      </c>
      <c r="AA22" s="38">
        <f aca="true" t="shared" si="11" ref="AA22:AA41">IF(F22="","",SUM(P22:Y22)*IF(Z22="SI",1,2))</f>
        <v>83.2163681963406</v>
      </c>
      <c r="AB22" s="3"/>
    </row>
    <row r="23" spans="1:28" ht="16.5" customHeight="1">
      <c r="A23" s="1"/>
      <c r="B23" s="2"/>
      <c r="C23" s="401">
        <v>5</v>
      </c>
      <c r="D23" s="401">
        <v>266834</v>
      </c>
      <c r="E23" s="401">
        <v>1635</v>
      </c>
      <c r="F23" s="402" t="s">
        <v>122</v>
      </c>
      <c r="G23" s="403">
        <v>132</v>
      </c>
      <c r="H23" s="404">
        <v>162.60000610351562</v>
      </c>
      <c r="I23" s="215">
        <f aca="true" t="shared" si="12" ref="I23:I38">IF(H23&gt;25,H23,25)*IF(G23=330,$G$15,$G$16)/100</f>
        <v>236.45228443228282</v>
      </c>
      <c r="J23" s="409">
        <v>41570.379166666666</v>
      </c>
      <c r="K23" s="409">
        <v>41570.697222222225</v>
      </c>
      <c r="L23" s="12">
        <f t="shared" si="0"/>
        <v>7.633333333418705</v>
      </c>
      <c r="M23" s="13">
        <f t="shared" si="1"/>
        <v>458</v>
      </c>
      <c r="N23" s="410" t="s">
        <v>116</v>
      </c>
      <c r="O23" s="483" t="s">
        <v>118</v>
      </c>
      <c r="P23" s="472">
        <f t="shared" si="2"/>
        <v>541.2392790654953</v>
      </c>
      <c r="Q23" s="473" t="str">
        <f aca="true" t="shared" si="13" ref="Q23:Q38">IF(N23="RP",ROUND(M23/60,2)*I23*$L$16*0.01*O23/100,"--")</f>
        <v>--</v>
      </c>
      <c r="R23" s="474" t="str">
        <f t="shared" si="3"/>
        <v>--</v>
      </c>
      <c r="S23" s="475" t="str">
        <f t="shared" si="4"/>
        <v>--</v>
      </c>
      <c r="T23" s="476" t="str">
        <f t="shared" si="5"/>
        <v>--</v>
      </c>
      <c r="U23" s="477" t="str">
        <f t="shared" si="6"/>
        <v>--</v>
      </c>
      <c r="V23" s="478" t="str">
        <f t="shared" si="7"/>
        <v>--</v>
      </c>
      <c r="W23" s="479" t="str">
        <f t="shared" si="8"/>
        <v>--</v>
      </c>
      <c r="X23" s="480" t="str">
        <f t="shared" si="9"/>
        <v>--</v>
      </c>
      <c r="Y23" s="481" t="str">
        <f t="shared" si="10"/>
        <v>--</v>
      </c>
      <c r="Z23" s="482" t="s">
        <v>117</v>
      </c>
      <c r="AA23" s="38">
        <f t="shared" si="11"/>
        <v>541.2392790654953</v>
      </c>
      <c r="AB23" s="3"/>
    </row>
    <row r="24" spans="1:28" ht="16.5" customHeight="1">
      <c r="A24" s="1"/>
      <c r="B24" s="2"/>
      <c r="C24" s="401"/>
      <c r="D24" s="401"/>
      <c r="E24" s="401"/>
      <c r="F24" s="402"/>
      <c r="G24" s="403"/>
      <c r="H24" s="404"/>
      <c r="I24" s="215">
        <f t="shared" si="12"/>
        <v>36.3549009158325</v>
      </c>
      <c r="J24" s="409"/>
      <c r="K24" s="409"/>
      <c r="L24" s="12">
        <f t="shared" si="0"/>
      </c>
      <c r="M24" s="13">
        <f t="shared" si="1"/>
      </c>
      <c r="N24" s="410"/>
      <c r="O24" s="471">
        <f aca="true" t="shared" si="14" ref="O24:O41">IF(F24="","","--")</f>
      </c>
      <c r="P24" s="472" t="str">
        <f t="shared" si="2"/>
        <v>--</v>
      </c>
      <c r="Q24" s="473" t="str">
        <f t="shared" si="13"/>
        <v>--</v>
      </c>
      <c r="R24" s="474" t="str">
        <f t="shared" si="3"/>
        <v>--</v>
      </c>
      <c r="S24" s="475" t="str">
        <f t="shared" si="4"/>
        <v>--</v>
      </c>
      <c r="T24" s="476" t="str">
        <f t="shared" si="5"/>
        <v>--</v>
      </c>
      <c r="U24" s="477" t="str">
        <f t="shared" si="6"/>
        <v>--</v>
      </c>
      <c r="V24" s="478" t="str">
        <f t="shared" si="7"/>
        <v>--</v>
      </c>
      <c r="W24" s="479" t="str">
        <f t="shared" si="8"/>
        <v>--</v>
      </c>
      <c r="X24" s="480" t="str">
        <f t="shared" si="9"/>
        <v>--</v>
      </c>
      <c r="Y24" s="481" t="str">
        <f t="shared" si="10"/>
        <v>--</v>
      </c>
      <c r="Z24" s="482">
        <f aca="true" t="shared" si="15" ref="Z24:Z41">IF(F24="","","SI")</f>
      </c>
      <c r="AA24" s="38">
        <f t="shared" si="11"/>
      </c>
      <c r="AB24" s="3"/>
    </row>
    <row r="25" spans="1:28" ht="16.5" customHeight="1">
      <c r="A25" s="1"/>
      <c r="B25" s="2"/>
      <c r="C25" s="401"/>
      <c r="D25" s="401"/>
      <c r="E25" s="401"/>
      <c r="F25" s="402"/>
      <c r="G25" s="403"/>
      <c r="H25" s="404"/>
      <c r="I25" s="215">
        <f t="shared" si="12"/>
        <v>36.3549009158325</v>
      </c>
      <c r="J25" s="409"/>
      <c r="K25" s="409"/>
      <c r="L25" s="12">
        <f t="shared" si="0"/>
      </c>
      <c r="M25" s="13">
        <f t="shared" si="1"/>
      </c>
      <c r="N25" s="410"/>
      <c r="O25" s="471">
        <f t="shared" si="14"/>
      </c>
      <c r="P25" s="472" t="str">
        <f t="shared" si="2"/>
        <v>--</v>
      </c>
      <c r="Q25" s="473" t="str">
        <f t="shared" si="13"/>
        <v>--</v>
      </c>
      <c r="R25" s="474" t="str">
        <f t="shared" si="3"/>
        <v>--</v>
      </c>
      <c r="S25" s="475" t="str">
        <f t="shared" si="4"/>
        <v>--</v>
      </c>
      <c r="T25" s="476" t="str">
        <f t="shared" si="5"/>
        <v>--</v>
      </c>
      <c r="U25" s="477" t="str">
        <f t="shared" si="6"/>
        <v>--</v>
      </c>
      <c r="V25" s="478" t="str">
        <f t="shared" si="7"/>
        <v>--</v>
      </c>
      <c r="W25" s="479" t="str">
        <f t="shared" si="8"/>
        <v>--</v>
      </c>
      <c r="X25" s="480" t="str">
        <f t="shared" si="9"/>
        <v>--</v>
      </c>
      <c r="Y25" s="481" t="str">
        <f t="shared" si="10"/>
        <v>--</v>
      </c>
      <c r="Z25" s="482">
        <f t="shared" si="15"/>
      </c>
      <c r="AA25" s="38">
        <f t="shared" si="11"/>
      </c>
      <c r="AB25" s="3"/>
    </row>
    <row r="26" spans="1:28" ht="16.5" customHeight="1">
      <c r="A26" s="1"/>
      <c r="B26" s="2"/>
      <c r="C26" s="401"/>
      <c r="D26" s="401"/>
      <c r="E26" s="401"/>
      <c r="F26" s="402"/>
      <c r="G26" s="403"/>
      <c r="H26" s="404"/>
      <c r="I26" s="215">
        <f t="shared" si="12"/>
        <v>36.3549009158325</v>
      </c>
      <c r="J26" s="409"/>
      <c r="K26" s="409"/>
      <c r="L26" s="12">
        <f t="shared" si="0"/>
      </c>
      <c r="M26" s="13">
        <f t="shared" si="1"/>
      </c>
      <c r="N26" s="410"/>
      <c r="O26" s="471">
        <f t="shared" si="14"/>
      </c>
      <c r="P26" s="472" t="str">
        <f t="shared" si="2"/>
        <v>--</v>
      </c>
      <c r="Q26" s="473" t="str">
        <f t="shared" si="13"/>
        <v>--</v>
      </c>
      <c r="R26" s="474" t="str">
        <f t="shared" si="3"/>
        <v>--</v>
      </c>
      <c r="S26" s="475" t="str">
        <f t="shared" si="4"/>
        <v>--</v>
      </c>
      <c r="T26" s="476" t="str">
        <f t="shared" si="5"/>
        <v>--</v>
      </c>
      <c r="U26" s="477" t="str">
        <f t="shared" si="6"/>
        <v>--</v>
      </c>
      <c r="V26" s="478" t="str">
        <f t="shared" si="7"/>
        <v>--</v>
      </c>
      <c r="W26" s="479" t="str">
        <f t="shared" si="8"/>
        <v>--</v>
      </c>
      <c r="X26" s="480" t="str">
        <f t="shared" si="9"/>
        <v>--</v>
      </c>
      <c r="Y26" s="481" t="str">
        <f t="shared" si="10"/>
        <v>--</v>
      </c>
      <c r="Z26" s="482">
        <f t="shared" si="15"/>
      </c>
      <c r="AA26" s="38">
        <f t="shared" si="11"/>
      </c>
      <c r="AB26" s="3"/>
    </row>
    <row r="27" spans="1:28" ht="16.5" customHeight="1">
      <c r="A27" s="1"/>
      <c r="B27" s="2"/>
      <c r="C27" s="401"/>
      <c r="D27" s="401"/>
      <c r="E27" s="401"/>
      <c r="F27" s="402"/>
      <c r="G27" s="403"/>
      <c r="H27" s="404"/>
      <c r="I27" s="215">
        <f t="shared" si="12"/>
        <v>36.3549009158325</v>
      </c>
      <c r="J27" s="409"/>
      <c r="K27" s="409"/>
      <c r="L27" s="12">
        <f t="shared" si="0"/>
      </c>
      <c r="M27" s="13">
        <f t="shared" si="1"/>
      </c>
      <c r="N27" s="410"/>
      <c r="O27" s="471">
        <f t="shared" si="14"/>
      </c>
      <c r="P27" s="472" t="str">
        <f t="shared" si="2"/>
        <v>--</v>
      </c>
      <c r="Q27" s="473" t="str">
        <f t="shared" si="13"/>
        <v>--</v>
      </c>
      <c r="R27" s="474" t="str">
        <f t="shared" si="3"/>
        <v>--</v>
      </c>
      <c r="S27" s="475" t="str">
        <f t="shared" si="4"/>
        <v>--</v>
      </c>
      <c r="T27" s="476" t="str">
        <f t="shared" si="5"/>
        <v>--</v>
      </c>
      <c r="U27" s="477" t="str">
        <f t="shared" si="6"/>
        <v>--</v>
      </c>
      <c r="V27" s="478" t="str">
        <f t="shared" si="7"/>
        <v>--</v>
      </c>
      <c r="W27" s="479" t="str">
        <f t="shared" si="8"/>
        <v>--</v>
      </c>
      <c r="X27" s="480" t="str">
        <f t="shared" si="9"/>
        <v>--</v>
      </c>
      <c r="Y27" s="481" t="str">
        <f t="shared" si="10"/>
        <v>--</v>
      </c>
      <c r="Z27" s="482">
        <f t="shared" si="15"/>
      </c>
      <c r="AA27" s="38">
        <f t="shared" si="11"/>
      </c>
      <c r="AB27" s="3"/>
    </row>
    <row r="28" spans="1:28" ht="16.5" customHeight="1">
      <c r="A28" s="1"/>
      <c r="B28" s="2"/>
      <c r="C28" s="401"/>
      <c r="D28" s="401"/>
      <c r="E28" s="401"/>
      <c r="F28" s="402"/>
      <c r="G28" s="403"/>
      <c r="H28" s="404"/>
      <c r="I28" s="215">
        <f t="shared" si="12"/>
        <v>36.3549009158325</v>
      </c>
      <c r="J28" s="409"/>
      <c r="K28" s="409"/>
      <c r="L28" s="12">
        <f t="shared" si="0"/>
      </c>
      <c r="M28" s="13">
        <f t="shared" si="1"/>
      </c>
      <c r="N28" s="410"/>
      <c r="O28" s="471">
        <f t="shared" si="14"/>
      </c>
      <c r="P28" s="472" t="str">
        <f t="shared" si="2"/>
        <v>--</v>
      </c>
      <c r="Q28" s="473" t="str">
        <f t="shared" si="13"/>
        <v>--</v>
      </c>
      <c r="R28" s="474" t="str">
        <f t="shared" si="3"/>
        <v>--</v>
      </c>
      <c r="S28" s="475" t="str">
        <f t="shared" si="4"/>
        <v>--</v>
      </c>
      <c r="T28" s="476" t="str">
        <f t="shared" si="5"/>
        <v>--</v>
      </c>
      <c r="U28" s="477" t="str">
        <f t="shared" si="6"/>
        <v>--</v>
      </c>
      <c r="V28" s="478" t="str">
        <f t="shared" si="7"/>
        <v>--</v>
      </c>
      <c r="W28" s="479" t="str">
        <f t="shared" si="8"/>
        <v>--</v>
      </c>
      <c r="X28" s="480" t="str">
        <f t="shared" si="9"/>
        <v>--</v>
      </c>
      <c r="Y28" s="481" t="str">
        <f t="shared" si="10"/>
        <v>--</v>
      </c>
      <c r="Z28" s="482">
        <f t="shared" si="15"/>
      </c>
      <c r="AA28" s="38">
        <f t="shared" si="11"/>
      </c>
      <c r="AB28" s="3"/>
    </row>
    <row r="29" spans="1:28" ht="16.5" customHeight="1">
      <c r="A29" s="1"/>
      <c r="B29" s="2"/>
      <c r="C29" s="401"/>
      <c r="D29" s="401"/>
      <c r="E29" s="401"/>
      <c r="F29" s="402"/>
      <c r="G29" s="403"/>
      <c r="H29" s="404"/>
      <c r="I29" s="215">
        <f t="shared" si="12"/>
        <v>36.3549009158325</v>
      </c>
      <c r="J29" s="409"/>
      <c r="K29" s="409"/>
      <c r="L29" s="12">
        <f t="shared" si="0"/>
      </c>
      <c r="M29" s="13">
        <f t="shared" si="1"/>
      </c>
      <c r="N29" s="410"/>
      <c r="O29" s="471">
        <f t="shared" si="14"/>
      </c>
      <c r="P29" s="472" t="str">
        <f t="shared" si="2"/>
        <v>--</v>
      </c>
      <c r="Q29" s="473" t="str">
        <f t="shared" si="13"/>
        <v>--</v>
      </c>
      <c r="R29" s="474" t="str">
        <f t="shared" si="3"/>
        <v>--</v>
      </c>
      <c r="S29" s="475" t="str">
        <f t="shared" si="4"/>
        <v>--</v>
      </c>
      <c r="T29" s="476" t="str">
        <f t="shared" si="5"/>
        <v>--</v>
      </c>
      <c r="U29" s="477" t="str">
        <f t="shared" si="6"/>
        <v>--</v>
      </c>
      <c r="V29" s="478" t="str">
        <f t="shared" si="7"/>
        <v>--</v>
      </c>
      <c r="W29" s="479" t="str">
        <f t="shared" si="8"/>
        <v>--</v>
      </c>
      <c r="X29" s="480" t="str">
        <f t="shared" si="9"/>
        <v>--</v>
      </c>
      <c r="Y29" s="481" t="str">
        <f t="shared" si="10"/>
        <v>--</v>
      </c>
      <c r="Z29" s="482">
        <f t="shared" si="15"/>
      </c>
      <c r="AA29" s="38">
        <f t="shared" si="11"/>
      </c>
      <c r="AB29" s="3"/>
    </row>
    <row r="30" spans="1:28" ht="16.5" customHeight="1">
      <c r="A30" s="1"/>
      <c r="B30" s="2"/>
      <c r="C30" s="401"/>
      <c r="D30" s="401"/>
      <c r="E30" s="401"/>
      <c r="F30" s="402"/>
      <c r="G30" s="403"/>
      <c r="H30" s="404"/>
      <c r="I30" s="215">
        <f t="shared" si="12"/>
        <v>36.3549009158325</v>
      </c>
      <c r="J30" s="409"/>
      <c r="K30" s="409"/>
      <c r="L30" s="12">
        <f t="shared" si="0"/>
      </c>
      <c r="M30" s="13">
        <f t="shared" si="1"/>
      </c>
      <c r="N30" s="410"/>
      <c r="O30" s="471">
        <f t="shared" si="14"/>
      </c>
      <c r="P30" s="472" t="str">
        <f t="shared" si="2"/>
        <v>--</v>
      </c>
      <c r="Q30" s="473" t="str">
        <f t="shared" si="13"/>
        <v>--</v>
      </c>
      <c r="R30" s="474" t="str">
        <f t="shared" si="3"/>
        <v>--</v>
      </c>
      <c r="S30" s="475" t="str">
        <f t="shared" si="4"/>
        <v>--</v>
      </c>
      <c r="T30" s="476" t="str">
        <f t="shared" si="5"/>
        <v>--</v>
      </c>
      <c r="U30" s="477" t="str">
        <f t="shared" si="6"/>
        <v>--</v>
      </c>
      <c r="V30" s="478" t="str">
        <f t="shared" si="7"/>
        <v>--</v>
      </c>
      <c r="W30" s="479" t="str">
        <f t="shared" si="8"/>
        <v>--</v>
      </c>
      <c r="X30" s="480" t="str">
        <f t="shared" si="9"/>
        <v>--</v>
      </c>
      <c r="Y30" s="481" t="str">
        <f t="shared" si="10"/>
        <v>--</v>
      </c>
      <c r="Z30" s="482">
        <f t="shared" si="15"/>
      </c>
      <c r="AA30" s="38">
        <f t="shared" si="11"/>
      </c>
      <c r="AB30" s="3"/>
    </row>
    <row r="31" spans="1:28" ht="16.5" customHeight="1">
      <c r="A31" s="1"/>
      <c r="B31" s="2"/>
      <c r="C31" s="401"/>
      <c r="D31" s="401"/>
      <c r="E31" s="401"/>
      <c r="F31" s="402"/>
      <c r="G31" s="403"/>
      <c r="H31" s="404"/>
      <c r="I31" s="215">
        <f t="shared" si="12"/>
        <v>36.3549009158325</v>
      </c>
      <c r="J31" s="409"/>
      <c r="K31" s="409"/>
      <c r="L31" s="12">
        <f t="shared" si="0"/>
      </c>
      <c r="M31" s="13">
        <f t="shared" si="1"/>
      </c>
      <c r="N31" s="410"/>
      <c r="O31" s="471">
        <f t="shared" si="14"/>
      </c>
      <c r="P31" s="472" t="str">
        <f t="shared" si="2"/>
        <v>--</v>
      </c>
      <c r="Q31" s="473" t="str">
        <f t="shared" si="13"/>
        <v>--</v>
      </c>
      <c r="R31" s="474" t="str">
        <f t="shared" si="3"/>
        <v>--</v>
      </c>
      <c r="S31" s="475" t="str">
        <f t="shared" si="4"/>
        <v>--</v>
      </c>
      <c r="T31" s="476" t="str">
        <f t="shared" si="5"/>
        <v>--</v>
      </c>
      <c r="U31" s="477" t="str">
        <f t="shared" si="6"/>
        <v>--</v>
      </c>
      <c r="V31" s="478" t="str">
        <f t="shared" si="7"/>
        <v>--</v>
      </c>
      <c r="W31" s="479" t="str">
        <f t="shared" si="8"/>
        <v>--</v>
      </c>
      <c r="X31" s="480" t="str">
        <f t="shared" si="9"/>
        <v>--</v>
      </c>
      <c r="Y31" s="481" t="str">
        <f t="shared" si="10"/>
        <v>--</v>
      </c>
      <c r="Z31" s="482">
        <f t="shared" si="15"/>
      </c>
      <c r="AA31" s="38">
        <f t="shared" si="11"/>
      </c>
      <c r="AB31" s="3"/>
    </row>
    <row r="32" spans="1:28" ht="16.5" customHeight="1">
      <c r="A32" s="1"/>
      <c r="B32" s="2"/>
      <c r="C32" s="401"/>
      <c r="D32" s="401"/>
      <c r="E32" s="401"/>
      <c r="F32" s="402"/>
      <c r="G32" s="403"/>
      <c r="H32" s="404"/>
      <c r="I32" s="215">
        <f t="shared" si="12"/>
        <v>36.3549009158325</v>
      </c>
      <c r="J32" s="409"/>
      <c r="K32" s="409"/>
      <c r="L32" s="12">
        <f t="shared" si="0"/>
      </c>
      <c r="M32" s="13">
        <f t="shared" si="1"/>
      </c>
      <c r="N32" s="410"/>
      <c r="O32" s="471">
        <f t="shared" si="14"/>
      </c>
      <c r="P32" s="472" t="str">
        <f t="shared" si="2"/>
        <v>--</v>
      </c>
      <c r="Q32" s="473" t="str">
        <f t="shared" si="13"/>
        <v>--</v>
      </c>
      <c r="R32" s="474" t="str">
        <f t="shared" si="3"/>
        <v>--</v>
      </c>
      <c r="S32" s="475" t="str">
        <f t="shared" si="4"/>
        <v>--</v>
      </c>
      <c r="T32" s="476" t="str">
        <f t="shared" si="5"/>
        <v>--</v>
      </c>
      <c r="U32" s="477" t="str">
        <f t="shared" si="6"/>
        <v>--</v>
      </c>
      <c r="V32" s="478" t="str">
        <f t="shared" si="7"/>
        <v>--</v>
      </c>
      <c r="W32" s="479" t="str">
        <f t="shared" si="8"/>
        <v>--</v>
      </c>
      <c r="X32" s="480" t="str">
        <f t="shared" si="9"/>
        <v>--</v>
      </c>
      <c r="Y32" s="481" t="str">
        <f t="shared" si="10"/>
        <v>--</v>
      </c>
      <c r="Z32" s="482">
        <f t="shared" si="15"/>
      </c>
      <c r="AA32" s="38">
        <f t="shared" si="11"/>
      </c>
      <c r="AB32" s="3"/>
    </row>
    <row r="33" spans="1:28" ht="16.5" customHeight="1">
      <c r="A33" s="1"/>
      <c r="B33" s="2"/>
      <c r="C33" s="401"/>
      <c r="D33" s="401"/>
      <c r="E33" s="401"/>
      <c r="F33" s="402"/>
      <c r="G33" s="403"/>
      <c r="H33" s="404"/>
      <c r="I33" s="215">
        <f t="shared" si="12"/>
        <v>36.3549009158325</v>
      </c>
      <c r="J33" s="409"/>
      <c r="K33" s="409"/>
      <c r="L33" s="12">
        <f t="shared" si="0"/>
      </c>
      <c r="M33" s="13">
        <f t="shared" si="1"/>
      </c>
      <c r="N33" s="410"/>
      <c r="O33" s="471">
        <f t="shared" si="14"/>
      </c>
      <c r="P33" s="472" t="str">
        <f t="shared" si="2"/>
        <v>--</v>
      </c>
      <c r="Q33" s="473" t="str">
        <f t="shared" si="13"/>
        <v>--</v>
      </c>
      <c r="R33" s="474" t="str">
        <f t="shared" si="3"/>
        <v>--</v>
      </c>
      <c r="S33" s="475" t="str">
        <f t="shared" si="4"/>
        <v>--</v>
      </c>
      <c r="T33" s="476" t="str">
        <f t="shared" si="5"/>
        <v>--</v>
      </c>
      <c r="U33" s="477" t="str">
        <f t="shared" si="6"/>
        <v>--</v>
      </c>
      <c r="V33" s="478" t="str">
        <f t="shared" si="7"/>
        <v>--</v>
      </c>
      <c r="W33" s="479" t="str">
        <f t="shared" si="8"/>
        <v>--</v>
      </c>
      <c r="X33" s="480" t="str">
        <f t="shared" si="9"/>
        <v>--</v>
      </c>
      <c r="Y33" s="481" t="str">
        <f t="shared" si="10"/>
        <v>--</v>
      </c>
      <c r="Z33" s="482">
        <f t="shared" si="15"/>
      </c>
      <c r="AA33" s="38">
        <f t="shared" si="11"/>
      </c>
      <c r="AB33" s="3"/>
    </row>
    <row r="34" spans="1:28" ht="16.5" customHeight="1">
      <c r="A34" s="1"/>
      <c r="B34" s="2"/>
      <c r="C34" s="401"/>
      <c r="D34" s="401"/>
      <c r="E34" s="401"/>
      <c r="F34" s="402"/>
      <c r="G34" s="403"/>
      <c r="H34" s="404"/>
      <c r="I34" s="215">
        <f t="shared" si="12"/>
        <v>36.3549009158325</v>
      </c>
      <c r="J34" s="409"/>
      <c r="K34" s="409"/>
      <c r="L34" s="12">
        <f t="shared" si="0"/>
      </c>
      <c r="M34" s="13">
        <f t="shared" si="1"/>
      </c>
      <c r="N34" s="410"/>
      <c r="O34" s="471">
        <f t="shared" si="14"/>
      </c>
      <c r="P34" s="472" t="str">
        <f t="shared" si="2"/>
        <v>--</v>
      </c>
      <c r="Q34" s="473" t="str">
        <f t="shared" si="13"/>
        <v>--</v>
      </c>
      <c r="R34" s="474" t="str">
        <f t="shared" si="3"/>
        <v>--</v>
      </c>
      <c r="S34" s="475" t="str">
        <f t="shared" si="4"/>
        <v>--</v>
      </c>
      <c r="T34" s="476" t="str">
        <f t="shared" si="5"/>
        <v>--</v>
      </c>
      <c r="U34" s="477" t="str">
        <f t="shared" si="6"/>
        <v>--</v>
      </c>
      <c r="V34" s="478" t="str">
        <f t="shared" si="7"/>
        <v>--</v>
      </c>
      <c r="W34" s="479" t="str">
        <f t="shared" si="8"/>
        <v>--</v>
      </c>
      <c r="X34" s="480" t="str">
        <f t="shared" si="9"/>
        <v>--</v>
      </c>
      <c r="Y34" s="481" t="str">
        <f t="shared" si="10"/>
        <v>--</v>
      </c>
      <c r="Z34" s="482">
        <f t="shared" si="15"/>
      </c>
      <c r="AA34" s="38">
        <f t="shared" si="11"/>
      </c>
      <c r="AB34" s="3"/>
    </row>
    <row r="35" spans="1:28" ht="16.5" customHeight="1">
      <c r="A35" s="1"/>
      <c r="B35" s="2"/>
      <c r="C35" s="401"/>
      <c r="D35" s="401"/>
      <c r="E35" s="401"/>
      <c r="F35" s="402"/>
      <c r="G35" s="403"/>
      <c r="H35" s="404"/>
      <c r="I35" s="215">
        <f t="shared" si="12"/>
        <v>36.3549009158325</v>
      </c>
      <c r="J35" s="409"/>
      <c r="K35" s="409"/>
      <c r="L35" s="12">
        <f t="shared" si="0"/>
      </c>
      <c r="M35" s="13">
        <f t="shared" si="1"/>
      </c>
      <c r="N35" s="410"/>
      <c r="O35" s="471">
        <f t="shared" si="14"/>
      </c>
      <c r="P35" s="472" t="str">
        <f t="shared" si="2"/>
        <v>--</v>
      </c>
      <c r="Q35" s="473" t="str">
        <f t="shared" si="13"/>
        <v>--</v>
      </c>
      <c r="R35" s="474" t="str">
        <f t="shared" si="3"/>
        <v>--</v>
      </c>
      <c r="S35" s="475" t="str">
        <f t="shared" si="4"/>
        <v>--</v>
      </c>
      <c r="T35" s="476" t="str">
        <f t="shared" si="5"/>
        <v>--</v>
      </c>
      <c r="U35" s="477" t="str">
        <f t="shared" si="6"/>
        <v>--</v>
      </c>
      <c r="V35" s="478" t="str">
        <f t="shared" si="7"/>
        <v>--</v>
      </c>
      <c r="W35" s="479" t="str">
        <f t="shared" si="8"/>
        <v>--</v>
      </c>
      <c r="X35" s="480" t="str">
        <f t="shared" si="9"/>
        <v>--</v>
      </c>
      <c r="Y35" s="481" t="str">
        <f t="shared" si="10"/>
        <v>--</v>
      </c>
      <c r="Z35" s="482">
        <f t="shared" si="15"/>
      </c>
      <c r="AA35" s="38">
        <f t="shared" si="11"/>
      </c>
      <c r="AB35" s="3"/>
    </row>
    <row r="36" spans="1:28" ht="16.5" customHeight="1">
      <c r="A36" s="1"/>
      <c r="B36" s="2"/>
      <c r="C36" s="401"/>
      <c r="D36" s="401"/>
      <c r="E36" s="401"/>
      <c r="F36" s="402"/>
      <c r="G36" s="403"/>
      <c r="H36" s="404"/>
      <c r="I36" s="215">
        <f t="shared" si="12"/>
        <v>36.3549009158325</v>
      </c>
      <c r="J36" s="409"/>
      <c r="K36" s="409"/>
      <c r="L36" s="12">
        <f t="shared" si="0"/>
      </c>
      <c r="M36" s="13">
        <f t="shared" si="1"/>
      </c>
      <c r="N36" s="410"/>
      <c r="O36" s="471">
        <f t="shared" si="14"/>
      </c>
      <c r="P36" s="472" t="str">
        <f t="shared" si="2"/>
        <v>--</v>
      </c>
      <c r="Q36" s="473" t="str">
        <f t="shared" si="13"/>
        <v>--</v>
      </c>
      <c r="R36" s="474" t="str">
        <f t="shared" si="3"/>
        <v>--</v>
      </c>
      <c r="S36" s="475" t="str">
        <f t="shared" si="4"/>
        <v>--</v>
      </c>
      <c r="T36" s="476" t="str">
        <f t="shared" si="5"/>
        <v>--</v>
      </c>
      <c r="U36" s="477" t="str">
        <f t="shared" si="6"/>
        <v>--</v>
      </c>
      <c r="V36" s="478" t="str">
        <f t="shared" si="7"/>
        <v>--</v>
      </c>
      <c r="W36" s="479" t="str">
        <f t="shared" si="8"/>
        <v>--</v>
      </c>
      <c r="X36" s="480" t="str">
        <f t="shared" si="9"/>
        <v>--</v>
      </c>
      <c r="Y36" s="481" t="str">
        <f t="shared" si="10"/>
        <v>--</v>
      </c>
      <c r="Z36" s="482">
        <f t="shared" si="15"/>
      </c>
      <c r="AA36" s="38">
        <f t="shared" si="11"/>
      </c>
      <c r="AB36" s="3"/>
    </row>
    <row r="37" spans="1:28" ht="16.5" customHeight="1">
      <c r="A37" s="1"/>
      <c r="B37" s="2"/>
      <c r="C37" s="401"/>
      <c r="D37" s="401"/>
      <c r="E37" s="401"/>
      <c r="F37" s="402"/>
      <c r="G37" s="403"/>
      <c r="H37" s="404"/>
      <c r="I37" s="215">
        <f t="shared" si="12"/>
        <v>36.3549009158325</v>
      </c>
      <c r="J37" s="409"/>
      <c r="K37" s="409"/>
      <c r="L37" s="12">
        <f t="shared" si="0"/>
      </c>
      <c r="M37" s="13">
        <f t="shared" si="1"/>
      </c>
      <c r="N37" s="410"/>
      <c r="O37" s="471">
        <f t="shared" si="14"/>
      </c>
      <c r="P37" s="472" t="str">
        <f t="shared" si="2"/>
        <v>--</v>
      </c>
      <c r="Q37" s="473" t="str">
        <f t="shared" si="13"/>
        <v>--</v>
      </c>
      <c r="R37" s="474" t="str">
        <f t="shared" si="3"/>
        <v>--</v>
      </c>
      <c r="S37" s="475" t="str">
        <f t="shared" si="4"/>
        <v>--</v>
      </c>
      <c r="T37" s="476" t="str">
        <f t="shared" si="5"/>
        <v>--</v>
      </c>
      <c r="U37" s="477" t="str">
        <f t="shared" si="6"/>
        <v>--</v>
      </c>
      <c r="V37" s="478" t="str">
        <f t="shared" si="7"/>
        <v>--</v>
      </c>
      <c r="W37" s="479" t="str">
        <f t="shared" si="8"/>
        <v>--</v>
      </c>
      <c r="X37" s="480" t="str">
        <f t="shared" si="9"/>
        <v>--</v>
      </c>
      <c r="Y37" s="481" t="str">
        <f t="shared" si="10"/>
        <v>--</v>
      </c>
      <c r="Z37" s="482">
        <f t="shared" si="15"/>
      </c>
      <c r="AA37" s="38">
        <f t="shared" si="11"/>
      </c>
      <c r="AB37" s="3"/>
    </row>
    <row r="38" spans="2:28" ht="16.5" customHeight="1">
      <c r="B38" s="39"/>
      <c r="C38" s="401"/>
      <c r="D38" s="401"/>
      <c r="E38" s="401"/>
      <c r="F38" s="402"/>
      <c r="G38" s="403"/>
      <c r="H38" s="404"/>
      <c r="I38" s="215">
        <f t="shared" si="12"/>
        <v>36.3549009158325</v>
      </c>
      <c r="J38" s="409"/>
      <c r="K38" s="409"/>
      <c r="L38" s="12">
        <f t="shared" si="0"/>
      </c>
      <c r="M38" s="13">
        <f t="shared" si="1"/>
      </c>
      <c r="N38" s="410"/>
      <c r="O38" s="471">
        <f t="shared" si="14"/>
      </c>
      <c r="P38" s="472" t="str">
        <f t="shared" si="2"/>
        <v>--</v>
      </c>
      <c r="Q38" s="473" t="str">
        <f t="shared" si="13"/>
        <v>--</v>
      </c>
      <c r="R38" s="474" t="str">
        <f t="shared" si="3"/>
        <v>--</v>
      </c>
      <c r="S38" s="475" t="str">
        <f t="shared" si="4"/>
        <v>--</v>
      </c>
      <c r="T38" s="476" t="str">
        <f t="shared" si="5"/>
        <v>--</v>
      </c>
      <c r="U38" s="477" t="str">
        <f t="shared" si="6"/>
        <v>--</v>
      </c>
      <c r="V38" s="478" t="str">
        <f t="shared" si="7"/>
        <v>--</v>
      </c>
      <c r="W38" s="479" t="str">
        <f t="shared" si="8"/>
        <v>--</v>
      </c>
      <c r="X38" s="480" t="str">
        <f t="shared" si="9"/>
        <v>--</v>
      </c>
      <c r="Y38" s="481" t="str">
        <f t="shared" si="10"/>
        <v>--</v>
      </c>
      <c r="Z38" s="482">
        <f t="shared" si="15"/>
      </c>
      <c r="AA38" s="38">
        <f t="shared" si="11"/>
      </c>
      <c r="AB38" s="3"/>
    </row>
    <row r="39" spans="2:28" ht="16.5" customHeight="1">
      <c r="B39" s="39"/>
      <c r="C39" s="401"/>
      <c r="D39" s="401"/>
      <c r="E39" s="401"/>
      <c r="F39" s="402"/>
      <c r="G39" s="403"/>
      <c r="H39" s="404"/>
      <c r="I39" s="215">
        <f>IF(H39&gt;25,H39,25)*IF(G39=330,$G$15,$G$16)/100</f>
        <v>36.3549009158325</v>
      </c>
      <c r="J39" s="409"/>
      <c r="K39" s="409"/>
      <c r="L39" s="12">
        <f t="shared" si="0"/>
      </c>
      <c r="M39" s="13">
        <f t="shared" si="1"/>
      </c>
      <c r="N39" s="410"/>
      <c r="O39" s="471">
        <f t="shared" si="14"/>
      </c>
      <c r="P39" s="472" t="str">
        <f t="shared" si="2"/>
        <v>--</v>
      </c>
      <c r="Q39" s="473" t="str">
        <f>IF(N39="RP",ROUND(M39/60,2)*I39*$L$16*0.01*O39/100,"--")</f>
        <v>--</v>
      </c>
      <c r="R39" s="474" t="str">
        <f t="shared" si="3"/>
        <v>--</v>
      </c>
      <c r="S39" s="475" t="str">
        <f t="shared" si="4"/>
        <v>--</v>
      </c>
      <c r="T39" s="476" t="str">
        <f t="shared" si="5"/>
        <v>--</v>
      </c>
      <c r="U39" s="477" t="str">
        <f t="shared" si="6"/>
        <v>--</v>
      </c>
      <c r="V39" s="478" t="str">
        <f t="shared" si="7"/>
        <v>--</v>
      </c>
      <c r="W39" s="479" t="str">
        <f t="shared" si="8"/>
        <v>--</v>
      </c>
      <c r="X39" s="480" t="str">
        <f t="shared" si="9"/>
        <v>--</v>
      </c>
      <c r="Y39" s="481" t="str">
        <f t="shared" si="10"/>
        <v>--</v>
      </c>
      <c r="Z39" s="482">
        <f t="shared" si="15"/>
      </c>
      <c r="AA39" s="38">
        <f t="shared" si="11"/>
      </c>
      <c r="AB39" s="3"/>
    </row>
    <row r="40" spans="2:28" ht="16.5" customHeight="1">
      <c r="B40" s="39"/>
      <c r="C40" s="401"/>
      <c r="D40" s="401"/>
      <c r="E40" s="401"/>
      <c r="F40" s="402"/>
      <c r="G40" s="403"/>
      <c r="H40" s="404"/>
      <c r="I40" s="215">
        <f>IF(H40&gt;25,H40,25)*IF(G40=330,$G$15,$G$16)/100</f>
        <v>36.3549009158325</v>
      </c>
      <c r="J40" s="409"/>
      <c r="K40" s="409"/>
      <c r="L40" s="12">
        <f t="shared" si="0"/>
      </c>
      <c r="M40" s="13">
        <f t="shared" si="1"/>
      </c>
      <c r="N40" s="410"/>
      <c r="O40" s="471">
        <f t="shared" si="14"/>
      </c>
      <c r="P40" s="472" t="str">
        <f t="shared" si="2"/>
        <v>--</v>
      </c>
      <c r="Q40" s="473" t="str">
        <f>IF(N40="RP",ROUND(M40/60,2)*I40*$L$16*0.01*O40/100,"--")</f>
        <v>--</v>
      </c>
      <c r="R40" s="474" t="str">
        <f t="shared" si="3"/>
        <v>--</v>
      </c>
      <c r="S40" s="475" t="str">
        <f t="shared" si="4"/>
        <v>--</v>
      </c>
      <c r="T40" s="476" t="str">
        <f t="shared" si="5"/>
        <v>--</v>
      </c>
      <c r="U40" s="477" t="str">
        <f t="shared" si="6"/>
        <v>--</v>
      </c>
      <c r="V40" s="478" t="str">
        <f t="shared" si="7"/>
        <v>--</v>
      </c>
      <c r="W40" s="479" t="str">
        <f t="shared" si="8"/>
        <v>--</v>
      </c>
      <c r="X40" s="480" t="str">
        <f t="shared" si="9"/>
        <v>--</v>
      </c>
      <c r="Y40" s="481" t="str">
        <f t="shared" si="10"/>
        <v>--</v>
      </c>
      <c r="Z40" s="482">
        <f t="shared" si="15"/>
      </c>
      <c r="AA40" s="38">
        <f t="shared" si="11"/>
      </c>
      <c r="AB40" s="3"/>
    </row>
    <row r="41" spans="2:28" ht="16.5" customHeight="1">
      <c r="B41" s="39"/>
      <c r="C41" s="401"/>
      <c r="D41" s="401"/>
      <c r="E41" s="401"/>
      <c r="F41" s="402"/>
      <c r="G41" s="403"/>
      <c r="H41" s="404"/>
      <c r="I41" s="215">
        <f>IF(H41&gt;25,H41,25)*IF(G41=330,$G$15,$G$16)/100</f>
        <v>36.3549009158325</v>
      </c>
      <c r="J41" s="409"/>
      <c r="K41" s="409"/>
      <c r="L41" s="12">
        <f t="shared" si="0"/>
      </c>
      <c r="M41" s="13">
        <f t="shared" si="1"/>
      </c>
      <c r="N41" s="410"/>
      <c r="O41" s="471">
        <f t="shared" si="14"/>
      </c>
      <c r="P41" s="472" t="str">
        <f t="shared" si="2"/>
        <v>--</v>
      </c>
      <c r="Q41" s="473" t="str">
        <f>IF(N41="RP",ROUND(M41/60,2)*I41*$L$16*0.01*O41/100,"--")</f>
        <v>--</v>
      </c>
      <c r="R41" s="474" t="str">
        <f t="shared" si="3"/>
        <v>--</v>
      </c>
      <c r="S41" s="475" t="str">
        <f t="shared" si="4"/>
        <v>--</v>
      </c>
      <c r="T41" s="476" t="str">
        <f t="shared" si="5"/>
        <v>--</v>
      </c>
      <c r="U41" s="477" t="str">
        <f t="shared" si="6"/>
        <v>--</v>
      </c>
      <c r="V41" s="478" t="str">
        <f t="shared" si="7"/>
        <v>--</v>
      </c>
      <c r="W41" s="479" t="str">
        <f t="shared" si="8"/>
        <v>--</v>
      </c>
      <c r="X41" s="480" t="str">
        <f t="shared" si="9"/>
        <v>--</v>
      </c>
      <c r="Y41" s="481" t="str">
        <f t="shared" si="10"/>
        <v>--</v>
      </c>
      <c r="Z41" s="482">
        <f t="shared" si="15"/>
      </c>
      <c r="AA41" s="38">
        <f t="shared" si="11"/>
      </c>
      <c r="AB41" s="3"/>
    </row>
    <row r="42" spans="1:28" ht="16.5" customHeight="1" thickBot="1">
      <c r="A42" s="1"/>
      <c r="B42" s="2"/>
      <c r="C42" s="405"/>
      <c r="D42" s="405"/>
      <c r="E42" s="405"/>
      <c r="F42" s="406"/>
      <c r="G42" s="407"/>
      <c r="H42" s="408"/>
      <c r="I42" s="216"/>
      <c r="J42" s="408"/>
      <c r="K42" s="408"/>
      <c r="L42" s="14"/>
      <c r="M42" s="14"/>
      <c r="N42" s="408"/>
      <c r="O42" s="411"/>
      <c r="P42" s="412"/>
      <c r="Q42" s="413"/>
      <c r="R42" s="414"/>
      <c r="S42" s="415"/>
      <c r="T42" s="416"/>
      <c r="U42" s="417"/>
      <c r="V42" s="418"/>
      <c r="W42" s="419"/>
      <c r="X42" s="420"/>
      <c r="Y42" s="421"/>
      <c r="Z42" s="422"/>
      <c r="AA42" s="40"/>
      <c r="AB42" s="3"/>
    </row>
    <row r="43" spans="1:28" ht="16.5" customHeight="1" thickBot="1" thickTop="1">
      <c r="A43" s="1"/>
      <c r="B43" s="2"/>
      <c r="C43" s="190" t="s">
        <v>54</v>
      </c>
      <c r="D43" s="493" t="s">
        <v>125</v>
      </c>
      <c r="E43" s="466"/>
      <c r="F43" s="191"/>
      <c r="G43" s="15"/>
      <c r="H43" s="16"/>
      <c r="I43" s="41"/>
      <c r="J43" s="41"/>
      <c r="K43" s="41"/>
      <c r="L43" s="41"/>
      <c r="M43" s="41"/>
      <c r="N43" s="41"/>
      <c r="O43" s="42"/>
      <c r="P43" s="270">
        <f aca="true" t="shared" si="16" ref="P43:Y43">ROUND(SUM(P20:P42),2)</f>
        <v>624.46</v>
      </c>
      <c r="Q43" s="271">
        <f t="shared" si="16"/>
        <v>0</v>
      </c>
      <c r="R43" s="272">
        <f t="shared" si="16"/>
        <v>0</v>
      </c>
      <c r="S43" s="272">
        <f t="shared" si="16"/>
        <v>0</v>
      </c>
      <c r="T43" s="273">
        <f t="shared" si="16"/>
        <v>0</v>
      </c>
      <c r="U43" s="274">
        <f t="shared" si="16"/>
        <v>0</v>
      </c>
      <c r="V43" s="274">
        <f t="shared" si="16"/>
        <v>0</v>
      </c>
      <c r="W43" s="275">
        <f t="shared" si="16"/>
        <v>0</v>
      </c>
      <c r="X43" s="276">
        <f t="shared" si="16"/>
        <v>0</v>
      </c>
      <c r="Y43" s="277">
        <f t="shared" si="16"/>
        <v>0</v>
      </c>
      <c r="Z43" s="43"/>
      <c r="AA43" s="470">
        <f>ROUND(SUM(AA20:AA42),2)</f>
        <v>624.46</v>
      </c>
      <c r="AB43" s="44"/>
    </row>
    <row r="44" spans="1:28" s="205" customFormat="1" ht="9.75" thickTop="1">
      <c r="A44" s="194"/>
      <c r="B44" s="195"/>
      <c r="C44" s="192"/>
      <c r="D44" s="192"/>
      <c r="E44" s="192"/>
      <c r="F44" s="193"/>
      <c r="G44" s="196"/>
      <c r="H44" s="197"/>
      <c r="I44" s="198"/>
      <c r="J44" s="198"/>
      <c r="K44" s="198"/>
      <c r="L44" s="198"/>
      <c r="M44" s="198"/>
      <c r="N44" s="198"/>
      <c r="O44" s="199"/>
      <c r="P44" s="200"/>
      <c r="Q44" s="200"/>
      <c r="R44" s="201"/>
      <c r="S44" s="201"/>
      <c r="T44" s="202"/>
      <c r="U44" s="202"/>
      <c r="V44" s="202"/>
      <c r="W44" s="202"/>
      <c r="X44" s="202"/>
      <c r="Y44" s="202"/>
      <c r="Z44" s="202"/>
      <c r="AA44" s="203"/>
      <c r="AB44" s="204"/>
    </row>
    <row r="45" spans="1:28" s="10" customFormat="1" ht="16.5" customHeight="1" thickBot="1">
      <c r="A45" s="8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3"/>
    </row>
    <row r="46" spans="1:28" ht="13.5" thickTop="1">
      <c r="A46" s="1"/>
      <c r="B46" s="1"/>
      <c r="AB46" s="1"/>
    </row>
    <row r="91" spans="1:2" ht="12.75">
      <c r="A91" s="1"/>
      <c r="B91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7" r:id="rId3"/>
  <headerFooter alignWithMargins="0">
    <oddFooter>&amp;L&amp;"Times New Roman,Normal"&amp;8&amp;Z&amp;F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="75" zoomScaleNormal="75" zoomScalePageLayoutView="0" workbookViewId="0" topLeftCell="J1">
      <selection activeCell="J24" sqref="A24:IV24"/>
    </sheetView>
  </sheetViews>
  <sheetFormatPr defaultColWidth="11.421875" defaultRowHeight="12.75"/>
  <cols>
    <col min="1" max="2" width="4.140625" style="623" customWidth="1"/>
    <col min="3" max="3" width="4.7109375" style="623" customWidth="1"/>
    <col min="4" max="5" width="13.8515625" style="623" customWidth="1"/>
    <col min="6" max="6" width="30.7109375" style="623" customWidth="1"/>
    <col min="7" max="7" width="40.7109375" style="623" customWidth="1"/>
    <col min="8" max="8" width="9.7109375" style="623" customWidth="1"/>
    <col min="9" max="9" width="13.140625" style="623" hidden="1" customWidth="1"/>
    <col min="10" max="11" width="15.7109375" style="623" customWidth="1"/>
    <col min="12" max="14" width="9.7109375" style="623" customWidth="1"/>
    <col min="15" max="15" width="7.7109375" style="623" customWidth="1"/>
    <col min="16" max="16" width="12.140625" style="623" hidden="1" customWidth="1"/>
    <col min="17" max="17" width="16.8515625" style="623" hidden="1" customWidth="1"/>
    <col min="18" max="18" width="16.57421875" style="623" hidden="1" customWidth="1"/>
    <col min="19" max="20" width="15.57421875" style="623" hidden="1" customWidth="1"/>
    <col min="21" max="21" width="9.7109375" style="623" customWidth="1"/>
    <col min="22" max="22" width="15.7109375" style="623" customWidth="1"/>
    <col min="23" max="23" width="4.140625" style="623" customWidth="1"/>
    <col min="24" max="16384" width="11.421875" style="623" customWidth="1"/>
  </cols>
  <sheetData>
    <row r="1" s="495" customFormat="1" ht="26.25">
      <c r="W1" s="496"/>
    </row>
    <row r="2" spans="2:23" s="495" customFormat="1" ht="26.25">
      <c r="B2" s="497" t="str">
        <f>'TOT-1013'!B2</f>
        <v>ANEXO IV al Memorándum  D.T.E.E.  N°      598     / 2014.-</v>
      </c>
      <c r="C2" s="498"/>
      <c r="D2" s="498"/>
      <c r="E2" s="498"/>
      <c r="F2" s="498"/>
      <c r="G2" s="497"/>
      <c r="H2" s="498"/>
      <c r="I2" s="498"/>
      <c r="J2" s="498"/>
      <c r="K2" s="498"/>
      <c r="L2" s="498"/>
      <c r="M2" s="498"/>
      <c r="N2" s="498"/>
      <c r="O2" s="498"/>
      <c r="P2" s="498"/>
      <c r="Q2" s="498"/>
      <c r="R2" s="498"/>
      <c r="S2" s="498"/>
      <c r="T2" s="498"/>
      <c r="U2" s="498"/>
      <c r="V2" s="498"/>
      <c r="W2" s="498"/>
    </row>
    <row r="3" s="499" customFormat="1" ht="12.75"/>
    <row r="4" spans="1:4" s="501" customFormat="1" ht="11.25">
      <c r="A4" s="500" t="s">
        <v>16</v>
      </c>
      <c r="C4" s="502"/>
      <c r="D4" s="502"/>
    </row>
    <row r="5" spans="1:4" s="501" customFormat="1" ht="11.25">
      <c r="A5" s="500" t="s">
        <v>110</v>
      </c>
      <c r="C5" s="502"/>
      <c r="D5" s="502"/>
    </row>
    <row r="6" s="499" customFormat="1" ht="13.5" thickBot="1"/>
    <row r="7" spans="2:23" s="499" customFormat="1" ht="13.5" thickTop="1">
      <c r="B7" s="503"/>
      <c r="C7" s="504"/>
      <c r="D7" s="504"/>
      <c r="E7" s="504"/>
      <c r="F7" s="504"/>
      <c r="G7" s="504"/>
      <c r="H7" s="504"/>
      <c r="I7" s="504"/>
      <c r="J7" s="504"/>
      <c r="K7" s="504"/>
      <c r="L7" s="504"/>
      <c r="M7" s="504"/>
      <c r="N7" s="504"/>
      <c r="O7" s="504"/>
      <c r="P7" s="504"/>
      <c r="Q7" s="504"/>
      <c r="R7" s="504"/>
      <c r="S7" s="504"/>
      <c r="T7" s="504"/>
      <c r="U7" s="504"/>
      <c r="V7" s="504"/>
      <c r="W7" s="505"/>
    </row>
    <row r="8" spans="2:23" s="506" customFormat="1" ht="20.25">
      <c r="B8" s="507"/>
      <c r="C8" s="508"/>
      <c r="D8" s="508"/>
      <c r="E8" s="508"/>
      <c r="F8" s="509" t="s">
        <v>30</v>
      </c>
      <c r="P8" s="508"/>
      <c r="Q8" s="508"/>
      <c r="R8" s="508"/>
      <c r="S8" s="508"/>
      <c r="T8" s="508"/>
      <c r="U8" s="508"/>
      <c r="V8" s="508"/>
      <c r="W8" s="510"/>
    </row>
    <row r="9" spans="2:23" s="499" customFormat="1" ht="12.75">
      <c r="B9" s="511"/>
      <c r="C9" s="512"/>
      <c r="D9" s="512"/>
      <c r="E9" s="512"/>
      <c r="F9" s="512"/>
      <c r="G9" s="512"/>
      <c r="H9" s="512"/>
      <c r="I9" s="513"/>
      <c r="J9" s="513"/>
      <c r="K9" s="513"/>
      <c r="L9" s="513"/>
      <c r="M9" s="513"/>
      <c r="P9" s="512"/>
      <c r="Q9" s="512"/>
      <c r="R9" s="512"/>
      <c r="S9" s="512"/>
      <c r="T9" s="512"/>
      <c r="U9" s="512"/>
      <c r="V9" s="512"/>
      <c r="W9" s="514"/>
    </row>
    <row r="10" spans="2:23" s="506" customFormat="1" ht="20.25">
      <c r="B10" s="507"/>
      <c r="C10" s="508"/>
      <c r="D10" s="508"/>
      <c r="E10" s="508"/>
      <c r="F10" s="509" t="s">
        <v>140</v>
      </c>
      <c r="G10" s="509"/>
      <c r="H10" s="508"/>
      <c r="I10" s="509"/>
      <c r="J10" s="509"/>
      <c r="K10" s="509"/>
      <c r="L10" s="509"/>
      <c r="M10" s="509"/>
      <c r="P10" s="508"/>
      <c r="Q10" s="508"/>
      <c r="R10" s="508"/>
      <c r="S10" s="508"/>
      <c r="T10" s="508"/>
      <c r="U10" s="508"/>
      <c r="V10" s="508"/>
      <c r="W10" s="510"/>
    </row>
    <row r="11" spans="2:23" s="499" customFormat="1" ht="12.75">
      <c r="B11" s="511"/>
      <c r="C11" s="512"/>
      <c r="D11" s="512"/>
      <c r="E11" s="512"/>
      <c r="F11" s="515"/>
      <c r="G11" s="513"/>
      <c r="H11" s="512"/>
      <c r="I11" s="513"/>
      <c r="J11" s="513"/>
      <c r="K11" s="513"/>
      <c r="L11" s="513"/>
      <c r="M11" s="513"/>
      <c r="P11" s="512"/>
      <c r="Q11" s="512"/>
      <c r="R11" s="512"/>
      <c r="S11" s="512"/>
      <c r="T11" s="512"/>
      <c r="U11" s="512"/>
      <c r="V11" s="512"/>
      <c r="W11" s="514"/>
    </row>
    <row r="12" spans="2:23" s="516" customFormat="1" ht="19.5">
      <c r="B12" s="517" t="str">
        <f>'TOT-1013'!B14</f>
        <v>Desde el 01 al 31 de octubre de 2013</v>
      </c>
      <c r="C12" s="518"/>
      <c r="D12" s="518"/>
      <c r="E12" s="518"/>
      <c r="F12" s="518"/>
      <c r="G12" s="518"/>
      <c r="H12" s="519"/>
      <c r="I12" s="518"/>
      <c r="J12" s="520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21"/>
    </row>
    <row r="13" spans="2:23" s="516" customFormat="1" ht="7.5" customHeight="1">
      <c r="B13" s="517"/>
      <c r="C13" s="518"/>
      <c r="D13" s="518"/>
      <c r="E13" s="518"/>
      <c r="F13" s="518"/>
      <c r="G13" s="518"/>
      <c r="H13" s="519"/>
      <c r="I13" s="518"/>
      <c r="J13" s="520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21"/>
    </row>
    <row r="14" spans="2:23" s="499" customFormat="1" ht="7.5" customHeight="1" thickBot="1">
      <c r="B14" s="511"/>
      <c r="C14" s="512"/>
      <c r="D14" s="512"/>
      <c r="E14" s="512"/>
      <c r="I14" s="522"/>
      <c r="K14" s="512"/>
      <c r="L14" s="512"/>
      <c r="M14" s="512"/>
      <c r="N14" s="522"/>
      <c r="O14" s="522"/>
      <c r="P14" s="522"/>
      <c r="Q14" s="512"/>
      <c r="R14" s="512"/>
      <c r="S14" s="512"/>
      <c r="T14" s="512"/>
      <c r="U14" s="512"/>
      <c r="V14" s="512"/>
      <c r="W14" s="514"/>
    </row>
    <row r="15" spans="2:23" s="499" customFormat="1" ht="16.5" customHeight="1" thickBot="1" thickTop="1">
      <c r="B15" s="511"/>
      <c r="C15" s="512"/>
      <c r="D15" s="512"/>
      <c r="E15" s="512"/>
      <c r="F15" s="523" t="s">
        <v>136</v>
      </c>
      <c r="G15" s="697">
        <v>16.908</v>
      </c>
      <c r="H15" s="524">
        <f>60*'TOT-1013'!B13</f>
        <v>60</v>
      </c>
      <c r="I15" s="522"/>
      <c r="J15" s="525" t="str">
        <f>IF(H15=60," ",IF(H15=120,"Coeficiente duplicado por tasa de falla &gt;4 Sal. x año/100 km.","REVISAR COEFICIENTE"))</f>
        <v> </v>
      </c>
      <c r="K15" s="512"/>
      <c r="L15" s="512"/>
      <c r="M15" s="512"/>
      <c r="N15" s="522"/>
      <c r="O15" s="522"/>
      <c r="P15" s="522"/>
      <c r="Q15" s="512"/>
      <c r="R15" s="512"/>
      <c r="S15" s="512"/>
      <c r="T15" s="512"/>
      <c r="U15" s="512"/>
      <c r="V15" s="512"/>
      <c r="W15" s="514"/>
    </row>
    <row r="16" spans="2:23" s="499" customFormat="1" ht="16.5" customHeight="1" thickBot="1" thickTop="1">
      <c r="B16" s="511"/>
      <c r="C16" s="512"/>
      <c r="D16" s="512"/>
      <c r="E16" s="512"/>
      <c r="F16" s="523" t="s">
        <v>59</v>
      </c>
      <c r="G16" s="697">
        <v>6.761</v>
      </c>
      <c r="H16" s="524">
        <f>50*'TOT-1013'!B13</f>
        <v>50</v>
      </c>
      <c r="J16" s="525" t="str">
        <f>IF(H16=50," ",IF(H16=100,"Coeficiente duplicado por tasa de falla &gt;4 Sal. x año/100 km.","REVISAR COEFICIENTE"))</f>
        <v> </v>
      </c>
      <c r="Q16" s="526"/>
      <c r="S16" s="512"/>
      <c r="T16" s="512"/>
      <c r="U16" s="512"/>
      <c r="V16" s="527"/>
      <c r="W16" s="514"/>
    </row>
    <row r="17" spans="2:23" s="499" customFormat="1" ht="16.5" customHeight="1" thickBot="1" thickTop="1">
      <c r="B17" s="511"/>
      <c r="C17" s="512"/>
      <c r="D17" s="512"/>
      <c r="E17" s="512"/>
      <c r="F17" s="528" t="s">
        <v>60</v>
      </c>
      <c r="G17" s="698">
        <v>5.074</v>
      </c>
      <c r="H17" s="529">
        <f>25*'TOT-1013'!B13</f>
        <v>25</v>
      </c>
      <c r="J17" s="525" t="str">
        <f>IF(H17=25," ",IF(H17=50,"Coeficiente duplicado por tasa de falla &gt;4 Sal. x año/100 km.","REVISAR COEFICIENTE"))</f>
        <v> </v>
      </c>
      <c r="K17" s="530"/>
      <c r="L17" s="530"/>
      <c r="M17" s="512"/>
      <c r="P17" s="531"/>
      <c r="Q17" s="532"/>
      <c r="R17" s="533"/>
      <c r="S17" s="512"/>
      <c r="T17" s="512"/>
      <c r="U17" s="512"/>
      <c r="V17" s="527"/>
      <c r="W17" s="514"/>
    </row>
    <row r="18" spans="2:23" s="499" customFormat="1" ht="16.5" customHeight="1" thickBot="1" thickTop="1">
      <c r="B18" s="511"/>
      <c r="C18" s="512"/>
      <c r="D18" s="512"/>
      <c r="E18" s="512"/>
      <c r="F18" s="534" t="s">
        <v>61</v>
      </c>
      <c r="G18" s="698">
        <v>5.074</v>
      </c>
      <c r="H18" s="535">
        <f>20*'TOT-1013'!B13</f>
        <v>20</v>
      </c>
      <c r="J18" s="525" t="str">
        <f>IF(H18=20," ",IF(H18=40,"Coeficiente duplicado por tasa de falla &gt;4 Sal. x año/100 km.","REVISAR COEFICIENTE"))</f>
        <v> </v>
      </c>
      <c r="K18" s="530"/>
      <c r="L18" s="530"/>
      <c r="M18" s="512"/>
      <c r="P18" s="531"/>
      <c r="Q18" s="532"/>
      <c r="R18" s="533"/>
      <c r="S18" s="512"/>
      <c r="T18" s="512"/>
      <c r="U18" s="512"/>
      <c r="V18" s="527"/>
      <c r="W18" s="514"/>
    </row>
    <row r="19" spans="2:23" s="499" customFormat="1" ht="7.5" customHeight="1" thickTop="1">
      <c r="B19" s="511"/>
      <c r="C19" s="512"/>
      <c r="D19" s="512"/>
      <c r="E19" s="512"/>
      <c r="F19" s="536"/>
      <c r="G19" s="537"/>
      <c r="H19" s="538"/>
      <c r="J19" s="525"/>
      <c r="K19" s="530"/>
      <c r="L19" s="530"/>
      <c r="M19" s="512"/>
      <c r="P19" s="531"/>
      <c r="Q19" s="532"/>
      <c r="R19" s="533"/>
      <c r="S19" s="512"/>
      <c r="T19" s="512"/>
      <c r="U19" s="512"/>
      <c r="V19" s="527"/>
      <c r="W19" s="514"/>
    </row>
    <row r="20" spans="2:23" s="542" customFormat="1" ht="15" customHeight="1" thickBot="1">
      <c r="B20" s="539"/>
      <c r="C20" s="540">
        <v>3</v>
      </c>
      <c r="D20" s="540">
        <v>4</v>
      </c>
      <c r="E20" s="540">
        <v>5</v>
      </c>
      <c r="F20" s="540">
        <v>6</v>
      </c>
      <c r="G20" s="540">
        <v>7</v>
      </c>
      <c r="H20" s="540">
        <v>8</v>
      </c>
      <c r="I20" s="540">
        <v>9</v>
      </c>
      <c r="J20" s="540">
        <v>10</v>
      </c>
      <c r="K20" s="540">
        <v>11</v>
      </c>
      <c r="L20" s="540">
        <v>12</v>
      </c>
      <c r="M20" s="540">
        <v>13</v>
      </c>
      <c r="N20" s="540">
        <v>14</v>
      </c>
      <c r="O20" s="540">
        <v>15</v>
      </c>
      <c r="P20" s="540">
        <v>16</v>
      </c>
      <c r="Q20" s="540">
        <v>17</v>
      </c>
      <c r="R20" s="540">
        <v>18</v>
      </c>
      <c r="S20" s="540">
        <v>19</v>
      </c>
      <c r="T20" s="540">
        <v>20</v>
      </c>
      <c r="U20" s="540">
        <v>21</v>
      </c>
      <c r="V20" s="540">
        <v>22</v>
      </c>
      <c r="W20" s="541"/>
    </row>
    <row r="21" spans="2:23" s="499" customFormat="1" ht="33.75" customHeight="1" thickBot="1" thickTop="1">
      <c r="B21" s="511"/>
      <c r="C21" s="543" t="s">
        <v>36</v>
      </c>
      <c r="D21" s="544" t="s">
        <v>109</v>
      </c>
      <c r="E21" s="544" t="s">
        <v>108</v>
      </c>
      <c r="F21" s="545" t="s">
        <v>56</v>
      </c>
      <c r="G21" s="546" t="s">
        <v>14</v>
      </c>
      <c r="H21" s="547" t="s">
        <v>37</v>
      </c>
      <c r="I21" s="548" t="s">
        <v>39</v>
      </c>
      <c r="J21" s="549" t="s">
        <v>40</v>
      </c>
      <c r="K21" s="546" t="s">
        <v>41</v>
      </c>
      <c r="L21" s="550" t="s">
        <v>57</v>
      </c>
      <c r="M21" s="550" t="s">
        <v>58</v>
      </c>
      <c r="N21" s="551" t="s">
        <v>44</v>
      </c>
      <c r="O21" s="552" t="s">
        <v>137</v>
      </c>
      <c r="P21" s="553" t="s">
        <v>138</v>
      </c>
      <c r="Q21" s="554" t="s">
        <v>46</v>
      </c>
      <c r="R21" s="555" t="s">
        <v>139</v>
      </c>
      <c r="S21" s="556"/>
      <c r="T21" s="557" t="s">
        <v>50</v>
      </c>
      <c r="U21" s="558" t="s">
        <v>52</v>
      </c>
      <c r="V21" s="558" t="s">
        <v>53</v>
      </c>
      <c r="W21" s="559"/>
    </row>
    <row r="22" spans="2:23" s="499" customFormat="1" ht="16.5" customHeight="1" thickTop="1">
      <c r="B22" s="511"/>
      <c r="C22" s="560"/>
      <c r="D22" s="561"/>
      <c r="E22" s="561"/>
      <c r="F22" s="562"/>
      <c r="G22" s="562"/>
      <c r="H22" s="563"/>
      <c r="I22" s="564"/>
      <c r="J22" s="565"/>
      <c r="K22" s="566"/>
      <c r="L22" s="567"/>
      <c r="M22" s="568"/>
      <c r="N22" s="569"/>
      <c r="O22" s="569"/>
      <c r="P22" s="570"/>
      <c r="Q22" s="571"/>
      <c r="R22" s="572"/>
      <c r="S22" s="573"/>
      <c r="T22" s="574"/>
      <c r="U22" s="575"/>
      <c r="V22" s="576"/>
      <c r="W22" s="559"/>
    </row>
    <row r="23" spans="2:23" s="499" customFormat="1" ht="16.5" customHeight="1">
      <c r="B23" s="511"/>
      <c r="C23" s="560"/>
      <c r="D23" s="561"/>
      <c r="E23" s="561"/>
      <c r="F23" s="562"/>
      <c r="G23" s="562"/>
      <c r="H23" s="563"/>
      <c r="I23" s="564"/>
      <c r="J23" s="565"/>
      <c r="K23" s="566"/>
      <c r="L23" s="567"/>
      <c r="M23" s="568"/>
      <c r="N23" s="577"/>
      <c r="O23" s="577"/>
      <c r="P23" s="578"/>
      <c r="Q23" s="579"/>
      <c r="R23" s="580"/>
      <c r="S23" s="581"/>
      <c r="T23" s="582"/>
      <c r="U23" s="583"/>
      <c r="V23" s="584"/>
      <c r="W23" s="559"/>
    </row>
    <row r="24" spans="2:23" s="499" customFormat="1" ht="16.5" customHeight="1">
      <c r="B24" s="511"/>
      <c r="C24" s="585">
        <v>6</v>
      </c>
      <c r="D24" s="586">
        <v>266832</v>
      </c>
      <c r="E24" s="586">
        <v>1757</v>
      </c>
      <c r="F24" s="587" t="s">
        <v>141</v>
      </c>
      <c r="G24" s="587" t="s">
        <v>142</v>
      </c>
      <c r="H24" s="588">
        <v>33</v>
      </c>
      <c r="I24" s="564">
        <f aca="true" t="shared" si="0" ref="I24:I43">IF(H24=330,$G$15,IF(AND(H24&lt;=132,H24&gt;=66),$G$16,IF(AND(H24&lt;66,H24&gt;=33),$G$17,$G$18)))</f>
        <v>5.074</v>
      </c>
      <c r="J24" s="589">
        <v>41569.381944444445</v>
      </c>
      <c r="K24" s="590">
        <v>41569.51666666667</v>
      </c>
      <c r="L24" s="567">
        <f aca="true" t="shared" si="1" ref="L24:L43">IF(F24="","",(K24-J24)*24)</f>
        <v>3.2333333333954215</v>
      </c>
      <c r="M24" s="568">
        <f aca="true" t="shared" si="2" ref="M24:M43">IF(F24="","",ROUND((K24-J24)*24*60,0))</f>
        <v>194</v>
      </c>
      <c r="N24" s="591" t="s">
        <v>116</v>
      </c>
      <c r="O24" s="577" t="str">
        <f aca="true" t="shared" si="3" ref="O24:O43">IF(F24="","",IF(N24="P","--","NO"))</f>
        <v>--</v>
      </c>
      <c r="P24" s="578">
        <f aca="true" t="shared" si="4" ref="P24:P43">IF(H24=330,$H$15,IF(AND(H24&lt;=132,H24&gt;=66),$H$16,IF(AND(H24&lt;66,H24&gt;13.2),$H$17,$H$18)))</f>
        <v>25</v>
      </c>
      <c r="Q24" s="592">
        <f aca="true" t="shared" si="5" ref="Q24:Q43">IF(N24="P",I24*P24*ROUND(M24/60,2)*0.1,"--")</f>
        <v>40.97255</v>
      </c>
      <c r="R24" s="580" t="str">
        <f aca="true" t="shared" si="6" ref="R24:R43">IF(AND(N24="F",O24="NO"),I24*P24,"--")</f>
        <v>--</v>
      </c>
      <c r="S24" s="581" t="str">
        <f aca="true" t="shared" si="7" ref="S24:S43">IF(N24="F",I24*P24*ROUND(M24/60,2),"--")</f>
        <v>--</v>
      </c>
      <c r="T24" s="582" t="str">
        <f>IF(N24="RF",I24*P24*ROUND(M24/60,2),"--")</f>
        <v>--</v>
      </c>
      <c r="U24" s="583" t="str">
        <f aca="true" t="shared" si="8" ref="U24:U43">IF(F24="","","SI")</f>
        <v>SI</v>
      </c>
      <c r="V24" s="593">
        <f aca="true" t="shared" si="9" ref="V24:V43">IF(F24="","",SUM(Q24:T24)*IF(U24="SI",1,2)*IF(H24="500/220",0,1))</f>
        <v>40.97255</v>
      </c>
      <c r="W24" s="559"/>
    </row>
    <row r="25" spans="2:23" s="499" customFormat="1" ht="16.5" customHeight="1">
      <c r="B25" s="511"/>
      <c r="C25" s="585"/>
      <c r="D25" s="586"/>
      <c r="E25" s="586"/>
      <c r="F25" s="587"/>
      <c r="G25" s="587"/>
      <c r="H25" s="588"/>
      <c r="I25" s="564">
        <f t="shared" si="0"/>
        <v>5.074</v>
      </c>
      <c r="J25" s="589"/>
      <c r="K25" s="590"/>
      <c r="L25" s="567">
        <f t="shared" si="1"/>
      </c>
      <c r="M25" s="568">
        <f t="shared" si="2"/>
      </c>
      <c r="N25" s="591"/>
      <c r="O25" s="577">
        <f t="shared" si="3"/>
      </c>
      <c r="P25" s="578">
        <f t="shared" si="4"/>
        <v>20</v>
      </c>
      <c r="Q25" s="592" t="str">
        <f t="shared" si="5"/>
        <v>--</v>
      </c>
      <c r="R25" s="580" t="str">
        <f t="shared" si="6"/>
        <v>--</v>
      </c>
      <c r="S25" s="581" t="str">
        <f t="shared" si="7"/>
        <v>--</v>
      </c>
      <c r="T25" s="582" t="str">
        <f aca="true" t="shared" si="10" ref="T25:T40">IF(N25="RF",I25*P25*ROUND(M25/60,2),"--")</f>
        <v>--</v>
      </c>
      <c r="U25" s="583">
        <f t="shared" si="8"/>
      </c>
      <c r="V25" s="593">
        <f t="shared" si="9"/>
      </c>
      <c r="W25" s="559"/>
    </row>
    <row r="26" spans="2:23" s="499" customFormat="1" ht="16.5" customHeight="1">
      <c r="B26" s="511"/>
      <c r="C26" s="585"/>
      <c r="D26" s="586"/>
      <c r="E26" s="586"/>
      <c r="F26" s="587"/>
      <c r="G26" s="587"/>
      <c r="H26" s="588"/>
      <c r="I26" s="564">
        <f t="shared" si="0"/>
        <v>5.074</v>
      </c>
      <c r="J26" s="589"/>
      <c r="K26" s="590"/>
      <c r="L26" s="567">
        <f t="shared" si="1"/>
      </c>
      <c r="M26" s="568">
        <f t="shared" si="2"/>
      </c>
      <c r="N26" s="591"/>
      <c r="O26" s="577">
        <f t="shared" si="3"/>
      </c>
      <c r="P26" s="578">
        <f t="shared" si="4"/>
        <v>20</v>
      </c>
      <c r="Q26" s="592" t="str">
        <f t="shared" si="5"/>
        <v>--</v>
      </c>
      <c r="R26" s="580" t="str">
        <f t="shared" si="6"/>
        <v>--</v>
      </c>
      <c r="S26" s="581" t="str">
        <f t="shared" si="7"/>
        <v>--</v>
      </c>
      <c r="T26" s="582" t="str">
        <f t="shared" si="10"/>
        <v>--</v>
      </c>
      <c r="U26" s="583">
        <f t="shared" si="8"/>
      </c>
      <c r="V26" s="593">
        <f t="shared" si="9"/>
      </c>
      <c r="W26" s="559"/>
    </row>
    <row r="27" spans="2:23" s="499" customFormat="1" ht="16.5" customHeight="1">
      <c r="B27" s="511"/>
      <c r="C27" s="585"/>
      <c r="D27" s="586"/>
      <c r="E27" s="586"/>
      <c r="F27" s="587"/>
      <c r="G27" s="587"/>
      <c r="H27" s="588"/>
      <c r="I27" s="564">
        <f t="shared" si="0"/>
        <v>5.074</v>
      </c>
      <c r="J27" s="589"/>
      <c r="K27" s="590"/>
      <c r="L27" s="567">
        <f t="shared" si="1"/>
      </c>
      <c r="M27" s="568">
        <f t="shared" si="2"/>
      </c>
      <c r="N27" s="591"/>
      <c r="O27" s="577">
        <f t="shared" si="3"/>
      </c>
      <c r="P27" s="578">
        <f t="shared" si="4"/>
        <v>20</v>
      </c>
      <c r="Q27" s="592" t="str">
        <f t="shared" si="5"/>
        <v>--</v>
      </c>
      <c r="R27" s="580" t="str">
        <f t="shared" si="6"/>
        <v>--</v>
      </c>
      <c r="S27" s="581" t="str">
        <f t="shared" si="7"/>
        <v>--</v>
      </c>
      <c r="T27" s="582" t="str">
        <f t="shared" si="10"/>
        <v>--</v>
      </c>
      <c r="U27" s="583">
        <f t="shared" si="8"/>
      </c>
      <c r="V27" s="593">
        <f t="shared" si="9"/>
      </c>
      <c r="W27" s="559"/>
    </row>
    <row r="28" spans="2:23" s="499" customFormat="1" ht="16.5" customHeight="1">
      <c r="B28" s="511"/>
      <c r="C28" s="585"/>
      <c r="D28" s="586"/>
      <c r="E28" s="586"/>
      <c r="F28" s="587"/>
      <c r="G28" s="587"/>
      <c r="H28" s="588"/>
      <c r="I28" s="564">
        <f t="shared" si="0"/>
        <v>5.074</v>
      </c>
      <c r="J28" s="589"/>
      <c r="K28" s="590"/>
      <c r="L28" s="567">
        <f t="shared" si="1"/>
      </c>
      <c r="M28" s="568">
        <f t="shared" si="2"/>
      </c>
      <c r="N28" s="591"/>
      <c r="O28" s="577">
        <f t="shared" si="3"/>
      </c>
      <c r="P28" s="578">
        <f t="shared" si="4"/>
        <v>20</v>
      </c>
      <c r="Q28" s="592" t="str">
        <f t="shared" si="5"/>
        <v>--</v>
      </c>
      <c r="R28" s="580" t="str">
        <f t="shared" si="6"/>
        <v>--</v>
      </c>
      <c r="S28" s="581" t="str">
        <f t="shared" si="7"/>
        <v>--</v>
      </c>
      <c r="T28" s="582" t="str">
        <f t="shared" si="10"/>
        <v>--</v>
      </c>
      <c r="U28" s="583">
        <f t="shared" si="8"/>
      </c>
      <c r="V28" s="593">
        <f t="shared" si="9"/>
      </c>
      <c r="W28" s="559"/>
    </row>
    <row r="29" spans="2:23" s="499" customFormat="1" ht="16.5" customHeight="1">
      <c r="B29" s="511"/>
      <c r="C29" s="585"/>
      <c r="D29" s="586"/>
      <c r="E29" s="586"/>
      <c r="F29" s="587"/>
      <c r="G29" s="587"/>
      <c r="H29" s="588"/>
      <c r="I29" s="564">
        <f t="shared" si="0"/>
        <v>5.074</v>
      </c>
      <c r="J29" s="589"/>
      <c r="K29" s="590"/>
      <c r="L29" s="567">
        <f t="shared" si="1"/>
      </c>
      <c r="M29" s="568">
        <f t="shared" si="2"/>
      </c>
      <c r="N29" s="591"/>
      <c r="O29" s="577">
        <f t="shared" si="3"/>
      </c>
      <c r="P29" s="578">
        <f t="shared" si="4"/>
        <v>20</v>
      </c>
      <c r="Q29" s="592" t="str">
        <f t="shared" si="5"/>
        <v>--</v>
      </c>
      <c r="R29" s="580" t="str">
        <f t="shared" si="6"/>
        <v>--</v>
      </c>
      <c r="S29" s="581" t="str">
        <f t="shared" si="7"/>
        <v>--</v>
      </c>
      <c r="T29" s="582" t="str">
        <f t="shared" si="10"/>
        <v>--</v>
      </c>
      <c r="U29" s="583">
        <f t="shared" si="8"/>
      </c>
      <c r="V29" s="593">
        <f t="shared" si="9"/>
      </c>
      <c r="W29" s="559"/>
    </row>
    <row r="30" spans="2:23" s="499" customFormat="1" ht="16.5" customHeight="1">
      <c r="B30" s="511"/>
      <c r="C30" s="585"/>
      <c r="D30" s="586"/>
      <c r="E30" s="586"/>
      <c r="F30" s="587"/>
      <c r="G30" s="587"/>
      <c r="H30" s="588"/>
      <c r="I30" s="564">
        <f t="shared" si="0"/>
        <v>5.074</v>
      </c>
      <c r="J30" s="589"/>
      <c r="K30" s="590"/>
      <c r="L30" s="567">
        <f t="shared" si="1"/>
      </c>
      <c r="M30" s="568">
        <f t="shared" si="2"/>
      </c>
      <c r="N30" s="591"/>
      <c r="O30" s="577">
        <f t="shared" si="3"/>
      </c>
      <c r="P30" s="578">
        <f t="shared" si="4"/>
        <v>20</v>
      </c>
      <c r="Q30" s="592" t="str">
        <f t="shared" si="5"/>
        <v>--</v>
      </c>
      <c r="R30" s="580" t="str">
        <f t="shared" si="6"/>
        <v>--</v>
      </c>
      <c r="S30" s="581" t="str">
        <f t="shared" si="7"/>
        <v>--</v>
      </c>
      <c r="T30" s="582" t="str">
        <f t="shared" si="10"/>
        <v>--</v>
      </c>
      <c r="U30" s="583">
        <f t="shared" si="8"/>
      </c>
      <c r="V30" s="593">
        <f t="shared" si="9"/>
      </c>
      <c r="W30" s="559"/>
    </row>
    <row r="31" spans="2:23" s="499" customFormat="1" ht="16.5" customHeight="1">
      <c r="B31" s="511"/>
      <c r="C31" s="585"/>
      <c r="D31" s="586"/>
      <c r="E31" s="586"/>
      <c r="F31" s="587"/>
      <c r="G31" s="587"/>
      <c r="H31" s="588"/>
      <c r="I31" s="564">
        <f t="shared" si="0"/>
        <v>5.074</v>
      </c>
      <c r="J31" s="589"/>
      <c r="K31" s="590"/>
      <c r="L31" s="567">
        <f t="shared" si="1"/>
      </c>
      <c r="M31" s="568">
        <f t="shared" si="2"/>
      </c>
      <c r="N31" s="591"/>
      <c r="O31" s="577">
        <f t="shared" si="3"/>
      </c>
      <c r="P31" s="578">
        <f t="shared" si="4"/>
        <v>20</v>
      </c>
      <c r="Q31" s="592" t="str">
        <f t="shared" si="5"/>
        <v>--</v>
      </c>
      <c r="R31" s="580" t="str">
        <f t="shared" si="6"/>
        <v>--</v>
      </c>
      <c r="S31" s="581" t="str">
        <f t="shared" si="7"/>
        <v>--</v>
      </c>
      <c r="T31" s="582" t="str">
        <f t="shared" si="10"/>
        <v>--</v>
      </c>
      <c r="U31" s="583">
        <f t="shared" si="8"/>
      </c>
      <c r="V31" s="593">
        <f t="shared" si="9"/>
      </c>
      <c r="W31" s="559"/>
    </row>
    <row r="32" spans="2:23" s="499" customFormat="1" ht="16.5" customHeight="1">
      <c r="B32" s="511"/>
      <c r="C32" s="585"/>
      <c r="D32" s="586"/>
      <c r="E32" s="586"/>
      <c r="F32" s="587"/>
      <c r="G32" s="587"/>
      <c r="H32" s="588"/>
      <c r="I32" s="564">
        <f t="shared" si="0"/>
        <v>5.074</v>
      </c>
      <c r="J32" s="589"/>
      <c r="K32" s="590"/>
      <c r="L32" s="567">
        <f t="shared" si="1"/>
      </c>
      <c r="M32" s="568">
        <f t="shared" si="2"/>
      </c>
      <c r="N32" s="591"/>
      <c r="O32" s="577">
        <f t="shared" si="3"/>
      </c>
      <c r="P32" s="578">
        <f t="shared" si="4"/>
        <v>20</v>
      </c>
      <c r="Q32" s="592" t="str">
        <f t="shared" si="5"/>
        <v>--</v>
      </c>
      <c r="R32" s="580" t="str">
        <f t="shared" si="6"/>
        <v>--</v>
      </c>
      <c r="S32" s="581" t="str">
        <f t="shared" si="7"/>
        <v>--</v>
      </c>
      <c r="T32" s="582" t="str">
        <f t="shared" si="10"/>
        <v>--</v>
      </c>
      <c r="U32" s="583">
        <f t="shared" si="8"/>
      </c>
      <c r="V32" s="593">
        <f t="shared" si="9"/>
      </c>
      <c r="W32" s="559"/>
    </row>
    <row r="33" spans="2:23" s="499" customFormat="1" ht="16.5" customHeight="1">
      <c r="B33" s="511"/>
      <c r="C33" s="585"/>
      <c r="D33" s="586"/>
      <c r="E33" s="586"/>
      <c r="F33" s="587"/>
      <c r="G33" s="587"/>
      <c r="H33" s="588"/>
      <c r="I33" s="564">
        <f t="shared" si="0"/>
        <v>5.074</v>
      </c>
      <c r="J33" s="589"/>
      <c r="K33" s="590"/>
      <c r="L33" s="567">
        <f t="shared" si="1"/>
      </c>
      <c r="M33" s="568">
        <f t="shared" si="2"/>
      </c>
      <c r="N33" s="591"/>
      <c r="O33" s="577">
        <f t="shared" si="3"/>
      </c>
      <c r="P33" s="578">
        <f t="shared" si="4"/>
        <v>20</v>
      </c>
      <c r="Q33" s="592" t="str">
        <f t="shared" si="5"/>
        <v>--</v>
      </c>
      <c r="R33" s="580" t="str">
        <f t="shared" si="6"/>
        <v>--</v>
      </c>
      <c r="S33" s="581" t="str">
        <f t="shared" si="7"/>
        <v>--</v>
      </c>
      <c r="T33" s="582" t="str">
        <f t="shared" si="10"/>
        <v>--</v>
      </c>
      <c r="U33" s="583">
        <f t="shared" si="8"/>
      </c>
      <c r="V33" s="593">
        <f t="shared" si="9"/>
      </c>
      <c r="W33" s="559"/>
    </row>
    <row r="34" spans="2:23" s="499" customFormat="1" ht="16.5" customHeight="1">
      <c r="B34" s="511"/>
      <c r="C34" s="585"/>
      <c r="D34" s="586"/>
      <c r="E34" s="586"/>
      <c r="F34" s="587"/>
      <c r="G34" s="587"/>
      <c r="H34" s="588"/>
      <c r="I34" s="564">
        <f t="shared" si="0"/>
        <v>5.074</v>
      </c>
      <c r="J34" s="589"/>
      <c r="K34" s="590"/>
      <c r="L34" s="567">
        <f t="shared" si="1"/>
      </c>
      <c r="M34" s="568">
        <f t="shared" si="2"/>
      </c>
      <c r="N34" s="591"/>
      <c r="O34" s="577">
        <f t="shared" si="3"/>
      </c>
      <c r="P34" s="578">
        <f t="shared" si="4"/>
        <v>20</v>
      </c>
      <c r="Q34" s="592" t="str">
        <f t="shared" si="5"/>
        <v>--</v>
      </c>
      <c r="R34" s="580" t="str">
        <f t="shared" si="6"/>
        <v>--</v>
      </c>
      <c r="S34" s="581" t="str">
        <f t="shared" si="7"/>
        <v>--</v>
      </c>
      <c r="T34" s="582" t="str">
        <f t="shared" si="10"/>
        <v>--</v>
      </c>
      <c r="U34" s="583">
        <f t="shared" si="8"/>
      </c>
      <c r="V34" s="593">
        <f t="shared" si="9"/>
      </c>
      <c r="W34" s="559"/>
    </row>
    <row r="35" spans="2:23" s="499" customFormat="1" ht="16.5" customHeight="1">
      <c r="B35" s="511"/>
      <c r="C35" s="585"/>
      <c r="D35" s="586"/>
      <c r="E35" s="586"/>
      <c r="F35" s="587"/>
      <c r="G35" s="587"/>
      <c r="H35" s="588"/>
      <c r="I35" s="564">
        <f t="shared" si="0"/>
        <v>5.074</v>
      </c>
      <c r="J35" s="589"/>
      <c r="K35" s="590"/>
      <c r="L35" s="567">
        <f t="shared" si="1"/>
      </c>
      <c r="M35" s="568">
        <f t="shared" si="2"/>
      </c>
      <c r="N35" s="591"/>
      <c r="O35" s="577">
        <f t="shared" si="3"/>
      </c>
      <c r="P35" s="578">
        <f t="shared" si="4"/>
        <v>20</v>
      </c>
      <c r="Q35" s="592" t="str">
        <f t="shared" si="5"/>
        <v>--</v>
      </c>
      <c r="R35" s="580" t="str">
        <f t="shared" si="6"/>
        <v>--</v>
      </c>
      <c r="S35" s="581" t="str">
        <f t="shared" si="7"/>
        <v>--</v>
      </c>
      <c r="T35" s="582" t="str">
        <f t="shared" si="10"/>
        <v>--</v>
      </c>
      <c r="U35" s="583">
        <f t="shared" si="8"/>
      </c>
      <c r="V35" s="593">
        <f t="shared" si="9"/>
      </c>
      <c r="W35" s="559"/>
    </row>
    <row r="36" spans="2:23" s="499" customFormat="1" ht="16.5" customHeight="1">
      <c r="B36" s="511"/>
      <c r="C36" s="585"/>
      <c r="D36" s="586"/>
      <c r="E36" s="586"/>
      <c r="F36" s="587"/>
      <c r="G36" s="587"/>
      <c r="H36" s="588"/>
      <c r="I36" s="564">
        <f t="shared" si="0"/>
        <v>5.074</v>
      </c>
      <c r="J36" s="589"/>
      <c r="K36" s="590"/>
      <c r="L36" s="567">
        <f t="shared" si="1"/>
      </c>
      <c r="M36" s="568">
        <f t="shared" si="2"/>
      </c>
      <c r="N36" s="591"/>
      <c r="O36" s="577">
        <f t="shared" si="3"/>
      </c>
      <c r="P36" s="578">
        <f t="shared" si="4"/>
        <v>20</v>
      </c>
      <c r="Q36" s="592" t="str">
        <f t="shared" si="5"/>
        <v>--</v>
      </c>
      <c r="R36" s="580" t="str">
        <f t="shared" si="6"/>
        <v>--</v>
      </c>
      <c r="S36" s="581" t="str">
        <f t="shared" si="7"/>
        <v>--</v>
      </c>
      <c r="T36" s="582" t="str">
        <f t="shared" si="10"/>
        <v>--</v>
      </c>
      <c r="U36" s="583">
        <f t="shared" si="8"/>
      </c>
      <c r="V36" s="593">
        <f t="shared" si="9"/>
      </c>
      <c r="W36" s="559"/>
    </row>
    <row r="37" spans="2:23" s="499" customFormat="1" ht="16.5" customHeight="1">
      <c r="B37" s="511"/>
      <c r="C37" s="585"/>
      <c r="D37" s="586"/>
      <c r="E37" s="586"/>
      <c r="F37" s="587"/>
      <c r="G37" s="587"/>
      <c r="H37" s="588"/>
      <c r="I37" s="564">
        <f t="shared" si="0"/>
        <v>5.074</v>
      </c>
      <c r="J37" s="589"/>
      <c r="K37" s="590"/>
      <c r="L37" s="567">
        <f t="shared" si="1"/>
      </c>
      <c r="M37" s="568">
        <f t="shared" si="2"/>
      </c>
      <c r="N37" s="591"/>
      <c r="O37" s="577">
        <f t="shared" si="3"/>
      </c>
      <c r="P37" s="578">
        <f t="shared" si="4"/>
        <v>20</v>
      </c>
      <c r="Q37" s="592" t="str">
        <f t="shared" si="5"/>
        <v>--</v>
      </c>
      <c r="R37" s="580" t="str">
        <f t="shared" si="6"/>
        <v>--</v>
      </c>
      <c r="S37" s="581" t="str">
        <f t="shared" si="7"/>
        <v>--</v>
      </c>
      <c r="T37" s="582" t="str">
        <f t="shared" si="10"/>
        <v>--</v>
      </c>
      <c r="U37" s="583">
        <f t="shared" si="8"/>
      </c>
      <c r="V37" s="593">
        <f t="shared" si="9"/>
      </c>
      <c r="W37" s="559"/>
    </row>
    <row r="38" spans="2:23" s="499" customFormat="1" ht="16.5" customHeight="1">
      <c r="B38" s="511"/>
      <c r="C38" s="585"/>
      <c r="D38" s="586"/>
      <c r="E38" s="586"/>
      <c r="F38" s="587"/>
      <c r="G38" s="587"/>
      <c r="H38" s="588"/>
      <c r="I38" s="564">
        <f t="shared" si="0"/>
        <v>5.074</v>
      </c>
      <c r="J38" s="589"/>
      <c r="K38" s="590"/>
      <c r="L38" s="567">
        <f t="shared" si="1"/>
      </c>
      <c r="M38" s="568">
        <f t="shared" si="2"/>
      </c>
      <c r="N38" s="591"/>
      <c r="O38" s="577">
        <f t="shared" si="3"/>
      </c>
      <c r="P38" s="578">
        <f t="shared" si="4"/>
        <v>20</v>
      </c>
      <c r="Q38" s="592" t="str">
        <f t="shared" si="5"/>
        <v>--</v>
      </c>
      <c r="R38" s="580" t="str">
        <f t="shared" si="6"/>
        <v>--</v>
      </c>
      <c r="S38" s="581" t="str">
        <f t="shared" si="7"/>
        <v>--</v>
      </c>
      <c r="T38" s="582" t="str">
        <f t="shared" si="10"/>
        <v>--</v>
      </c>
      <c r="U38" s="583">
        <f t="shared" si="8"/>
      </c>
      <c r="V38" s="593">
        <f t="shared" si="9"/>
      </c>
      <c r="W38" s="559"/>
    </row>
    <row r="39" spans="2:23" s="499" customFormat="1" ht="16.5" customHeight="1">
      <c r="B39" s="511"/>
      <c r="C39" s="585"/>
      <c r="D39" s="586"/>
      <c r="E39" s="586"/>
      <c r="F39" s="587"/>
      <c r="G39" s="587"/>
      <c r="H39" s="588"/>
      <c r="I39" s="564">
        <f t="shared" si="0"/>
        <v>5.074</v>
      </c>
      <c r="J39" s="589"/>
      <c r="K39" s="590"/>
      <c r="L39" s="567">
        <f t="shared" si="1"/>
      </c>
      <c r="M39" s="568">
        <f t="shared" si="2"/>
      </c>
      <c r="N39" s="591"/>
      <c r="O39" s="577">
        <f t="shared" si="3"/>
      </c>
      <c r="P39" s="578">
        <f t="shared" si="4"/>
        <v>20</v>
      </c>
      <c r="Q39" s="592" t="str">
        <f t="shared" si="5"/>
        <v>--</v>
      </c>
      <c r="R39" s="580" t="str">
        <f t="shared" si="6"/>
        <v>--</v>
      </c>
      <c r="S39" s="581" t="str">
        <f t="shared" si="7"/>
        <v>--</v>
      </c>
      <c r="T39" s="582" t="str">
        <f t="shared" si="10"/>
        <v>--</v>
      </c>
      <c r="U39" s="583">
        <f t="shared" si="8"/>
      </c>
      <c r="V39" s="593">
        <f t="shared" si="9"/>
      </c>
      <c r="W39" s="559"/>
    </row>
    <row r="40" spans="2:23" s="499" customFormat="1" ht="16.5" customHeight="1">
      <c r="B40" s="511"/>
      <c r="C40" s="585"/>
      <c r="D40" s="586"/>
      <c r="E40" s="586"/>
      <c r="F40" s="587"/>
      <c r="G40" s="587"/>
      <c r="H40" s="588"/>
      <c r="I40" s="564">
        <f t="shared" si="0"/>
        <v>5.074</v>
      </c>
      <c r="J40" s="589"/>
      <c r="K40" s="590"/>
      <c r="L40" s="567">
        <f t="shared" si="1"/>
      </c>
      <c r="M40" s="568">
        <f t="shared" si="2"/>
      </c>
      <c r="N40" s="591"/>
      <c r="O40" s="577">
        <f t="shared" si="3"/>
      </c>
      <c r="P40" s="578">
        <f t="shared" si="4"/>
        <v>20</v>
      </c>
      <c r="Q40" s="592" t="str">
        <f t="shared" si="5"/>
        <v>--</v>
      </c>
      <c r="R40" s="580" t="str">
        <f t="shared" si="6"/>
        <v>--</v>
      </c>
      <c r="S40" s="581" t="str">
        <f t="shared" si="7"/>
        <v>--</v>
      </c>
      <c r="T40" s="582" t="str">
        <f t="shared" si="10"/>
        <v>--</v>
      </c>
      <c r="U40" s="583">
        <f t="shared" si="8"/>
      </c>
      <c r="V40" s="593">
        <f t="shared" si="9"/>
      </c>
      <c r="W40" s="559"/>
    </row>
    <row r="41" spans="2:23" s="499" customFormat="1" ht="16.5" customHeight="1">
      <c r="B41" s="511"/>
      <c r="C41" s="585"/>
      <c r="D41" s="586"/>
      <c r="E41" s="586"/>
      <c r="F41" s="587"/>
      <c r="G41" s="587"/>
      <c r="H41" s="588"/>
      <c r="I41" s="564">
        <f t="shared" si="0"/>
        <v>5.074</v>
      </c>
      <c r="J41" s="589"/>
      <c r="K41" s="590"/>
      <c r="L41" s="567">
        <f t="shared" si="1"/>
      </c>
      <c r="M41" s="568">
        <f t="shared" si="2"/>
      </c>
      <c r="N41" s="591"/>
      <c r="O41" s="577">
        <f t="shared" si="3"/>
      </c>
      <c r="P41" s="578">
        <f t="shared" si="4"/>
        <v>20</v>
      </c>
      <c r="Q41" s="592" t="str">
        <f t="shared" si="5"/>
        <v>--</v>
      </c>
      <c r="R41" s="580" t="str">
        <f t="shared" si="6"/>
        <v>--</v>
      </c>
      <c r="S41" s="581" t="str">
        <f t="shared" si="7"/>
        <v>--</v>
      </c>
      <c r="T41" s="582" t="str">
        <f>IF(N41="RF",I41*P41*ROUND(M41/60,2),"--")</f>
        <v>--</v>
      </c>
      <c r="U41" s="583">
        <f t="shared" si="8"/>
      </c>
      <c r="V41" s="593">
        <f t="shared" si="9"/>
      </c>
      <c r="W41" s="559"/>
    </row>
    <row r="42" spans="2:23" s="499" customFormat="1" ht="16.5" customHeight="1">
      <c r="B42" s="511"/>
      <c r="C42" s="585"/>
      <c r="D42" s="586"/>
      <c r="E42" s="586"/>
      <c r="F42" s="587"/>
      <c r="G42" s="587"/>
      <c r="H42" s="588"/>
      <c r="I42" s="564">
        <f t="shared" si="0"/>
        <v>5.074</v>
      </c>
      <c r="J42" s="589"/>
      <c r="K42" s="590"/>
      <c r="L42" s="567">
        <f t="shared" si="1"/>
      </c>
      <c r="M42" s="568">
        <f t="shared" si="2"/>
      </c>
      <c r="N42" s="591"/>
      <c r="O42" s="577">
        <f t="shared" si="3"/>
      </c>
      <c r="P42" s="578">
        <f t="shared" si="4"/>
        <v>20</v>
      </c>
      <c r="Q42" s="592" t="str">
        <f t="shared" si="5"/>
        <v>--</v>
      </c>
      <c r="R42" s="580" t="str">
        <f t="shared" si="6"/>
        <v>--</v>
      </c>
      <c r="S42" s="581" t="str">
        <f t="shared" si="7"/>
        <v>--</v>
      </c>
      <c r="T42" s="582" t="str">
        <f>IF(N42="RF",I42*P42*ROUND(M42/60,2),"--")</f>
        <v>--</v>
      </c>
      <c r="U42" s="583">
        <f t="shared" si="8"/>
      </c>
      <c r="V42" s="593">
        <f t="shared" si="9"/>
      </c>
      <c r="W42" s="559"/>
    </row>
    <row r="43" spans="2:23" s="499" customFormat="1" ht="16.5" customHeight="1">
      <c r="B43" s="511"/>
      <c r="C43" s="585"/>
      <c r="D43" s="586"/>
      <c r="E43" s="586"/>
      <c r="F43" s="587"/>
      <c r="G43" s="587"/>
      <c r="H43" s="588"/>
      <c r="I43" s="564">
        <f t="shared" si="0"/>
        <v>5.074</v>
      </c>
      <c r="J43" s="589"/>
      <c r="K43" s="590"/>
      <c r="L43" s="567">
        <f t="shared" si="1"/>
      </c>
      <c r="M43" s="568">
        <f t="shared" si="2"/>
      </c>
      <c r="N43" s="591"/>
      <c r="O43" s="577">
        <f t="shared" si="3"/>
      </c>
      <c r="P43" s="578">
        <f t="shared" si="4"/>
        <v>20</v>
      </c>
      <c r="Q43" s="592" t="str">
        <f t="shared" si="5"/>
        <v>--</v>
      </c>
      <c r="R43" s="580" t="str">
        <f t="shared" si="6"/>
        <v>--</v>
      </c>
      <c r="S43" s="581" t="str">
        <f t="shared" si="7"/>
        <v>--</v>
      </c>
      <c r="T43" s="582" t="str">
        <f>IF(N43="RF",I43*P43*ROUND(M43/60,2),"--")</f>
        <v>--</v>
      </c>
      <c r="U43" s="583">
        <f t="shared" si="8"/>
      </c>
      <c r="V43" s="593">
        <f t="shared" si="9"/>
      </c>
      <c r="W43" s="559"/>
    </row>
    <row r="44" spans="2:23" s="499" customFormat="1" ht="16.5" customHeight="1" thickBot="1">
      <c r="B44" s="511"/>
      <c r="C44" s="594"/>
      <c r="D44" s="594"/>
      <c r="E44" s="594"/>
      <c r="F44" s="594"/>
      <c r="G44" s="594"/>
      <c r="H44" s="594"/>
      <c r="I44" s="595"/>
      <c r="J44" s="594"/>
      <c r="K44" s="594"/>
      <c r="L44" s="596"/>
      <c r="M44" s="596"/>
      <c r="N44" s="594"/>
      <c r="O44" s="594"/>
      <c r="P44" s="597"/>
      <c r="Q44" s="598"/>
      <c r="R44" s="599"/>
      <c r="S44" s="600"/>
      <c r="T44" s="601"/>
      <c r="U44" s="594"/>
      <c r="V44" s="602"/>
      <c r="W44" s="559"/>
    </row>
    <row r="45" spans="2:23" s="499" customFormat="1" ht="16.5" customHeight="1" thickBot="1" thickTop="1">
      <c r="B45" s="511"/>
      <c r="C45" s="603" t="s">
        <v>54</v>
      </c>
      <c r="D45" s="624" t="s">
        <v>125</v>
      </c>
      <c r="E45" s="604"/>
      <c r="F45" s="605"/>
      <c r="G45" s="606"/>
      <c r="H45" s="606"/>
      <c r="I45" s="606"/>
      <c r="J45" s="606"/>
      <c r="K45" s="606"/>
      <c r="L45" s="606"/>
      <c r="M45" s="606"/>
      <c r="N45" s="606"/>
      <c r="O45" s="606"/>
      <c r="P45" s="606"/>
      <c r="Q45" s="607">
        <f>ROUND(SUM(Q22:Q44),2)</f>
        <v>40.97</v>
      </c>
      <c r="R45" s="608">
        <f>SUM(R22:R44)</f>
        <v>0</v>
      </c>
      <c r="S45" s="608">
        <f>SUM(S22:S44)</f>
        <v>0</v>
      </c>
      <c r="T45" s="609">
        <f>SUM(T22:T44)</f>
        <v>0</v>
      </c>
      <c r="U45" s="610"/>
      <c r="V45" s="611">
        <f>SUM(V22:V44)</f>
        <v>40.97255</v>
      </c>
      <c r="W45" s="559"/>
    </row>
    <row r="46" spans="2:23" s="612" customFormat="1" ht="9.75" thickTop="1">
      <c r="B46" s="613"/>
      <c r="C46" s="614"/>
      <c r="D46" s="614"/>
      <c r="E46" s="614"/>
      <c r="F46" s="615"/>
      <c r="G46" s="616"/>
      <c r="H46" s="616"/>
      <c r="I46" s="616"/>
      <c r="J46" s="616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7"/>
      <c r="V46" s="618"/>
      <c r="W46" s="619"/>
    </row>
    <row r="47" spans="1:23" s="499" customFormat="1" ht="16.5" customHeight="1" thickBot="1">
      <c r="A47" s="514"/>
      <c r="B47" s="620"/>
      <c r="C47" s="620"/>
      <c r="D47" s="620"/>
      <c r="E47" s="620"/>
      <c r="F47" s="620"/>
      <c r="G47" s="620"/>
      <c r="H47" s="620"/>
      <c r="I47" s="620"/>
      <c r="J47" s="620"/>
      <c r="K47" s="620"/>
      <c r="L47" s="620"/>
      <c r="M47" s="620"/>
      <c r="N47" s="620"/>
      <c r="O47" s="620"/>
      <c r="P47" s="620"/>
      <c r="Q47" s="620"/>
      <c r="R47" s="620"/>
      <c r="S47" s="620"/>
      <c r="T47" s="620"/>
      <c r="U47" s="620"/>
      <c r="V47" s="620"/>
      <c r="W47" s="621"/>
    </row>
    <row r="48" spans="1:23" ht="13.5" thickTop="1">
      <c r="A48" s="622"/>
      <c r="B48" s="622"/>
      <c r="C48" s="622"/>
      <c r="D48" s="622"/>
      <c r="E48" s="622"/>
      <c r="F48" s="622"/>
      <c r="G48" s="622"/>
      <c r="H48" s="622"/>
      <c r="I48" s="622"/>
      <c r="J48" s="622"/>
      <c r="K48" s="622"/>
      <c r="L48" s="622"/>
      <c r="M48" s="622"/>
      <c r="N48" s="622"/>
      <c r="O48" s="622"/>
      <c r="P48" s="622"/>
      <c r="Q48" s="622"/>
      <c r="R48" s="622"/>
      <c r="S48" s="622"/>
      <c r="T48" s="622"/>
      <c r="U48" s="622"/>
      <c r="V48" s="622"/>
      <c r="W48" s="622"/>
    </row>
    <row r="49" spans="3:6" ht="12.75">
      <c r="C49" s="622"/>
      <c r="D49" s="622"/>
      <c r="E49" s="622"/>
      <c r="F49" s="622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4" r:id="rId4"/>
  <headerFooter alignWithMargins="0">
    <oddFooter>&amp;L&amp;"Times New Roman,Normal"&amp;8&amp;Z&amp;F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8"/>
  <sheetViews>
    <sheetView zoomScale="70" zoomScaleNormal="70" zoomScalePageLayoutView="0" workbookViewId="0" topLeftCell="A1">
      <selection activeCell="A22" sqref="A22:IV25"/>
    </sheetView>
  </sheetViews>
  <sheetFormatPr defaultColWidth="11.421875" defaultRowHeight="12.75"/>
  <cols>
    <col min="1" max="2" width="4.140625" style="0" customWidth="1"/>
    <col min="3" max="3" width="4.7109375" style="0" customWidth="1"/>
    <col min="4" max="5" width="13.8515625" style="0" customWidth="1"/>
    <col min="6" max="6" width="30.7109375" style="0" customWidth="1"/>
    <col min="7" max="7" width="20.7109375" style="0" customWidth="1"/>
    <col min="8" max="8" width="9.7109375" style="0" customWidth="1"/>
    <col min="9" max="9" width="14.00390625" style="0" hidden="1" customWidth="1"/>
    <col min="10" max="11" width="15.7109375" style="0" customWidth="1"/>
    <col min="12" max="14" width="9.7109375" style="0" customWidth="1"/>
    <col min="15" max="15" width="7.7109375" style="0" customWidth="1"/>
    <col min="16" max="16" width="13.140625" style="0" hidden="1" customWidth="1"/>
    <col min="17" max="17" width="15.140625" style="0" hidden="1" customWidth="1"/>
    <col min="18" max="18" width="16.140625" style="0" hidden="1" customWidth="1"/>
    <col min="19" max="20" width="16.421875" style="0" hidden="1" customWidth="1"/>
    <col min="21" max="21" width="9.7109375" style="0" customWidth="1"/>
    <col min="22" max="22" width="15.7109375" style="0" customWidth="1"/>
    <col min="23" max="23" width="4.140625" style="0" customWidth="1"/>
  </cols>
  <sheetData>
    <row r="1" s="100" customFormat="1" ht="26.25">
      <c r="W1" s="311"/>
    </row>
    <row r="2" spans="2:23" s="100" customFormat="1" ht="26.25">
      <c r="B2" s="101" t="str">
        <f>'TOT-1013'!B2</f>
        <v>ANEXO IV al Memorándum  D.T.E.E.  N°      598     / 2014.-</v>
      </c>
      <c r="C2" s="102"/>
      <c r="D2" s="102"/>
      <c r="E2" s="102"/>
      <c r="F2" s="102"/>
      <c r="G2" s="101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</row>
    <row r="3" s="10" customFormat="1" ht="12.75"/>
    <row r="4" spans="1:4" s="103" customFormat="1" ht="11.25">
      <c r="A4" s="469" t="s">
        <v>16</v>
      </c>
      <c r="C4" s="468"/>
      <c r="D4" s="468"/>
    </row>
    <row r="5" spans="1:4" s="103" customFormat="1" ht="11.25">
      <c r="A5" s="469" t="s">
        <v>110</v>
      </c>
      <c r="C5" s="468"/>
      <c r="D5" s="468"/>
    </row>
    <row r="6" s="10" customFormat="1" ht="12.75"/>
    <row r="7" s="10" customFormat="1" ht="13.5" thickBot="1"/>
    <row r="8" spans="2:23" s="10" customFormat="1" ht="13.5" thickTop="1">
      <c r="B8" s="24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</row>
    <row r="9" spans="2:23" s="105" customFormat="1" ht="20.25">
      <c r="B9" s="104"/>
      <c r="C9" s="17"/>
      <c r="D9" s="17"/>
      <c r="E9" s="17"/>
      <c r="F9" s="17" t="s">
        <v>30</v>
      </c>
      <c r="G9" s="64"/>
      <c r="H9" s="124"/>
      <c r="I9" s="123"/>
      <c r="J9" s="123"/>
      <c r="K9" s="123"/>
      <c r="L9" s="123"/>
      <c r="M9" s="123"/>
      <c r="N9" s="123"/>
      <c r="O9" s="124"/>
      <c r="P9" s="124"/>
      <c r="Q9" s="124"/>
      <c r="R9" s="124"/>
      <c r="S9" s="124"/>
      <c r="T9" s="124"/>
      <c r="U9" s="124"/>
      <c r="V9" s="124"/>
      <c r="W9" s="156"/>
    </row>
    <row r="10" spans="2:23" s="10" customFormat="1" ht="12.75">
      <c r="B10" s="2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11"/>
    </row>
    <row r="11" spans="2:23" s="105" customFormat="1" ht="20.25">
      <c r="B11" s="104"/>
      <c r="F11" s="17" t="s">
        <v>134</v>
      </c>
      <c r="H11" s="46"/>
      <c r="I11" s="107"/>
      <c r="J11" s="107"/>
      <c r="K11" s="107"/>
      <c r="L11" s="107"/>
      <c r="M11" s="107"/>
      <c r="N11" s="107"/>
      <c r="O11" s="107"/>
      <c r="P11" s="107"/>
      <c r="Q11" s="28"/>
      <c r="R11" s="28"/>
      <c r="S11" s="28"/>
      <c r="T11" s="28"/>
      <c r="U11" s="28"/>
      <c r="V11" s="28"/>
      <c r="W11" s="106"/>
    </row>
    <row r="12" spans="2:23" s="10" customFormat="1" ht="16.5" customHeight="1">
      <c r="B12" s="27"/>
      <c r="C12" s="8"/>
      <c r="D12" s="8"/>
      <c r="E12" s="8"/>
      <c r="F12" s="117"/>
      <c r="H12" s="125"/>
      <c r="I12" s="113"/>
      <c r="J12" s="113"/>
      <c r="K12" s="113"/>
      <c r="L12" s="113"/>
      <c r="M12" s="113"/>
      <c r="N12" s="113"/>
      <c r="O12" s="113"/>
      <c r="P12" s="113"/>
      <c r="Q12" s="8"/>
      <c r="R12" s="8"/>
      <c r="S12" s="8"/>
      <c r="T12" s="8"/>
      <c r="U12" s="8"/>
      <c r="V12" s="8"/>
      <c r="W12" s="11"/>
    </row>
    <row r="13" spans="2:23" s="112" customFormat="1" ht="16.5" customHeight="1">
      <c r="B13" s="79" t="str">
        <f>+'TOT-1013'!B14</f>
        <v>Desde el 01 al 31 de octubre de 2013</v>
      </c>
      <c r="C13" s="108"/>
      <c r="D13" s="108"/>
      <c r="E13" s="108"/>
      <c r="F13" s="110"/>
      <c r="G13" s="110"/>
      <c r="H13" s="110"/>
      <c r="I13" s="110"/>
      <c r="J13" s="78"/>
      <c r="K13" s="110"/>
      <c r="L13" s="110"/>
      <c r="M13" s="110"/>
      <c r="N13" s="110"/>
      <c r="O13" s="110"/>
      <c r="P13" s="110"/>
      <c r="Q13" s="108"/>
      <c r="R13" s="108"/>
      <c r="S13" s="108"/>
      <c r="T13" s="108"/>
      <c r="U13" s="108"/>
      <c r="V13" s="108"/>
      <c r="W13" s="111"/>
    </row>
    <row r="14" spans="2:23" s="10" customFormat="1" ht="16.5" customHeight="1" thickBot="1">
      <c r="B14" s="27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Q14" s="8"/>
      <c r="R14" s="8"/>
      <c r="S14" s="8"/>
      <c r="T14" s="8"/>
      <c r="U14" s="8"/>
      <c r="V14" s="8"/>
      <c r="W14" s="11"/>
    </row>
    <row r="15" spans="2:23" s="10" customFormat="1" ht="16.5" customHeight="1" thickBot="1" thickTop="1">
      <c r="B15" s="27"/>
      <c r="C15" s="8"/>
      <c r="D15" s="8"/>
      <c r="E15" s="8"/>
      <c r="F15" s="164" t="s">
        <v>62</v>
      </c>
      <c r="G15" s="171"/>
      <c r="H15" s="172"/>
      <c r="I15" s="173"/>
      <c r="J15" s="306">
        <v>0.507</v>
      </c>
      <c r="K15" s="8"/>
      <c r="L15" s="8"/>
      <c r="M15" s="8"/>
      <c r="N15" s="8"/>
      <c r="P15" s="8"/>
      <c r="Q15" s="8"/>
      <c r="R15" s="8"/>
      <c r="S15" s="8"/>
      <c r="T15" s="8"/>
      <c r="U15" s="8"/>
      <c r="V15" s="8"/>
      <c r="W15" s="11"/>
    </row>
    <row r="16" spans="2:23" s="10" customFormat="1" ht="16.5" customHeight="1" thickBot="1" thickTop="1">
      <c r="B16" s="27"/>
      <c r="C16" s="8"/>
      <c r="D16" s="8"/>
      <c r="E16" s="8"/>
      <c r="F16" s="174" t="s">
        <v>55</v>
      </c>
      <c r="G16" s="175"/>
      <c r="H16" s="175"/>
      <c r="I16" s="173"/>
      <c r="J16" s="176">
        <f>6*'TOT-1013'!B13</f>
        <v>6</v>
      </c>
      <c r="K16" s="185"/>
      <c r="L16" s="8"/>
      <c r="M16" s="8"/>
      <c r="N16" s="8"/>
      <c r="P16" s="8"/>
      <c r="Q16" s="8"/>
      <c r="R16" s="8"/>
      <c r="S16" s="163"/>
      <c r="T16" s="163"/>
      <c r="U16" s="163"/>
      <c r="V16" s="163"/>
      <c r="W16" s="11"/>
    </row>
    <row r="17" spans="2:23" s="10" customFormat="1" ht="16.5" customHeight="1" thickTop="1">
      <c r="B17" s="27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</row>
    <row r="18" spans="2:23" s="492" customFormat="1" ht="16.5" customHeight="1" thickBot="1">
      <c r="B18" s="489"/>
      <c r="C18" s="490">
        <v>3</v>
      </c>
      <c r="D18" s="490">
        <v>4</v>
      </c>
      <c r="E18" s="490">
        <v>5</v>
      </c>
      <c r="F18" s="490">
        <v>6</v>
      </c>
      <c r="G18" s="490">
        <v>7</v>
      </c>
      <c r="H18" s="490">
        <v>8</v>
      </c>
      <c r="I18" s="490">
        <v>9</v>
      </c>
      <c r="J18" s="490">
        <v>10</v>
      </c>
      <c r="K18" s="490">
        <v>11</v>
      </c>
      <c r="L18" s="490">
        <v>12</v>
      </c>
      <c r="M18" s="490">
        <v>13</v>
      </c>
      <c r="N18" s="490">
        <v>14</v>
      </c>
      <c r="O18" s="490">
        <v>15</v>
      </c>
      <c r="P18" s="490">
        <v>16</v>
      </c>
      <c r="Q18" s="490">
        <v>17</v>
      </c>
      <c r="R18" s="490">
        <v>18</v>
      </c>
      <c r="S18" s="490">
        <v>19</v>
      </c>
      <c r="T18" s="490">
        <v>20</v>
      </c>
      <c r="U18" s="490">
        <v>21</v>
      </c>
      <c r="V18" s="490">
        <v>22</v>
      </c>
      <c r="W18" s="491"/>
    </row>
    <row r="19" spans="2:23" s="99" customFormat="1" ht="33.75" customHeight="1" thickBot="1" thickTop="1">
      <c r="B19" s="91"/>
      <c r="C19" s="92" t="s">
        <v>36</v>
      </c>
      <c r="D19" s="92" t="s">
        <v>109</v>
      </c>
      <c r="E19" s="92" t="s">
        <v>108</v>
      </c>
      <c r="F19" s="94" t="s">
        <v>56</v>
      </c>
      <c r="G19" s="93" t="s">
        <v>14</v>
      </c>
      <c r="H19" s="177" t="s">
        <v>63</v>
      </c>
      <c r="I19" s="212" t="s">
        <v>39</v>
      </c>
      <c r="J19" s="93" t="s">
        <v>40</v>
      </c>
      <c r="K19" s="93" t="s">
        <v>41</v>
      </c>
      <c r="L19" s="94" t="s">
        <v>57</v>
      </c>
      <c r="M19" s="94" t="s">
        <v>58</v>
      </c>
      <c r="N19" s="96" t="s">
        <v>44</v>
      </c>
      <c r="O19" s="93" t="s">
        <v>64</v>
      </c>
      <c r="P19" s="278" t="s">
        <v>65</v>
      </c>
      <c r="Q19" s="279" t="s">
        <v>46</v>
      </c>
      <c r="R19" s="295" t="s">
        <v>66</v>
      </c>
      <c r="S19" s="256"/>
      <c r="T19" s="263" t="s">
        <v>50</v>
      </c>
      <c r="U19" s="97" t="s">
        <v>52</v>
      </c>
      <c r="V19" s="178" t="s">
        <v>53</v>
      </c>
      <c r="W19" s="98"/>
    </row>
    <row r="20" spans="2:23" s="10" customFormat="1" ht="16.5" customHeight="1" thickTop="1">
      <c r="B20" s="27"/>
      <c r="C20" s="168"/>
      <c r="D20" s="464"/>
      <c r="E20" s="464"/>
      <c r="F20" s="464"/>
      <c r="G20" s="169"/>
      <c r="H20" s="169"/>
      <c r="I20" s="281"/>
      <c r="J20" s="170"/>
      <c r="K20" s="170"/>
      <c r="L20" s="168"/>
      <c r="M20" s="168"/>
      <c r="N20" s="169"/>
      <c r="O20" s="155"/>
      <c r="P20" s="288"/>
      <c r="Q20" s="289"/>
      <c r="R20" s="291"/>
      <c r="S20" s="296"/>
      <c r="T20" s="303"/>
      <c r="U20" s="298"/>
      <c r="V20" s="290"/>
      <c r="W20" s="11"/>
    </row>
    <row r="21" spans="2:23" s="10" customFormat="1" ht="16.5" customHeight="1">
      <c r="B21" s="27"/>
      <c r="C21" s="66"/>
      <c r="D21" s="66"/>
      <c r="E21" s="66"/>
      <c r="F21" s="68"/>
      <c r="G21" s="67"/>
      <c r="H21" s="68"/>
      <c r="I21" s="282"/>
      <c r="J21" s="70"/>
      <c r="K21" s="71"/>
      <c r="L21" s="72"/>
      <c r="M21" s="73"/>
      <c r="N21" s="74"/>
      <c r="O21" s="69"/>
      <c r="P21" s="285"/>
      <c r="Q21" s="286"/>
      <c r="R21" s="292"/>
      <c r="S21" s="297"/>
      <c r="T21" s="304"/>
      <c r="U21" s="69"/>
      <c r="V21" s="179"/>
      <c r="W21" s="11"/>
    </row>
    <row r="22" spans="2:23" s="10" customFormat="1" ht="16.5" customHeight="1">
      <c r="B22" s="27"/>
      <c r="C22" s="401">
        <v>7</v>
      </c>
      <c r="D22" s="401">
        <v>265938</v>
      </c>
      <c r="E22" s="401">
        <v>1866</v>
      </c>
      <c r="F22" s="439" t="s">
        <v>123</v>
      </c>
      <c r="G22" s="438" t="s">
        <v>124</v>
      </c>
      <c r="H22" s="439">
        <v>50</v>
      </c>
      <c r="I22" s="283">
        <f>H22*$J$15</f>
        <v>25.35</v>
      </c>
      <c r="J22" s="443">
        <v>41548.36319444444</v>
      </c>
      <c r="K22" s="444">
        <v>41548.6375</v>
      </c>
      <c r="L22" s="75">
        <f>IF(F22="","",(K22-J22)*24)</f>
        <v>6.583333333313931</v>
      </c>
      <c r="M22" s="45">
        <f>IF(F22="","",ROUND((K22-J22)*24*60,0))</f>
        <v>395</v>
      </c>
      <c r="N22" s="446" t="s">
        <v>116</v>
      </c>
      <c r="O22" s="483" t="str">
        <f>IF(F22="","",IF(N22="P","--","NO"))</f>
        <v>--</v>
      </c>
      <c r="P22" s="484">
        <f>IF(OR(N22="P",N22="RP"),$J$16*0.1,$J$16)</f>
        <v>0.6000000000000001</v>
      </c>
      <c r="Q22" s="485">
        <f>IF(N22="P",I22*P22*ROUND(M22/60,2),"--")</f>
        <v>100.08180000000002</v>
      </c>
      <c r="R22" s="477" t="str">
        <f>IF(AND(N22="F",O22="NO"),I22*P22,"--")</f>
        <v>--</v>
      </c>
      <c r="S22" s="486" t="str">
        <f>IF(N22="F",I22*P22*ROUND(M22/60,2),"--")</f>
        <v>--</v>
      </c>
      <c r="T22" s="487" t="str">
        <f>IF(N22="RF",I22*P22*ROUND(M22/60,2),"--")</f>
        <v>--</v>
      </c>
      <c r="U22" s="483" t="s">
        <v>117</v>
      </c>
      <c r="V22" s="76">
        <f>IF(F22="","",SUM(Q22:T22)*IF(U22="SI",1,2))</f>
        <v>100.08180000000002</v>
      </c>
      <c r="W22" s="11"/>
    </row>
    <row r="23" spans="2:23" s="10" customFormat="1" ht="16.5" customHeight="1">
      <c r="B23" s="27"/>
      <c r="C23" s="401">
        <v>8</v>
      </c>
      <c r="D23" s="401">
        <v>265939</v>
      </c>
      <c r="E23" s="401">
        <v>1866</v>
      </c>
      <c r="F23" s="439" t="s">
        <v>123</v>
      </c>
      <c r="G23" s="438" t="s">
        <v>124</v>
      </c>
      <c r="H23" s="439">
        <v>50</v>
      </c>
      <c r="I23" s="283">
        <f aca="true" t="shared" si="0" ref="I23:I38">H23*$J$15</f>
        <v>25.35</v>
      </c>
      <c r="J23" s="443">
        <v>41551.36388888889</v>
      </c>
      <c r="K23" s="444">
        <v>41551.61875</v>
      </c>
      <c r="L23" s="75">
        <f aca="true" t="shared" si="1" ref="L23:L38">IF(F23="","",(K23-J23)*24)</f>
        <v>6.116666666697711</v>
      </c>
      <c r="M23" s="45">
        <f aca="true" t="shared" si="2" ref="M23:M38">IF(F23="","",ROUND((K23-J23)*24*60,0))</f>
        <v>367</v>
      </c>
      <c r="N23" s="446" t="s">
        <v>116</v>
      </c>
      <c r="O23" s="483" t="str">
        <f aca="true" t="shared" si="3" ref="O23:O38">IF(F23="","",IF(N23="P","--","NO"))</f>
        <v>--</v>
      </c>
      <c r="P23" s="484">
        <f aca="true" t="shared" si="4" ref="P23:P38">IF(OR(N23="P",N23="RP"),$J$16*0.1,$J$16)</f>
        <v>0.6000000000000001</v>
      </c>
      <c r="Q23" s="485">
        <f aca="true" t="shared" si="5" ref="Q23:Q38">IF(N23="P",I23*P23*ROUND(M23/60,2),"--")</f>
        <v>93.08520000000001</v>
      </c>
      <c r="R23" s="477" t="str">
        <f aca="true" t="shared" si="6" ref="R23:R38">IF(AND(N23="F",O23="NO"),I23*P23,"--")</f>
        <v>--</v>
      </c>
      <c r="S23" s="486" t="str">
        <f aca="true" t="shared" si="7" ref="S23:S38">IF(N23="F",I23*P23*ROUND(M23/60,2),"--")</f>
        <v>--</v>
      </c>
      <c r="T23" s="487" t="str">
        <f aca="true" t="shared" si="8" ref="T23:T38">IF(N23="RF",I23*P23*ROUND(M23/60,2),"--")</f>
        <v>--</v>
      </c>
      <c r="U23" s="483" t="s">
        <v>117</v>
      </c>
      <c r="V23" s="76">
        <f aca="true" t="shared" si="9" ref="V23:V38">IF(F23="","",SUM(Q23:T23)*IF(U23="SI",1,2))</f>
        <v>93.08520000000001</v>
      </c>
      <c r="W23" s="11"/>
    </row>
    <row r="24" spans="2:23" s="10" customFormat="1" ht="16.5" customHeight="1">
      <c r="B24" s="27"/>
      <c r="C24" s="401">
        <v>9</v>
      </c>
      <c r="D24" s="401">
        <v>266647</v>
      </c>
      <c r="E24" s="401">
        <v>1866</v>
      </c>
      <c r="F24" s="439" t="s">
        <v>123</v>
      </c>
      <c r="G24" s="438" t="s">
        <v>124</v>
      </c>
      <c r="H24" s="439">
        <v>50</v>
      </c>
      <c r="I24" s="283">
        <f t="shared" si="0"/>
        <v>25.35</v>
      </c>
      <c r="J24" s="443">
        <v>41563.35972222222</v>
      </c>
      <c r="K24" s="444">
        <v>41563.572222222225</v>
      </c>
      <c r="L24" s="75">
        <f t="shared" si="1"/>
        <v>5.100000000034925</v>
      </c>
      <c r="M24" s="45">
        <f t="shared" si="2"/>
        <v>306</v>
      </c>
      <c r="N24" s="446" t="s">
        <v>116</v>
      </c>
      <c r="O24" s="483" t="str">
        <f t="shared" si="3"/>
        <v>--</v>
      </c>
      <c r="P24" s="484">
        <f t="shared" si="4"/>
        <v>0.6000000000000001</v>
      </c>
      <c r="Q24" s="485">
        <f t="shared" si="5"/>
        <v>77.57100000000001</v>
      </c>
      <c r="R24" s="477" t="str">
        <f t="shared" si="6"/>
        <v>--</v>
      </c>
      <c r="S24" s="486" t="str">
        <f t="shared" si="7"/>
        <v>--</v>
      </c>
      <c r="T24" s="487" t="str">
        <f t="shared" si="8"/>
        <v>--</v>
      </c>
      <c r="U24" s="483" t="s">
        <v>117</v>
      </c>
      <c r="V24" s="76">
        <f t="shared" si="9"/>
        <v>77.57100000000001</v>
      </c>
      <c r="W24" s="11"/>
    </row>
    <row r="25" spans="2:23" s="10" customFormat="1" ht="16.5" customHeight="1">
      <c r="B25" s="27"/>
      <c r="C25" s="401">
        <v>10</v>
      </c>
      <c r="D25" s="401">
        <v>266648</v>
      </c>
      <c r="E25" s="401">
        <v>1866</v>
      </c>
      <c r="F25" s="439" t="s">
        <v>123</v>
      </c>
      <c r="G25" s="438" t="s">
        <v>124</v>
      </c>
      <c r="H25" s="439">
        <v>50</v>
      </c>
      <c r="I25" s="283">
        <f t="shared" si="0"/>
        <v>25.35</v>
      </c>
      <c r="J25" s="443">
        <v>41564.36597222222</v>
      </c>
      <c r="K25" s="444">
        <v>41564.6</v>
      </c>
      <c r="L25" s="75">
        <f t="shared" si="1"/>
        <v>5.616666666639503</v>
      </c>
      <c r="M25" s="45">
        <f t="shared" si="2"/>
        <v>337</v>
      </c>
      <c r="N25" s="446" t="s">
        <v>116</v>
      </c>
      <c r="O25" s="483" t="str">
        <f t="shared" si="3"/>
        <v>--</v>
      </c>
      <c r="P25" s="484">
        <f t="shared" si="4"/>
        <v>0.6000000000000001</v>
      </c>
      <c r="Q25" s="485">
        <f t="shared" si="5"/>
        <v>85.48020000000001</v>
      </c>
      <c r="R25" s="477" t="str">
        <f t="shared" si="6"/>
        <v>--</v>
      </c>
      <c r="S25" s="486" t="str">
        <f t="shared" si="7"/>
        <v>--</v>
      </c>
      <c r="T25" s="487" t="str">
        <f t="shared" si="8"/>
        <v>--</v>
      </c>
      <c r="U25" s="483" t="s">
        <v>117</v>
      </c>
      <c r="V25" s="76">
        <f t="shared" si="9"/>
        <v>85.48020000000001</v>
      </c>
      <c r="W25" s="166"/>
    </row>
    <row r="26" spans="2:23" s="10" customFormat="1" ht="16.5" customHeight="1">
      <c r="B26" s="27"/>
      <c r="C26" s="401"/>
      <c r="D26" s="401"/>
      <c r="E26" s="401"/>
      <c r="F26" s="439"/>
      <c r="G26" s="438"/>
      <c r="H26" s="439"/>
      <c r="I26" s="283">
        <f t="shared" si="0"/>
        <v>0</v>
      </c>
      <c r="J26" s="443"/>
      <c r="K26" s="444"/>
      <c r="L26" s="75">
        <f t="shared" si="1"/>
      </c>
      <c r="M26" s="45">
        <f t="shared" si="2"/>
      </c>
      <c r="N26" s="446"/>
      <c r="O26" s="483">
        <f t="shared" si="3"/>
      </c>
      <c r="P26" s="484">
        <f t="shared" si="4"/>
        <v>6</v>
      </c>
      <c r="Q26" s="485" t="str">
        <f t="shared" si="5"/>
        <v>--</v>
      </c>
      <c r="R26" s="477" t="str">
        <f t="shared" si="6"/>
        <v>--</v>
      </c>
      <c r="S26" s="486" t="str">
        <f t="shared" si="7"/>
        <v>--</v>
      </c>
      <c r="T26" s="487" t="str">
        <f t="shared" si="8"/>
        <v>--</v>
      </c>
      <c r="U26" s="483">
        <f aca="true" t="shared" si="10" ref="U26:U38">IF(F26="","","SI")</f>
      </c>
      <c r="V26" s="76">
        <f t="shared" si="9"/>
      </c>
      <c r="W26" s="166"/>
    </row>
    <row r="27" spans="2:23" s="10" customFormat="1" ht="16.5" customHeight="1">
      <c r="B27" s="27"/>
      <c r="C27" s="401"/>
      <c r="D27" s="401"/>
      <c r="E27" s="401"/>
      <c r="F27" s="439"/>
      <c r="G27" s="438"/>
      <c r="H27" s="439"/>
      <c r="I27" s="283">
        <f t="shared" si="0"/>
        <v>0</v>
      </c>
      <c r="J27" s="443"/>
      <c r="K27" s="444"/>
      <c r="L27" s="75">
        <f t="shared" si="1"/>
      </c>
      <c r="M27" s="45">
        <f t="shared" si="2"/>
      </c>
      <c r="N27" s="446"/>
      <c r="O27" s="483">
        <f t="shared" si="3"/>
      </c>
      <c r="P27" s="484">
        <f t="shared" si="4"/>
        <v>6</v>
      </c>
      <c r="Q27" s="485" t="str">
        <f t="shared" si="5"/>
        <v>--</v>
      </c>
      <c r="R27" s="477" t="str">
        <f t="shared" si="6"/>
        <v>--</v>
      </c>
      <c r="S27" s="486" t="str">
        <f t="shared" si="7"/>
        <v>--</v>
      </c>
      <c r="T27" s="487" t="str">
        <f t="shared" si="8"/>
        <v>--</v>
      </c>
      <c r="U27" s="483">
        <f t="shared" si="10"/>
      </c>
      <c r="V27" s="76">
        <f t="shared" si="9"/>
      </c>
      <c r="W27" s="166"/>
    </row>
    <row r="28" spans="2:23" s="10" customFormat="1" ht="16.5" customHeight="1">
      <c r="B28" s="27"/>
      <c r="C28" s="401"/>
      <c r="D28" s="401"/>
      <c r="E28" s="401"/>
      <c r="F28" s="439"/>
      <c r="G28" s="438"/>
      <c r="H28" s="439"/>
      <c r="I28" s="283">
        <f t="shared" si="0"/>
        <v>0</v>
      </c>
      <c r="J28" s="443"/>
      <c r="K28" s="444"/>
      <c r="L28" s="75">
        <f t="shared" si="1"/>
      </c>
      <c r="M28" s="45">
        <f t="shared" si="2"/>
      </c>
      <c r="N28" s="446"/>
      <c r="O28" s="483">
        <f t="shared" si="3"/>
      </c>
      <c r="P28" s="484">
        <f t="shared" si="4"/>
        <v>6</v>
      </c>
      <c r="Q28" s="485" t="str">
        <f t="shared" si="5"/>
        <v>--</v>
      </c>
      <c r="R28" s="477" t="str">
        <f t="shared" si="6"/>
        <v>--</v>
      </c>
      <c r="S28" s="486" t="str">
        <f t="shared" si="7"/>
        <v>--</v>
      </c>
      <c r="T28" s="487" t="str">
        <f t="shared" si="8"/>
        <v>--</v>
      </c>
      <c r="U28" s="483">
        <f t="shared" si="10"/>
      </c>
      <c r="V28" s="76">
        <f t="shared" si="9"/>
      </c>
      <c r="W28" s="166"/>
    </row>
    <row r="29" spans="2:23" s="10" customFormat="1" ht="16.5" customHeight="1">
      <c r="B29" s="27"/>
      <c r="C29" s="401"/>
      <c r="D29" s="401"/>
      <c r="E29" s="401"/>
      <c r="F29" s="439"/>
      <c r="G29" s="438"/>
      <c r="H29" s="439"/>
      <c r="I29" s="283">
        <f t="shared" si="0"/>
        <v>0</v>
      </c>
      <c r="J29" s="443"/>
      <c r="K29" s="444"/>
      <c r="L29" s="75">
        <f t="shared" si="1"/>
      </c>
      <c r="M29" s="45">
        <f t="shared" si="2"/>
      </c>
      <c r="N29" s="446"/>
      <c r="O29" s="483">
        <f t="shared" si="3"/>
      </c>
      <c r="P29" s="484">
        <f t="shared" si="4"/>
        <v>6</v>
      </c>
      <c r="Q29" s="485" t="str">
        <f t="shared" si="5"/>
        <v>--</v>
      </c>
      <c r="R29" s="477" t="str">
        <f t="shared" si="6"/>
        <v>--</v>
      </c>
      <c r="S29" s="486" t="str">
        <f t="shared" si="7"/>
        <v>--</v>
      </c>
      <c r="T29" s="487" t="str">
        <f t="shared" si="8"/>
        <v>--</v>
      </c>
      <c r="U29" s="483">
        <f t="shared" si="10"/>
      </c>
      <c r="V29" s="76">
        <f t="shared" si="9"/>
      </c>
      <c r="W29" s="166"/>
    </row>
    <row r="30" spans="2:23" s="10" customFormat="1" ht="16.5" customHeight="1">
      <c r="B30" s="27"/>
      <c r="C30" s="401"/>
      <c r="D30" s="401"/>
      <c r="E30" s="401"/>
      <c r="F30" s="439"/>
      <c r="G30" s="438"/>
      <c r="H30" s="439"/>
      <c r="I30" s="283">
        <f t="shared" si="0"/>
        <v>0</v>
      </c>
      <c r="J30" s="443"/>
      <c r="K30" s="444"/>
      <c r="L30" s="75">
        <f t="shared" si="1"/>
      </c>
      <c r="M30" s="45">
        <f t="shared" si="2"/>
      </c>
      <c r="N30" s="446"/>
      <c r="O30" s="483">
        <f t="shared" si="3"/>
      </c>
      <c r="P30" s="484">
        <f t="shared" si="4"/>
        <v>6</v>
      </c>
      <c r="Q30" s="485" t="str">
        <f t="shared" si="5"/>
        <v>--</v>
      </c>
      <c r="R30" s="477" t="str">
        <f t="shared" si="6"/>
        <v>--</v>
      </c>
      <c r="S30" s="486" t="str">
        <f t="shared" si="7"/>
        <v>--</v>
      </c>
      <c r="T30" s="487" t="str">
        <f t="shared" si="8"/>
        <v>--</v>
      </c>
      <c r="U30" s="483">
        <f t="shared" si="10"/>
      </c>
      <c r="V30" s="76">
        <f t="shared" si="9"/>
      </c>
      <c r="W30" s="166"/>
    </row>
    <row r="31" spans="2:23" s="10" customFormat="1" ht="16.5" customHeight="1">
      <c r="B31" s="27"/>
      <c r="C31" s="401"/>
      <c r="D31" s="401"/>
      <c r="E31" s="401"/>
      <c r="F31" s="439"/>
      <c r="G31" s="438"/>
      <c r="H31" s="439"/>
      <c r="I31" s="283">
        <f t="shared" si="0"/>
        <v>0</v>
      </c>
      <c r="J31" s="443"/>
      <c r="K31" s="444"/>
      <c r="L31" s="75">
        <f t="shared" si="1"/>
      </c>
      <c r="M31" s="45">
        <f t="shared" si="2"/>
      </c>
      <c r="N31" s="446"/>
      <c r="O31" s="483">
        <f t="shared" si="3"/>
      </c>
      <c r="P31" s="484">
        <f t="shared" si="4"/>
        <v>6</v>
      </c>
      <c r="Q31" s="485" t="str">
        <f t="shared" si="5"/>
        <v>--</v>
      </c>
      <c r="R31" s="477" t="str">
        <f t="shared" si="6"/>
        <v>--</v>
      </c>
      <c r="S31" s="486" t="str">
        <f t="shared" si="7"/>
        <v>--</v>
      </c>
      <c r="T31" s="487" t="str">
        <f t="shared" si="8"/>
        <v>--</v>
      </c>
      <c r="U31" s="483">
        <f t="shared" si="10"/>
      </c>
      <c r="V31" s="76">
        <f t="shared" si="9"/>
      </c>
      <c r="W31" s="11"/>
    </row>
    <row r="32" spans="2:23" s="10" customFormat="1" ht="16.5" customHeight="1">
      <c r="B32" s="27"/>
      <c r="C32" s="401"/>
      <c r="D32" s="401"/>
      <c r="E32" s="401"/>
      <c r="F32" s="439"/>
      <c r="G32" s="438"/>
      <c r="H32" s="439"/>
      <c r="I32" s="283">
        <f t="shared" si="0"/>
        <v>0</v>
      </c>
      <c r="J32" s="443"/>
      <c r="K32" s="444"/>
      <c r="L32" s="75">
        <f t="shared" si="1"/>
      </c>
      <c r="M32" s="45">
        <f t="shared" si="2"/>
      </c>
      <c r="N32" s="446"/>
      <c r="O32" s="483">
        <f t="shared" si="3"/>
      </c>
      <c r="P32" s="484">
        <f t="shared" si="4"/>
        <v>6</v>
      </c>
      <c r="Q32" s="485" t="str">
        <f t="shared" si="5"/>
        <v>--</v>
      </c>
      <c r="R32" s="477" t="str">
        <f t="shared" si="6"/>
        <v>--</v>
      </c>
      <c r="S32" s="486" t="str">
        <f t="shared" si="7"/>
        <v>--</v>
      </c>
      <c r="T32" s="487" t="str">
        <f t="shared" si="8"/>
        <v>--</v>
      </c>
      <c r="U32" s="483">
        <f t="shared" si="10"/>
      </c>
      <c r="V32" s="76">
        <f t="shared" si="9"/>
      </c>
      <c r="W32" s="11"/>
    </row>
    <row r="33" spans="2:23" s="10" customFormat="1" ht="16.5" customHeight="1">
      <c r="B33" s="27"/>
      <c r="C33" s="401"/>
      <c r="D33" s="401"/>
      <c r="E33" s="401"/>
      <c r="F33" s="439"/>
      <c r="G33" s="438"/>
      <c r="H33" s="439"/>
      <c r="I33" s="283">
        <f t="shared" si="0"/>
        <v>0</v>
      </c>
      <c r="J33" s="443"/>
      <c r="K33" s="444"/>
      <c r="L33" s="75">
        <f t="shared" si="1"/>
      </c>
      <c r="M33" s="45">
        <f t="shared" si="2"/>
      </c>
      <c r="N33" s="446"/>
      <c r="O33" s="483">
        <f t="shared" si="3"/>
      </c>
      <c r="P33" s="484">
        <f t="shared" si="4"/>
        <v>6</v>
      </c>
      <c r="Q33" s="485" t="str">
        <f t="shared" si="5"/>
        <v>--</v>
      </c>
      <c r="R33" s="477" t="str">
        <f t="shared" si="6"/>
        <v>--</v>
      </c>
      <c r="S33" s="486" t="str">
        <f t="shared" si="7"/>
        <v>--</v>
      </c>
      <c r="T33" s="487" t="str">
        <f t="shared" si="8"/>
        <v>--</v>
      </c>
      <c r="U33" s="483">
        <f t="shared" si="10"/>
      </c>
      <c r="V33" s="76">
        <f t="shared" si="9"/>
      </c>
      <c r="W33" s="11"/>
    </row>
    <row r="34" spans="2:23" s="10" customFormat="1" ht="16.5" customHeight="1">
      <c r="B34" s="27"/>
      <c r="C34" s="401"/>
      <c r="D34" s="401"/>
      <c r="E34" s="401"/>
      <c r="F34" s="439"/>
      <c r="G34" s="438"/>
      <c r="H34" s="439"/>
      <c r="I34" s="283">
        <f t="shared" si="0"/>
        <v>0</v>
      </c>
      <c r="J34" s="443"/>
      <c r="K34" s="444"/>
      <c r="L34" s="75">
        <f t="shared" si="1"/>
      </c>
      <c r="M34" s="45">
        <f t="shared" si="2"/>
      </c>
      <c r="N34" s="446"/>
      <c r="O34" s="483">
        <f t="shared" si="3"/>
      </c>
      <c r="P34" s="484">
        <f t="shared" si="4"/>
        <v>6</v>
      </c>
      <c r="Q34" s="485" t="str">
        <f t="shared" si="5"/>
        <v>--</v>
      </c>
      <c r="R34" s="477" t="str">
        <f t="shared" si="6"/>
        <v>--</v>
      </c>
      <c r="S34" s="486" t="str">
        <f t="shared" si="7"/>
        <v>--</v>
      </c>
      <c r="T34" s="487" t="str">
        <f t="shared" si="8"/>
        <v>--</v>
      </c>
      <c r="U34" s="483">
        <f t="shared" si="10"/>
      </c>
      <c r="V34" s="76">
        <f t="shared" si="9"/>
      </c>
      <c r="W34" s="11"/>
    </row>
    <row r="35" spans="2:23" s="10" customFormat="1" ht="16.5" customHeight="1">
      <c r="B35" s="27"/>
      <c r="C35" s="401"/>
      <c r="D35" s="401"/>
      <c r="E35" s="401"/>
      <c r="F35" s="439"/>
      <c r="G35" s="438"/>
      <c r="H35" s="439"/>
      <c r="I35" s="283">
        <f t="shared" si="0"/>
        <v>0</v>
      </c>
      <c r="J35" s="443"/>
      <c r="K35" s="444"/>
      <c r="L35" s="75">
        <f t="shared" si="1"/>
      </c>
      <c r="M35" s="45">
        <f t="shared" si="2"/>
      </c>
      <c r="N35" s="446"/>
      <c r="O35" s="483">
        <f t="shared" si="3"/>
      </c>
      <c r="P35" s="484">
        <f t="shared" si="4"/>
        <v>6</v>
      </c>
      <c r="Q35" s="485" t="str">
        <f t="shared" si="5"/>
        <v>--</v>
      </c>
      <c r="R35" s="477" t="str">
        <f t="shared" si="6"/>
        <v>--</v>
      </c>
      <c r="S35" s="486" t="str">
        <f t="shared" si="7"/>
        <v>--</v>
      </c>
      <c r="T35" s="487" t="str">
        <f t="shared" si="8"/>
        <v>--</v>
      </c>
      <c r="U35" s="483">
        <f t="shared" si="10"/>
      </c>
      <c r="V35" s="76">
        <f t="shared" si="9"/>
      </c>
      <c r="W35" s="11"/>
    </row>
    <row r="36" spans="2:23" s="10" customFormat="1" ht="16.5" customHeight="1">
      <c r="B36" s="27"/>
      <c r="C36" s="401"/>
      <c r="D36" s="401"/>
      <c r="E36" s="401"/>
      <c r="F36" s="439"/>
      <c r="G36" s="438"/>
      <c r="H36" s="439"/>
      <c r="I36" s="283">
        <f t="shared" si="0"/>
        <v>0</v>
      </c>
      <c r="J36" s="443"/>
      <c r="K36" s="444"/>
      <c r="L36" s="75">
        <f t="shared" si="1"/>
      </c>
      <c r="M36" s="45">
        <f t="shared" si="2"/>
      </c>
      <c r="N36" s="446"/>
      <c r="O36" s="483">
        <f t="shared" si="3"/>
      </c>
      <c r="P36" s="484">
        <f t="shared" si="4"/>
        <v>6</v>
      </c>
      <c r="Q36" s="485" t="str">
        <f t="shared" si="5"/>
        <v>--</v>
      </c>
      <c r="R36" s="477" t="str">
        <f t="shared" si="6"/>
        <v>--</v>
      </c>
      <c r="S36" s="486" t="str">
        <f t="shared" si="7"/>
        <v>--</v>
      </c>
      <c r="T36" s="487" t="str">
        <f t="shared" si="8"/>
        <v>--</v>
      </c>
      <c r="U36" s="483">
        <f t="shared" si="10"/>
      </c>
      <c r="V36" s="76">
        <f t="shared" si="9"/>
      </c>
      <c r="W36" s="11"/>
    </row>
    <row r="37" spans="2:23" s="10" customFormat="1" ht="16.5" customHeight="1">
      <c r="B37" s="27"/>
      <c r="C37" s="401"/>
      <c r="D37" s="401"/>
      <c r="E37" s="401"/>
      <c r="F37" s="439"/>
      <c r="G37" s="438"/>
      <c r="H37" s="439"/>
      <c r="I37" s="283">
        <f t="shared" si="0"/>
        <v>0</v>
      </c>
      <c r="J37" s="443"/>
      <c r="K37" s="444"/>
      <c r="L37" s="75">
        <f t="shared" si="1"/>
      </c>
      <c r="M37" s="45">
        <f t="shared" si="2"/>
      </c>
      <c r="N37" s="446"/>
      <c r="O37" s="483">
        <f t="shared" si="3"/>
      </c>
      <c r="P37" s="484">
        <f t="shared" si="4"/>
        <v>6</v>
      </c>
      <c r="Q37" s="485" t="str">
        <f t="shared" si="5"/>
        <v>--</v>
      </c>
      <c r="R37" s="477" t="str">
        <f t="shared" si="6"/>
        <v>--</v>
      </c>
      <c r="S37" s="486" t="str">
        <f t="shared" si="7"/>
        <v>--</v>
      </c>
      <c r="T37" s="487" t="str">
        <f t="shared" si="8"/>
        <v>--</v>
      </c>
      <c r="U37" s="483">
        <f t="shared" si="10"/>
      </c>
      <c r="V37" s="76">
        <f t="shared" si="9"/>
      </c>
      <c r="W37" s="11"/>
    </row>
    <row r="38" spans="2:23" s="10" customFormat="1" ht="16.5" customHeight="1">
      <c r="B38" s="27"/>
      <c r="C38" s="401"/>
      <c r="D38" s="401"/>
      <c r="E38" s="401"/>
      <c r="F38" s="439"/>
      <c r="G38" s="438"/>
      <c r="H38" s="439"/>
      <c r="I38" s="283">
        <f t="shared" si="0"/>
        <v>0</v>
      </c>
      <c r="J38" s="443"/>
      <c r="K38" s="444"/>
      <c r="L38" s="75">
        <f t="shared" si="1"/>
      </c>
      <c r="M38" s="45">
        <f t="shared" si="2"/>
      </c>
      <c r="N38" s="446"/>
      <c r="O38" s="483">
        <f t="shared" si="3"/>
      </c>
      <c r="P38" s="484">
        <f t="shared" si="4"/>
        <v>6</v>
      </c>
      <c r="Q38" s="485" t="str">
        <f t="shared" si="5"/>
        <v>--</v>
      </c>
      <c r="R38" s="477" t="str">
        <f t="shared" si="6"/>
        <v>--</v>
      </c>
      <c r="S38" s="486" t="str">
        <f t="shared" si="7"/>
        <v>--</v>
      </c>
      <c r="T38" s="487" t="str">
        <f t="shared" si="8"/>
        <v>--</v>
      </c>
      <c r="U38" s="483">
        <f t="shared" si="10"/>
      </c>
      <c r="V38" s="76">
        <f t="shared" si="9"/>
      </c>
      <c r="W38" s="11"/>
    </row>
    <row r="39" spans="2:23" s="10" customFormat="1" ht="16.5" customHeight="1">
      <c r="B39" s="27"/>
      <c r="C39" s="401"/>
      <c r="D39" s="401"/>
      <c r="E39" s="401"/>
      <c r="F39" s="439"/>
      <c r="G39" s="438"/>
      <c r="H39" s="439"/>
      <c r="I39" s="283">
        <f>H39*$J$15</f>
        <v>0</v>
      </c>
      <c r="J39" s="443"/>
      <c r="K39" s="444"/>
      <c r="L39" s="75">
        <f>IF(F39="","",(K39-J39)*24)</f>
      </c>
      <c r="M39" s="45">
        <f>IF(F39="","",ROUND((K39-J39)*24*60,0))</f>
      </c>
      <c r="N39" s="446"/>
      <c r="O39" s="483">
        <f>IF(F39="","",IF(N39="P","--","NO"))</f>
      </c>
      <c r="P39" s="484">
        <f>IF(OR(N39="P",N39="RP"),$J$16*0.1,$J$16)</f>
        <v>6</v>
      </c>
      <c r="Q39" s="485" t="str">
        <f>IF(N39="P",I39*P39*ROUND(M39/60,2),"--")</f>
        <v>--</v>
      </c>
      <c r="R39" s="477" t="str">
        <f>IF(AND(N39="F",O39="NO"),I39*P39,"--")</f>
        <v>--</v>
      </c>
      <c r="S39" s="486" t="str">
        <f>IF(N39="F",I39*P39*ROUND(M39/60,2),"--")</f>
        <v>--</v>
      </c>
      <c r="T39" s="487" t="str">
        <f>IF(N39="RF",I39*P39*ROUND(M39/60,2),"--")</f>
        <v>--</v>
      </c>
      <c r="U39" s="483">
        <f>IF(F39="","","SI")</f>
      </c>
      <c r="V39" s="76">
        <f>IF(F39="","",SUM(Q39:T39)*IF(U39="SI",1,2))</f>
      </c>
      <c r="W39" s="11"/>
    </row>
    <row r="40" spans="2:23" s="10" customFormat="1" ht="16.5" customHeight="1">
      <c r="B40" s="27"/>
      <c r="C40" s="401"/>
      <c r="D40" s="401"/>
      <c r="E40" s="401"/>
      <c r="F40" s="439"/>
      <c r="G40" s="438"/>
      <c r="H40" s="439"/>
      <c r="I40" s="283">
        <f>H40*$J$15</f>
        <v>0</v>
      </c>
      <c r="J40" s="443"/>
      <c r="K40" s="444"/>
      <c r="L40" s="75">
        <f>IF(F40="","",(K40-J40)*24)</f>
      </c>
      <c r="M40" s="45">
        <f>IF(F40="","",ROUND((K40-J40)*24*60,0))</f>
      </c>
      <c r="N40" s="446"/>
      <c r="O40" s="483">
        <f>IF(F40="","",IF(N40="P","--","NO"))</f>
      </c>
      <c r="P40" s="484">
        <f>IF(OR(N40="P",N40="RP"),$J$16*0.1,$J$16)</f>
        <v>6</v>
      </c>
      <c r="Q40" s="485" t="str">
        <f>IF(N40="P",I40*P40*ROUND(M40/60,2),"--")</f>
        <v>--</v>
      </c>
      <c r="R40" s="477" t="str">
        <f>IF(AND(N40="F",O40="NO"),I40*P40,"--")</f>
        <v>--</v>
      </c>
      <c r="S40" s="486" t="str">
        <f>IF(N40="F",I40*P40*ROUND(M40/60,2),"--")</f>
        <v>--</v>
      </c>
      <c r="T40" s="487" t="str">
        <f>IF(N40="RF",I40*P40*ROUND(M40/60,2),"--")</f>
        <v>--</v>
      </c>
      <c r="U40" s="483">
        <f>IF(F40="","","SI")</f>
      </c>
      <c r="V40" s="76">
        <f>IF(F40="","",SUM(Q40:T40)*IF(U40="SI",1,2))</f>
      </c>
      <c r="W40" s="11"/>
    </row>
    <row r="41" spans="2:23" s="10" customFormat="1" ht="16.5" customHeight="1">
      <c r="B41" s="27"/>
      <c r="C41" s="401"/>
      <c r="D41" s="401"/>
      <c r="E41" s="401"/>
      <c r="F41" s="439"/>
      <c r="G41" s="438"/>
      <c r="H41" s="439"/>
      <c r="I41" s="283">
        <f>H41*$J$15</f>
        <v>0</v>
      </c>
      <c r="J41" s="443"/>
      <c r="K41" s="444"/>
      <c r="L41" s="75">
        <f>IF(F41="","",(K41-J41)*24)</f>
      </c>
      <c r="M41" s="45">
        <f>IF(F41="","",ROUND((K41-J41)*24*60,0))</f>
      </c>
      <c r="N41" s="446"/>
      <c r="O41" s="483">
        <f>IF(F41="","",IF(N41="P","--","NO"))</f>
      </c>
      <c r="P41" s="484">
        <f>IF(OR(N41="P",N41="RP"),$J$16*0.1,$J$16)</f>
        <v>6</v>
      </c>
      <c r="Q41" s="485" t="str">
        <f>IF(N41="P",I41*P41*ROUND(M41/60,2),"--")</f>
        <v>--</v>
      </c>
      <c r="R41" s="477" t="str">
        <f>IF(AND(N41="F",O41="NO"),I41*P41,"--")</f>
        <v>--</v>
      </c>
      <c r="S41" s="486" t="str">
        <f>IF(N41="F",I41*P41*ROUND(M41/60,2),"--")</f>
        <v>--</v>
      </c>
      <c r="T41" s="487" t="str">
        <f>IF(N41="RF",I41*P41*ROUND(M41/60,2),"--")</f>
        <v>--</v>
      </c>
      <c r="U41" s="483">
        <f>IF(F41="","","SI")</f>
      </c>
      <c r="V41" s="76">
        <f>IF(F41="","",SUM(Q41:T41)*IF(U41="SI",1,2))</f>
      </c>
      <c r="W41" s="11"/>
    </row>
    <row r="42" spans="2:23" s="10" customFormat="1" ht="16.5" customHeight="1" thickBot="1">
      <c r="B42" s="27"/>
      <c r="C42" s="440"/>
      <c r="D42" s="440"/>
      <c r="E42" s="440"/>
      <c r="F42" s="442"/>
      <c r="G42" s="441"/>
      <c r="H42" s="442"/>
      <c r="I42" s="284"/>
      <c r="J42" s="445"/>
      <c r="K42" s="445"/>
      <c r="L42" s="77"/>
      <c r="M42" s="77"/>
      <c r="N42" s="445"/>
      <c r="O42" s="408"/>
      <c r="P42" s="447"/>
      <c r="Q42" s="448"/>
      <c r="R42" s="417"/>
      <c r="S42" s="449"/>
      <c r="T42" s="450"/>
      <c r="U42" s="408"/>
      <c r="V42" s="180"/>
      <c r="W42" s="11"/>
    </row>
    <row r="43" spans="2:23" s="10" customFormat="1" ht="16.5" customHeight="1" thickBot="1" thickTop="1">
      <c r="B43" s="27"/>
      <c r="C43" s="190" t="s">
        <v>54</v>
      </c>
      <c r="D43" s="493" t="s">
        <v>125</v>
      </c>
      <c r="E43" s="466"/>
      <c r="F43" s="191"/>
      <c r="G43"/>
      <c r="I43" s="8"/>
      <c r="J43" s="8"/>
      <c r="K43" s="8"/>
      <c r="L43" s="8"/>
      <c r="M43" s="8"/>
      <c r="N43" s="8"/>
      <c r="O43" s="8"/>
      <c r="P43" s="8"/>
      <c r="Q43" s="287">
        <f>SUM(Q20:Q42)</f>
        <v>356.2182000000001</v>
      </c>
      <c r="R43" s="293">
        <f>SUM(R20:R42)</f>
        <v>0</v>
      </c>
      <c r="S43" s="294">
        <f>SUM(S20:S42)</f>
        <v>0</v>
      </c>
      <c r="T43" s="305">
        <f>SUM(T20:T42)</f>
        <v>0</v>
      </c>
      <c r="V43" s="206">
        <f>ROUND(SUM(V20:V42),2)</f>
        <v>356.22</v>
      </c>
      <c r="W43" s="167"/>
    </row>
    <row r="44" spans="2:23" s="209" customFormat="1" ht="9.75" thickTop="1">
      <c r="B44" s="208"/>
      <c r="C44" s="207"/>
      <c r="D44" s="207"/>
      <c r="E44" s="207"/>
      <c r="F44" s="193"/>
      <c r="G44" s="205"/>
      <c r="I44" s="207"/>
      <c r="J44" s="207"/>
      <c r="K44" s="207"/>
      <c r="L44" s="207"/>
      <c r="M44" s="207"/>
      <c r="N44" s="207"/>
      <c r="O44" s="207"/>
      <c r="P44" s="207"/>
      <c r="Q44" s="217"/>
      <c r="R44" s="217"/>
      <c r="S44" s="217"/>
      <c r="T44" s="217"/>
      <c r="V44" s="210"/>
      <c r="W44" s="211"/>
    </row>
    <row r="45" spans="2:23" s="10" customFormat="1" ht="16.5" customHeight="1" thickBot="1"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3"/>
    </row>
    <row r="46" spans="6:25" ht="16.5" customHeight="1" thickTop="1"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6:25" ht="16.5" customHeight="1"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6:25" ht="16.5" customHeight="1"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6:25" ht="16.5" customHeight="1"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6:25" ht="16.5" customHeight="1"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6:25" ht="16.5" customHeight="1"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6:25" ht="16.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6:25" ht="16.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6:25" ht="16.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6:25" ht="16.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6:25" ht="16.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6:25" ht="16.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6:25" ht="16.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6:25" ht="16.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6:25" ht="16.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6:25" ht="16.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6:25" ht="16.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6:25" ht="16.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6:25" ht="16.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6:25" ht="16.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6:25" ht="16.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6:25" ht="16.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6:25" ht="16.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6:25" ht="16.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6:25" ht="16.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6:25" ht="16.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6:25" ht="16.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6:25" ht="16.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6:25" ht="16.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6:25" ht="16.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6:25" ht="16.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6:25" ht="16.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6:25" ht="16.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6:25" ht="16.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6:25" ht="16.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6:25" ht="16.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6:25" ht="16.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6:25" ht="16.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6:25" ht="16.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6:25" ht="16.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6:25" ht="16.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6:25" ht="16.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6:25" ht="16.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6:25" ht="16.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6:25" ht="16.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6:25" ht="16.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6:25" ht="16.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6:25" ht="16.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6:25" ht="16.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6:25" ht="16.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6:25" ht="16.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6:25" ht="16.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6:25" ht="16.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6:25" ht="16.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6:25" ht="16.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6:25" ht="16.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6:25" ht="16.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6:25" ht="16.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6:25" ht="16.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6:25" ht="16.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6:25" ht="16.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6:25" ht="16.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6:25" ht="16.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6:25" ht="16.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6:25" ht="16.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6:25" ht="16.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6:25" ht="16.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6:25" ht="16.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6:25" ht="16.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6:25" ht="16.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6:25" ht="16.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6:25" ht="16.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6:25" ht="16.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6:25" ht="16.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6:25" ht="16.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6:25" ht="16.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6:25" ht="16.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6:25" ht="16.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6:25" ht="16.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6:25" ht="16.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6:25" ht="16.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6:25" ht="16.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6:25" ht="16.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6:25" ht="16.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6:25" ht="16.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6:25" ht="16.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6:25" ht="16.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6:25" ht="16.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6:25" ht="16.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6:25" ht="16.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6:25" ht="16.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6:25" ht="16.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6:25" ht="16.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6:25" ht="16.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6:25" ht="16.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6:25" ht="16.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6:25" ht="16.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6:25" ht="16.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6:25" ht="16.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6:25" ht="16.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6:25" ht="16.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6:25" ht="16.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6:25" ht="16.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6:25" ht="16.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6:25" ht="16.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6:25" ht="16.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6:25" ht="16.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6:25" ht="16.5" customHeight="1">
      <c r="F153" s="5"/>
      <c r="G153" s="5"/>
      <c r="H153" s="5"/>
      <c r="X153" s="5"/>
      <c r="Y153" s="5"/>
    </row>
    <row r="154" spans="6:8" ht="16.5" customHeight="1">
      <c r="F154" s="5"/>
      <c r="G154" s="5"/>
      <c r="H154" s="5"/>
    </row>
    <row r="155" spans="6:8" ht="16.5" customHeight="1">
      <c r="F155" s="5"/>
      <c r="G155" s="5"/>
      <c r="H155" s="5"/>
    </row>
    <row r="156" spans="6:8" ht="16.5" customHeight="1">
      <c r="F156" s="5"/>
      <c r="G156" s="5"/>
      <c r="H156" s="5"/>
    </row>
    <row r="157" spans="6:8" ht="16.5" customHeight="1">
      <c r="F157" s="5"/>
      <c r="G157" s="5"/>
      <c r="H157" s="5"/>
    </row>
    <row r="158" spans="6:8" ht="16.5" customHeight="1">
      <c r="F158" s="5"/>
      <c r="G158" s="5"/>
      <c r="H158" s="5"/>
    </row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4" r:id="rId3"/>
  <headerFooter alignWithMargins="0">
    <oddFooter>&amp;L&amp;"Times New Roman,Normal"&amp;8&amp;Z&amp;F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="55" zoomScaleNormal="55" zoomScalePageLayoutView="0" workbookViewId="0" topLeftCell="A10">
      <selection activeCell="O26" sqref="O26"/>
    </sheetView>
  </sheetViews>
  <sheetFormatPr defaultColWidth="13.421875" defaultRowHeight="12.75"/>
  <cols>
    <col min="1" max="2" width="13.8515625" style="0" customWidth="1"/>
    <col min="3" max="3" width="4.7109375" style="0" customWidth="1"/>
    <col min="4" max="4" width="41.7109375" style="0" customWidth="1"/>
    <col min="5" max="5" width="13.57421875" style="0" customWidth="1"/>
    <col min="6" max="6" width="11.8515625" style="0" customWidth="1"/>
    <col min="7" max="7" width="6.7109375" style="0" customWidth="1"/>
    <col min="8" max="8" width="24.8515625" style="0" bestFit="1" customWidth="1"/>
    <col min="9" max="9" width="20.140625" style="0" customWidth="1"/>
    <col min="10" max="10" width="13.8515625" style="0" customWidth="1"/>
    <col min="11" max="11" width="9.140625" style="0" customWidth="1"/>
    <col min="12" max="12" width="33.28125" style="0" customWidth="1"/>
    <col min="13" max="13" width="9.140625" style="0" customWidth="1"/>
    <col min="14" max="14" width="9.28125" style="0" customWidth="1"/>
    <col min="15" max="15" width="9.8515625" style="0" customWidth="1"/>
    <col min="16" max="16" width="13.8515625" style="0" customWidth="1"/>
  </cols>
  <sheetData>
    <row r="1" s="100" customFormat="1" ht="39.75" customHeight="1">
      <c r="P1" s="311"/>
    </row>
    <row r="2" spans="1:16" s="100" customFormat="1" ht="26.25">
      <c r="A2" s="159"/>
      <c r="B2" s="463" t="str">
        <f>'TOT-1013'!B2</f>
        <v>ANEXO IV al Memorándum  D.T.E.E.  N°      598     / 2014.-</v>
      </c>
      <c r="C2" s="463"/>
      <c r="D2" s="463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</row>
    <row r="3" spans="1:4" s="103" customFormat="1" ht="12.75">
      <c r="A3" s="469" t="s">
        <v>112</v>
      </c>
      <c r="B3" s="10"/>
      <c r="C3" s="10"/>
      <c r="D3" s="10"/>
    </row>
    <row r="4" spans="1:4" s="103" customFormat="1" ht="11.25">
      <c r="A4" s="469" t="s">
        <v>111</v>
      </c>
      <c r="B4" s="165"/>
      <c r="C4" s="165"/>
      <c r="D4" s="165"/>
    </row>
    <row r="5" spans="1:4" s="10" customFormat="1" ht="13.5" thickBot="1">
      <c r="A5" s="469"/>
      <c r="B5" s="165"/>
      <c r="C5" s="165"/>
      <c r="D5" s="165"/>
    </row>
    <row r="6" spans="1:16" s="10" customFormat="1" ht="13.5" thickTop="1">
      <c r="A6" s="8"/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6"/>
    </row>
    <row r="7" spans="1:16" s="105" customFormat="1" ht="20.25">
      <c r="A7" s="28"/>
      <c r="B7" s="104"/>
      <c r="C7" s="28"/>
      <c r="D7" s="17" t="s">
        <v>30</v>
      </c>
      <c r="G7" s="28"/>
      <c r="H7" s="28"/>
      <c r="I7" s="28"/>
      <c r="J7" s="28"/>
      <c r="K7" s="28"/>
      <c r="L7" s="28"/>
      <c r="M7" s="28"/>
      <c r="N7" s="28"/>
      <c r="O7" s="28"/>
      <c r="P7" s="106"/>
    </row>
    <row r="8" spans="1:16" ht="15">
      <c r="A8" s="1"/>
      <c r="B8" s="218"/>
      <c r="C8" s="53"/>
      <c r="D8" s="312"/>
      <c r="E8" s="53"/>
      <c r="F8" s="51"/>
      <c r="G8" s="53"/>
      <c r="H8" s="53"/>
      <c r="I8" s="53"/>
      <c r="J8" s="53"/>
      <c r="K8" s="53"/>
      <c r="L8" s="53"/>
      <c r="M8" s="53"/>
      <c r="N8" s="53"/>
      <c r="O8" s="53"/>
      <c r="P8" s="222"/>
    </row>
    <row r="9" spans="1:19" s="105" customFormat="1" ht="20.25">
      <c r="A9" s="28"/>
      <c r="B9" s="313"/>
      <c r="C9"/>
      <c r="D9" s="18" t="s">
        <v>135</v>
      </c>
      <c r="E9" s="314"/>
      <c r="F9" s="314"/>
      <c r="G9" s="314"/>
      <c r="H9" s="315"/>
      <c r="I9" s="314"/>
      <c r="J9" s="314"/>
      <c r="K9" s="314"/>
      <c r="L9" s="314"/>
      <c r="M9" s="314"/>
      <c r="N9" s="314"/>
      <c r="O9" s="314"/>
      <c r="P9" s="316"/>
      <c r="Q9" s="181"/>
      <c r="R9" s="161"/>
      <c r="S9" s="161"/>
    </row>
    <row r="10" spans="1:19" s="10" customFormat="1" ht="12.75">
      <c r="A10" s="8"/>
      <c r="B10" s="27"/>
      <c r="C10" s="8"/>
      <c r="D10" s="47"/>
      <c r="E10" s="19"/>
      <c r="F10" s="19"/>
      <c r="G10" s="19"/>
      <c r="H10" s="158"/>
      <c r="I10" s="19"/>
      <c r="J10" s="19"/>
      <c r="K10" s="19"/>
      <c r="L10" s="19"/>
      <c r="M10" s="19"/>
      <c r="N10" s="19"/>
      <c r="O10" s="19"/>
      <c r="P10" s="21"/>
      <c r="Q10" s="19"/>
      <c r="R10" s="19"/>
      <c r="S10" s="160"/>
    </row>
    <row r="11" spans="1:19" s="112" customFormat="1" ht="19.5">
      <c r="A11" s="30"/>
      <c r="B11" s="184" t="str">
        <f>+'TOT-1013'!B14</f>
        <v>Desde el 01 al 31 de octubre de 2013</v>
      </c>
      <c r="C11" s="132"/>
      <c r="D11" s="162"/>
      <c r="E11" s="162"/>
      <c r="F11" s="162"/>
      <c r="G11" s="162"/>
      <c r="H11" s="162"/>
      <c r="I11" s="132"/>
      <c r="J11" s="162"/>
      <c r="K11" s="162"/>
      <c r="L11" s="162"/>
      <c r="M11" s="162"/>
      <c r="N11" s="162"/>
      <c r="O11" s="162"/>
      <c r="P11" s="317"/>
      <c r="Q11" s="318"/>
      <c r="R11" s="318"/>
      <c r="S11" s="318"/>
    </row>
    <row r="12" spans="1:19" ht="15">
      <c r="A12" s="1"/>
      <c r="B12" s="218"/>
      <c r="C12" s="53"/>
      <c r="D12" s="49"/>
      <c r="E12" s="49"/>
      <c r="F12" s="49"/>
      <c r="G12" s="49"/>
      <c r="H12" s="319"/>
      <c r="I12" s="53"/>
      <c r="J12" s="49"/>
      <c r="K12" s="49"/>
      <c r="L12" s="49"/>
      <c r="M12" s="49"/>
      <c r="N12" s="49"/>
      <c r="O12" s="49"/>
      <c r="P12" s="50"/>
      <c r="Q12" s="6"/>
      <c r="R12" s="6"/>
      <c r="S12" s="320"/>
    </row>
    <row r="13" spans="1:19" ht="18" customHeight="1">
      <c r="A13" s="1"/>
      <c r="B13" s="218"/>
      <c r="C13" s="53"/>
      <c r="D13" s="49"/>
      <c r="E13" s="49"/>
      <c r="F13" s="49"/>
      <c r="G13" s="49"/>
      <c r="H13" s="60"/>
      <c r="I13" s="60"/>
      <c r="J13" s="49"/>
      <c r="K13" s="49"/>
      <c r="P13" s="50"/>
      <c r="Q13" s="6"/>
      <c r="R13" s="6"/>
      <c r="S13" s="320"/>
    </row>
    <row r="14" spans="1:19" ht="18" customHeight="1">
      <c r="A14" s="1"/>
      <c r="B14" s="218"/>
      <c r="C14" s="53"/>
      <c r="D14" s="48"/>
      <c r="E14" s="321"/>
      <c r="F14" s="49"/>
      <c r="G14" s="49"/>
      <c r="H14" s="60"/>
      <c r="I14" s="60"/>
      <c r="J14" s="49"/>
      <c r="K14" s="49"/>
      <c r="P14" s="50"/>
      <c r="Q14" s="6"/>
      <c r="R14" s="6"/>
      <c r="S14" s="320"/>
    </row>
    <row r="15" spans="1:16" ht="16.5" thickBot="1">
      <c r="A15" s="1"/>
      <c r="B15" s="218"/>
      <c r="C15" s="322" t="s">
        <v>67</v>
      </c>
      <c r="D15" s="51"/>
      <c r="E15" s="219"/>
      <c r="F15" s="220"/>
      <c r="G15" s="53"/>
      <c r="H15" s="53"/>
      <c r="I15" s="53"/>
      <c r="J15" s="52"/>
      <c r="K15" s="52"/>
      <c r="L15" s="221"/>
      <c r="M15" s="53"/>
      <c r="N15" s="53"/>
      <c r="O15" s="53"/>
      <c r="P15" s="222"/>
    </row>
    <row r="16" spans="1:16" ht="16.5" thickBot="1">
      <c r="A16" s="1"/>
      <c r="B16" s="218"/>
      <c r="C16" s="223"/>
      <c r="D16" s="51"/>
      <c r="E16" s="219"/>
      <c r="F16" s="220"/>
      <c r="G16" s="53"/>
      <c r="H16" s="53"/>
      <c r="L16" s="699" t="s">
        <v>59</v>
      </c>
      <c r="M16" s="700">
        <v>6.761</v>
      </c>
      <c r="N16" s="323"/>
      <c r="O16" s="53"/>
      <c r="P16" s="222"/>
    </row>
    <row r="17" spans="1:16" ht="15.75">
      <c r="A17" s="1"/>
      <c r="B17" s="218"/>
      <c r="C17" s="223"/>
      <c r="D17" s="52" t="s">
        <v>68</v>
      </c>
      <c r="E17" s="224">
        <f>MID(B11,16,2)*24</f>
        <v>744</v>
      </c>
      <c r="F17" s="53" t="s">
        <v>69</v>
      </c>
      <c r="G17" s="49"/>
      <c r="H17" s="324"/>
      <c r="I17" s="325" t="s">
        <v>70</v>
      </c>
      <c r="J17" s="326">
        <v>145.41960366333</v>
      </c>
      <c r="K17" s="307"/>
      <c r="L17" s="701" t="s">
        <v>60</v>
      </c>
      <c r="M17" s="327">
        <v>5.074</v>
      </c>
      <c r="N17" s="328"/>
      <c r="O17" s="53"/>
      <c r="P17" s="222"/>
    </row>
    <row r="18" spans="1:16" ht="16.5" thickBot="1">
      <c r="A18" s="1"/>
      <c r="B18" s="218"/>
      <c r="C18" s="223"/>
      <c r="D18" s="52" t="s">
        <v>71</v>
      </c>
      <c r="E18" s="226">
        <v>0.025</v>
      </c>
      <c r="F18" s="49"/>
      <c r="G18" s="49"/>
      <c r="H18" s="329"/>
      <c r="I18" s="330" t="s">
        <v>72</v>
      </c>
      <c r="J18" s="331">
        <v>0.507</v>
      </c>
      <c r="K18" s="332"/>
      <c r="L18" s="702" t="s">
        <v>61</v>
      </c>
      <c r="M18" s="333">
        <v>5.074</v>
      </c>
      <c r="N18" s="334"/>
      <c r="O18" s="53"/>
      <c r="P18" s="222"/>
    </row>
    <row r="19" spans="1:16" ht="15.75">
      <c r="A19" s="1"/>
      <c r="B19" s="218"/>
      <c r="C19" s="223"/>
      <c r="D19" s="52"/>
      <c r="E19" s="226"/>
      <c r="F19" s="49"/>
      <c r="G19" s="49"/>
      <c r="H19" s="49"/>
      <c r="I19" s="49"/>
      <c r="L19" s="221"/>
      <c r="M19" s="53"/>
      <c r="N19" s="53"/>
      <c r="O19" s="53"/>
      <c r="P19" s="222"/>
    </row>
    <row r="20" spans="1:16" ht="15">
      <c r="A20" s="1"/>
      <c r="B20" s="218"/>
      <c r="C20" s="48" t="s">
        <v>73</v>
      </c>
      <c r="D20" s="55"/>
      <c r="E20" s="219"/>
      <c r="F20" s="220"/>
      <c r="G20" s="53"/>
      <c r="H20" s="53"/>
      <c r="I20" s="53"/>
      <c r="J20" s="52"/>
      <c r="K20" s="52"/>
      <c r="L20" s="221"/>
      <c r="M20" s="53"/>
      <c r="N20" s="53"/>
      <c r="O20" s="53"/>
      <c r="P20" s="222"/>
    </row>
    <row r="21" spans="1:16" ht="15">
      <c r="A21" s="1"/>
      <c r="B21" s="218"/>
      <c r="C21" s="53"/>
      <c r="D21" s="53"/>
      <c r="E21" s="53"/>
      <c r="F21" s="53"/>
      <c r="G21" s="53"/>
      <c r="H21" s="227"/>
      <c r="I21" s="53"/>
      <c r="J21" s="53"/>
      <c r="K21" s="53"/>
      <c r="L21" s="53"/>
      <c r="M21" s="53"/>
      <c r="N21" s="53"/>
      <c r="O21" s="53"/>
      <c r="P21" s="222"/>
    </row>
    <row r="22" spans="1:16" ht="15">
      <c r="A22" s="1"/>
      <c r="B22" s="218"/>
      <c r="C22" s="53"/>
      <c r="D22" s="52" t="s">
        <v>74</v>
      </c>
      <c r="E22" s="53"/>
      <c r="F22" s="227" t="s">
        <v>19</v>
      </c>
      <c r="G22" s="53"/>
      <c r="H22" s="51"/>
      <c r="I22" s="335">
        <f>'TOT-1013'!I20</f>
        <v>624.46</v>
      </c>
      <c r="J22" s="53"/>
      <c r="K22" s="53"/>
      <c r="L22" s="336" t="s">
        <v>75</v>
      </c>
      <c r="M22" s="53"/>
      <c r="N22" s="53"/>
      <c r="O22" s="53"/>
      <c r="P22" s="222"/>
    </row>
    <row r="23" spans="1:16" ht="15">
      <c r="A23" s="1"/>
      <c r="B23" s="218"/>
      <c r="C23" s="53"/>
      <c r="D23" s="53"/>
      <c r="E23" s="53"/>
      <c r="F23" s="227" t="s">
        <v>76</v>
      </c>
      <c r="G23" s="53"/>
      <c r="H23" s="51"/>
      <c r="I23" s="335">
        <v>0</v>
      </c>
      <c r="J23" s="53"/>
      <c r="K23" s="53"/>
      <c r="L23" s="336"/>
      <c r="M23" s="53"/>
      <c r="N23" s="53"/>
      <c r="O23" s="53"/>
      <c r="P23" s="222"/>
    </row>
    <row r="24" spans="1:16" ht="15">
      <c r="A24" s="1"/>
      <c r="B24" s="218"/>
      <c r="C24" s="53"/>
      <c r="D24" s="53"/>
      <c r="E24" s="53"/>
      <c r="F24" s="227" t="s">
        <v>3</v>
      </c>
      <c r="G24" s="53"/>
      <c r="H24" s="51"/>
      <c r="I24" s="337">
        <f>'TOT-1013'!I25</f>
        <v>40.97255</v>
      </c>
      <c r="J24" s="53"/>
      <c r="K24" s="53"/>
      <c r="L24" s="625" t="s">
        <v>143</v>
      </c>
      <c r="M24" s="53"/>
      <c r="N24" s="53"/>
      <c r="O24" s="53"/>
      <c r="P24" s="222"/>
    </row>
    <row r="25" spans="1:16" ht="15.75" thickBot="1">
      <c r="A25" s="1"/>
      <c r="B25" s="218"/>
      <c r="C25" s="53"/>
      <c r="D25" s="53"/>
      <c r="E25" s="53"/>
      <c r="F25" s="53"/>
      <c r="G25" s="53"/>
      <c r="H25" s="227"/>
      <c r="I25" s="53"/>
      <c r="J25" s="53"/>
      <c r="K25" s="53"/>
      <c r="L25" s="53"/>
      <c r="M25" s="53"/>
      <c r="N25" s="53"/>
      <c r="O25" s="53"/>
      <c r="P25" s="222"/>
    </row>
    <row r="26" spans="2:16" ht="20.25" thickBot="1" thickTop="1">
      <c r="B26" s="218"/>
      <c r="C26" s="59"/>
      <c r="H26" s="338" t="s">
        <v>77</v>
      </c>
      <c r="I26" s="144">
        <f>SUM(I22:I25)</f>
        <v>665.43255</v>
      </c>
      <c r="L26" s="56"/>
      <c r="M26" s="56"/>
      <c r="N26" s="57"/>
      <c r="O26" s="58"/>
      <c r="P26" s="228"/>
    </row>
    <row r="27" spans="2:16" ht="15.75" thickTop="1">
      <c r="B27" s="218"/>
      <c r="C27" s="59"/>
      <c r="D27" s="55"/>
      <c r="E27" s="55"/>
      <c r="F27" s="61"/>
      <c r="G27" s="56"/>
      <c r="H27" s="56"/>
      <c r="I27" s="56"/>
      <c r="J27" s="56"/>
      <c r="K27" s="56"/>
      <c r="L27" s="56"/>
      <c r="M27" s="56"/>
      <c r="N27" s="57"/>
      <c r="O27" s="58"/>
      <c r="P27" s="228"/>
    </row>
    <row r="28" spans="2:16" ht="15">
      <c r="B28" s="218"/>
      <c r="C28" s="48" t="s">
        <v>78</v>
      </c>
      <c r="D28" s="55"/>
      <c r="E28" s="55"/>
      <c r="F28" s="61"/>
      <c r="G28" s="56"/>
      <c r="H28" s="56"/>
      <c r="I28" s="56"/>
      <c r="J28" s="56"/>
      <c r="K28" s="56"/>
      <c r="L28" s="56"/>
      <c r="M28" s="56"/>
      <c r="N28" s="57"/>
      <c r="O28" s="58"/>
      <c r="P28" s="228"/>
    </row>
    <row r="29" spans="2:16" ht="15">
      <c r="B29" s="218"/>
      <c r="C29" s="59"/>
      <c r="D29" s="55"/>
      <c r="E29" s="55"/>
      <c r="F29" s="61"/>
      <c r="G29" s="56"/>
      <c r="H29" s="56"/>
      <c r="I29" s="56"/>
      <c r="J29" s="56"/>
      <c r="K29" s="56"/>
      <c r="L29" s="56"/>
      <c r="M29" s="56"/>
      <c r="N29" s="57"/>
      <c r="O29" s="58"/>
      <c r="P29" s="228"/>
    </row>
    <row r="30" spans="2:16" ht="15.75">
      <c r="B30" s="218"/>
      <c r="C30" s="59"/>
      <c r="D30" s="339" t="s">
        <v>79</v>
      </c>
      <c r="E30" s="340" t="s">
        <v>15</v>
      </c>
      <c r="F30" s="341" t="s">
        <v>80</v>
      </c>
      <c r="G30" s="342"/>
      <c r="H30" s="458" t="s">
        <v>105</v>
      </c>
      <c r="I30" s="457" t="s">
        <v>104</v>
      </c>
      <c r="J30" s="453"/>
      <c r="K30" s="365"/>
      <c r="L30" s="343" t="s">
        <v>2</v>
      </c>
      <c r="N30" s="57"/>
      <c r="O30" s="58"/>
      <c r="P30" s="228"/>
    </row>
    <row r="31" spans="2:16" ht="15.75">
      <c r="B31" s="218"/>
      <c r="C31" s="59"/>
      <c r="D31" s="344" t="s">
        <v>4</v>
      </c>
      <c r="E31" s="345">
        <v>132</v>
      </c>
      <c r="F31" s="346">
        <v>31</v>
      </c>
      <c r="G31" s="347"/>
      <c r="H31" s="348">
        <f>F31*$J$17*$E$17/100</f>
        <v>33539.57738891043</v>
      </c>
      <c r="I31" s="349">
        <v>0</v>
      </c>
      <c r="J31" s="455" t="s">
        <v>128</v>
      </c>
      <c r="K31" s="351"/>
      <c r="L31" s="352">
        <f>SUM(H31:K31)</f>
        <v>33539.57738891043</v>
      </c>
      <c r="M31" s="56"/>
      <c r="N31" s="57"/>
      <c r="O31" s="58"/>
      <c r="P31" s="228"/>
    </row>
    <row r="32" spans="2:16" ht="15.75">
      <c r="B32" s="218"/>
      <c r="C32" s="59"/>
      <c r="D32" s="372" t="s">
        <v>5</v>
      </c>
      <c r="E32" s="55">
        <v>132</v>
      </c>
      <c r="F32" s="61">
        <v>110.3</v>
      </c>
      <c r="G32" s="56"/>
      <c r="H32" s="233">
        <f>F32*$J$17*$E$17/100</f>
        <v>119335.98019344584</v>
      </c>
      <c r="I32" s="389">
        <v>1120</v>
      </c>
      <c r="J32" s="454" t="s">
        <v>128</v>
      </c>
      <c r="K32" s="225"/>
      <c r="L32" s="373">
        <f>SUM(H32:K32)</f>
        <v>120455.98019344584</v>
      </c>
      <c r="M32" s="56"/>
      <c r="N32" s="57"/>
      <c r="O32" s="58"/>
      <c r="P32" s="228"/>
    </row>
    <row r="33" spans="2:16" ht="15.75">
      <c r="B33" s="218"/>
      <c r="C33" s="59"/>
      <c r="D33" s="372" t="s">
        <v>6</v>
      </c>
      <c r="E33" s="55">
        <v>132</v>
      </c>
      <c r="F33" s="61">
        <v>185.6</v>
      </c>
      <c r="G33" s="56"/>
      <c r="H33" s="233">
        <f>F33*$J$17*$E$17/100</f>
        <v>200804.69559296052</v>
      </c>
      <c r="I33" s="389">
        <v>973</v>
      </c>
      <c r="J33" s="454" t="s">
        <v>128</v>
      </c>
      <c r="K33" s="225"/>
      <c r="L33" s="373">
        <f>SUM(H33:K33)</f>
        <v>201777.69559296052</v>
      </c>
      <c r="M33" s="56"/>
      <c r="N33" s="57"/>
      <c r="O33" s="58"/>
      <c r="P33" s="228"/>
    </row>
    <row r="34" spans="2:16" ht="15.75">
      <c r="B34" s="218"/>
      <c r="C34" s="59"/>
      <c r="D34" s="353" t="s">
        <v>7</v>
      </c>
      <c r="E34" s="354">
        <v>132</v>
      </c>
      <c r="F34" s="355">
        <v>7</v>
      </c>
      <c r="G34" s="356"/>
      <c r="H34" s="357">
        <f>F34*$J$17*$E$17/100</f>
        <v>7573.452958786227</v>
      </c>
      <c r="I34" s="358">
        <v>0</v>
      </c>
      <c r="J34" s="456" t="s">
        <v>128</v>
      </c>
      <c r="K34" s="360"/>
      <c r="L34" s="361">
        <f>SUM(H34:K34)</f>
        <v>7573.452958786227</v>
      </c>
      <c r="M34" s="56"/>
      <c r="N34" s="57"/>
      <c r="O34" s="58"/>
      <c r="P34" s="228"/>
    </row>
    <row r="35" spans="2:16" ht="15">
      <c r="B35" s="218"/>
      <c r="C35" s="59"/>
      <c r="D35" s="55"/>
      <c r="E35" s="55"/>
      <c r="F35" s="229"/>
      <c r="G35" s="56"/>
      <c r="I35" s="62"/>
      <c r="J35" s="225"/>
      <c r="K35" s="225"/>
      <c r="L35" s="362">
        <f>SUM(L31:L34)</f>
        <v>363346.706134103</v>
      </c>
      <c r="M35" s="56"/>
      <c r="N35" s="57"/>
      <c r="O35" s="58"/>
      <c r="P35" s="228"/>
    </row>
    <row r="36" spans="2:16" ht="15">
      <c r="B36" s="218"/>
      <c r="C36" s="59"/>
      <c r="D36" s="55"/>
      <c r="E36" s="55"/>
      <c r="F36" s="229"/>
      <c r="G36" s="56"/>
      <c r="I36" s="62"/>
      <c r="J36" s="225"/>
      <c r="K36" s="225"/>
      <c r="L36" s="230"/>
      <c r="M36" s="56"/>
      <c r="N36" s="57"/>
      <c r="O36" s="58"/>
      <c r="P36" s="228"/>
    </row>
    <row r="37" spans="2:16" ht="15.75">
      <c r="B37" s="218"/>
      <c r="C37" s="59"/>
      <c r="D37" s="339" t="s">
        <v>81</v>
      </c>
      <c r="E37" s="340" t="s">
        <v>82</v>
      </c>
      <c r="F37" s="390" t="s">
        <v>92</v>
      </c>
      <c r="G37" s="391"/>
      <c r="H37" s="459" t="s">
        <v>106</v>
      </c>
      <c r="J37" s="363" t="s">
        <v>83</v>
      </c>
      <c r="K37" s="364"/>
      <c r="L37" s="365" t="s">
        <v>40</v>
      </c>
      <c r="M37" s="340" t="s">
        <v>15</v>
      </c>
      <c r="N37" s="366" t="s">
        <v>84</v>
      </c>
      <c r="O37" s="367"/>
      <c r="P37" s="228"/>
    </row>
    <row r="38" spans="2:16" ht="15">
      <c r="B38" s="218"/>
      <c r="C38" s="59"/>
      <c r="D38" s="344" t="s">
        <v>9</v>
      </c>
      <c r="E38" s="345" t="s">
        <v>93</v>
      </c>
      <c r="F38" s="392">
        <v>30</v>
      </c>
      <c r="G38" s="393"/>
      <c r="H38" s="352">
        <f>+F38*$J$18*$E$17</f>
        <v>11316.24</v>
      </c>
      <c r="J38" s="368" t="s">
        <v>94</v>
      </c>
      <c r="K38" s="350"/>
      <c r="L38" s="347" t="s">
        <v>95</v>
      </c>
      <c r="M38" s="369">
        <v>132</v>
      </c>
      <c r="N38" s="370">
        <f>M16*E17</f>
        <v>5030.184</v>
      </c>
      <c r="O38" s="371"/>
      <c r="P38" s="228"/>
    </row>
    <row r="39" spans="2:16" ht="15">
      <c r="B39" s="218"/>
      <c r="C39" s="59"/>
      <c r="D39" s="372" t="s">
        <v>12</v>
      </c>
      <c r="E39" s="55" t="s">
        <v>96</v>
      </c>
      <c r="F39" s="394">
        <v>88</v>
      </c>
      <c r="G39" s="395"/>
      <c r="H39" s="373">
        <f>+F39*$J$18*$E$17</f>
        <v>33194.304</v>
      </c>
      <c r="J39" s="374" t="s">
        <v>10</v>
      </c>
      <c r="K39" s="375"/>
      <c r="L39" s="56" t="s">
        <v>97</v>
      </c>
      <c r="M39" s="57">
        <v>33</v>
      </c>
      <c r="N39" s="376">
        <f>+M17*E17*2</f>
        <v>7550.112</v>
      </c>
      <c r="O39" s="377"/>
      <c r="P39" s="228"/>
    </row>
    <row r="40" spans="2:16" ht="15">
      <c r="B40" s="218"/>
      <c r="C40" s="59"/>
      <c r="D40" s="372" t="s">
        <v>10</v>
      </c>
      <c r="E40" s="55" t="s">
        <v>8</v>
      </c>
      <c r="F40" s="394">
        <v>7.5</v>
      </c>
      <c r="G40" s="395"/>
      <c r="H40" s="373">
        <f>+F40*$J$18*$E$17</f>
        <v>2829.06</v>
      </c>
      <c r="J40" s="374" t="s">
        <v>11</v>
      </c>
      <c r="K40" s="375"/>
      <c r="L40" s="56" t="s">
        <v>98</v>
      </c>
      <c r="M40" s="57">
        <v>33</v>
      </c>
      <c r="N40" s="376">
        <f>3*M17*E17</f>
        <v>11325.168</v>
      </c>
      <c r="O40" s="377"/>
      <c r="P40" s="228"/>
    </row>
    <row r="41" spans="2:16" ht="15">
      <c r="B41" s="218"/>
      <c r="C41" s="59"/>
      <c r="D41" s="372" t="s">
        <v>11</v>
      </c>
      <c r="E41" s="55" t="s">
        <v>8</v>
      </c>
      <c r="F41" s="394">
        <v>15</v>
      </c>
      <c r="G41" s="395"/>
      <c r="H41" s="373">
        <f>+F41*$J$18*$E$17</f>
        <v>5658.12</v>
      </c>
      <c r="J41" s="374" t="s">
        <v>13</v>
      </c>
      <c r="K41" s="375"/>
      <c r="L41" s="56" t="s">
        <v>99</v>
      </c>
      <c r="M41" s="57">
        <v>13.2</v>
      </c>
      <c r="N41" s="376">
        <f>+M18*E17*6</f>
        <v>22650.336</v>
      </c>
      <c r="O41" s="377"/>
      <c r="P41" s="228"/>
    </row>
    <row r="42" spans="2:16" ht="15">
      <c r="B42" s="218"/>
      <c r="C42" s="59"/>
      <c r="D42" s="353" t="s">
        <v>13</v>
      </c>
      <c r="E42" s="354" t="s">
        <v>100</v>
      </c>
      <c r="F42" s="396">
        <v>30</v>
      </c>
      <c r="G42" s="397"/>
      <c r="H42" s="373">
        <f>+F42*$J$18*$E$17</f>
        <v>11316.24</v>
      </c>
      <c r="J42" s="374" t="s">
        <v>9</v>
      </c>
      <c r="K42" s="375"/>
      <c r="L42" s="56" t="s">
        <v>101</v>
      </c>
      <c r="M42" s="57"/>
      <c r="N42" s="376">
        <f>+M17*E17+M18*E17*2</f>
        <v>11325.168</v>
      </c>
      <c r="O42" s="377"/>
      <c r="P42" s="228"/>
    </row>
    <row r="43" spans="2:16" ht="15">
      <c r="B43" s="218"/>
      <c r="C43" s="59"/>
      <c r="D43" s="55"/>
      <c r="E43" s="55"/>
      <c r="F43" s="229"/>
      <c r="G43" s="56"/>
      <c r="H43" s="362">
        <f>SUM(H38:H42)</f>
        <v>64313.96399999999</v>
      </c>
      <c r="J43" s="378" t="s">
        <v>12</v>
      </c>
      <c r="K43" s="359"/>
      <c r="L43" s="356" t="s">
        <v>102</v>
      </c>
      <c r="M43" s="379"/>
      <c r="N43" s="380">
        <f>(M16+M17+M18*5)*E17</f>
        <v>27680.52</v>
      </c>
      <c r="O43" s="381"/>
      <c r="P43" s="228"/>
    </row>
    <row r="44" spans="2:16" ht="15">
      <c r="B44" s="218"/>
      <c r="C44" s="59"/>
      <c r="D44" s="55"/>
      <c r="E44" s="55"/>
      <c r="F44" s="229"/>
      <c r="G44" s="56"/>
      <c r="I44" s="62"/>
      <c r="J44" s="225"/>
      <c r="K44" s="225"/>
      <c r="L44" s="230"/>
      <c r="M44" s="56"/>
      <c r="N44" s="382">
        <f>SUM(N38:N43)</f>
        <v>85561.488</v>
      </c>
      <c r="O44" s="367"/>
      <c r="P44" s="228"/>
    </row>
    <row r="45" spans="2:16" ht="12.75" customHeight="1" thickBot="1">
      <c r="B45" s="218"/>
      <c r="C45" s="59"/>
      <c r="D45" s="55"/>
      <c r="E45" s="55"/>
      <c r="F45" s="61"/>
      <c r="G45" s="56"/>
      <c r="H45" s="62"/>
      <c r="I45" s="55"/>
      <c r="J45" s="55"/>
      <c r="K45" s="55"/>
      <c r="L45" s="56"/>
      <c r="M45" s="56"/>
      <c r="N45" s="57"/>
      <c r="O45" s="58"/>
      <c r="P45" s="228"/>
    </row>
    <row r="46" spans="2:16" ht="20.25" thickBot="1" thickTop="1">
      <c r="B46" s="218"/>
      <c r="C46" s="59"/>
      <c r="D46" s="55"/>
      <c r="E46" s="55"/>
      <c r="F46" s="61"/>
      <c r="G46" s="56"/>
      <c r="H46" s="383" t="s">
        <v>85</v>
      </c>
      <c r="I46" s="384">
        <f>+H43+N44+L35</f>
        <v>513222.158134103</v>
      </c>
      <c r="J46" s="55"/>
      <c r="K46" s="55"/>
      <c r="L46" s="56"/>
      <c r="M46" s="56"/>
      <c r="N46" s="57"/>
      <c r="O46" s="58"/>
      <c r="P46" s="228"/>
    </row>
    <row r="47" spans="2:16" ht="15.75" thickTop="1">
      <c r="B47" s="218"/>
      <c r="C47" s="59"/>
      <c r="D47" s="55"/>
      <c r="E47" s="55"/>
      <c r="F47" s="61"/>
      <c r="G47" s="56"/>
      <c r="H47" s="62"/>
      <c r="I47" s="55"/>
      <c r="J47" s="55"/>
      <c r="K47" s="55"/>
      <c r="L47" s="56"/>
      <c r="M47" s="56"/>
      <c r="N47" s="57"/>
      <c r="O47" s="58"/>
      <c r="P47" s="228"/>
    </row>
    <row r="48" spans="2:16" ht="15.75">
      <c r="B48" s="218"/>
      <c r="C48" s="385" t="s">
        <v>86</v>
      </c>
      <c r="D48" s="55"/>
      <c r="E48" s="55"/>
      <c r="F48" s="61"/>
      <c r="G48" s="56"/>
      <c r="H48" s="62"/>
      <c r="I48" s="55"/>
      <c r="J48" s="55"/>
      <c r="K48" s="55"/>
      <c r="L48" s="56"/>
      <c r="M48" s="56"/>
      <c r="N48" s="57"/>
      <c r="O48" s="58"/>
      <c r="P48" s="228"/>
    </row>
    <row r="49" spans="2:16" ht="15.75" thickBot="1">
      <c r="B49" s="218"/>
      <c r="C49" s="59"/>
      <c r="D49" s="55"/>
      <c r="E49" s="55"/>
      <c r="F49" s="61"/>
      <c r="G49" s="56"/>
      <c r="H49" s="62"/>
      <c r="I49" s="55"/>
      <c r="J49" s="55"/>
      <c r="K49" s="55"/>
      <c r="L49" s="56"/>
      <c r="M49" s="56"/>
      <c r="N49" s="57"/>
      <c r="O49" s="58"/>
      <c r="P49" s="228"/>
    </row>
    <row r="50" spans="2:16" ht="20.25" thickBot="1" thickTop="1">
      <c r="B50" s="218"/>
      <c r="C50" s="59"/>
      <c r="D50" s="182" t="s">
        <v>87</v>
      </c>
      <c r="F50" s="231"/>
      <c r="G50" s="53"/>
      <c r="H50" s="143" t="s">
        <v>88</v>
      </c>
      <c r="I50" s="386">
        <f>E18*I46</f>
        <v>12830.553953352575</v>
      </c>
      <c r="J50" s="49"/>
      <c r="K50" s="49"/>
      <c r="O50" s="49"/>
      <c r="P50" s="228"/>
    </row>
    <row r="51" spans="2:16" ht="21.75" thickTop="1">
      <c r="B51" s="218"/>
      <c r="C51" s="59"/>
      <c r="F51" s="232"/>
      <c r="G51" s="28"/>
      <c r="I51" s="49"/>
      <c r="J51" s="49"/>
      <c r="K51" s="49"/>
      <c r="O51" s="49"/>
      <c r="P51" s="228"/>
    </row>
    <row r="52" spans="2:16" ht="15">
      <c r="B52" s="218"/>
      <c r="C52" s="48" t="s">
        <v>89</v>
      </c>
      <c r="E52" s="49"/>
      <c r="F52" s="49"/>
      <c r="G52" s="49"/>
      <c r="H52" s="49"/>
      <c r="I52" s="56"/>
      <c r="J52" s="56"/>
      <c r="K52" s="56"/>
      <c r="L52" s="56"/>
      <c r="M52" s="56"/>
      <c r="N52" s="57"/>
      <c r="O52" s="58"/>
      <c r="P52" s="228"/>
    </row>
    <row r="53" spans="2:16" ht="15">
      <c r="B53" s="218"/>
      <c r="C53" s="59"/>
      <c r="D53" s="54" t="s">
        <v>90</v>
      </c>
      <c r="E53" s="233">
        <f>10*I26*I50/I46</f>
        <v>166.35813750000003</v>
      </c>
      <c r="F53" s="387"/>
      <c r="H53" s="49"/>
      <c r="I53" s="56"/>
      <c r="J53" s="56"/>
      <c r="K53" s="56"/>
      <c r="L53" s="56"/>
      <c r="M53" s="56"/>
      <c r="N53" s="57"/>
      <c r="O53" s="58"/>
      <c r="P53" s="228"/>
    </row>
    <row r="54" spans="2:16" ht="15">
      <c r="B54" s="218"/>
      <c r="C54" s="59"/>
      <c r="D54" s="49"/>
      <c r="E54" s="49"/>
      <c r="J54" s="56"/>
      <c r="K54" s="56"/>
      <c r="L54" s="56"/>
      <c r="M54" s="56"/>
      <c r="N54" s="57"/>
      <c r="O54" s="58"/>
      <c r="P54" s="228"/>
    </row>
    <row r="55" spans="2:16" ht="15">
      <c r="B55" s="218"/>
      <c r="C55" s="59"/>
      <c r="D55" s="49" t="s">
        <v>103</v>
      </c>
      <c r="E55" s="49"/>
      <c r="F55" s="49"/>
      <c r="G55" s="49"/>
      <c r="H55" s="49"/>
      <c r="M55" s="56"/>
      <c r="N55" s="57"/>
      <c r="O55" s="58"/>
      <c r="P55" s="228"/>
    </row>
    <row r="56" spans="2:16" ht="15.75" thickBot="1">
      <c r="B56" s="218"/>
      <c r="C56" s="59"/>
      <c r="D56" s="49"/>
      <c r="E56" s="49"/>
      <c r="F56" s="49"/>
      <c r="G56" s="49"/>
      <c r="H56" s="49"/>
      <c r="M56" s="56"/>
      <c r="N56" s="57"/>
      <c r="O56" s="58"/>
      <c r="P56" s="228"/>
    </row>
    <row r="57" spans="2:16" ht="20.25" thickBot="1" thickTop="1">
      <c r="B57" s="218"/>
      <c r="C57" s="59"/>
      <c r="D57" s="55"/>
      <c r="E57" s="55"/>
      <c r="F57" s="61"/>
      <c r="G57" s="56"/>
      <c r="H57" s="183" t="s">
        <v>91</v>
      </c>
      <c r="I57" s="388">
        <f>IF($E$53&gt;3*I50,3*I50,$E$53)</f>
        <v>166.35813750000003</v>
      </c>
      <c r="J57" s="56"/>
      <c r="K57" s="56"/>
      <c r="L57" s="56"/>
      <c r="M57" s="56"/>
      <c r="N57" s="57"/>
      <c r="O57" s="58"/>
      <c r="P57" s="228"/>
    </row>
    <row r="58" spans="2:16" ht="16.5" thickBot="1" thickTop="1">
      <c r="B58" s="234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6"/>
    </row>
    <row r="59" spans="2:16" ht="13.5" thickTop="1">
      <c r="B59" s="1"/>
      <c r="P59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8" ht="12" customHeight="1"/>
    <row r="104" ht="12.75">
      <c r="B104" s="1"/>
    </row>
    <row r="110" ht="12.75">
      <c r="A110" s="1"/>
    </row>
  </sheetData>
  <sheetProtection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1" r:id="rId4"/>
  <headerFooter alignWithMargins="0">
    <oddFooter>&amp;L&amp;"Times New Roman,Normal"&amp;8&amp;Z&amp;F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3"/>
  <sheetViews>
    <sheetView zoomScale="75" zoomScaleNormal="75" zoomScalePageLayoutView="0" workbookViewId="0" topLeftCell="C42">
      <selection activeCell="R71" sqref="R71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5.7109375" style="0" customWidth="1"/>
    <col min="4" max="4" width="50.28125" style="0" customWidth="1"/>
    <col min="5" max="5" width="7.7109375" style="0" customWidth="1"/>
    <col min="6" max="6" width="12.7109375" style="0" customWidth="1"/>
    <col min="7" max="19" width="10.7109375" style="0" customWidth="1"/>
    <col min="20" max="20" width="15.7109375" style="0" customWidth="1"/>
  </cols>
  <sheetData>
    <row r="1" ht="38.25" customHeight="1">
      <c r="T1" s="311"/>
    </row>
    <row r="2" spans="2:20" s="628" customFormat="1" ht="30.75">
      <c r="B2" s="101" t="str">
        <f>'TOT-1013'!B2</f>
        <v>ANEXO IV al Memorándum  D.T.E.E.  N°      598     / 2014.-</v>
      </c>
      <c r="C2" s="629"/>
      <c r="D2" s="629"/>
      <c r="E2" s="629"/>
      <c r="F2" s="629"/>
      <c r="G2" s="629"/>
      <c r="H2" s="629"/>
      <c r="I2" s="629"/>
      <c r="J2" s="629"/>
      <c r="K2" s="629"/>
      <c r="L2" s="629"/>
      <c r="M2" s="629"/>
      <c r="N2" s="629"/>
      <c r="O2" s="629"/>
      <c r="P2" s="629"/>
      <c r="Q2" s="629"/>
      <c r="R2" s="629"/>
      <c r="S2" s="629"/>
      <c r="T2" s="629"/>
    </row>
    <row r="3" spans="1:2" ht="17.25" customHeight="1">
      <c r="A3" s="630" t="s">
        <v>16</v>
      </c>
      <c r="B3" s="631"/>
    </row>
    <row r="4" spans="1:4" ht="12.75" customHeight="1">
      <c r="A4" s="630" t="s">
        <v>17</v>
      </c>
      <c r="B4" s="631"/>
      <c r="D4" s="632"/>
    </row>
    <row r="5" spans="1:4" ht="21.75" customHeight="1">
      <c r="A5" s="633"/>
      <c r="D5" s="632"/>
    </row>
    <row r="6" spans="1:20" ht="26.25">
      <c r="A6" s="633"/>
      <c r="B6" s="634" t="s">
        <v>145</v>
      </c>
      <c r="C6" s="65"/>
      <c r="D6" s="632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</row>
    <row r="7" spans="1:4" ht="18.75" customHeight="1">
      <c r="A7" s="633"/>
      <c r="D7" s="632"/>
    </row>
    <row r="8" spans="1:20" ht="26.25">
      <c r="A8" s="633"/>
      <c r="B8" s="635" t="s">
        <v>1</v>
      </c>
      <c r="C8" s="65"/>
      <c r="D8" s="632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</row>
    <row r="9" spans="1:4" ht="18.75" customHeight="1">
      <c r="A9" s="633"/>
      <c r="D9" s="632"/>
    </row>
    <row r="10" spans="1:20" ht="26.25">
      <c r="A10" s="633"/>
      <c r="B10" s="635" t="s">
        <v>146</v>
      </c>
      <c r="C10" s="65"/>
      <c r="D10" s="632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</row>
    <row r="11" ht="18.75" customHeight="1" thickBot="1"/>
    <row r="12" spans="2:20" ht="18.75" customHeight="1" thickTop="1">
      <c r="B12" s="636"/>
      <c r="C12" s="637"/>
      <c r="D12" s="638"/>
      <c r="E12" s="638"/>
      <c r="F12" s="638"/>
      <c r="G12" s="637"/>
      <c r="H12" s="637"/>
      <c r="I12" s="637"/>
      <c r="J12" s="637"/>
      <c r="K12" s="637"/>
      <c r="L12" s="637"/>
      <c r="M12" s="637"/>
      <c r="N12" s="637"/>
      <c r="O12" s="637"/>
      <c r="P12" s="637"/>
      <c r="Q12" s="637"/>
      <c r="R12" s="637"/>
      <c r="S12" s="637"/>
      <c r="T12" s="639"/>
    </row>
    <row r="13" spans="2:20" ht="19.5">
      <c r="B13" s="184" t="s">
        <v>154</v>
      </c>
      <c r="C13" s="65"/>
      <c r="D13" s="640"/>
      <c r="E13" s="640"/>
      <c r="F13" s="640"/>
      <c r="G13" s="641"/>
      <c r="H13" s="641"/>
      <c r="I13" s="641"/>
      <c r="J13" s="641"/>
      <c r="K13" s="641"/>
      <c r="L13" s="641"/>
      <c r="M13" s="641"/>
      <c r="N13" s="641"/>
      <c r="O13" s="641"/>
      <c r="P13" s="641"/>
      <c r="Q13" s="641"/>
      <c r="R13" s="641"/>
      <c r="S13" s="641"/>
      <c r="T13" s="642"/>
    </row>
    <row r="14" spans="2:20" ht="18.75" customHeight="1" thickBot="1">
      <c r="B14" s="2"/>
      <c r="C14" s="643"/>
      <c r="D14" s="644"/>
      <c r="E14" s="644"/>
      <c r="F14" s="645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</row>
    <row r="15" spans="1:20" s="653" customFormat="1" ht="34.5" customHeight="1" thickBot="1" thickTop="1">
      <c r="A15" s="631"/>
      <c r="B15" s="646"/>
      <c r="C15" s="647"/>
      <c r="D15" s="648" t="s">
        <v>19</v>
      </c>
      <c r="E15" s="649" t="s">
        <v>37</v>
      </c>
      <c r="F15" s="650" t="s">
        <v>38</v>
      </c>
      <c r="G15" s="651">
        <f>'[3]Tasa de Falla'!HN15</f>
        <v>41183</v>
      </c>
      <c r="H15" s="651">
        <f>'[3]Tasa de Falla'!HO15</f>
        <v>41214</v>
      </c>
      <c r="I15" s="651">
        <f>'[3]Tasa de Falla'!HP15</f>
        <v>41244</v>
      </c>
      <c r="J15" s="651">
        <f>'[3]Tasa de Falla'!HQ15</f>
        <v>41275</v>
      </c>
      <c r="K15" s="651">
        <f>'[3]Tasa de Falla'!HR15</f>
        <v>41306</v>
      </c>
      <c r="L15" s="651">
        <f>'[3]Tasa de Falla'!HS15</f>
        <v>41334</v>
      </c>
      <c r="M15" s="651">
        <f>'[3]Tasa de Falla'!HT15</f>
        <v>41365</v>
      </c>
      <c r="N15" s="651">
        <f>'[3]Tasa de Falla'!HU15</f>
        <v>41395</v>
      </c>
      <c r="O15" s="651">
        <f>'[3]Tasa de Falla'!HV15</f>
        <v>41426</v>
      </c>
      <c r="P15" s="651">
        <f>'[3]Tasa de Falla'!HW15</f>
        <v>41456</v>
      </c>
      <c r="Q15" s="651">
        <f>'[3]Tasa de Falla'!HX15</f>
        <v>41487</v>
      </c>
      <c r="R15" s="651">
        <f>'[3]Tasa de Falla'!HY15</f>
        <v>41518</v>
      </c>
      <c r="S15" s="651">
        <f>'[3]Tasa de Falla'!HZ15</f>
        <v>41548</v>
      </c>
      <c r="T15" s="652"/>
    </row>
    <row r="16" spans="2:20" ht="15" customHeight="1" thickTop="1">
      <c r="B16" s="2"/>
      <c r="C16" s="654"/>
      <c r="D16" s="655"/>
      <c r="E16" s="655"/>
      <c r="F16" s="656"/>
      <c r="G16" s="656"/>
      <c r="H16" s="656"/>
      <c r="I16" s="656"/>
      <c r="J16" s="656"/>
      <c r="K16" s="656"/>
      <c r="L16" s="656"/>
      <c r="M16" s="656"/>
      <c r="N16" s="656"/>
      <c r="O16" s="656"/>
      <c r="P16" s="656"/>
      <c r="Q16" s="656"/>
      <c r="R16" s="656"/>
      <c r="S16" s="657"/>
      <c r="T16" s="3"/>
    </row>
    <row r="17" spans="2:20" ht="12.75" hidden="1">
      <c r="B17" s="2"/>
      <c r="C17" s="658">
        <f>IF('[1]Tasa de Falla'!C17=0,"",'[1]Tasa de Falla'!C17)</f>
        <v>1</v>
      </c>
      <c r="D17" s="659" t="str">
        <f>IF('[1]Tasa de Falla'!D17=0,"",'[1]Tasa de Falla'!D17)</f>
        <v>AMEGHINO - COMODORO RIVADAVIA</v>
      </c>
      <c r="E17" s="659">
        <f>IF('[1]Tasa de Falla'!E17=0,"",'[1]Tasa de Falla'!E17)</f>
        <v>132</v>
      </c>
      <c r="F17" s="660">
        <f>IF('[1]Tasa de Falla'!F17=0,"",'[1]Tasa de Falla'!F17)</f>
        <v>305</v>
      </c>
      <c r="G17" s="661" t="str">
        <f>IF('[1]Tasa de Falla'!EA17=0,"",'[1]Tasa de Falla'!EA17)</f>
        <v>XXXX</v>
      </c>
      <c r="H17" s="661" t="str">
        <f>IF('[1]Tasa de Falla'!EB17=0,"",'[1]Tasa de Falla'!EB17)</f>
        <v>XXXX</v>
      </c>
      <c r="I17" s="661" t="str">
        <f>IF('[1]Tasa de Falla'!EC17=0,"",'[1]Tasa de Falla'!EC17)</f>
        <v>XXXX</v>
      </c>
      <c r="J17" s="661" t="str">
        <f>IF('[1]Tasa de Falla'!ED17=0,"",'[1]Tasa de Falla'!ED17)</f>
        <v>XXXX</v>
      </c>
      <c r="K17" s="661" t="str">
        <f>IF('[1]Tasa de Falla'!EE17=0,"",'[1]Tasa de Falla'!EE17)</f>
        <v>XXXX</v>
      </c>
      <c r="L17" s="661" t="str">
        <f>IF('[1]Tasa de Falla'!EF17=0,"",'[1]Tasa de Falla'!EF17)</f>
        <v>XXXX</v>
      </c>
      <c r="M17" s="661" t="str">
        <f>IF('[1]Tasa de Falla'!EG17=0,"",'[1]Tasa de Falla'!EG17)</f>
        <v>XXXX</v>
      </c>
      <c r="N17" s="661" t="str">
        <f>IF('[1]Tasa de Falla'!EH17=0,"",'[1]Tasa de Falla'!EH17)</f>
        <v>XXXX</v>
      </c>
      <c r="O17" s="661" t="str">
        <f>IF('[1]Tasa de Falla'!EI17=0,"",'[1]Tasa de Falla'!EI17)</f>
        <v>XXXX</v>
      </c>
      <c r="P17" s="661" t="str">
        <f>IF('[1]Tasa de Falla'!EJ17=0,"",'[1]Tasa de Falla'!EJ17)</f>
        <v>XXXX</v>
      </c>
      <c r="Q17" s="661" t="str">
        <f>IF('[1]Tasa de Falla'!EK17=0,"",'[1]Tasa de Falla'!EK17)</f>
        <v>XXXX</v>
      </c>
      <c r="R17" s="661" t="str">
        <f>IF('[1]Tasa de Falla'!EL17=0,"",'[1]Tasa de Falla'!EL17)</f>
        <v>XXXX</v>
      </c>
      <c r="S17" s="662"/>
      <c r="T17" s="3"/>
    </row>
    <row r="18" spans="2:20" ht="18" customHeight="1">
      <c r="B18" s="2"/>
      <c r="C18" s="663">
        <f>IF('[3]Tasa de Falla'!C17="","",'[3]Tasa de Falla'!C17)</f>
        <v>1</v>
      </c>
      <c r="D18" s="663" t="str">
        <f>IF('[3]Tasa de Falla'!D17="","",'[3]Tasa de Falla'!D17)</f>
        <v>AMEGHINO - COMODORO RIVADAVIA</v>
      </c>
      <c r="E18" s="663">
        <f>IF('[3]Tasa de Falla'!E17="","",'[3]Tasa de Falla'!E17)</f>
        <v>132</v>
      </c>
      <c r="F18" s="663">
        <f>IF('[3]Tasa de Falla'!F17="","",'[3]Tasa de Falla'!F17)</f>
        <v>305</v>
      </c>
      <c r="G18" s="664" t="str">
        <f>IF('[3]Tasa de Falla'!HN17="","",'[3]Tasa de Falla'!HN17)</f>
        <v>XXXX</v>
      </c>
      <c r="H18" s="664" t="str">
        <f>IF('[3]Tasa de Falla'!HO17="","",'[3]Tasa de Falla'!HO17)</f>
        <v>XXXX</v>
      </c>
      <c r="I18" s="664" t="str">
        <f>IF('[3]Tasa de Falla'!HP17="","",'[3]Tasa de Falla'!HP17)</f>
        <v>XXXX</v>
      </c>
      <c r="J18" s="664" t="str">
        <f>IF('[3]Tasa de Falla'!HQ17="","",'[3]Tasa de Falla'!HQ17)</f>
        <v>XXXX</v>
      </c>
      <c r="K18" s="664" t="str">
        <f>IF('[3]Tasa de Falla'!HR17="","",'[3]Tasa de Falla'!HR17)</f>
        <v>XXXX</v>
      </c>
      <c r="L18" s="664" t="str">
        <f>IF('[3]Tasa de Falla'!HS17="","",'[3]Tasa de Falla'!HS17)</f>
        <v>XXXX</v>
      </c>
      <c r="M18" s="664" t="str">
        <f>IF('[3]Tasa de Falla'!HT17="","",'[3]Tasa de Falla'!HT17)</f>
        <v>XXXX</v>
      </c>
      <c r="N18" s="664" t="str">
        <f>IF('[3]Tasa de Falla'!HU17="","",'[3]Tasa de Falla'!HU17)</f>
        <v>XXXX</v>
      </c>
      <c r="O18" s="664" t="str">
        <f>IF('[3]Tasa de Falla'!HV17="","",'[3]Tasa de Falla'!HV17)</f>
        <v>XXXX</v>
      </c>
      <c r="P18" s="664" t="str">
        <f>IF('[3]Tasa de Falla'!HW17="","",'[3]Tasa de Falla'!HW17)</f>
        <v>XXXX</v>
      </c>
      <c r="Q18" s="664" t="str">
        <f>IF('[3]Tasa de Falla'!HX17="","",'[3]Tasa de Falla'!HX17)</f>
        <v>XXXX</v>
      </c>
      <c r="R18" s="664" t="str">
        <f>IF('[3]Tasa de Falla'!HY17="","",'[3]Tasa de Falla'!HY17)</f>
        <v>XXXX</v>
      </c>
      <c r="S18" s="662"/>
      <c r="T18" s="3"/>
    </row>
    <row r="19" spans="2:20" ht="15" customHeight="1">
      <c r="B19" s="2"/>
      <c r="C19" s="665">
        <f>IF('[3]Tasa de Falla'!C18="","",'[3]Tasa de Falla'!C18)</f>
        <v>2</v>
      </c>
      <c r="D19" s="665" t="str">
        <f>IF('[3]Tasa de Falla'!D18="","",'[3]Tasa de Falla'!D18)</f>
        <v>AMEGHINO - ESTACION PATAGONIA</v>
      </c>
      <c r="E19" s="665">
        <f>IF('[3]Tasa de Falla'!E18="","",'[3]Tasa de Falla'!E18)</f>
        <v>132</v>
      </c>
      <c r="F19" s="665">
        <f>IF('[3]Tasa de Falla'!F18="","",'[3]Tasa de Falla'!F18)</f>
        <v>299.6</v>
      </c>
      <c r="G19" s="666">
        <f>IF('[3]Tasa de Falla'!HN18="","",'[3]Tasa de Falla'!HN18)</f>
      </c>
      <c r="H19" s="666">
        <f>IF('[3]Tasa de Falla'!HO18="","",'[3]Tasa de Falla'!HO18)</f>
      </c>
      <c r="I19" s="666">
        <f>IF('[3]Tasa de Falla'!HP18="","",'[3]Tasa de Falla'!HP18)</f>
        <v>1</v>
      </c>
      <c r="J19" s="666">
        <f>IF('[3]Tasa de Falla'!HQ18="","",'[3]Tasa de Falla'!HQ18)</f>
      </c>
      <c r="K19" s="666">
        <f>IF('[3]Tasa de Falla'!HR18="","",'[3]Tasa de Falla'!HR18)</f>
      </c>
      <c r="L19" s="666">
        <f>IF('[3]Tasa de Falla'!HS18="","",'[3]Tasa de Falla'!HS18)</f>
      </c>
      <c r="M19" s="666">
        <f>IF('[3]Tasa de Falla'!HT18="","",'[3]Tasa de Falla'!HT18)</f>
        <v>2</v>
      </c>
      <c r="N19" s="666">
        <f>IF('[3]Tasa de Falla'!HU18="","",'[3]Tasa de Falla'!HU18)</f>
      </c>
      <c r="O19" s="666">
        <f>IF('[3]Tasa de Falla'!HV18="","",'[3]Tasa de Falla'!HV18)</f>
      </c>
      <c r="P19" s="666">
        <f>IF('[3]Tasa de Falla'!HW18="","",'[3]Tasa de Falla'!HW18)</f>
        <v>1</v>
      </c>
      <c r="Q19" s="666">
        <f>IF('[3]Tasa de Falla'!HX18="","",'[3]Tasa de Falla'!HX18)</f>
      </c>
      <c r="R19" s="666">
        <f>IF('[3]Tasa de Falla'!HY18="","",'[3]Tasa de Falla'!HY18)</f>
      </c>
      <c r="S19" s="662"/>
      <c r="T19" s="3"/>
    </row>
    <row r="20" spans="2:20" ht="18" customHeight="1">
      <c r="B20" s="2"/>
      <c r="C20" s="663">
        <f>IF('[3]Tasa de Falla'!C19="","",'[3]Tasa de Falla'!C19)</f>
        <v>3</v>
      </c>
      <c r="D20" s="663" t="str">
        <f>IF('[3]Tasa de Falla'!D19="","",'[3]Tasa de Falla'!D19)</f>
        <v>AMEGHINO - TRELEW</v>
      </c>
      <c r="E20" s="663">
        <f>IF('[3]Tasa de Falla'!E19="","",'[3]Tasa de Falla'!E19)</f>
        <v>132</v>
      </c>
      <c r="F20" s="663">
        <f>IF('[3]Tasa de Falla'!F19="","",'[3]Tasa de Falla'!F19)</f>
        <v>112</v>
      </c>
      <c r="G20" s="664">
        <f>IF('[3]Tasa de Falla'!HN19="","",'[3]Tasa de Falla'!HN19)</f>
      </c>
      <c r="H20" s="664">
        <f>IF('[3]Tasa de Falla'!HO19="","",'[3]Tasa de Falla'!HO19)</f>
      </c>
      <c r="I20" s="664">
        <f>IF('[3]Tasa de Falla'!HP19="","",'[3]Tasa de Falla'!HP19)</f>
      </c>
      <c r="J20" s="664">
        <f>IF('[3]Tasa de Falla'!HQ19="","",'[3]Tasa de Falla'!HQ19)</f>
      </c>
      <c r="K20" s="664">
        <f>IF('[3]Tasa de Falla'!HR19="","",'[3]Tasa de Falla'!HR19)</f>
        <v>1</v>
      </c>
      <c r="L20" s="664">
        <f>IF('[3]Tasa de Falla'!HS19="","",'[3]Tasa de Falla'!HS19)</f>
      </c>
      <c r="M20" s="664">
        <f>IF('[3]Tasa de Falla'!HT19="","",'[3]Tasa de Falla'!HT19)</f>
      </c>
      <c r="N20" s="664">
        <f>IF('[3]Tasa de Falla'!HU19="","",'[3]Tasa de Falla'!HU19)</f>
      </c>
      <c r="O20" s="664">
        <f>IF('[3]Tasa de Falla'!HV19="","",'[3]Tasa de Falla'!HV19)</f>
      </c>
      <c r="P20" s="664">
        <f>IF('[3]Tasa de Falla'!HW19="","",'[3]Tasa de Falla'!HW19)</f>
      </c>
      <c r="Q20" s="664">
        <f>IF('[3]Tasa de Falla'!HX19="","",'[3]Tasa de Falla'!HX19)</f>
      </c>
      <c r="R20" s="664">
        <f>IF('[3]Tasa de Falla'!HY19="","",'[3]Tasa de Falla'!HY19)</f>
      </c>
      <c r="S20" s="662"/>
      <c r="T20" s="3"/>
    </row>
    <row r="21" spans="2:20" ht="15" customHeight="1">
      <c r="B21" s="2"/>
      <c r="C21" s="665">
        <f>IF('[3]Tasa de Falla'!C20="","",'[3]Tasa de Falla'!C20)</f>
        <v>4</v>
      </c>
      <c r="D21" s="665" t="str">
        <f>IF('[3]Tasa de Falla'!D20="","",'[3]Tasa de Falla'!D20)</f>
        <v>FUTALEUFU - ESQUEL</v>
      </c>
      <c r="E21" s="665">
        <f>IF('[3]Tasa de Falla'!E20="","",'[3]Tasa de Falla'!E20)</f>
        <v>132</v>
      </c>
      <c r="F21" s="665">
        <f>IF('[3]Tasa de Falla'!F20="","",'[3]Tasa de Falla'!F20)</f>
        <v>28.4</v>
      </c>
      <c r="G21" s="666">
        <f>IF('[3]Tasa de Falla'!HN20="","",'[3]Tasa de Falla'!HN20)</f>
      </c>
      <c r="H21" s="666">
        <f>IF('[3]Tasa de Falla'!HO20="","",'[3]Tasa de Falla'!HO20)</f>
      </c>
      <c r="I21" s="666">
        <f>IF('[3]Tasa de Falla'!HP20="","",'[3]Tasa de Falla'!HP20)</f>
      </c>
      <c r="J21" s="666">
        <f>IF('[3]Tasa de Falla'!HQ20="","",'[3]Tasa de Falla'!HQ20)</f>
      </c>
      <c r="K21" s="666">
        <f>IF('[3]Tasa de Falla'!HR20="","",'[3]Tasa de Falla'!HR20)</f>
      </c>
      <c r="L21" s="666">
        <f>IF('[3]Tasa de Falla'!HS20="","",'[3]Tasa de Falla'!HS20)</f>
      </c>
      <c r="M21" s="666">
        <f>IF('[3]Tasa de Falla'!HT20="","",'[3]Tasa de Falla'!HT20)</f>
      </c>
      <c r="N21" s="666">
        <f>IF('[3]Tasa de Falla'!HU20="","",'[3]Tasa de Falla'!HU20)</f>
      </c>
      <c r="O21" s="666">
        <f>IF('[3]Tasa de Falla'!HV20="","",'[3]Tasa de Falla'!HV20)</f>
      </c>
      <c r="P21" s="666">
        <f>IF('[3]Tasa de Falla'!HW20="","",'[3]Tasa de Falla'!HW20)</f>
      </c>
      <c r="Q21" s="666">
        <f>IF('[3]Tasa de Falla'!HX20="","",'[3]Tasa de Falla'!HX20)</f>
        <v>1</v>
      </c>
      <c r="R21" s="666">
        <f>IF('[3]Tasa de Falla'!HY20="","",'[3]Tasa de Falla'!HY20)</f>
      </c>
      <c r="S21" s="662"/>
      <c r="T21" s="3"/>
    </row>
    <row r="22" spans="2:20" ht="18" customHeight="1">
      <c r="B22" s="2"/>
      <c r="C22" s="663">
        <f>IF('[3]Tasa de Falla'!C21="","",'[3]Tasa de Falla'!C21)</f>
        <v>5</v>
      </c>
      <c r="D22" s="663" t="str">
        <f>IF('[3]Tasa de Falla'!D21="","",'[3]Tasa de Falla'!D21)</f>
        <v>BARRIO SAN MARTIN - ESTACION PATAGONIA</v>
      </c>
      <c r="E22" s="663">
        <f>IF('[3]Tasa de Falla'!E21="","",'[3]Tasa de Falla'!E21)</f>
        <v>132</v>
      </c>
      <c r="F22" s="663">
        <f>IF('[3]Tasa de Falla'!F21="","",'[3]Tasa de Falla'!F21)</f>
        <v>9.4</v>
      </c>
      <c r="G22" s="664">
        <f>IF('[3]Tasa de Falla'!HN21="","",'[3]Tasa de Falla'!HN21)</f>
      </c>
      <c r="H22" s="664">
        <f>IF('[3]Tasa de Falla'!HO21="","",'[3]Tasa de Falla'!HO21)</f>
      </c>
      <c r="I22" s="664">
        <f>IF('[3]Tasa de Falla'!HP21="","",'[3]Tasa de Falla'!HP21)</f>
      </c>
      <c r="J22" s="664">
        <f>IF('[3]Tasa de Falla'!HQ21="","",'[3]Tasa de Falla'!HQ21)</f>
      </c>
      <c r="K22" s="664">
        <f>IF('[3]Tasa de Falla'!HR21="","",'[3]Tasa de Falla'!HR21)</f>
      </c>
      <c r="L22" s="664">
        <f>IF('[3]Tasa de Falla'!HS21="","",'[3]Tasa de Falla'!HS21)</f>
      </c>
      <c r="M22" s="664">
        <f>IF('[3]Tasa de Falla'!HT21="","",'[3]Tasa de Falla'!HT21)</f>
      </c>
      <c r="N22" s="664">
        <f>IF('[3]Tasa de Falla'!HU21="","",'[3]Tasa de Falla'!HU21)</f>
      </c>
      <c r="O22" s="664">
        <f>IF('[3]Tasa de Falla'!HV21="","",'[3]Tasa de Falla'!HV21)</f>
      </c>
      <c r="P22" s="664">
        <f>IF('[3]Tasa de Falla'!HW21="","",'[3]Tasa de Falla'!HW21)</f>
      </c>
      <c r="Q22" s="664">
        <f>IF('[3]Tasa de Falla'!HX21="","",'[3]Tasa de Falla'!HX21)</f>
      </c>
      <c r="R22" s="664">
        <f>IF('[3]Tasa de Falla'!HY21="","",'[3]Tasa de Falla'!HY21)</f>
      </c>
      <c r="S22" s="662"/>
      <c r="T22" s="3"/>
    </row>
    <row r="23" spans="2:20" ht="15" customHeight="1">
      <c r="B23" s="2"/>
      <c r="C23" s="665">
        <f>IF('[3]Tasa de Falla'!C22="","",'[3]Tasa de Falla'!C22)</f>
        <v>6</v>
      </c>
      <c r="D23" s="665" t="str">
        <f>IF('[3]Tasa de Falla'!D22="","",'[3]Tasa de Falla'!D22)</f>
        <v>COMODORO RIVADAVIA - E.T. A1</v>
      </c>
      <c r="E23" s="665">
        <f>IF('[3]Tasa de Falla'!E22="","",'[3]Tasa de Falla'!E22)</f>
        <v>132</v>
      </c>
      <c r="F23" s="665">
        <f>IF('[3]Tasa de Falla'!F22="","",'[3]Tasa de Falla'!F22)</f>
        <v>0.5</v>
      </c>
      <c r="G23" s="666">
        <f>IF('[3]Tasa de Falla'!HN22="","",'[3]Tasa de Falla'!HN22)</f>
      </c>
      <c r="H23" s="666">
        <f>IF('[3]Tasa de Falla'!HO22="","",'[3]Tasa de Falla'!HO22)</f>
      </c>
      <c r="I23" s="666">
        <f>IF('[3]Tasa de Falla'!HP22="","",'[3]Tasa de Falla'!HP22)</f>
      </c>
      <c r="J23" s="666">
        <f>IF('[3]Tasa de Falla'!HQ22="","",'[3]Tasa de Falla'!HQ22)</f>
      </c>
      <c r="K23" s="666">
        <f>IF('[3]Tasa de Falla'!HR22="","",'[3]Tasa de Falla'!HR22)</f>
      </c>
      <c r="L23" s="666">
        <f>IF('[3]Tasa de Falla'!HS22="","",'[3]Tasa de Falla'!HS22)</f>
      </c>
      <c r="M23" s="666">
        <f>IF('[3]Tasa de Falla'!HT22="","",'[3]Tasa de Falla'!HT22)</f>
      </c>
      <c r="N23" s="666">
        <f>IF('[3]Tasa de Falla'!HU22="","",'[3]Tasa de Falla'!HU22)</f>
      </c>
      <c r="O23" s="666">
        <f>IF('[3]Tasa de Falla'!HV22="","",'[3]Tasa de Falla'!HV22)</f>
      </c>
      <c r="P23" s="666">
        <f>IF('[3]Tasa de Falla'!HW22="","",'[3]Tasa de Falla'!HW22)</f>
      </c>
      <c r="Q23" s="666">
        <f>IF('[3]Tasa de Falla'!HX22="","",'[3]Tasa de Falla'!HX22)</f>
      </c>
      <c r="R23" s="666">
        <f>IF('[3]Tasa de Falla'!HY22="","",'[3]Tasa de Falla'!HY22)</f>
      </c>
      <c r="S23" s="662"/>
      <c r="T23" s="3"/>
    </row>
    <row r="24" spans="2:20" ht="18" customHeight="1">
      <c r="B24" s="2"/>
      <c r="C24" s="663">
        <f>IF('[3]Tasa de Falla'!C23="","",'[3]Tasa de Falla'!C23)</f>
        <v>7</v>
      </c>
      <c r="D24" s="663" t="str">
        <f>IF('[3]Tasa de Falla'!D23="","",'[3]Tasa de Falla'!D23)</f>
        <v>COMODORO RIVADAVIA (A1) - ESTACION PATAGONIA</v>
      </c>
      <c r="E24" s="663">
        <f>IF('[3]Tasa de Falla'!E23="","",'[3]Tasa de Falla'!E23)</f>
        <v>132</v>
      </c>
      <c r="F24" s="663">
        <f>IF('[3]Tasa de Falla'!F23="","",'[3]Tasa de Falla'!F23)</f>
        <v>6.9</v>
      </c>
      <c r="G24" s="664">
        <f>IF('[3]Tasa de Falla'!HN23="","",'[3]Tasa de Falla'!HN23)</f>
      </c>
      <c r="H24" s="664">
        <f>IF('[3]Tasa de Falla'!HO23="","",'[3]Tasa de Falla'!HO23)</f>
      </c>
      <c r="I24" s="664">
        <f>IF('[3]Tasa de Falla'!HP23="","",'[3]Tasa de Falla'!HP23)</f>
      </c>
      <c r="J24" s="664">
        <f>IF('[3]Tasa de Falla'!HQ23="","",'[3]Tasa de Falla'!HQ23)</f>
      </c>
      <c r="K24" s="664">
        <f>IF('[3]Tasa de Falla'!HR23="","",'[3]Tasa de Falla'!HR23)</f>
      </c>
      <c r="L24" s="664">
        <f>IF('[3]Tasa de Falla'!HS23="","",'[3]Tasa de Falla'!HS23)</f>
      </c>
      <c r="M24" s="664">
        <f>IF('[3]Tasa de Falla'!HT23="","",'[3]Tasa de Falla'!HT23)</f>
      </c>
      <c r="N24" s="664">
        <f>IF('[3]Tasa de Falla'!HU23="","",'[3]Tasa de Falla'!HU23)</f>
      </c>
      <c r="O24" s="664">
        <f>IF('[3]Tasa de Falla'!HV23="","",'[3]Tasa de Falla'!HV23)</f>
      </c>
      <c r="P24" s="664">
        <f>IF('[3]Tasa de Falla'!HW23="","",'[3]Tasa de Falla'!HW23)</f>
      </c>
      <c r="Q24" s="664">
        <f>IF('[3]Tasa de Falla'!HX23="","",'[3]Tasa de Falla'!HX23)</f>
      </c>
      <c r="R24" s="664">
        <f>IF('[3]Tasa de Falla'!HY23="","",'[3]Tasa de Falla'!HY23)</f>
      </c>
      <c r="S24" s="662"/>
      <c r="T24" s="3"/>
    </row>
    <row r="25" spans="2:20" ht="15" customHeight="1">
      <c r="B25" s="2"/>
      <c r="C25" s="665">
        <f>IF('[3]Tasa de Falla'!C24="","",'[3]Tasa de Falla'!C24)</f>
        <v>8</v>
      </c>
      <c r="D25" s="665" t="str">
        <f>IF('[3]Tasa de Falla'!D24="","",'[3]Tasa de Falla'!D24)</f>
        <v>COMODORO RIVADAVIA - PICO TRUNCADO</v>
      </c>
      <c r="E25" s="665">
        <f>IF('[3]Tasa de Falla'!E24="","",'[3]Tasa de Falla'!E24)</f>
        <v>132</v>
      </c>
      <c r="F25" s="665">
        <f>IF('[3]Tasa de Falla'!F24="","",'[3]Tasa de Falla'!F24)</f>
        <v>138</v>
      </c>
      <c r="G25" s="666">
        <f>IF('[3]Tasa de Falla'!HN24="","",'[3]Tasa de Falla'!HN24)</f>
      </c>
      <c r="H25" s="666">
        <f>IF('[3]Tasa de Falla'!HO24="","",'[3]Tasa de Falla'!HO24)</f>
      </c>
      <c r="I25" s="666">
        <f>IF('[3]Tasa de Falla'!HP24="","",'[3]Tasa de Falla'!HP24)</f>
      </c>
      <c r="J25" s="666">
        <f>IF('[3]Tasa de Falla'!HQ24="","",'[3]Tasa de Falla'!HQ24)</f>
      </c>
      <c r="K25" s="666">
        <f>IF('[3]Tasa de Falla'!HR24="","",'[3]Tasa de Falla'!HR24)</f>
      </c>
      <c r="L25" s="666">
        <f>IF('[3]Tasa de Falla'!HS24="","",'[3]Tasa de Falla'!HS24)</f>
      </c>
      <c r="M25" s="666">
        <f>IF('[3]Tasa de Falla'!HT24="","",'[3]Tasa de Falla'!HT24)</f>
      </c>
      <c r="N25" s="666">
        <f>IF('[3]Tasa de Falla'!HU24="","",'[3]Tasa de Falla'!HU24)</f>
      </c>
      <c r="O25" s="666">
        <f>IF('[3]Tasa de Falla'!HV24="","",'[3]Tasa de Falla'!HV24)</f>
      </c>
      <c r="P25" s="666">
        <f>IF('[3]Tasa de Falla'!HW24="","",'[3]Tasa de Falla'!HW24)</f>
      </c>
      <c r="Q25" s="666">
        <f>IF('[3]Tasa de Falla'!HX24="","",'[3]Tasa de Falla'!HX24)</f>
        <v>1</v>
      </c>
      <c r="R25" s="666">
        <f>IF('[3]Tasa de Falla'!HY24="","",'[3]Tasa de Falla'!HY24)</f>
      </c>
      <c r="S25" s="662"/>
      <c r="T25" s="3"/>
    </row>
    <row r="26" spans="2:20" ht="18" customHeight="1">
      <c r="B26" s="2"/>
      <c r="C26" s="663">
        <f>IF('[3]Tasa de Falla'!C25="","",'[3]Tasa de Falla'!C25)</f>
        <v>9</v>
      </c>
      <c r="D26" s="663" t="str">
        <f>IF('[3]Tasa de Falla'!D25="","",'[3]Tasa de Falla'!D25)</f>
        <v>FUTALEUFÚ - PUERTO MADRYN 1</v>
      </c>
      <c r="E26" s="663">
        <f>IF('[3]Tasa de Falla'!E25="","",'[3]Tasa de Falla'!E25)</f>
        <v>330</v>
      </c>
      <c r="F26" s="663">
        <f>IF('[3]Tasa de Falla'!F25="","",'[3]Tasa de Falla'!F25)</f>
        <v>550</v>
      </c>
      <c r="G26" s="664">
        <f>IF('[3]Tasa de Falla'!HN25="","",'[3]Tasa de Falla'!HN25)</f>
      </c>
      <c r="H26" s="664">
        <f>IF('[3]Tasa de Falla'!HO25="","",'[3]Tasa de Falla'!HO25)</f>
      </c>
      <c r="I26" s="664">
        <f>IF('[3]Tasa de Falla'!HP25="","",'[3]Tasa de Falla'!HP25)</f>
      </c>
      <c r="J26" s="664">
        <f>IF('[3]Tasa de Falla'!HQ25="","",'[3]Tasa de Falla'!HQ25)</f>
      </c>
      <c r="K26" s="664">
        <f>IF('[3]Tasa de Falla'!HR25="","",'[3]Tasa de Falla'!HR25)</f>
      </c>
      <c r="L26" s="664">
        <f>IF('[3]Tasa de Falla'!HS25="","",'[3]Tasa de Falla'!HS25)</f>
      </c>
      <c r="M26" s="664">
        <f>IF('[3]Tasa de Falla'!HT25="","",'[3]Tasa de Falla'!HT25)</f>
      </c>
      <c r="N26" s="664">
        <f>IF('[3]Tasa de Falla'!HU25="","",'[3]Tasa de Falla'!HU25)</f>
      </c>
      <c r="O26" s="664">
        <f>IF('[3]Tasa de Falla'!HV25="","",'[3]Tasa de Falla'!HV25)</f>
      </c>
      <c r="P26" s="664">
        <f>IF('[3]Tasa de Falla'!HW25="","",'[3]Tasa de Falla'!HW25)</f>
        <v>1</v>
      </c>
      <c r="Q26" s="664">
        <f>IF('[3]Tasa de Falla'!HX25="","",'[3]Tasa de Falla'!HX25)</f>
      </c>
      <c r="R26" s="664">
        <f>IF('[3]Tasa de Falla'!HY25="","",'[3]Tasa de Falla'!HY25)</f>
      </c>
      <c r="S26" s="662"/>
      <c r="T26" s="3"/>
    </row>
    <row r="27" spans="2:20" ht="15" customHeight="1">
      <c r="B27" s="2"/>
      <c r="C27" s="665">
        <f>IF('[3]Tasa de Falla'!C26="","",'[3]Tasa de Falla'!C26)</f>
        <v>10</v>
      </c>
      <c r="D27" s="665" t="str">
        <f>IF('[3]Tasa de Falla'!D26="","",'[3]Tasa de Falla'!D26)</f>
        <v>FUTALEUFÚ - PUERTO MADRYN 2</v>
      </c>
      <c r="E27" s="665">
        <f>IF('[3]Tasa de Falla'!E26="","",'[3]Tasa de Falla'!E26)</f>
        <v>330</v>
      </c>
      <c r="F27" s="665">
        <f>IF('[3]Tasa de Falla'!F26="","",'[3]Tasa de Falla'!F26)</f>
        <v>550</v>
      </c>
      <c r="G27" s="666">
        <f>IF('[3]Tasa de Falla'!HN26="","",'[3]Tasa de Falla'!HN26)</f>
      </c>
      <c r="H27" s="666">
        <f>IF('[3]Tasa de Falla'!HO26="","",'[3]Tasa de Falla'!HO26)</f>
      </c>
      <c r="I27" s="666">
        <f>IF('[3]Tasa de Falla'!HP26="","",'[3]Tasa de Falla'!HP26)</f>
      </c>
      <c r="J27" s="666">
        <f>IF('[3]Tasa de Falla'!HQ26="","",'[3]Tasa de Falla'!HQ26)</f>
      </c>
      <c r="K27" s="666">
        <f>IF('[3]Tasa de Falla'!HR26="","",'[3]Tasa de Falla'!HR26)</f>
      </c>
      <c r="L27" s="666">
        <f>IF('[3]Tasa de Falla'!HS26="","",'[3]Tasa de Falla'!HS26)</f>
      </c>
      <c r="M27" s="666">
        <f>IF('[3]Tasa de Falla'!HT26="","",'[3]Tasa de Falla'!HT26)</f>
      </c>
      <c r="N27" s="666">
        <f>IF('[3]Tasa de Falla'!HU26="","",'[3]Tasa de Falla'!HU26)</f>
      </c>
      <c r="O27" s="666">
        <f>IF('[3]Tasa de Falla'!HV26="","",'[3]Tasa de Falla'!HV26)</f>
      </c>
      <c r="P27" s="666">
        <f>IF('[3]Tasa de Falla'!HW26="","",'[3]Tasa de Falla'!HW26)</f>
      </c>
      <c r="Q27" s="666">
        <f>IF('[3]Tasa de Falla'!HX26="","",'[3]Tasa de Falla'!HX26)</f>
      </c>
      <c r="R27" s="666">
        <f>IF('[3]Tasa de Falla'!HY26="","",'[3]Tasa de Falla'!HY26)</f>
      </c>
      <c r="S27" s="662"/>
      <c r="T27" s="3"/>
    </row>
    <row r="28" spans="2:20" ht="18" customHeight="1">
      <c r="B28" s="2"/>
      <c r="C28" s="663">
        <f>IF('[3]Tasa de Falla'!C27="","",'[3]Tasa de Falla'!C27)</f>
        <v>11</v>
      </c>
      <c r="D28" s="663" t="str">
        <f>IF('[3]Tasa de Falla'!D27="","",'[3]Tasa de Falla'!D27)</f>
        <v>PLANTA ALUMINIO APPA - PUERTO MADRYN 1</v>
      </c>
      <c r="E28" s="663">
        <f>IF('[3]Tasa de Falla'!E27="","",'[3]Tasa de Falla'!E27)</f>
        <v>330</v>
      </c>
      <c r="F28" s="663">
        <f>IF('[3]Tasa de Falla'!F27="","",'[3]Tasa de Falla'!F27)</f>
        <v>5.5</v>
      </c>
      <c r="G28" s="664">
        <f>IF('[3]Tasa de Falla'!HN27="","",'[3]Tasa de Falla'!HN27)</f>
      </c>
      <c r="H28" s="664">
        <f>IF('[3]Tasa de Falla'!HO27="","",'[3]Tasa de Falla'!HO27)</f>
      </c>
      <c r="I28" s="664">
        <f>IF('[3]Tasa de Falla'!HP27="","",'[3]Tasa de Falla'!HP27)</f>
      </c>
      <c r="J28" s="664">
        <f>IF('[3]Tasa de Falla'!HQ27="","",'[3]Tasa de Falla'!HQ27)</f>
        <v>1</v>
      </c>
      <c r="K28" s="664">
        <f>IF('[3]Tasa de Falla'!HR27="","",'[3]Tasa de Falla'!HR27)</f>
      </c>
      <c r="L28" s="664">
        <f>IF('[3]Tasa de Falla'!HS27="","",'[3]Tasa de Falla'!HS27)</f>
      </c>
      <c r="M28" s="664">
        <f>IF('[3]Tasa de Falla'!HT27="","",'[3]Tasa de Falla'!HT27)</f>
      </c>
      <c r="N28" s="664">
        <f>IF('[3]Tasa de Falla'!HU27="","",'[3]Tasa de Falla'!HU27)</f>
      </c>
      <c r="O28" s="664">
        <f>IF('[3]Tasa de Falla'!HV27="","",'[3]Tasa de Falla'!HV27)</f>
      </c>
      <c r="P28" s="664">
        <f>IF('[3]Tasa de Falla'!HW27="","",'[3]Tasa de Falla'!HW27)</f>
      </c>
      <c r="Q28" s="664">
        <f>IF('[3]Tasa de Falla'!HX27="","",'[3]Tasa de Falla'!HX27)</f>
      </c>
      <c r="R28" s="664">
        <f>IF('[3]Tasa de Falla'!HY27="","",'[3]Tasa de Falla'!HY27)</f>
      </c>
      <c r="S28" s="662"/>
      <c r="T28" s="3"/>
    </row>
    <row r="29" spans="2:20" ht="15" customHeight="1">
      <c r="B29" s="2"/>
      <c r="C29" s="665">
        <f>IF('[3]Tasa de Falla'!C28="","",'[3]Tasa de Falla'!C28)</f>
        <v>12</v>
      </c>
      <c r="D29" s="665" t="str">
        <f>IF('[3]Tasa de Falla'!D28="","",'[3]Tasa de Falla'!D28)</f>
        <v>PLANTA ALUMINIO APPA - PUERTO MADRYN 2</v>
      </c>
      <c r="E29" s="665">
        <f>IF('[3]Tasa de Falla'!E28="","",'[3]Tasa de Falla'!E28)</f>
        <v>330</v>
      </c>
      <c r="F29" s="665">
        <f>IF('[3]Tasa de Falla'!F28="","",'[3]Tasa de Falla'!F28)</f>
        <v>5.5</v>
      </c>
      <c r="G29" s="666">
        <f>IF('[3]Tasa de Falla'!HN28="","",'[3]Tasa de Falla'!HN28)</f>
      </c>
      <c r="H29" s="666">
        <f>IF('[3]Tasa de Falla'!HO28="","",'[3]Tasa de Falla'!HO28)</f>
      </c>
      <c r="I29" s="666">
        <f>IF('[3]Tasa de Falla'!HP28="","",'[3]Tasa de Falla'!HP28)</f>
      </c>
      <c r="J29" s="666">
        <f>IF('[3]Tasa de Falla'!HQ28="","",'[3]Tasa de Falla'!HQ28)</f>
      </c>
      <c r="K29" s="666">
        <f>IF('[3]Tasa de Falla'!HR28="","",'[3]Tasa de Falla'!HR28)</f>
      </c>
      <c r="L29" s="666">
        <f>IF('[3]Tasa de Falla'!HS28="","",'[3]Tasa de Falla'!HS28)</f>
      </c>
      <c r="M29" s="666">
        <f>IF('[3]Tasa de Falla'!HT28="","",'[3]Tasa de Falla'!HT28)</f>
      </c>
      <c r="N29" s="666">
        <f>IF('[3]Tasa de Falla'!HU28="","",'[3]Tasa de Falla'!HU28)</f>
      </c>
      <c r="O29" s="666">
        <f>IF('[3]Tasa de Falla'!HV28="","",'[3]Tasa de Falla'!HV28)</f>
      </c>
      <c r="P29" s="666">
        <f>IF('[3]Tasa de Falla'!HW28="","",'[3]Tasa de Falla'!HW28)</f>
      </c>
      <c r="Q29" s="666">
        <f>IF('[3]Tasa de Falla'!HX28="","",'[3]Tasa de Falla'!HX28)</f>
      </c>
      <c r="R29" s="666">
        <f>IF('[3]Tasa de Falla'!HY28="","",'[3]Tasa de Falla'!HY28)</f>
      </c>
      <c r="S29" s="662"/>
      <c r="T29" s="3"/>
    </row>
    <row r="30" spans="2:20" ht="18" customHeight="1">
      <c r="B30" s="2"/>
      <c r="C30" s="663">
        <f>IF('[3]Tasa de Falla'!C29="","",'[3]Tasa de Falla'!C29)</f>
        <v>13</v>
      </c>
      <c r="D30" s="663" t="str">
        <f>IF('[3]Tasa de Falla'!D29="","",'[3]Tasa de Falla'!D29)</f>
        <v>PICO TRUNCADO I - PICO TRUNCADO II</v>
      </c>
      <c r="E30" s="663">
        <f>IF('[3]Tasa de Falla'!E29="","",'[3]Tasa de Falla'!E29)</f>
        <v>132</v>
      </c>
      <c r="F30" s="663">
        <f>IF('[3]Tasa de Falla'!F29="","",'[3]Tasa de Falla'!F29)</f>
        <v>13.4</v>
      </c>
      <c r="G30" s="664">
        <f>IF('[3]Tasa de Falla'!HN29="","",'[3]Tasa de Falla'!HN29)</f>
      </c>
      <c r="H30" s="664">
        <f>IF('[3]Tasa de Falla'!HO29="","",'[3]Tasa de Falla'!HO29)</f>
      </c>
      <c r="I30" s="664">
        <f>IF('[3]Tasa de Falla'!HP29="","",'[3]Tasa de Falla'!HP29)</f>
      </c>
      <c r="J30" s="664">
        <f>IF('[3]Tasa de Falla'!HQ29="","",'[3]Tasa de Falla'!HQ29)</f>
      </c>
      <c r="K30" s="664">
        <f>IF('[3]Tasa de Falla'!HR29="","",'[3]Tasa de Falla'!HR29)</f>
      </c>
      <c r="L30" s="664">
        <f>IF('[3]Tasa de Falla'!HS29="","",'[3]Tasa de Falla'!HS29)</f>
      </c>
      <c r="M30" s="664">
        <f>IF('[3]Tasa de Falla'!HT29="","",'[3]Tasa de Falla'!HT29)</f>
      </c>
      <c r="N30" s="664">
        <f>IF('[3]Tasa de Falla'!HU29="","",'[3]Tasa de Falla'!HU29)</f>
      </c>
      <c r="O30" s="664">
        <f>IF('[3]Tasa de Falla'!HV29="","",'[3]Tasa de Falla'!HV29)</f>
      </c>
      <c r="P30" s="664">
        <f>IF('[3]Tasa de Falla'!HW29="","",'[3]Tasa de Falla'!HW29)</f>
      </c>
      <c r="Q30" s="664">
        <f>IF('[3]Tasa de Falla'!HX29="","",'[3]Tasa de Falla'!HX29)</f>
      </c>
      <c r="R30" s="664">
        <f>IF('[3]Tasa de Falla'!HY29="","",'[3]Tasa de Falla'!HY29)</f>
      </c>
      <c r="S30" s="662"/>
      <c r="T30" s="3"/>
    </row>
    <row r="31" spans="2:20" ht="15" customHeight="1">
      <c r="B31" s="2"/>
      <c r="C31" s="665">
        <f>IF('[3]Tasa de Falla'!C30="","",'[3]Tasa de Falla'!C30)</f>
        <v>14</v>
      </c>
      <c r="D31" s="665" t="str">
        <f>IF('[3]Tasa de Falla'!D30="","",'[3]Tasa de Falla'!D30)</f>
        <v>PLANTA ALUMINIO DGPA - PTO MADRYN</v>
      </c>
      <c r="E31" s="665">
        <f>IF('[3]Tasa de Falla'!E30="","",'[3]Tasa de Falla'!E30)</f>
        <v>132</v>
      </c>
      <c r="F31" s="665">
        <f>IF('[3]Tasa de Falla'!F30="","",'[3]Tasa de Falla'!F30)</f>
        <v>5.7</v>
      </c>
      <c r="G31" s="666">
        <f>IF('[3]Tasa de Falla'!HN30="","",'[3]Tasa de Falla'!HN30)</f>
      </c>
      <c r="H31" s="666">
        <f>IF('[3]Tasa de Falla'!HO30="","",'[3]Tasa de Falla'!HO30)</f>
        <v>1</v>
      </c>
      <c r="I31" s="666">
        <f>IF('[3]Tasa de Falla'!HP30="","",'[3]Tasa de Falla'!HP30)</f>
      </c>
      <c r="J31" s="666">
        <f>IF('[3]Tasa de Falla'!HQ30="","",'[3]Tasa de Falla'!HQ30)</f>
      </c>
      <c r="K31" s="666">
        <f>IF('[3]Tasa de Falla'!HR30="","",'[3]Tasa de Falla'!HR30)</f>
      </c>
      <c r="L31" s="666">
        <f>IF('[3]Tasa de Falla'!HS30="","",'[3]Tasa de Falla'!HS30)</f>
      </c>
      <c r="M31" s="666">
        <f>IF('[3]Tasa de Falla'!HT30="","",'[3]Tasa de Falla'!HT30)</f>
      </c>
      <c r="N31" s="666">
        <f>IF('[3]Tasa de Falla'!HU30="","",'[3]Tasa de Falla'!HU30)</f>
      </c>
      <c r="O31" s="666">
        <f>IF('[3]Tasa de Falla'!HV30="","",'[3]Tasa de Falla'!HV30)</f>
      </c>
      <c r="P31" s="666">
        <f>IF('[3]Tasa de Falla'!HW30="","",'[3]Tasa de Falla'!HW30)</f>
      </c>
      <c r="Q31" s="666">
        <f>IF('[3]Tasa de Falla'!HX30="","",'[3]Tasa de Falla'!HX30)</f>
      </c>
      <c r="R31" s="666">
        <f>IF('[3]Tasa de Falla'!HY30="","",'[3]Tasa de Falla'!HY30)</f>
      </c>
      <c r="S31" s="662"/>
      <c r="T31" s="3"/>
    </row>
    <row r="32" spans="2:20" ht="18" customHeight="1">
      <c r="B32" s="2"/>
      <c r="C32" s="663">
        <f>IF('[3]Tasa de Falla'!C31="","",'[3]Tasa de Falla'!C31)</f>
        <v>15</v>
      </c>
      <c r="D32" s="663" t="str">
        <f>IF('[3]Tasa de Falla'!D31="","",'[3]Tasa de Falla'!D31)</f>
        <v>PLANTA ALUMINIO DGPA - SS.AA. PTO MADRYN</v>
      </c>
      <c r="E32" s="663">
        <f>IF('[3]Tasa de Falla'!E31="","",'[3]Tasa de Falla'!E31)</f>
        <v>33</v>
      </c>
      <c r="F32" s="663">
        <f>IF('[3]Tasa de Falla'!F31="","",'[3]Tasa de Falla'!F31)</f>
        <v>6</v>
      </c>
      <c r="G32" s="664" t="str">
        <f>IF('[3]Tasa de Falla'!HN31="","",'[3]Tasa de Falla'!HN31)</f>
        <v>XXXX</v>
      </c>
      <c r="H32" s="664" t="str">
        <f>IF('[3]Tasa de Falla'!HO31="","",'[3]Tasa de Falla'!HO31)</f>
        <v>XXXX</v>
      </c>
      <c r="I32" s="664" t="str">
        <f>IF('[3]Tasa de Falla'!HP31="","",'[3]Tasa de Falla'!HP31)</f>
        <v>XXXX</v>
      </c>
      <c r="J32" s="664" t="str">
        <f>IF('[3]Tasa de Falla'!HQ31="","",'[3]Tasa de Falla'!HQ31)</f>
        <v>XXXX</v>
      </c>
      <c r="K32" s="664" t="str">
        <f>IF('[3]Tasa de Falla'!HR31="","",'[3]Tasa de Falla'!HR31)</f>
        <v>XXXX</v>
      </c>
      <c r="L32" s="664" t="str">
        <f>IF('[3]Tasa de Falla'!HS31="","",'[3]Tasa de Falla'!HS31)</f>
        <v>XXXX</v>
      </c>
      <c r="M32" s="664" t="str">
        <f>IF('[3]Tasa de Falla'!HT31="","",'[3]Tasa de Falla'!HT31)</f>
        <v>XXXX</v>
      </c>
      <c r="N32" s="664" t="str">
        <f>IF('[3]Tasa de Falla'!HU31="","",'[3]Tasa de Falla'!HU31)</f>
        <v>XXXX</v>
      </c>
      <c r="O32" s="664" t="str">
        <f>IF('[3]Tasa de Falla'!HV31="","",'[3]Tasa de Falla'!HV31)</f>
        <v>XXXX</v>
      </c>
      <c r="P32" s="664" t="str">
        <f>IF('[3]Tasa de Falla'!HW31="","",'[3]Tasa de Falla'!HW31)</f>
        <v>XXXX</v>
      </c>
      <c r="Q32" s="664" t="str">
        <f>IF('[3]Tasa de Falla'!HX31="","",'[3]Tasa de Falla'!HX31)</f>
        <v>XXXX</v>
      </c>
      <c r="R32" s="664" t="str">
        <f>IF('[3]Tasa de Falla'!HY31="","",'[3]Tasa de Falla'!HY31)</f>
        <v>XXXX</v>
      </c>
      <c r="S32" s="662"/>
      <c r="T32" s="3"/>
    </row>
    <row r="33" spans="2:20" ht="15" customHeight="1">
      <c r="B33" s="2"/>
      <c r="C33" s="665">
        <f>IF('[3]Tasa de Falla'!C32="","",'[3]Tasa de Falla'!C32)</f>
        <v>16</v>
      </c>
      <c r="D33" s="665" t="str">
        <f>IF('[3]Tasa de Falla'!D32="","",'[3]Tasa de Falla'!D32)</f>
        <v>PLANTA ALUMINIO DGPA - TRELEW</v>
      </c>
      <c r="E33" s="665">
        <f>IF('[3]Tasa de Falla'!E32="","",'[3]Tasa de Falla'!E32)</f>
        <v>132</v>
      </c>
      <c r="F33" s="665">
        <f>IF('[3]Tasa de Falla'!F32="","",'[3]Tasa de Falla'!F32)</f>
        <v>62</v>
      </c>
      <c r="G33" s="666">
        <f>IF('[3]Tasa de Falla'!HN32="","",'[3]Tasa de Falla'!HN32)</f>
      </c>
      <c r="H33" s="666">
        <f>IF('[3]Tasa de Falla'!HO32="","",'[3]Tasa de Falla'!HO32)</f>
      </c>
      <c r="I33" s="666">
        <f>IF('[3]Tasa de Falla'!HP32="","",'[3]Tasa de Falla'!HP32)</f>
      </c>
      <c r="J33" s="666">
        <f>IF('[3]Tasa de Falla'!HQ32="","",'[3]Tasa de Falla'!HQ32)</f>
      </c>
      <c r="K33" s="666">
        <f>IF('[3]Tasa de Falla'!HR32="","",'[3]Tasa de Falla'!HR32)</f>
      </c>
      <c r="L33" s="666">
        <f>IF('[3]Tasa de Falla'!HS32="","",'[3]Tasa de Falla'!HS32)</f>
      </c>
      <c r="M33" s="666">
        <f>IF('[3]Tasa de Falla'!HT32="","",'[3]Tasa de Falla'!HT32)</f>
        <v>1</v>
      </c>
      <c r="N33" s="666">
        <f>IF('[3]Tasa de Falla'!HU32="","",'[3]Tasa de Falla'!HU32)</f>
      </c>
      <c r="O33" s="666">
        <f>IF('[3]Tasa de Falla'!HV32="","",'[3]Tasa de Falla'!HV32)</f>
      </c>
      <c r="P33" s="666">
        <f>IF('[3]Tasa de Falla'!HW32="","",'[3]Tasa de Falla'!HW32)</f>
      </c>
      <c r="Q33" s="666">
        <f>IF('[3]Tasa de Falla'!HX32="","",'[3]Tasa de Falla'!HX32)</f>
      </c>
      <c r="R33" s="666">
        <f>IF('[3]Tasa de Falla'!HY32="","",'[3]Tasa de Falla'!HY32)</f>
      </c>
      <c r="S33" s="662"/>
      <c r="T33" s="3"/>
    </row>
    <row r="34" spans="2:20" ht="18" customHeight="1">
      <c r="B34" s="2"/>
      <c r="C34" s="663">
        <f>IF('[3]Tasa de Falla'!C33="","",'[3]Tasa de Falla'!C33)</f>
        <v>17</v>
      </c>
      <c r="D34" s="663" t="str">
        <f>IF('[3]Tasa de Falla'!D33="","",'[3]Tasa de Falla'!D33)</f>
        <v>PUERTO MADRYN - SIERRA GRANDE</v>
      </c>
      <c r="E34" s="663">
        <f>IF('[3]Tasa de Falla'!E33="","",'[3]Tasa de Falla'!E33)</f>
        <v>132</v>
      </c>
      <c r="F34" s="663">
        <f>IF('[3]Tasa de Falla'!F33="","",'[3]Tasa de Falla'!F33)</f>
        <v>121.5</v>
      </c>
      <c r="G34" s="664">
        <f>IF('[3]Tasa de Falla'!HN33="","",'[3]Tasa de Falla'!HN33)</f>
      </c>
      <c r="H34" s="664">
        <f>IF('[3]Tasa de Falla'!HO33="","",'[3]Tasa de Falla'!HO33)</f>
        <v>1</v>
      </c>
      <c r="I34" s="664">
        <f>IF('[3]Tasa de Falla'!HP33="","",'[3]Tasa de Falla'!HP33)</f>
      </c>
      <c r="J34" s="664">
        <f>IF('[3]Tasa de Falla'!HQ33="","",'[3]Tasa de Falla'!HQ33)</f>
        <v>1</v>
      </c>
      <c r="K34" s="664">
        <f>IF('[3]Tasa de Falla'!HR33="","",'[3]Tasa de Falla'!HR33)</f>
      </c>
      <c r="L34" s="664">
        <f>IF('[3]Tasa de Falla'!HS33="","",'[3]Tasa de Falla'!HS33)</f>
      </c>
      <c r="M34" s="664">
        <f>IF('[3]Tasa de Falla'!HT33="","",'[3]Tasa de Falla'!HT33)</f>
      </c>
      <c r="N34" s="664">
        <f>IF('[3]Tasa de Falla'!HU33="","",'[3]Tasa de Falla'!HU33)</f>
      </c>
      <c r="O34" s="664">
        <f>IF('[3]Tasa de Falla'!HV33="","",'[3]Tasa de Falla'!HV33)</f>
      </c>
      <c r="P34" s="664">
        <f>IF('[3]Tasa de Falla'!HW33="","",'[3]Tasa de Falla'!HW33)</f>
      </c>
      <c r="Q34" s="664">
        <f>IF('[3]Tasa de Falla'!HX33="","",'[3]Tasa de Falla'!HX33)</f>
      </c>
      <c r="R34" s="664">
        <f>IF('[3]Tasa de Falla'!HY33="","",'[3]Tasa de Falla'!HY33)</f>
      </c>
      <c r="S34" s="662"/>
      <c r="T34" s="3"/>
    </row>
    <row r="35" spans="2:20" ht="15" customHeight="1">
      <c r="B35" s="2"/>
      <c r="C35" s="665">
        <f>IF('[3]Tasa de Falla'!C34="","",'[3]Tasa de Falla'!C34)</f>
        <v>18</v>
      </c>
      <c r="D35" s="665" t="str">
        <f>IF('[3]Tasa de Falla'!D34="","",'[3]Tasa de Falla'!D34)</f>
        <v>BARRIO SAN MARTIN - A CONEXION "T"</v>
      </c>
      <c r="E35" s="665">
        <f>IF('[3]Tasa de Falla'!E34="","",'[3]Tasa de Falla'!E34)</f>
        <v>132</v>
      </c>
      <c r="F35" s="665">
        <f>IF('[3]Tasa de Falla'!F34="","",'[3]Tasa de Falla'!F34)</f>
        <v>7.5</v>
      </c>
      <c r="G35" s="666" t="str">
        <f>IF('[3]Tasa de Falla'!HN34="","",'[3]Tasa de Falla'!HN34)</f>
        <v>XXXX</v>
      </c>
      <c r="H35" s="666" t="str">
        <f>IF('[3]Tasa de Falla'!HO34="","",'[3]Tasa de Falla'!HO34)</f>
        <v>XXXX</v>
      </c>
      <c r="I35" s="666" t="str">
        <f>IF('[3]Tasa de Falla'!HP34="","",'[3]Tasa de Falla'!HP34)</f>
        <v>XXXX</v>
      </c>
      <c r="J35" s="666" t="str">
        <f>IF('[3]Tasa de Falla'!HQ34="","",'[3]Tasa de Falla'!HQ34)</f>
        <v>XXXX</v>
      </c>
      <c r="K35" s="666" t="str">
        <f>IF('[3]Tasa de Falla'!HR34="","",'[3]Tasa de Falla'!HR34)</f>
        <v>XXXX</v>
      </c>
      <c r="L35" s="666" t="str">
        <f>IF('[3]Tasa de Falla'!HS34="","",'[3]Tasa de Falla'!HS34)</f>
        <v>XXXX</v>
      </c>
      <c r="M35" s="666" t="str">
        <f>IF('[3]Tasa de Falla'!HT34="","",'[3]Tasa de Falla'!HT34)</f>
        <v>XXXX</v>
      </c>
      <c r="N35" s="666" t="str">
        <f>IF('[3]Tasa de Falla'!HU34="","",'[3]Tasa de Falla'!HU34)</f>
        <v>XXXX</v>
      </c>
      <c r="O35" s="666" t="str">
        <f>IF('[3]Tasa de Falla'!HV34="","",'[3]Tasa de Falla'!HV34)</f>
        <v>XXXX</v>
      </c>
      <c r="P35" s="666" t="str">
        <f>IF('[3]Tasa de Falla'!HW34="","",'[3]Tasa de Falla'!HW34)</f>
        <v>XXXX</v>
      </c>
      <c r="Q35" s="666" t="str">
        <f>IF('[3]Tasa de Falla'!HX34="","",'[3]Tasa de Falla'!HX34)</f>
        <v>XXXX</v>
      </c>
      <c r="R35" s="666" t="str">
        <f>IF('[3]Tasa de Falla'!HY34="","",'[3]Tasa de Falla'!HY34)</f>
        <v>XXXX</v>
      </c>
      <c r="S35" s="662"/>
      <c r="T35" s="3"/>
    </row>
    <row r="36" spans="2:20" ht="18" customHeight="1">
      <c r="B36" s="2"/>
      <c r="C36" s="663">
        <f>IF('[3]Tasa de Falla'!C35="","",'[3]Tasa de Falla'!C35)</f>
        <v>19</v>
      </c>
      <c r="D36" s="663" t="str">
        <f>IF('[3]Tasa de Falla'!D35="","",'[3]Tasa de Falla'!D35)</f>
        <v>PICO TRUNCADO I - LAS HERAS</v>
      </c>
      <c r="E36" s="663">
        <f>IF('[3]Tasa de Falla'!E35="","",'[3]Tasa de Falla'!E35)</f>
        <v>132</v>
      </c>
      <c r="F36" s="663">
        <f>IF('[3]Tasa de Falla'!F35="","",'[3]Tasa de Falla'!F35)</f>
        <v>82.5</v>
      </c>
      <c r="G36" s="664" t="str">
        <f>IF('[3]Tasa de Falla'!HN35="","",'[3]Tasa de Falla'!HN35)</f>
        <v>XXXX</v>
      </c>
      <c r="H36" s="664" t="str">
        <f>IF('[3]Tasa de Falla'!HO35="","",'[3]Tasa de Falla'!HO35)</f>
        <v>XXXX</v>
      </c>
      <c r="I36" s="664" t="str">
        <f>IF('[3]Tasa de Falla'!HP35="","",'[3]Tasa de Falla'!HP35)</f>
        <v>XXXX</v>
      </c>
      <c r="J36" s="664" t="str">
        <f>IF('[3]Tasa de Falla'!HQ35="","",'[3]Tasa de Falla'!HQ35)</f>
        <v>XXXX</v>
      </c>
      <c r="K36" s="664" t="str">
        <f>IF('[3]Tasa de Falla'!HR35="","",'[3]Tasa de Falla'!HR35)</f>
        <v>XXXX</v>
      </c>
      <c r="L36" s="664" t="str">
        <f>IF('[3]Tasa de Falla'!HS35="","",'[3]Tasa de Falla'!HS35)</f>
        <v>XXXX</v>
      </c>
      <c r="M36" s="664" t="str">
        <f>IF('[3]Tasa de Falla'!HT35="","",'[3]Tasa de Falla'!HT35)</f>
        <v>XXXX</v>
      </c>
      <c r="N36" s="664" t="str">
        <f>IF('[3]Tasa de Falla'!HU35="","",'[3]Tasa de Falla'!HU35)</f>
        <v>XXXX</v>
      </c>
      <c r="O36" s="664" t="str">
        <f>IF('[3]Tasa de Falla'!HV35="","",'[3]Tasa de Falla'!HV35)</f>
        <v>XXXX</v>
      </c>
      <c r="P36" s="664" t="str">
        <f>IF('[3]Tasa de Falla'!HW35="","",'[3]Tasa de Falla'!HW35)</f>
        <v>XXXX</v>
      </c>
      <c r="Q36" s="664" t="str">
        <f>IF('[3]Tasa de Falla'!HX35="","",'[3]Tasa de Falla'!HX35)</f>
        <v>XXXX</v>
      </c>
      <c r="R36" s="664" t="str">
        <f>IF('[3]Tasa de Falla'!HY35="","",'[3]Tasa de Falla'!HY35)</f>
        <v>XXXX</v>
      </c>
      <c r="S36" s="662"/>
      <c r="T36" s="3"/>
    </row>
    <row r="37" spans="2:20" ht="15" customHeight="1">
      <c r="B37" s="2"/>
      <c r="C37" s="665">
        <f>IF('[3]Tasa de Falla'!C36="","",'[3]Tasa de Falla'!C36)</f>
        <v>20</v>
      </c>
      <c r="D37" s="665" t="str">
        <f>IF('[3]Tasa de Falla'!D36="","",'[3]Tasa de Falla'!D36)</f>
        <v>LAS HERAS - LOS PERALES</v>
      </c>
      <c r="E37" s="665">
        <f>IF('[3]Tasa de Falla'!E36="","",'[3]Tasa de Falla'!E36)</f>
        <v>132</v>
      </c>
      <c r="F37" s="665">
        <f>IF('[3]Tasa de Falla'!F36="","",'[3]Tasa de Falla'!F36)</f>
        <v>47</v>
      </c>
      <c r="G37" s="666">
        <f>IF('[3]Tasa de Falla'!HN36="","",'[3]Tasa de Falla'!HN36)</f>
      </c>
      <c r="H37" s="666">
        <f>IF('[3]Tasa de Falla'!HO36="","",'[3]Tasa de Falla'!HO36)</f>
      </c>
      <c r="I37" s="666">
        <f>IF('[3]Tasa de Falla'!HP36="","",'[3]Tasa de Falla'!HP36)</f>
      </c>
      <c r="J37" s="666">
        <f>IF('[3]Tasa de Falla'!HQ36="","",'[3]Tasa de Falla'!HQ36)</f>
      </c>
      <c r="K37" s="666">
        <f>IF('[3]Tasa de Falla'!HR36="","",'[3]Tasa de Falla'!HR36)</f>
      </c>
      <c r="L37" s="666">
        <f>IF('[3]Tasa de Falla'!HS36="","",'[3]Tasa de Falla'!HS36)</f>
      </c>
      <c r="M37" s="666">
        <f>IF('[3]Tasa de Falla'!HT36="","",'[3]Tasa de Falla'!HT36)</f>
      </c>
      <c r="N37" s="666">
        <f>IF('[3]Tasa de Falla'!HU36="","",'[3]Tasa de Falla'!HU36)</f>
      </c>
      <c r="O37" s="666">
        <f>IF('[3]Tasa de Falla'!HV36="","",'[3]Tasa de Falla'!HV36)</f>
      </c>
      <c r="P37" s="666">
        <f>IF('[3]Tasa de Falla'!HW36="","",'[3]Tasa de Falla'!HW36)</f>
      </c>
      <c r="Q37" s="666">
        <f>IF('[3]Tasa de Falla'!HX36="","",'[3]Tasa de Falla'!HX36)</f>
      </c>
      <c r="R37" s="666">
        <f>IF('[3]Tasa de Falla'!HY36="","",'[3]Tasa de Falla'!HY36)</f>
      </c>
      <c r="S37" s="662"/>
      <c r="T37" s="3"/>
    </row>
    <row r="38" spans="2:20" ht="18" customHeight="1">
      <c r="B38" s="2"/>
      <c r="C38" s="663">
        <f>IF('[3]Tasa de Falla'!C37="","",'[3]Tasa de Falla'!C37)</f>
        <v>21</v>
      </c>
      <c r="D38" s="663" t="str">
        <f>IF('[3]Tasa de Falla'!D37="","",'[3]Tasa de Falla'!D37)</f>
        <v>N. P. MADRYN - P. MADRYN 330 kV</v>
      </c>
      <c r="E38" s="663">
        <f>IF('[3]Tasa de Falla'!E37="","",'[3]Tasa de Falla'!E37)</f>
        <v>330</v>
      </c>
      <c r="F38" s="663">
        <f>IF('[3]Tasa de Falla'!F37="","",'[3]Tasa de Falla'!F37)</f>
        <v>0.47</v>
      </c>
      <c r="G38" s="664">
        <f>IF('[3]Tasa de Falla'!HN37="","",'[3]Tasa de Falla'!HN37)</f>
      </c>
      <c r="H38" s="664">
        <f>IF('[3]Tasa de Falla'!HO37="","",'[3]Tasa de Falla'!HO37)</f>
      </c>
      <c r="I38" s="664">
        <f>IF('[3]Tasa de Falla'!HP37="","",'[3]Tasa de Falla'!HP37)</f>
      </c>
      <c r="J38" s="664">
        <f>IF('[3]Tasa de Falla'!HQ37="","",'[3]Tasa de Falla'!HQ37)</f>
      </c>
      <c r="K38" s="664">
        <f>IF('[3]Tasa de Falla'!HR37="","",'[3]Tasa de Falla'!HR37)</f>
      </c>
      <c r="L38" s="664">
        <f>IF('[3]Tasa de Falla'!HS37="","",'[3]Tasa de Falla'!HS37)</f>
      </c>
      <c r="M38" s="664">
        <f>IF('[3]Tasa de Falla'!HT37="","",'[3]Tasa de Falla'!HT37)</f>
      </c>
      <c r="N38" s="664">
        <f>IF('[3]Tasa de Falla'!HU37="","",'[3]Tasa de Falla'!HU37)</f>
      </c>
      <c r="O38" s="664">
        <f>IF('[3]Tasa de Falla'!HV37="","",'[3]Tasa de Falla'!HV37)</f>
      </c>
      <c r="P38" s="664">
        <f>IF('[3]Tasa de Falla'!HW37="","",'[3]Tasa de Falla'!HW37)</f>
      </c>
      <c r="Q38" s="664">
        <f>IF('[3]Tasa de Falla'!HX37="","",'[3]Tasa de Falla'!HX37)</f>
      </c>
      <c r="R38" s="664">
        <f>IF('[3]Tasa de Falla'!HY37="","",'[3]Tasa de Falla'!HY37)</f>
      </c>
      <c r="S38" s="662"/>
      <c r="T38" s="3"/>
    </row>
    <row r="39" spans="2:20" ht="15" customHeight="1">
      <c r="B39" s="2"/>
      <c r="C39" s="665">
        <f>IF('[3]Tasa de Falla'!C38="","",'[3]Tasa de Falla'!C38)</f>
        <v>31</v>
      </c>
      <c r="D39" s="665" t="str">
        <f>IF('[3]Tasa de Falla'!D38="","",'[3]Tasa de Falla'!D38)</f>
        <v>LAS HERAS - MINA SAN JOSE</v>
      </c>
      <c r="E39" s="665">
        <f>IF('[3]Tasa de Falla'!E38="","",'[3]Tasa de Falla'!E38)</f>
        <v>132</v>
      </c>
      <c r="F39" s="665">
        <f>IF('[3]Tasa de Falla'!F38="","",'[3]Tasa de Falla'!F38)</f>
        <v>128</v>
      </c>
      <c r="G39" s="666">
        <f>IF('[3]Tasa de Falla'!HN38="","",'[3]Tasa de Falla'!HN38)</f>
      </c>
      <c r="H39" s="666">
        <f>IF('[3]Tasa de Falla'!HO38="","",'[3]Tasa de Falla'!HO38)</f>
      </c>
      <c r="I39" s="666">
        <f>IF('[3]Tasa de Falla'!HP38="","",'[3]Tasa de Falla'!HP38)</f>
      </c>
      <c r="J39" s="666">
        <f>IF('[3]Tasa de Falla'!HQ38="","",'[3]Tasa de Falla'!HQ38)</f>
      </c>
      <c r="K39" s="666">
        <f>IF('[3]Tasa de Falla'!HR38="","",'[3]Tasa de Falla'!HR38)</f>
      </c>
      <c r="L39" s="666">
        <f>IF('[3]Tasa de Falla'!HS38="","",'[3]Tasa de Falla'!HS38)</f>
      </c>
      <c r="M39" s="666">
        <f>IF('[3]Tasa de Falla'!HT38="","",'[3]Tasa de Falla'!HT38)</f>
      </c>
      <c r="N39" s="666">
        <f>IF('[3]Tasa de Falla'!HU38="","",'[3]Tasa de Falla'!HU38)</f>
      </c>
      <c r="O39" s="666">
        <f>IF('[3]Tasa de Falla'!HV38="","",'[3]Tasa de Falla'!HV38)</f>
      </c>
      <c r="P39" s="666">
        <f>IF('[3]Tasa de Falla'!HW38="","",'[3]Tasa de Falla'!HW38)</f>
      </c>
      <c r="Q39" s="666">
        <f>IF('[3]Tasa de Falla'!HX38="","",'[3]Tasa de Falla'!HX38)</f>
      </c>
      <c r="R39" s="666">
        <f>IF('[3]Tasa de Falla'!HY38="","",'[3]Tasa de Falla'!HY38)</f>
      </c>
      <c r="S39" s="662"/>
      <c r="T39" s="3"/>
    </row>
    <row r="40" spans="2:20" ht="18" customHeight="1">
      <c r="B40" s="2"/>
      <c r="C40" s="663">
        <f>IF('[3]Tasa de Falla'!C39="","",'[3]Tasa de Falla'!C39)</f>
        <v>27</v>
      </c>
      <c r="D40" s="663" t="str">
        <f>IF('[3]Tasa de Falla'!D39="","",'[3]Tasa de Falla'!D39)</f>
        <v>PAMPA DEL CASTILLO - EL TORDILLO</v>
      </c>
      <c r="E40" s="663">
        <f>IF('[3]Tasa de Falla'!E39="","",'[3]Tasa de Falla'!E39)</f>
        <v>132</v>
      </c>
      <c r="F40" s="663">
        <f>IF('[3]Tasa de Falla'!F39="","",'[3]Tasa de Falla'!F39)</f>
        <v>8.9</v>
      </c>
      <c r="G40" s="664">
        <f>IF('[3]Tasa de Falla'!HN39="","",'[3]Tasa de Falla'!HN39)</f>
      </c>
      <c r="H40" s="664">
        <f>IF('[3]Tasa de Falla'!HO39="","",'[3]Tasa de Falla'!HO39)</f>
      </c>
      <c r="I40" s="664">
        <f>IF('[3]Tasa de Falla'!HP39="","",'[3]Tasa de Falla'!HP39)</f>
      </c>
      <c r="J40" s="664">
        <f>IF('[3]Tasa de Falla'!HQ39="","",'[3]Tasa de Falla'!HQ39)</f>
      </c>
      <c r="K40" s="664">
        <f>IF('[3]Tasa de Falla'!HR39="","",'[3]Tasa de Falla'!HR39)</f>
      </c>
      <c r="L40" s="664">
        <f>IF('[3]Tasa de Falla'!HS39="","",'[3]Tasa de Falla'!HS39)</f>
      </c>
      <c r="M40" s="664">
        <f>IF('[3]Tasa de Falla'!HT39="","",'[3]Tasa de Falla'!HT39)</f>
      </c>
      <c r="N40" s="664">
        <f>IF('[3]Tasa de Falla'!HU39="","",'[3]Tasa de Falla'!HU39)</f>
      </c>
      <c r="O40" s="664">
        <f>IF('[3]Tasa de Falla'!HV39="","",'[3]Tasa de Falla'!HV39)</f>
      </c>
      <c r="P40" s="664">
        <f>IF('[3]Tasa de Falla'!HW39="","",'[3]Tasa de Falla'!HW39)</f>
      </c>
      <c r="Q40" s="664">
        <f>IF('[3]Tasa de Falla'!HX39="","",'[3]Tasa de Falla'!HX39)</f>
      </c>
      <c r="R40" s="664">
        <f>IF('[3]Tasa de Falla'!HY39="","",'[3]Tasa de Falla'!HY39)</f>
      </c>
      <c r="S40" s="662"/>
      <c r="T40" s="3"/>
    </row>
    <row r="41" spans="2:20" ht="15" customHeight="1">
      <c r="B41" s="2"/>
      <c r="C41" s="665">
        <f>IF('[3]Tasa de Falla'!C40="","",'[3]Tasa de Falla'!C40)</f>
        <v>28</v>
      </c>
      <c r="D41" s="665" t="str">
        <f>IF('[3]Tasa de Falla'!D40="","",'[3]Tasa de Falla'!D40)</f>
        <v>PLANTA ALUMINIO APPA - PUERTO MADRYN 3</v>
      </c>
      <c r="E41" s="665">
        <f>IF('[3]Tasa de Falla'!E40="","",'[3]Tasa de Falla'!E40)</f>
        <v>330</v>
      </c>
      <c r="F41" s="665">
        <f>IF('[3]Tasa de Falla'!F40="","",'[3]Tasa de Falla'!F40)</f>
        <v>4.9</v>
      </c>
      <c r="G41" s="666">
        <f>IF('[3]Tasa de Falla'!HN40="","",'[3]Tasa de Falla'!HN40)</f>
      </c>
      <c r="H41" s="666">
        <f>IF('[3]Tasa de Falla'!HO40="","",'[3]Tasa de Falla'!HO40)</f>
      </c>
      <c r="I41" s="666">
        <f>IF('[3]Tasa de Falla'!HP40="","",'[3]Tasa de Falla'!HP40)</f>
      </c>
      <c r="J41" s="666">
        <f>IF('[3]Tasa de Falla'!HQ40="","",'[3]Tasa de Falla'!HQ40)</f>
      </c>
      <c r="K41" s="666">
        <f>IF('[3]Tasa de Falla'!HR40="","",'[3]Tasa de Falla'!HR40)</f>
      </c>
      <c r="L41" s="666">
        <f>IF('[3]Tasa de Falla'!HS40="","",'[3]Tasa de Falla'!HS40)</f>
      </c>
      <c r="M41" s="666">
        <f>IF('[3]Tasa de Falla'!HT40="","",'[3]Tasa de Falla'!HT40)</f>
      </c>
      <c r="N41" s="666">
        <f>IF('[3]Tasa de Falla'!HU40="","",'[3]Tasa de Falla'!HU40)</f>
      </c>
      <c r="O41" s="666">
        <f>IF('[3]Tasa de Falla'!HV40="","",'[3]Tasa de Falla'!HV40)</f>
      </c>
      <c r="P41" s="666">
        <f>IF('[3]Tasa de Falla'!HW40="","",'[3]Tasa de Falla'!HW40)</f>
      </c>
      <c r="Q41" s="666">
        <f>IF('[3]Tasa de Falla'!HX40="","",'[3]Tasa de Falla'!HX40)</f>
      </c>
      <c r="R41" s="666">
        <f>IF('[3]Tasa de Falla'!HY40="","",'[3]Tasa de Falla'!HY40)</f>
      </c>
      <c r="S41" s="662"/>
      <c r="T41" s="3"/>
    </row>
    <row r="42" spans="2:20" ht="18" customHeight="1">
      <c r="B42" s="2"/>
      <c r="C42" s="663">
        <f>IF('[3]Tasa de Falla'!C41="","",'[3]Tasa de Falla'!C41)</f>
        <v>30</v>
      </c>
      <c r="D42" s="663" t="str">
        <f>IF('[3]Tasa de Falla'!D41="","",'[3]Tasa de Falla'!D41)</f>
        <v>TRELEW - RAWSON</v>
      </c>
      <c r="E42" s="663">
        <f>IF('[3]Tasa de Falla'!E41="","",'[3]Tasa de Falla'!E41)</f>
        <v>132</v>
      </c>
      <c r="F42" s="663">
        <f>IF('[3]Tasa de Falla'!F41="","",'[3]Tasa de Falla'!F41)</f>
        <v>21.8</v>
      </c>
      <c r="G42" s="664">
        <f>IF('[3]Tasa de Falla'!HN41="","",'[3]Tasa de Falla'!HN41)</f>
      </c>
      <c r="H42" s="664">
        <f>IF('[3]Tasa de Falla'!HO41="","",'[3]Tasa de Falla'!HO41)</f>
      </c>
      <c r="I42" s="664">
        <f>IF('[3]Tasa de Falla'!HP41="","",'[3]Tasa de Falla'!HP41)</f>
      </c>
      <c r="J42" s="664">
        <f>IF('[3]Tasa de Falla'!HQ41="","",'[3]Tasa de Falla'!HQ41)</f>
      </c>
      <c r="K42" s="664">
        <f>IF('[3]Tasa de Falla'!HR41="","",'[3]Tasa de Falla'!HR41)</f>
        <v>1</v>
      </c>
      <c r="L42" s="664">
        <f>IF('[3]Tasa de Falla'!HS41="","",'[3]Tasa de Falla'!HS41)</f>
      </c>
      <c r="M42" s="664">
        <f>IF('[3]Tasa de Falla'!HT41="","",'[3]Tasa de Falla'!HT41)</f>
      </c>
      <c r="N42" s="664">
        <f>IF('[3]Tasa de Falla'!HU41="","",'[3]Tasa de Falla'!HU41)</f>
      </c>
      <c r="O42" s="664">
        <f>IF('[3]Tasa de Falla'!HV41="","",'[3]Tasa de Falla'!HV41)</f>
      </c>
      <c r="P42" s="664">
        <f>IF('[3]Tasa de Falla'!HW41="","",'[3]Tasa de Falla'!HW41)</f>
      </c>
      <c r="Q42" s="664">
        <f>IF('[3]Tasa de Falla'!HX41="","",'[3]Tasa de Falla'!HX41)</f>
      </c>
      <c r="R42" s="664">
        <f>IF('[3]Tasa de Falla'!HY41="","",'[3]Tasa de Falla'!HY41)</f>
      </c>
      <c r="S42" s="662"/>
      <c r="T42" s="3"/>
    </row>
    <row r="43" spans="2:20" ht="15" customHeight="1">
      <c r="B43" s="2"/>
      <c r="C43" s="665">
        <f>IF('[3]Tasa de Falla'!C42="","",'[3]Tasa de Falla'!C42)</f>
        <v>37</v>
      </c>
      <c r="D43" s="665" t="str">
        <f>IF('[3]Tasa de Falla'!D42="","",'[3]Tasa de Falla'!D42)</f>
        <v>PICO TRUNCADO 1 - SANTA CRUZ NORTE     1</v>
      </c>
      <c r="E43" s="665">
        <f>IF('[3]Tasa de Falla'!E42="","",'[3]Tasa de Falla'!E42)</f>
        <v>132</v>
      </c>
      <c r="F43" s="665">
        <f>IF('[3]Tasa de Falla'!F42="","",'[3]Tasa de Falla'!F42)</f>
        <v>2.5</v>
      </c>
      <c r="G43" s="666">
        <f>IF('[3]Tasa de Falla'!HN42="","",'[3]Tasa de Falla'!HN42)</f>
      </c>
      <c r="H43" s="666">
        <f>IF('[3]Tasa de Falla'!HO42="","",'[3]Tasa de Falla'!HO42)</f>
      </c>
      <c r="I43" s="666">
        <f>IF('[3]Tasa de Falla'!HP42="","",'[3]Tasa de Falla'!HP42)</f>
        <v>1</v>
      </c>
      <c r="J43" s="666">
        <f>IF('[3]Tasa de Falla'!HQ42="","",'[3]Tasa de Falla'!HQ42)</f>
      </c>
      <c r="K43" s="666">
        <f>IF('[3]Tasa de Falla'!HR42="","",'[3]Tasa de Falla'!HR42)</f>
      </c>
      <c r="L43" s="666">
        <f>IF('[3]Tasa de Falla'!HS42="","",'[3]Tasa de Falla'!HS42)</f>
      </c>
      <c r="M43" s="666">
        <f>IF('[3]Tasa de Falla'!HT42="","",'[3]Tasa de Falla'!HT42)</f>
      </c>
      <c r="N43" s="666">
        <f>IF('[3]Tasa de Falla'!HU42="","",'[3]Tasa de Falla'!HU42)</f>
      </c>
      <c r="O43" s="666">
        <f>IF('[3]Tasa de Falla'!HV42="","",'[3]Tasa de Falla'!HV42)</f>
      </c>
      <c r="P43" s="666">
        <f>IF('[3]Tasa de Falla'!HW42="","",'[3]Tasa de Falla'!HW42)</f>
      </c>
      <c r="Q43" s="666">
        <f>IF('[3]Tasa de Falla'!HX42="","",'[3]Tasa de Falla'!HX42)</f>
      </c>
      <c r="R43" s="666">
        <f>IF('[3]Tasa de Falla'!HY42="","",'[3]Tasa de Falla'!HY42)</f>
      </c>
      <c r="S43" s="662"/>
      <c r="T43" s="3"/>
    </row>
    <row r="44" spans="2:20" ht="18" customHeight="1">
      <c r="B44" s="2"/>
      <c r="C44" s="663">
        <f>IF('[3]Tasa de Falla'!C43="","",'[3]Tasa de Falla'!C43)</f>
        <v>38</v>
      </c>
      <c r="D44" s="663" t="str">
        <f>IF('[3]Tasa de Falla'!D43="","",'[3]Tasa de Falla'!D43)</f>
        <v>PICO TRUNCADO 1 - SANTA CRUZ NORTE     2</v>
      </c>
      <c r="E44" s="663">
        <f>IF('[3]Tasa de Falla'!E43="","",'[3]Tasa de Falla'!E43)</f>
        <v>132</v>
      </c>
      <c r="F44" s="663">
        <f>IF('[3]Tasa de Falla'!F43="","",'[3]Tasa de Falla'!F43)</f>
        <v>2.5</v>
      </c>
      <c r="G44" s="664">
        <f>IF('[3]Tasa de Falla'!HN43="","",'[3]Tasa de Falla'!HN43)</f>
      </c>
      <c r="H44" s="664">
        <f>IF('[3]Tasa de Falla'!HO43="","",'[3]Tasa de Falla'!HO43)</f>
      </c>
      <c r="I44" s="664">
        <f>IF('[3]Tasa de Falla'!HP43="","",'[3]Tasa de Falla'!HP43)</f>
      </c>
      <c r="J44" s="664">
        <f>IF('[3]Tasa de Falla'!HQ43="","",'[3]Tasa de Falla'!HQ43)</f>
      </c>
      <c r="K44" s="664">
        <f>IF('[3]Tasa de Falla'!HR43="","",'[3]Tasa de Falla'!HR43)</f>
      </c>
      <c r="L44" s="664">
        <f>IF('[3]Tasa de Falla'!HS43="","",'[3]Tasa de Falla'!HS43)</f>
      </c>
      <c r="M44" s="664">
        <f>IF('[3]Tasa de Falla'!HT43="","",'[3]Tasa de Falla'!HT43)</f>
      </c>
      <c r="N44" s="664">
        <f>IF('[3]Tasa de Falla'!HU43="","",'[3]Tasa de Falla'!HU43)</f>
      </c>
      <c r="O44" s="664">
        <f>IF('[3]Tasa de Falla'!HV43="","",'[3]Tasa de Falla'!HV43)</f>
      </c>
      <c r="P44" s="664">
        <f>IF('[3]Tasa de Falla'!HW43="","",'[3]Tasa de Falla'!HW43)</f>
      </c>
      <c r="Q44" s="664">
        <f>IF('[3]Tasa de Falla'!HX43="","",'[3]Tasa de Falla'!HX43)</f>
      </c>
      <c r="R44" s="664">
        <f>IF('[3]Tasa de Falla'!HY43="","",'[3]Tasa de Falla'!HY43)</f>
      </c>
      <c r="S44" s="662"/>
      <c r="T44" s="3"/>
    </row>
    <row r="45" spans="2:20" ht="15" customHeight="1">
      <c r="B45" s="2"/>
      <c r="C45" s="665">
        <f>IF('[3]Tasa de Falla'!C44="","",'[3]Tasa de Falla'!C44)</f>
        <v>39</v>
      </c>
      <c r="D45" s="665" t="str">
        <f>IF('[3]Tasa de Falla'!D44="","",'[3]Tasa de Falla'!D44)</f>
        <v>LAS HERAS - SANTA CRUZ NORTE</v>
      </c>
      <c r="E45" s="665">
        <f>IF('[3]Tasa de Falla'!E44="","",'[3]Tasa de Falla'!E44)</f>
        <v>132</v>
      </c>
      <c r="F45" s="665">
        <f>IF('[3]Tasa de Falla'!F44="","",'[3]Tasa de Falla'!F44)</f>
        <v>80</v>
      </c>
      <c r="G45" s="666">
        <f>IF('[3]Tasa de Falla'!HN44="","",'[3]Tasa de Falla'!HN44)</f>
      </c>
      <c r="H45" s="666">
        <f>IF('[3]Tasa de Falla'!HO44="","",'[3]Tasa de Falla'!HO44)</f>
      </c>
      <c r="I45" s="666">
        <f>IF('[3]Tasa de Falla'!HP44="","",'[3]Tasa de Falla'!HP44)</f>
      </c>
      <c r="J45" s="666">
        <f>IF('[3]Tasa de Falla'!HQ44="","",'[3]Tasa de Falla'!HQ44)</f>
      </c>
      <c r="K45" s="666">
        <f>IF('[3]Tasa de Falla'!HR44="","",'[3]Tasa de Falla'!HR44)</f>
      </c>
      <c r="L45" s="666">
        <f>IF('[3]Tasa de Falla'!HS44="","",'[3]Tasa de Falla'!HS44)</f>
      </c>
      <c r="M45" s="666">
        <f>IF('[3]Tasa de Falla'!HT44="","",'[3]Tasa de Falla'!HT44)</f>
      </c>
      <c r="N45" s="666">
        <f>IF('[3]Tasa de Falla'!HU44="","",'[3]Tasa de Falla'!HU44)</f>
      </c>
      <c r="O45" s="666">
        <f>IF('[3]Tasa de Falla'!HV44="","",'[3]Tasa de Falla'!HV44)</f>
      </c>
      <c r="P45" s="666">
        <f>IF('[3]Tasa de Falla'!HW44="","",'[3]Tasa de Falla'!HW44)</f>
      </c>
      <c r="Q45" s="666">
        <f>IF('[3]Tasa de Falla'!HX44="","",'[3]Tasa de Falla'!HX44)</f>
      </c>
      <c r="R45" s="666">
        <f>IF('[3]Tasa de Falla'!HY44="","",'[3]Tasa de Falla'!HY44)</f>
      </c>
      <c r="S45" s="662"/>
      <c r="T45" s="3"/>
    </row>
    <row r="46" spans="2:20" ht="15" customHeight="1">
      <c r="B46" s="2"/>
      <c r="C46" s="663">
        <f>IF('[3]Tasa de Falla'!C45="","",'[3]Tasa de Falla'!C45)</f>
        <v>40</v>
      </c>
      <c r="D46" s="663" t="str">
        <f>IF('[3]Tasa de Falla'!D45="","",'[3]Tasa de Falla'!D45)</f>
        <v>RAWSON-RAWSONG1 </v>
      </c>
      <c r="E46" s="663">
        <f>IF('[3]Tasa de Falla'!E45="","",'[3]Tasa de Falla'!E45)</f>
        <v>132</v>
      </c>
      <c r="F46" s="663">
        <f>IF('[3]Tasa de Falla'!F45="","",'[3]Tasa de Falla'!F45)</f>
        <v>7.2</v>
      </c>
      <c r="G46" s="664">
        <f>IF('[3]Tasa de Falla'!HN45="","",'[3]Tasa de Falla'!HN45)</f>
      </c>
      <c r="H46" s="664">
        <f>IF('[3]Tasa de Falla'!HO45="","",'[3]Tasa de Falla'!HO45)</f>
      </c>
      <c r="I46" s="664">
        <f>IF('[3]Tasa de Falla'!HP45="","",'[3]Tasa de Falla'!HP45)</f>
      </c>
      <c r="J46" s="664">
        <f>IF('[3]Tasa de Falla'!HQ45="","",'[3]Tasa de Falla'!HQ45)</f>
      </c>
      <c r="K46" s="664">
        <f>IF('[3]Tasa de Falla'!HR45="","",'[3]Tasa de Falla'!HR45)</f>
      </c>
      <c r="L46" s="664">
        <f>IF('[3]Tasa de Falla'!HS45="","",'[3]Tasa de Falla'!HS45)</f>
      </c>
      <c r="M46" s="664">
        <f>IF('[3]Tasa de Falla'!HT45="","",'[3]Tasa de Falla'!HT45)</f>
      </c>
      <c r="N46" s="664">
        <f>IF('[3]Tasa de Falla'!HU45="","",'[3]Tasa de Falla'!HU45)</f>
      </c>
      <c r="O46" s="664">
        <f>IF('[3]Tasa de Falla'!HV45="","",'[3]Tasa de Falla'!HV45)</f>
      </c>
      <c r="P46" s="664">
        <f>IF('[3]Tasa de Falla'!HW45="","",'[3]Tasa de Falla'!HW45)</f>
      </c>
      <c r="Q46" s="664">
        <f>IF('[3]Tasa de Falla'!HX45="","",'[3]Tasa de Falla'!HX45)</f>
      </c>
      <c r="R46" s="664">
        <f>IF('[3]Tasa de Falla'!HY45="","",'[3]Tasa de Falla'!HY45)</f>
      </c>
      <c r="S46" s="662"/>
      <c r="T46" s="3"/>
    </row>
    <row r="47" spans="2:20" ht="15" customHeight="1">
      <c r="B47" s="2"/>
      <c r="C47" s="663">
        <f>IF('[3]Tasa de Falla'!C46="","",'[3]Tasa de Falla'!C46)</f>
      </c>
      <c r="D47" s="663">
        <f>IF('[3]Tasa de Falla'!D46="","",'[3]Tasa de Falla'!D46)</f>
      </c>
      <c r="E47" s="663">
        <f>IF('[3]Tasa de Falla'!E46="","",'[3]Tasa de Falla'!E46)</f>
      </c>
      <c r="F47" s="663">
        <f>IF('[3]Tasa de Falla'!F46="","",'[3]Tasa de Falla'!F46)</f>
      </c>
      <c r="G47" s="664">
        <f>IF('[3]Tasa de Falla'!HN46="","",'[3]Tasa de Falla'!HN46)</f>
      </c>
      <c r="H47" s="664">
        <f>IF('[3]Tasa de Falla'!HO46="","",'[3]Tasa de Falla'!HO46)</f>
      </c>
      <c r="I47" s="664">
        <f>IF('[3]Tasa de Falla'!HP46="","",'[3]Tasa de Falla'!HP46)</f>
      </c>
      <c r="J47" s="664">
        <f>IF('[3]Tasa de Falla'!HQ46="","",'[3]Tasa de Falla'!HQ46)</f>
      </c>
      <c r="K47" s="664">
        <f>IF('[3]Tasa de Falla'!HR46="","",'[3]Tasa de Falla'!HR46)</f>
      </c>
      <c r="L47" s="664">
        <f>IF('[3]Tasa de Falla'!HS46="","",'[3]Tasa de Falla'!HS46)</f>
      </c>
      <c r="M47" s="664">
        <f>IF('[3]Tasa de Falla'!HT46="","",'[3]Tasa de Falla'!HT46)</f>
      </c>
      <c r="N47" s="664">
        <f>IF('[3]Tasa de Falla'!HU46="","",'[3]Tasa de Falla'!HU46)</f>
      </c>
      <c r="O47" s="664">
        <f>IF('[3]Tasa de Falla'!HV46="","",'[3]Tasa de Falla'!HV46)</f>
      </c>
      <c r="P47" s="664">
        <f>IF('[3]Tasa de Falla'!HW46="","",'[3]Tasa de Falla'!HW46)</f>
      </c>
      <c r="Q47" s="664">
        <f>IF('[3]Tasa de Falla'!HX46="","",'[3]Tasa de Falla'!HX46)</f>
      </c>
      <c r="R47" s="664">
        <f>IF('[3]Tasa de Falla'!HY46="","",'[3]Tasa de Falla'!HY46)</f>
      </c>
      <c r="S47" s="662"/>
      <c r="T47" s="3"/>
    </row>
    <row r="48" spans="2:20" ht="15" customHeight="1">
      <c r="B48" s="2"/>
      <c r="C48" s="665">
        <f>IF('[3]Tasa de Falla'!C47="","",'[3]Tasa de Falla'!C47)</f>
        <v>19</v>
      </c>
      <c r="D48" s="665" t="str">
        <f>IF('[3]Tasa de Falla'!D47="","",'[3]Tasa de Falla'!D47)</f>
        <v>PUNTA COLORADA - SIERRA GRANDE</v>
      </c>
      <c r="E48" s="665">
        <f>IF('[3]Tasa de Falla'!E47="","",'[3]Tasa de Falla'!E47)</f>
        <v>132</v>
      </c>
      <c r="F48" s="665">
        <f>IF('[3]Tasa de Falla'!F47="","",'[3]Tasa de Falla'!F47)</f>
        <v>31</v>
      </c>
      <c r="G48" s="666">
        <f>IF('[3]Tasa de Falla'!HN47="","",'[3]Tasa de Falla'!HN47)</f>
      </c>
      <c r="H48" s="666">
        <f>IF('[3]Tasa de Falla'!HO47="","",'[3]Tasa de Falla'!HO47)</f>
      </c>
      <c r="I48" s="666">
        <f>IF('[3]Tasa de Falla'!HP47="","",'[3]Tasa de Falla'!HP47)</f>
      </c>
      <c r="J48" s="666">
        <f>IF('[3]Tasa de Falla'!HQ47="","",'[3]Tasa de Falla'!HQ47)</f>
      </c>
      <c r="K48" s="666">
        <f>IF('[3]Tasa de Falla'!HR47="","",'[3]Tasa de Falla'!HR47)</f>
      </c>
      <c r="L48" s="666">
        <f>IF('[3]Tasa de Falla'!HS47="","",'[3]Tasa de Falla'!HS47)</f>
      </c>
      <c r="M48" s="666">
        <f>IF('[3]Tasa de Falla'!HT47="","",'[3]Tasa de Falla'!HT47)</f>
      </c>
      <c r="N48" s="666">
        <f>IF('[3]Tasa de Falla'!HU47="","",'[3]Tasa de Falla'!HU47)</f>
      </c>
      <c r="O48" s="666">
        <f>IF('[3]Tasa de Falla'!HV47="","",'[3]Tasa de Falla'!HV47)</f>
      </c>
      <c r="P48" s="666">
        <f>IF('[3]Tasa de Falla'!HW47="","",'[3]Tasa de Falla'!HW47)</f>
      </c>
      <c r="Q48" s="666">
        <f>IF('[3]Tasa de Falla'!HX47="","",'[3]Tasa de Falla'!HX47)</f>
      </c>
      <c r="R48" s="666">
        <f>IF('[3]Tasa de Falla'!HY47="","",'[3]Tasa de Falla'!HY47)</f>
      </c>
      <c r="S48" s="662"/>
      <c r="T48" s="3"/>
    </row>
    <row r="49" spans="2:20" ht="18" customHeight="1">
      <c r="B49" s="2"/>
      <c r="C49" s="663">
        <f>IF('[3]Tasa de Falla'!C48="","",'[3]Tasa de Falla'!C48)</f>
        <v>20</v>
      </c>
      <c r="D49" s="663" t="str">
        <f>IF('[3]Tasa de Falla'!D48="","",'[3]Tasa de Falla'!D48)</f>
        <v>CARMEN DE PATAGONES - VIEDMA</v>
      </c>
      <c r="E49" s="663">
        <f>IF('[3]Tasa de Falla'!E48="","",'[3]Tasa de Falla'!E48)</f>
        <v>132</v>
      </c>
      <c r="F49" s="663">
        <f>IF('[3]Tasa de Falla'!F48="","",'[3]Tasa de Falla'!F48)</f>
        <v>7</v>
      </c>
      <c r="G49" s="664" t="str">
        <f>IF('[3]Tasa de Falla'!HN48="","",'[3]Tasa de Falla'!HN48)</f>
        <v>XXXX</v>
      </c>
      <c r="H49" s="664" t="str">
        <f>IF('[3]Tasa de Falla'!HO48="","",'[3]Tasa de Falla'!HO48)</f>
        <v>XXXX</v>
      </c>
      <c r="I49" s="664" t="str">
        <f>IF('[3]Tasa de Falla'!HP48="","",'[3]Tasa de Falla'!HP48)</f>
        <v>XXXX</v>
      </c>
      <c r="J49" s="664" t="str">
        <f>IF('[3]Tasa de Falla'!HQ48="","",'[3]Tasa de Falla'!HQ48)</f>
        <v>XXXX</v>
      </c>
      <c r="K49" s="664" t="str">
        <f>IF('[3]Tasa de Falla'!HR48="","",'[3]Tasa de Falla'!HR48)</f>
        <v>XXXX</v>
      </c>
      <c r="L49" s="664" t="str">
        <f>IF('[3]Tasa de Falla'!HS48="","",'[3]Tasa de Falla'!HS48)</f>
        <v>XXXX</v>
      </c>
      <c r="M49" s="664" t="str">
        <f>IF('[3]Tasa de Falla'!HT48="","",'[3]Tasa de Falla'!HT48)</f>
        <v>XXXX</v>
      </c>
      <c r="N49" s="664" t="str">
        <f>IF('[3]Tasa de Falla'!HU48="","",'[3]Tasa de Falla'!HU48)</f>
        <v>XXXX</v>
      </c>
      <c r="O49" s="664" t="str">
        <f>IF('[3]Tasa de Falla'!HV48="","",'[3]Tasa de Falla'!HV48)</f>
        <v>XXXX</v>
      </c>
      <c r="P49" s="664" t="str">
        <f>IF('[3]Tasa de Falla'!HW48="","",'[3]Tasa de Falla'!HW48)</f>
        <v>XXXX</v>
      </c>
      <c r="Q49" s="664" t="str">
        <f>IF('[3]Tasa de Falla'!HX48="","",'[3]Tasa de Falla'!HX48)</f>
        <v>XXXX</v>
      </c>
      <c r="R49" s="664" t="str">
        <f>IF('[3]Tasa de Falla'!HY48="","",'[3]Tasa de Falla'!HY48)</f>
        <v>XXXX</v>
      </c>
      <c r="S49" s="662"/>
      <c r="T49" s="3"/>
    </row>
    <row r="50" spans="2:20" ht="15" customHeight="1">
      <c r="B50" s="2"/>
      <c r="C50" s="665">
        <f>IF('[3]Tasa de Falla'!C49="","",'[3]Tasa de Falla'!C49)</f>
      </c>
      <c r="D50" s="665" t="str">
        <f>IF('[3]Tasa de Falla'!D49="","",'[3]Tasa de Falla'!D49)</f>
        <v>CARMEN DE PATAGONES - VIEDMA</v>
      </c>
      <c r="E50" s="665">
        <f>IF('[3]Tasa de Falla'!E49="","",'[3]Tasa de Falla'!E49)</f>
        <v>132</v>
      </c>
      <c r="F50" s="665">
        <f>IF('[3]Tasa de Falla'!F49="","",'[3]Tasa de Falla'!F49)</f>
        <v>4.4</v>
      </c>
      <c r="G50" s="666">
        <f>IF('[3]Tasa de Falla'!HN49="","",'[3]Tasa de Falla'!HN49)</f>
      </c>
      <c r="H50" s="666">
        <f>IF('[3]Tasa de Falla'!HO49="","",'[3]Tasa de Falla'!HO49)</f>
      </c>
      <c r="I50" s="666">
        <f>IF('[3]Tasa de Falla'!HP49="","",'[3]Tasa de Falla'!HP49)</f>
      </c>
      <c r="J50" s="666">
        <f>IF('[3]Tasa de Falla'!HQ49="","",'[3]Tasa de Falla'!HQ49)</f>
      </c>
      <c r="K50" s="666">
        <f>IF('[3]Tasa de Falla'!HR49="","",'[3]Tasa de Falla'!HR49)</f>
      </c>
      <c r="L50" s="666">
        <f>IF('[3]Tasa de Falla'!HS49="","",'[3]Tasa de Falla'!HS49)</f>
      </c>
      <c r="M50" s="666">
        <f>IF('[3]Tasa de Falla'!HT49="","",'[3]Tasa de Falla'!HT49)</f>
      </c>
      <c r="N50" s="666">
        <f>IF('[3]Tasa de Falla'!HU49="","",'[3]Tasa de Falla'!HU49)</f>
      </c>
      <c r="O50" s="666">
        <f>IF('[3]Tasa de Falla'!HV49="","",'[3]Tasa de Falla'!HV49)</f>
      </c>
      <c r="P50" s="666">
        <f>IF('[3]Tasa de Falla'!HW49="","",'[3]Tasa de Falla'!HW49)</f>
      </c>
      <c r="Q50" s="666">
        <f>IF('[3]Tasa de Falla'!HX49="","",'[3]Tasa de Falla'!HX49)</f>
      </c>
      <c r="R50" s="666">
        <f>IF('[3]Tasa de Falla'!HY49="","",'[3]Tasa de Falla'!HY49)</f>
      </c>
      <c r="S50" s="662"/>
      <c r="T50" s="3"/>
    </row>
    <row r="51" spans="2:20" ht="18" customHeight="1">
      <c r="B51" s="2"/>
      <c r="C51" s="663">
        <f>IF('[3]Tasa de Falla'!C50="","",'[3]Tasa de Falla'!C50)</f>
        <v>21</v>
      </c>
      <c r="D51" s="663" t="str">
        <f>IF('[3]Tasa de Falla'!D50="","",'[3]Tasa de Falla'!D50)</f>
        <v>SAN ANTONIO OESTE - SIERRA GRANDE</v>
      </c>
      <c r="E51" s="663">
        <f>IF('[3]Tasa de Falla'!E50="","",'[3]Tasa de Falla'!E50)</f>
        <v>132</v>
      </c>
      <c r="F51" s="663">
        <f>IF('[3]Tasa de Falla'!F50="","",'[3]Tasa de Falla'!F50)</f>
        <v>110.3</v>
      </c>
      <c r="G51" s="664">
        <f>IF('[3]Tasa de Falla'!HN50="","",'[3]Tasa de Falla'!HN50)</f>
      </c>
      <c r="H51" s="664">
        <f>IF('[3]Tasa de Falla'!HO50="","",'[3]Tasa de Falla'!HO50)</f>
      </c>
      <c r="I51" s="664">
        <f>IF('[3]Tasa de Falla'!HP50="","",'[3]Tasa de Falla'!HP50)</f>
      </c>
      <c r="J51" s="664">
        <f>IF('[3]Tasa de Falla'!HQ50="","",'[3]Tasa de Falla'!HQ50)</f>
      </c>
      <c r="K51" s="664">
        <f>IF('[3]Tasa de Falla'!HR50="","",'[3]Tasa de Falla'!HR50)</f>
      </c>
      <c r="L51" s="664">
        <f>IF('[3]Tasa de Falla'!HS50="","",'[3]Tasa de Falla'!HS50)</f>
      </c>
      <c r="M51" s="664">
        <f>IF('[3]Tasa de Falla'!HT50="","",'[3]Tasa de Falla'!HT50)</f>
      </c>
      <c r="N51" s="664">
        <f>IF('[3]Tasa de Falla'!HU50="","",'[3]Tasa de Falla'!HU50)</f>
      </c>
      <c r="O51" s="664">
        <f>IF('[3]Tasa de Falla'!HV50="","",'[3]Tasa de Falla'!HV50)</f>
      </c>
      <c r="P51" s="664">
        <f>IF('[3]Tasa de Falla'!HW50="","",'[3]Tasa de Falla'!HW50)</f>
      </c>
      <c r="Q51" s="664">
        <f>IF('[3]Tasa de Falla'!HX50="","",'[3]Tasa de Falla'!HX50)</f>
      </c>
      <c r="R51" s="664">
        <f>IF('[3]Tasa de Falla'!HY50="","",'[3]Tasa de Falla'!HY50)</f>
      </c>
      <c r="S51" s="662"/>
      <c r="T51" s="3"/>
    </row>
    <row r="52" spans="2:20" ht="15" customHeight="1">
      <c r="B52" s="2"/>
      <c r="C52" s="665">
        <f>IF('[3]Tasa de Falla'!C51="","",'[3]Tasa de Falla'!C51)</f>
        <v>22</v>
      </c>
      <c r="D52" s="665" t="str">
        <f>IF('[3]Tasa de Falla'!D51="","",'[3]Tasa de Falla'!D51)</f>
        <v>SAN ANTONIO OESTE -VIEDMA-SAN ANTONIO ESTE</v>
      </c>
      <c r="E52" s="665">
        <f>IF('[3]Tasa de Falla'!E51="","",'[3]Tasa de Falla'!E51)</f>
        <v>132</v>
      </c>
      <c r="F52" s="665">
        <f>IF('[3]Tasa de Falla'!F51="","",'[3]Tasa de Falla'!F51)</f>
        <v>185.6</v>
      </c>
      <c r="G52" s="666">
        <f>IF('[3]Tasa de Falla'!HN51="","",'[3]Tasa de Falla'!HN51)</f>
        <v>2</v>
      </c>
      <c r="H52" s="666">
        <f>IF('[3]Tasa de Falla'!HO51="","",'[3]Tasa de Falla'!HO51)</f>
      </c>
      <c r="I52" s="666">
        <f>IF('[3]Tasa de Falla'!HP51="","",'[3]Tasa de Falla'!HP51)</f>
      </c>
      <c r="J52" s="666">
        <f>IF('[3]Tasa de Falla'!HQ51="","",'[3]Tasa de Falla'!HQ51)</f>
        <v>2</v>
      </c>
      <c r="K52" s="666">
        <f>IF('[3]Tasa de Falla'!HR51="","",'[3]Tasa de Falla'!HR51)</f>
      </c>
      <c r="L52" s="666">
        <f>IF('[3]Tasa de Falla'!HS51="","",'[3]Tasa de Falla'!HS51)</f>
        <v>1</v>
      </c>
      <c r="M52" s="666">
        <f>IF('[3]Tasa de Falla'!HT51="","",'[3]Tasa de Falla'!HT51)</f>
      </c>
      <c r="N52" s="666">
        <f>IF('[3]Tasa de Falla'!HU51="","",'[3]Tasa de Falla'!HU51)</f>
      </c>
      <c r="O52" s="666">
        <f>IF('[3]Tasa de Falla'!HV51="","",'[3]Tasa de Falla'!HV51)</f>
      </c>
      <c r="P52" s="666">
        <f>IF('[3]Tasa de Falla'!HW51="","",'[3]Tasa de Falla'!HW51)</f>
      </c>
      <c r="Q52" s="666">
        <f>IF('[3]Tasa de Falla'!HX51="","",'[3]Tasa de Falla'!HX51)</f>
      </c>
      <c r="R52" s="666">
        <f>IF('[3]Tasa de Falla'!HY51="","",'[3]Tasa de Falla'!HY51)</f>
      </c>
      <c r="S52" s="662"/>
      <c r="T52" s="3"/>
    </row>
    <row r="53" spans="2:20" ht="18" customHeight="1">
      <c r="B53" s="2"/>
      <c r="C53" s="663">
        <f>IF('[3]Tasa de Falla'!C52="","",'[3]Tasa de Falla'!C52)</f>
        <v>32</v>
      </c>
      <c r="D53" s="663" t="str">
        <f>IF('[3]Tasa de Falla'!D52="","",'[3]Tasa de Falla'!D52)</f>
        <v>SAN ANTONIO ESTE - VIEDMA</v>
      </c>
      <c r="E53" s="663">
        <f>IF('[3]Tasa de Falla'!E52="","",'[3]Tasa de Falla'!E52)</f>
        <v>132</v>
      </c>
      <c r="F53" s="663">
        <f>IF('[3]Tasa de Falla'!F52="","",'[3]Tasa de Falla'!F52)</f>
        <v>162.6</v>
      </c>
      <c r="G53" s="664" t="str">
        <f>IF('[3]Tasa de Falla'!HN52="","",'[3]Tasa de Falla'!HN52)</f>
        <v>XXXX</v>
      </c>
      <c r="H53" s="664" t="str">
        <f>IF('[3]Tasa de Falla'!HO52="","",'[3]Tasa de Falla'!HO52)</f>
        <v>XXXX</v>
      </c>
      <c r="I53" s="664" t="str">
        <f>IF('[3]Tasa de Falla'!HP52="","",'[3]Tasa de Falla'!HP52)</f>
        <v>XXXX</v>
      </c>
      <c r="J53" s="664" t="str">
        <f>IF('[3]Tasa de Falla'!HQ52="","",'[3]Tasa de Falla'!HQ52)</f>
        <v>XXXX</v>
      </c>
      <c r="K53" s="664" t="str">
        <f>IF('[3]Tasa de Falla'!HR52="","",'[3]Tasa de Falla'!HR52)</f>
        <v>XXXX</v>
      </c>
      <c r="L53" s="664" t="str">
        <f>IF('[3]Tasa de Falla'!HS52="","",'[3]Tasa de Falla'!HS52)</f>
        <v>XXXX</v>
      </c>
      <c r="M53" s="664" t="str">
        <f>IF('[3]Tasa de Falla'!HT52="","",'[3]Tasa de Falla'!HT52)</f>
        <v>XXXX</v>
      </c>
      <c r="N53" s="664" t="str">
        <f>IF('[3]Tasa de Falla'!HU52="","",'[3]Tasa de Falla'!HU52)</f>
        <v>XXXX</v>
      </c>
      <c r="O53" s="664" t="str">
        <f>IF('[3]Tasa de Falla'!HV52="","",'[3]Tasa de Falla'!HV52)</f>
        <v>XXXX</v>
      </c>
      <c r="P53" s="664" t="str">
        <f>IF('[3]Tasa de Falla'!HW52="","",'[3]Tasa de Falla'!HW52)</f>
        <v>XXXX</v>
      </c>
      <c r="Q53" s="664" t="str">
        <f>IF('[3]Tasa de Falla'!HX52="","",'[3]Tasa de Falla'!HX52)</f>
        <v>XXXX</v>
      </c>
      <c r="R53" s="664" t="str">
        <f>IF('[3]Tasa de Falla'!HY52="","",'[3]Tasa de Falla'!HY52)</f>
        <v>XXXX</v>
      </c>
      <c r="S53" s="662"/>
      <c r="T53" s="3"/>
    </row>
    <row r="54" spans="2:20" ht="15" customHeight="1">
      <c r="B54" s="2"/>
      <c r="C54" s="665">
        <f>IF('[3]Tasa de Falla'!C53="","",'[3]Tasa de Falla'!C53)</f>
      </c>
      <c r="D54" s="665">
        <f>IF('[3]Tasa de Falla'!D53="","",'[3]Tasa de Falla'!D53)</f>
      </c>
      <c r="E54" s="665">
        <f>IF('[3]Tasa de Falla'!E53="","",'[3]Tasa de Falla'!E53)</f>
      </c>
      <c r="F54" s="665">
        <f>IF('[3]Tasa de Falla'!F53="","",'[3]Tasa de Falla'!F53)</f>
      </c>
      <c r="G54" s="666">
        <f>IF('[3]Tasa de Falla'!HN53="","",'[3]Tasa de Falla'!HN53)</f>
      </c>
      <c r="H54" s="666">
        <f>IF('[3]Tasa de Falla'!HO53="","",'[3]Tasa de Falla'!HO53)</f>
      </c>
      <c r="I54" s="666">
        <f>IF('[3]Tasa de Falla'!HP53="","",'[3]Tasa de Falla'!HP53)</f>
      </c>
      <c r="J54" s="666">
        <f>IF('[3]Tasa de Falla'!HQ53="","",'[3]Tasa de Falla'!HQ53)</f>
      </c>
      <c r="K54" s="666">
        <f>IF('[3]Tasa de Falla'!HR53="","",'[3]Tasa de Falla'!HR53)</f>
      </c>
      <c r="L54" s="666">
        <f>IF('[3]Tasa de Falla'!HS53="","",'[3]Tasa de Falla'!HS53)</f>
      </c>
      <c r="M54" s="666">
        <f>IF('[3]Tasa de Falla'!HT53="","",'[3]Tasa de Falla'!HT53)</f>
      </c>
      <c r="N54" s="666">
        <f>IF('[3]Tasa de Falla'!HU53="","",'[3]Tasa de Falla'!HU53)</f>
      </c>
      <c r="O54" s="666">
        <f>IF('[3]Tasa de Falla'!HV53="","",'[3]Tasa de Falla'!HV53)</f>
      </c>
      <c r="P54" s="666">
        <f>IF('[3]Tasa de Falla'!HW53="","",'[3]Tasa de Falla'!HW53)</f>
      </c>
      <c r="Q54" s="666">
        <f>IF('[3]Tasa de Falla'!HX53="","",'[3]Tasa de Falla'!HX53)</f>
      </c>
      <c r="R54" s="666">
        <f>IF('[3]Tasa de Falla'!HY53="","",'[3]Tasa de Falla'!HY53)</f>
      </c>
      <c r="S54" s="662"/>
      <c r="T54" s="3"/>
    </row>
    <row r="55" spans="2:20" ht="18" customHeight="1">
      <c r="B55" s="2"/>
      <c r="C55" s="663">
        <f>IF('[3]Tasa de Falla'!C54="","",'[3]Tasa de Falla'!C54)</f>
        <v>23</v>
      </c>
      <c r="D55" s="663" t="str">
        <f>IF('[3]Tasa de Falla'!D54="","",'[3]Tasa de Falla'!D54)</f>
        <v>PICO TRUNCADO I - PUERTO DESEADO</v>
      </c>
      <c r="E55" s="663">
        <f>IF('[3]Tasa de Falla'!E54="","",'[3]Tasa de Falla'!E54)</f>
        <v>132</v>
      </c>
      <c r="F55" s="663">
        <f>IF('[3]Tasa de Falla'!F54="","",'[3]Tasa de Falla'!F54)</f>
        <v>209</v>
      </c>
      <c r="G55" s="664" t="str">
        <f>IF('[3]Tasa de Falla'!HN54="","",'[3]Tasa de Falla'!HN54)</f>
        <v>XXXX</v>
      </c>
      <c r="H55" s="664" t="str">
        <f>IF('[3]Tasa de Falla'!HO54="","",'[3]Tasa de Falla'!HO54)</f>
        <v>XXXX</v>
      </c>
      <c r="I55" s="664" t="str">
        <f>IF('[3]Tasa de Falla'!HP54="","",'[3]Tasa de Falla'!HP54)</f>
        <v>XXXX</v>
      </c>
      <c r="J55" s="664" t="str">
        <f>IF('[3]Tasa de Falla'!HQ54="","",'[3]Tasa de Falla'!HQ54)</f>
        <v>XXXX</v>
      </c>
      <c r="K55" s="664" t="str">
        <f>IF('[3]Tasa de Falla'!HR54="","",'[3]Tasa de Falla'!HR54)</f>
        <v>XXXX</v>
      </c>
      <c r="L55" s="664" t="str">
        <f>IF('[3]Tasa de Falla'!HS54="","",'[3]Tasa de Falla'!HS54)</f>
        <v>XXXX</v>
      </c>
      <c r="M55" s="664" t="str">
        <f>IF('[3]Tasa de Falla'!HT54="","",'[3]Tasa de Falla'!HT54)</f>
        <v>XXXX</v>
      </c>
      <c r="N55" s="664" t="str">
        <f>IF('[3]Tasa de Falla'!HU54="","",'[3]Tasa de Falla'!HU54)</f>
        <v>XXXX</v>
      </c>
      <c r="O55" s="664" t="str">
        <f>IF('[3]Tasa de Falla'!HV54="","",'[3]Tasa de Falla'!HV54)</f>
        <v>XXXX</v>
      </c>
      <c r="P55" s="664" t="str">
        <f>IF('[3]Tasa de Falla'!HW54="","",'[3]Tasa de Falla'!HW54)</f>
        <v>XXXX</v>
      </c>
      <c r="Q55" s="664" t="str">
        <f>IF('[3]Tasa de Falla'!HX54="","",'[3]Tasa de Falla'!HX54)</f>
        <v>XXXX</v>
      </c>
      <c r="R55" s="664" t="str">
        <f>IF('[3]Tasa de Falla'!HY54="","",'[3]Tasa de Falla'!HY54)</f>
        <v>XXXX</v>
      </c>
      <c r="S55" s="662"/>
      <c r="T55" s="3"/>
    </row>
    <row r="56" spans="2:20" ht="15" customHeight="1">
      <c r="B56" s="2"/>
      <c r="C56" s="665">
        <f>IF('[3]Tasa de Falla'!C55="","",'[3]Tasa de Falla'!C55)</f>
        <v>35</v>
      </c>
      <c r="D56" s="665" t="str">
        <f>IF('[3]Tasa de Falla'!D55="","",'[3]Tasa de Falla'!D55)</f>
        <v>PICO TRUNCADO I - PTQ C.RIVADAVIA</v>
      </c>
      <c r="E56" s="665">
        <f>IF('[3]Tasa de Falla'!E55="","",'[3]Tasa de Falla'!E55)</f>
        <v>132</v>
      </c>
      <c r="F56" s="665">
        <f>IF('[3]Tasa de Falla'!F55="","",'[3]Tasa de Falla'!F55)</f>
        <v>1.5</v>
      </c>
      <c r="G56" s="666">
        <f>IF('[3]Tasa de Falla'!HN55="","",'[3]Tasa de Falla'!HN55)</f>
      </c>
      <c r="H56" s="666">
        <f>IF('[3]Tasa de Falla'!HO55="","",'[3]Tasa de Falla'!HO55)</f>
      </c>
      <c r="I56" s="666">
        <f>IF('[3]Tasa de Falla'!HP55="","",'[3]Tasa de Falla'!HP55)</f>
      </c>
      <c r="J56" s="666">
        <f>IF('[3]Tasa de Falla'!HQ55="","",'[3]Tasa de Falla'!HQ55)</f>
      </c>
      <c r="K56" s="666">
        <f>IF('[3]Tasa de Falla'!HR55="","",'[3]Tasa de Falla'!HR55)</f>
      </c>
      <c r="L56" s="666">
        <f>IF('[3]Tasa de Falla'!HS55="","",'[3]Tasa de Falla'!HS55)</f>
      </c>
      <c r="M56" s="666">
        <f>IF('[3]Tasa de Falla'!HT55="","",'[3]Tasa de Falla'!HT55)</f>
      </c>
      <c r="N56" s="666">
        <f>IF('[3]Tasa de Falla'!HU55="","",'[3]Tasa de Falla'!HU55)</f>
      </c>
      <c r="O56" s="666">
        <f>IF('[3]Tasa de Falla'!HV55="","",'[3]Tasa de Falla'!HV55)</f>
      </c>
      <c r="P56" s="666">
        <f>IF('[3]Tasa de Falla'!HW55="","",'[3]Tasa de Falla'!HW55)</f>
      </c>
      <c r="Q56" s="666">
        <f>IF('[3]Tasa de Falla'!HX55="","",'[3]Tasa de Falla'!HX55)</f>
      </c>
      <c r="R56" s="666">
        <f>IF('[3]Tasa de Falla'!HY55="","",'[3]Tasa de Falla'!HY55)</f>
      </c>
      <c r="S56" s="662"/>
      <c r="T56" s="3"/>
    </row>
    <row r="57" spans="2:20" ht="18" customHeight="1">
      <c r="B57" s="2"/>
      <c r="C57" s="663">
        <f>IF('[3]Tasa de Falla'!C56="","",'[3]Tasa de Falla'!C56)</f>
        <v>36</v>
      </c>
      <c r="D57" s="663" t="str">
        <f>IF('[3]Tasa de Falla'!D56="","",'[3]Tasa de Falla'!D56)</f>
        <v>PTQ C.RIVADAVIA - P.DESEADO</v>
      </c>
      <c r="E57" s="663">
        <f>IF('[3]Tasa de Falla'!E56="","",'[3]Tasa de Falla'!E56)</f>
        <v>132</v>
      </c>
      <c r="F57" s="663">
        <f>IF('[3]Tasa de Falla'!F56="","",'[3]Tasa de Falla'!F56)</f>
        <v>207.5</v>
      </c>
      <c r="G57" s="664">
        <f>IF('[3]Tasa de Falla'!HN56="","",'[3]Tasa de Falla'!HN56)</f>
      </c>
      <c r="H57" s="664">
        <f>IF('[3]Tasa de Falla'!HO56="","",'[3]Tasa de Falla'!HO56)</f>
      </c>
      <c r="I57" s="664">
        <f>IF('[3]Tasa de Falla'!HP56="","",'[3]Tasa de Falla'!HP56)</f>
      </c>
      <c r="J57" s="664">
        <f>IF('[3]Tasa de Falla'!HQ56="","",'[3]Tasa de Falla'!HQ56)</f>
      </c>
      <c r="K57" s="664">
        <f>IF('[3]Tasa de Falla'!HR56="","",'[3]Tasa de Falla'!HR56)</f>
      </c>
      <c r="L57" s="664">
        <f>IF('[3]Tasa de Falla'!HS56="","",'[3]Tasa de Falla'!HS56)</f>
      </c>
      <c r="M57" s="664">
        <f>IF('[3]Tasa de Falla'!HT56="","",'[3]Tasa de Falla'!HT56)</f>
        <v>2</v>
      </c>
      <c r="N57" s="664">
        <f>IF('[3]Tasa de Falla'!HU56="","",'[3]Tasa de Falla'!HU56)</f>
      </c>
      <c r="O57" s="664">
        <f>IF('[3]Tasa de Falla'!HV56="","",'[3]Tasa de Falla'!HV56)</f>
      </c>
      <c r="P57" s="664">
        <f>IF('[3]Tasa de Falla'!HW56="","",'[3]Tasa de Falla'!HW56)</f>
      </c>
      <c r="Q57" s="664">
        <f>IF('[3]Tasa de Falla'!HX56="","",'[3]Tasa de Falla'!HX56)</f>
      </c>
      <c r="R57" s="664">
        <f>IF('[3]Tasa de Falla'!HY56="","",'[3]Tasa de Falla'!HY56)</f>
      </c>
      <c r="S57" s="662"/>
      <c r="T57" s="3"/>
    </row>
    <row r="58" spans="2:20" ht="15" customHeight="1">
      <c r="B58" s="2"/>
      <c r="C58" s="665">
        <f>IF('[3]Tasa de Falla'!C57="","",'[3]Tasa de Falla'!C57)</f>
      </c>
      <c r="D58" s="665">
        <f>IF('[3]Tasa de Falla'!D57="","",'[3]Tasa de Falla'!D57)</f>
      </c>
      <c r="E58" s="665">
        <f>IF('[3]Tasa de Falla'!E57="","",'[3]Tasa de Falla'!E57)</f>
      </c>
      <c r="F58" s="665">
        <f>IF('[3]Tasa de Falla'!F57="","",'[3]Tasa de Falla'!F57)</f>
      </c>
      <c r="G58" s="666">
        <f>IF('[3]Tasa de Falla'!HN57="","",'[3]Tasa de Falla'!HN57)</f>
      </c>
      <c r="H58" s="666">
        <f>IF('[3]Tasa de Falla'!HO57="","",'[3]Tasa de Falla'!HO57)</f>
      </c>
      <c r="I58" s="666">
        <f>IF('[3]Tasa de Falla'!HP57="","",'[3]Tasa de Falla'!HP57)</f>
      </c>
      <c r="J58" s="666">
        <f>IF('[3]Tasa de Falla'!HQ57="","",'[3]Tasa de Falla'!HQ57)</f>
      </c>
      <c r="K58" s="666">
        <f>IF('[3]Tasa de Falla'!HR57="","",'[3]Tasa de Falla'!HR57)</f>
      </c>
      <c r="L58" s="666">
        <f>IF('[3]Tasa de Falla'!HS57="","",'[3]Tasa de Falla'!HS57)</f>
      </c>
      <c r="M58" s="666">
        <f>IF('[3]Tasa de Falla'!HT57="","",'[3]Tasa de Falla'!HT57)</f>
      </c>
      <c r="N58" s="666">
        <f>IF('[3]Tasa de Falla'!HU57="","",'[3]Tasa de Falla'!HU57)</f>
      </c>
      <c r="O58" s="666">
        <f>IF('[3]Tasa de Falla'!HV57="","",'[3]Tasa de Falla'!HV57)</f>
      </c>
      <c r="P58" s="666">
        <f>IF('[3]Tasa de Falla'!HW57="","",'[3]Tasa de Falla'!HW57)</f>
      </c>
      <c r="Q58" s="666">
        <f>IF('[3]Tasa de Falla'!HX57="","",'[3]Tasa de Falla'!HX57)</f>
      </c>
      <c r="R58" s="666">
        <f>IF('[3]Tasa de Falla'!HY57="","",'[3]Tasa de Falla'!HY57)</f>
      </c>
      <c r="S58" s="662"/>
      <c r="T58" s="3"/>
    </row>
    <row r="59" spans="2:20" ht="18" customHeight="1">
      <c r="B59" s="2"/>
      <c r="C59" s="663">
        <f>IF('[3]Tasa de Falla'!C58="","",'[3]Tasa de Falla'!C58)</f>
        <v>24</v>
      </c>
      <c r="D59" s="663" t="str">
        <f>IF('[3]Tasa de Falla'!D58="","",'[3]Tasa de Falla'!D58)</f>
        <v>E.T. PATAGONIA - PAMPA DEL CASTILLO</v>
      </c>
      <c r="E59" s="663">
        <f>IF('[3]Tasa de Falla'!E58="","",'[3]Tasa de Falla'!E58)</f>
        <v>132</v>
      </c>
      <c r="F59" s="663">
        <f>IF('[3]Tasa de Falla'!F58="","",'[3]Tasa de Falla'!F58)</f>
        <v>42.6</v>
      </c>
      <c r="G59" s="664" t="str">
        <f>IF('[3]Tasa de Falla'!HN58="","",'[3]Tasa de Falla'!HN58)</f>
        <v>XXXX</v>
      </c>
      <c r="H59" s="664" t="str">
        <f>IF('[3]Tasa de Falla'!HO58="","",'[3]Tasa de Falla'!HO58)</f>
        <v>XXXX</v>
      </c>
      <c r="I59" s="664" t="str">
        <f>IF('[3]Tasa de Falla'!HP58="","",'[3]Tasa de Falla'!HP58)</f>
        <v>XXXX</v>
      </c>
      <c r="J59" s="664" t="str">
        <f>IF('[3]Tasa de Falla'!HQ58="","",'[3]Tasa de Falla'!HQ58)</f>
        <v>XXXX</v>
      </c>
      <c r="K59" s="664" t="str">
        <f>IF('[3]Tasa de Falla'!HR58="","",'[3]Tasa de Falla'!HR58)</f>
        <v>XXXX</v>
      </c>
      <c r="L59" s="664" t="str">
        <f>IF('[3]Tasa de Falla'!HS58="","",'[3]Tasa de Falla'!HS58)</f>
        <v>XXXX</v>
      </c>
      <c r="M59" s="664" t="str">
        <f>IF('[3]Tasa de Falla'!HT58="","",'[3]Tasa de Falla'!HT58)</f>
        <v>XXXX</v>
      </c>
      <c r="N59" s="664" t="str">
        <f>IF('[3]Tasa de Falla'!HU58="","",'[3]Tasa de Falla'!HU58)</f>
        <v>XXXX</v>
      </c>
      <c r="O59" s="664" t="str">
        <f>IF('[3]Tasa de Falla'!HV58="","",'[3]Tasa de Falla'!HV58)</f>
        <v>XXXX</v>
      </c>
      <c r="P59" s="664" t="str">
        <f>IF('[3]Tasa de Falla'!HW58="","",'[3]Tasa de Falla'!HW58)</f>
        <v>XXXX</v>
      </c>
      <c r="Q59" s="664" t="str">
        <f>IF('[3]Tasa de Falla'!HX58="","",'[3]Tasa de Falla'!HX58)</f>
        <v>XXXX</v>
      </c>
      <c r="R59" s="664" t="str">
        <f>IF('[3]Tasa de Falla'!HY58="","",'[3]Tasa de Falla'!HY58)</f>
        <v>XXXX</v>
      </c>
      <c r="S59" s="662"/>
      <c r="T59" s="3"/>
    </row>
    <row r="60" spans="2:20" ht="15" customHeight="1">
      <c r="B60" s="2"/>
      <c r="C60" s="665">
        <f>IF('[3]Tasa de Falla'!C59="","",'[3]Tasa de Falla'!C59)</f>
        <v>25</v>
      </c>
      <c r="D60" s="665" t="str">
        <f>IF('[3]Tasa de Falla'!D59="","",'[3]Tasa de Falla'!D59)</f>
        <v>PAMPA DEL CASTILLO - VALLE HERMOSO</v>
      </c>
      <c r="E60" s="665">
        <f>IF('[3]Tasa de Falla'!E59="","",'[3]Tasa de Falla'!E59)</f>
        <v>132</v>
      </c>
      <c r="F60" s="665">
        <f>IF('[3]Tasa de Falla'!F59="","",'[3]Tasa de Falla'!F59)</f>
        <v>33.6</v>
      </c>
      <c r="G60" s="666">
        <f>IF('[3]Tasa de Falla'!HN59="","",'[3]Tasa de Falla'!HN59)</f>
      </c>
      <c r="H60" s="666">
        <f>IF('[3]Tasa de Falla'!HO59="","",'[3]Tasa de Falla'!HO59)</f>
      </c>
      <c r="I60" s="666">
        <f>IF('[3]Tasa de Falla'!HP59="","",'[3]Tasa de Falla'!HP59)</f>
      </c>
      <c r="J60" s="666">
        <f>IF('[3]Tasa de Falla'!HQ59="","",'[3]Tasa de Falla'!HQ59)</f>
      </c>
      <c r="K60" s="666">
        <f>IF('[3]Tasa de Falla'!HR59="","",'[3]Tasa de Falla'!HR59)</f>
      </c>
      <c r="L60" s="666">
        <f>IF('[3]Tasa de Falla'!HS59="","",'[3]Tasa de Falla'!HS59)</f>
      </c>
      <c r="M60" s="666">
        <f>IF('[3]Tasa de Falla'!HT59="","",'[3]Tasa de Falla'!HT59)</f>
      </c>
      <c r="N60" s="666">
        <f>IF('[3]Tasa de Falla'!HU59="","",'[3]Tasa de Falla'!HU59)</f>
      </c>
      <c r="O60" s="666">
        <f>IF('[3]Tasa de Falla'!HV59="","",'[3]Tasa de Falla'!HV59)</f>
      </c>
      <c r="P60" s="666">
        <f>IF('[3]Tasa de Falla'!HW59="","",'[3]Tasa de Falla'!HW59)</f>
        <v>1</v>
      </c>
      <c r="Q60" s="666">
        <f>IF('[3]Tasa de Falla'!HX59="","",'[3]Tasa de Falla'!HX59)</f>
      </c>
      <c r="R60" s="666">
        <f>IF('[3]Tasa de Falla'!HY59="","",'[3]Tasa de Falla'!HY59)</f>
      </c>
      <c r="S60" s="662"/>
      <c r="T60" s="3"/>
    </row>
    <row r="61" spans="2:20" ht="18" customHeight="1">
      <c r="B61" s="2"/>
      <c r="C61" s="663">
        <f>IF('[3]Tasa de Falla'!C60="","",'[3]Tasa de Falla'!C60)</f>
        <v>26</v>
      </c>
      <c r="D61" s="663" t="str">
        <f>IF('[3]Tasa de Falla'!D60="","",'[3]Tasa de Falla'!D60)</f>
        <v>VALLE HERMOSO - CERRO NEGRO</v>
      </c>
      <c r="E61" s="663">
        <f>IF('[3]Tasa de Falla'!E60="","",'[3]Tasa de Falla'!E60)</f>
        <v>132</v>
      </c>
      <c r="F61" s="663">
        <f>IF('[3]Tasa de Falla'!F60="","",'[3]Tasa de Falla'!F60)</f>
        <v>41</v>
      </c>
      <c r="G61" s="664">
        <f>IF('[3]Tasa de Falla'!HN60="","",'[3]Tasa de Falla'!HN60)</f>
      </c>
      <c r="H61" s="664">
        <f>IF('[3]Tasa de Falla'!HO60="","",'[3]Tasa de Falla'!HO60)</f>
      </c>
      <c r="I61" s="664">
        <f>IF('[3]Tasa de Falla'!HP60="","",'[3]Tasa de Falla'!HP60)</f>
      </c>
      <c r="J61" s="664">
        <f>IF('[3]Tasa de Falla'!HQ60="","",'[3]Tasa de Falla'!HQ60)</f>
      </c>
      <c r="K61" s="664">
        <f>IF('[3]Tasa de Falla'!HR60="","",'[3]Tasa de Falla'!HR60)</f>
      </c>
      <c r="L61" s="664">
        <f>IF('[3]Tasa de Falla'!HS60="","",'[3]Tasa de Falla'!HS60)</f>
      </c>
      <c r="M61" s="664">
        <f>IF('[3]Tasa de Falla'!HT60="","",'[3]Tasa de Falla'!HT60)</f>
      </c>
      <c r="N61" s="664">
        <f>IF('[3]Tasa de Falla'!HU60="","",'[3]Tasa de Falla'!HU60)</f>
      </c>
      <c r="O61" s="664">
        <f>IF('[3]Tasa de Falla'!HV60="","",'[3]Tasa de Falla'!HV60)</f>
      </c>
      <c r="P61" s="664">
        <f>IF('[3]Tasa de Falla'!HW60="","",'[3]Tasa de Falla'!HW60)</f>
      </c>
      <c r="Q61" s="664">
        <f>IF('[3]Tasa de Falla'!HX60="","",'[3]Tasa de Falla'!HX60)</f>
      </c>
      <c r="R61" s="664">
        <f>IF('[3]Tasa de Falla'!HY60="","",'[3]Tasa de Falla'!HY60)</f>
      </c>
      <c r="S61" s="662"/>
      <c r="T61" s="3"/>
    </row>
    <row r="62" spans="2:20" ht="15" customHeight="1">
      <c r="B62" s="2"/>
      <c r="C62" s="665">
        <f>IF('[3]Tasa de Falla'!C61="","",'[3]Tasa de Falla'!C61)</f>
        <v>33</v>
      </c>
      <c r="D62" s="665" t="str">
        <f>IF('[3]Tasa de Falla'!D61="","",'[3]Tasa de Falla'!D61)</f>
        <v>E.T. PATAGONIA - DIADEMA</v>
      </c>
      <c r="E62" s="665">
        <f>IF('[3]Tasa de Falla'!E61="","",'[3]Tasa de Falla'!E61)</f>
        <v>132</v>
      </c>
      <c r="F62" s="665">
        <f>IF('[3]Tasa de Falla'!F61="","",'[3]Tasa de Falla'!F61)</f>
        <v>15</v>
      </c>
      <c r="G62" s="666">
        <f>IF('[3]Tasa de Falla'!HN61="","",'[3]Tasa de Falla'!HN61)</f>
      </c>
      <c r="H62" s="666">
        <f>IF('[3]Tasa de Falla'!HO61="","",'[3]Tasa de Falla'!HO61)</f>
      </c>
      <c r="I62" s="666">
        <f>IF('[3]Tasa de Falla'!HP61="","",'[3]Tasa de Falla'!HP61)</f>
      </c>
      <c r="J62" s="666">
        <f>IF('[3]Tasa de Falla'!HQ61="","",'[3]Tasa de Falla'!HQ61)</f>
      </c>
      <c r="K62" s="666">
        <f>IF('[3]Tasa de Falla'!HR61="","",'[3]Tasa de Falla'!HR61)</f>
      </c>
      <c r="L62" s="666">
        <f>IF('[3]Tasa de Falla'!HS61="","",'[3]Tasa de Falla'!HS61)</f>
      </c>
      <c r="M62" s="666">
        <f>IF('[3]Tasa de Falla'!HT61="","",'[3]Tasa de Falla'!HT61)</f>
      </c>
      <c r="N62" s="666">
        <f>IF('[3]Tasa de Falla'!HU61="","",'[3]Tasa de Falla'!HU61)</f>
      </c>
      <c r="O62" s="666">
        <f>IF('[3]Tasa de Falla'!HV61="","",'[3]Tasa de Falla'!HV61)</f>
      </c>
      <c r="P62" s="666">
        <f>IF('[3]Tasa de Falla'!HW61="","",'[3]Tasa de Falla'!HW61)</f>
      </c>
      <c r="Q62" s="666">
        <f>IF('[3]Tasa de Falla'!HX61="","",'[3]Tasa de Falla'!HX61)</f>
      </c>
      <c r="R62" s="666">
        <f>IF('[3]Tasa de Falla'!HY61="","",'[3]Tasa de Falla'!HY61)</f>
      </c>
      <c r="S62" s="662"/>
      <c r="T62" s="3"/>
    </row>
    <row r="63" spans="2:20" ht="18" customHeight="1">
      <c r="B63" s="2"/>
      <c r="C63" s="663">
        <f>IF('[3]Tasa de Falla'!C62="","",'[3]Tasa de Falla'!C62)</f>
        <v>34</v>
      </c>
      <c r="D63" s="663" t="str">
        <f>IF('[3]Tasa de Falla'!D62="","",'[3]Tasa de Falla'!D62)</f>
        <v>DIADEMA - PAMAPA DEL CASTILLO</v>
      </c>
      <c r="E63" s="663">
        <f>IF('[3]Tasa de Falla'!E62="","",'[3]Tasa de Falla'!E62)</f>
        <v>132</v>
      </c>
      <c r="F63" s="663">
        <f>IF('[3]Tasa de Falla'!F62="","",'[3]Tasa de Falla'!F62)</f>
        <v>27.6</v>
      </c>
      <c r="G63" s="664">
        <f>IF('[3]Tasa de Falla'!HN62="","",'[3]Tasa de Falla'!HN62)</f>
        <v>1</v>
      </c>
      <c r="H63" s="664">
        <f>IF('[3]Tasa de Falla'!HO62="","",'[3]Tasa de Falla'!HO62)</f>
      </c>
      <c r="I63" s="664">
        <f>IF('[3]Tasa de Falla'!HP62="","",'[3]Tasa de Falla'!HP62)</f>
      </c>
      <c r="J63" s="664">
        <f>IF('[3]Tasa de Falla'!HQ62="","",'[3]Tasa de Falla'!HQ62)</f>
      </c>
      <c r="K63" s="664">
        <f>IF('[3]Tasa de Falla'!HR62="","",'[3]Tasa de Falla'!HR62)</f>
      </c>
      <c r="L63" s="664">
        <f>IF('[3]Tasa de Falla'!HS62="","",'[3]Tasa de Falla'!HS62)</f>
      </c>
      <c r="M63" s="664">
        <f>IF('[3]Tasa de Falla'!HT62="","",'[3]Tasa de Falla'!HT62)</f>
      </c>
      <c r="N63" s="664">
        <f>IF('[3]Tasa de Falla'!HU62="","",'[3]Tasa de Falla'!HU62)</f>
      </c>
      <c r="O63" s="664">
        <f>IF('[3]Tasa de Falla'!HV62="","",'[3]Tasa de Falla'!HV62)</f>
      </c>
      <c r="P63" s="664">
        <f>IF('[3]Tasa de Falla'!HW62="","",'[3]Tasa de Falla'!HW62)</f>
        <v>1</v>
      </c>
      <c r="Q63" s="664">
        <f>IF('[3]Tasa de Falla'!HX62="","",'[3]Tasa de Falla'!HX62)</f>
      </c>
      <c r="R63" s="664">
        <f>IF('[3]Tasa de Falla'!HY62="","",'[3]Tasa de Falla'!HY62)</f>
      </c>
      <c r="S63" s="662"/>
      <c r="T63" s="3"/>
    </row>
    <row r="64" spans="2:20" ht="15" customHeight="1">
      <c r="B64" s="2"/>
      <c r="C64" s="665">
        <f>IF('[3]Tasa de Falla'!C63="","",'[3]Tasa de Falla'!C63)</f>
        <v>29</v>
      </c>
      <c r="D64" s="665" t="str">
        <f>IF('[3]Tasa de Falla'!D63="","",'[3]Tasa de Falla'!D63)</f>
        <v>ESQUEL-EL COHIUE</v>
      </c>
      <c r="E64" s="665">
        <f>IF('[3]Tasa de Falla'!E63="","",'[3]Tasa de Falla'!E63)</f>
        <v>132</v>
      </c>
      <c r="F64" s="665">
        <f>IF('[3]Tasa de Falla'!F63="","",'[3]Tasa de Falla'!F63)</f>
        <v>127.98</v>
      </c>
      <c r="G64" s="666">
        <f>IF('[3]Tasa de Falla'!HN63="","",'[3]Tasa de Falla'!HN63)</f>
      </c>
      <c r="H64" s="666">
        <f>IF('[3]Tasa de Falla'!HO63="","",'[3]Tasa de Falla'!HO63)</f>
      </c>
      <c r="I64" s="666">
        <f>IF('[3]Tasa de Falla'!HP63="","",'[3]Tasa de Falla'!HP63)</f>
      </c>
      <c r="J64" s="666">
        <f>IF('[3]Tasa de Falla'!HQ63="","",'[3]Tasa de Falla'!HQ63)</f>
      </c>
      <c r="K64" s="666">
        <f>IF('[3]Tasa de Falla'!HR63="","",'[3]Tasa de Falla'!HR63)</f>
      </c>
      <c r="L64" s="666">
        <f>IF('[3]Tasa de Falla'!HS63="","",'[3]Tasa de Falla'!HS63)</f>
      </c>
      <c r="M64" s="666">
        <f>IF('[3]Tasa de Falla'!HT63="","",'[3]Tasa de Falla'!HT63)</f>
      </c>
      <c r="N64" s="666">
        <f>IF('[3]Tasa de Falla'!HU63="","",'[3]Tasa de Falla'!HU63)</f>
      </c>
      <c r="O64" s="666">
        <f>IF('[3]Tasa de Falla'!HV63="","",'[3]Tasa de Falla'!HV63)</f>
        <v>1</v>
      </c>
      <c r="P64" s="666">
        <f>IF('[3]Tasa de Falla'!HW63="","",'[3]Tasa de Falla'!HW63)</f>
      </c>
      <c r="Q64" s="666">
        <f>IF('[3]Tasa de Falla'!HX63="","",'[3]Tasa de Falla'!HX63)</f>
        <v>1</v>
      </c>
      <c r="R64" s="666">
        <f>IF('[3]Tasa de Falla'!HY63="","",'[3]Tasa de Falla'!HY63)</f>
      </c>
      <c r="S64" s="662"/>
      <c r="T64" s="3"/>
    </row>
    <row r="65" spans="2:20" ht="18" customHeight="1">
      <c r="B65" s="2"/>
      <c r="C65" s="663">
        <f>IF('[2]Tasa de Falla'!C63=0,"",'[2]Tasa de Falla'!C63)</f>
      </c>
      <c r="D65" s="663">
        <f>IF('[2]Tasa de Falla'!D63=0,"",'[2]Tasa de Falla'!D63)</f>
      </c>
      <c r="E65" s="663">
        <f>IF('[2]Tasa de Falla'!E63=0,"",'[2]Tasa de Falla'!E63)</f>
      </c>
      <c r="F65" s="663">
        <f>IF('[2]Tasa de Falla'!F63=0,"",'[2]Tasa de Falla'!F63)</f>
      </c>
      <c r="G65" s="664">
        <f>IF('[3]Tasa de Falla'!HN64="","",'[3]Tasa de Falla'!HN64)</f>
      </c>
      <c r="H65" s="664">
        <f>IF('[3]Tasa de Falla'!HO64="","",'[3]Tasa de Falla'!HO64)</f>
      </c>
      <c r="I65" s="664">
        <f>IF('[3]Tasa de Falla'!HP64="","",'[3]Tasa de Falla'!HP64)</f>
      </c>
      <c r="J65" s="664">
        <f>IF('[3]Tasa de Falla'!HQ64="","",'[3]Tasa de Falla'!HQ64)</f>
      </c>
      <c r="K65" s="664">
        <f>IF('[3]Tasa de Falla'!HR64="","",'[3]Tasa de Falla'!HR64)</f>
      </c>
      <c r="L65" s="664">
        <f>IF('[3]Tasa de Falla'!HS64="","",'[3]Tasa de Falla'!HS64)</f>
      </c>
      <c r="M65" s="664">
        <f>IF('[3]Tasa de Falla'!HT64="","",'[3]Tasa de Falla'!HT64)</f>
      </c>
      <c r="N65" s="664">
        <f>IF('[3]Tasa de Falla'!HU64="","",'[3]Tasa de Falla'!HU64)</f>
      </c>
      <c r="O65" s="664">
        <f>IF('[3]Tasa de Falla'!HV64="","",'[3]Tasa de Falla'!HV64)</f>
      </c>
      <c r="P65" s="664">
        <f>IF('[3]Tasa de Falla'!HW64="","",'[3]Tasa de Falla'!HW64)</f>
      </c>
      <c r="Q65" s="664">
        <f>IF('[3]Tasa de Falla'!HX64="","",'[3]Tasa de Falla'!HX64)</f>
      </c>
      <c r="R65" s="664">
        <f>IF('[3]Tasa de Falla'!HY64="","",'[3]Tasa de Falla'!HY64)</f>
      </c>
      <c r="S65" s="662"/>
      <c r="T65" s="3"/>
    </row>
    <row r="66" spans="2:20" ht="15" customHeight="1">
      <c r="B66" s="2"/>
      <c r="C66" s="665"/>
      <c r="D66" s="665">
        <f>IF('[2]Tasa de Falla'!D64=0,"",'[2]Tasa de Falla'!D64)</f>
      </c>
      <c r="E66" s="665">
        <f>IF('[2]Tasa de Falla'!E64=0,"",'[2]Tasa de Falla'!E64)</f>
      </c>
      <c r="F66" s="665">
        <f>IF('[2]Tasa de Falla'!F64=0,"",'[2]Tasa de Falla'!F64)</f>
      </c>
      <c r="G66" s="666">
        <f>IF('[3]Tasa de Falla'!HN65="","",'[3]Tasa de Falla'!HN65)</f>
      </c>
      <c r="H66" s="666">
        <f>IF('[3]Tasa de Falla'!HO65="","",'[3]Tasa de Falla'!HO65)</f>
      </c>
      <c r="I66" s="666">
        <f>IF('[3]Tasa de Falla'!HP65="","",'[3]Tasa de Falla'!HP65)</f>
      </c>
      <c r="J66" s="666">
        <f>IF('[3]Tasa de Falla'!HQ65="","",'[3]Tasa de Falla'!HQ65)</f>
      </c>
      <c r="K66" s="666">
        <f>IF('[3]Tasa de Falla'!HR65="","",'[3]Tasa de Falla'!HR65)</f>
      </c>
      <c r="L66" s="666">
        <f>IF('[3]Tasa de Falla'!HS65="","",'[3]Tasa de Falla'!HS65)</f>
      </c>
      <c r="M66" s="666">
        <f>IF('[3]Tasa de Falla'!HT65="","",'[3]Tasa de Falla'!HT65)</f>
      </c>
      <c r="N66" s="666">
        <f>IF('[3]Tasa de Falla'!HU65="","",'[3]Tasa de Falla'!HU65)</f>
      </c>
      <c r="O66" s="666">
        <f>IF('[3]Tasa de Falla'!HV65="","",'[3]Tasa de Falla'!HV65)</f>
      </c>
      <c r="P66" s="666">
        <f>IF('[3]Tasa de Falla'!HW65="","",'[3]Tasa de Falla'!HW65)</f>
      </c>
      <c r="Q66" s="666">
        <f>IF('[3]Tasa de Falla'!HX65="","",'[3]Tasa de Falla'!HX65)</f>
      </c>
      <c r="R66" s="666">
        <f>IF('[3]Tasa de Falla'!HY65="","",'[3]Tasa de Falla'!HY65)</f>
      </c>
      <c r="S66" s="662"/>
      <c r="T66" s="3"/>
    </row>
    <row r="67" spans="2:20" ht="15" customHeight="1" thickBot="1">
      <c r="B67" s="2"/>
      <c r="C67" s="667"/>
      <c r="D67" s="668"/>
      <c r="E67" s="669"/>
      <c r="F67" s="670"/>
      <c r="G67" s="670"/>
      <c r="H67" s="670"/>
      <c r="I67" s="670"/>
      <c r="J67" s="670"/>
      <c r="K67" s="670"/>
      <c r="L67" s="670"/>
      <c r="M67" s="670"/>
      <c r="N67" s="670"/>
      <c r="O67" s="670"/>
      <c r="P67" s="670"/>
      <c r="Q67" s="670"/>
      <c r="R67" s="670"/>
      <c r="S67" s="662"/>
      <c r="T67" s="3"/>
    </row>
    <row r="68" spans="2:20" ht="15" customHeight="1" thickBot="1" thickTop="1">
      <c r="B68" s="2"/>
      <c r="C68" s="671"/>
      <c r="D68" s="672"/>
      <c r="E68" s="673" t="s">
        <v>147</v>
      </c>
      <c r="F68" s="674">
        <f>SUM($F$17:$F$67)-SUMIF(R$17:R$67,"XXXX",$F$17:$F$67)</f>
        <v>2997.1499999999996</v>
      </c>
      <c r="G68" s="675"/>
      <c r="H68" s="675"/>
      <c r="I68" s="675"/>
      <c r="J68" s="675"/>
      <c r="K68" s="675"/>
      <c r="L68" s="675"/>
      <c r="M68" s="675"/>
      <c r="N68" s="675"/>
      <c r="O68" s="675"/>
      <c r="P68" s="675"/>
      <c r="Q68" s="675"/>
      <c r="R68" s="675"/>
      <c r="S68" s="662"/>
      <c r="T68" s="3"/>
    </row>
    <row r="69" spans="2:20" ht="15" customHeight="1" thickBot="1" thickTop="1">
      <c r="B69" s="2"/>
      <c r="C69" s="19"/>
      <c r="D69" s="676"/>
      <c r="E69" s="677"/>
      <c r="F69" s="678" t="s">
        <v>148</v>
      </c>
      <c r="G69" s="679">
        <f aca="true" t="shared" si="0" ref="G69:R69">SUM(G17:G66)</f>
        <v>3</v>
      </c>
      <c r="H69" s="679">
        <f t="shared" si="0"/>
        <v>2</v>
      </c>
      <c r="I69" s="679">
        <f t="shared" si="0"/>
        <v>2</v>
      </c>
      <c r="J69" s="679">
        <f t="shared" si="0"/>
        <v>4</v>
      </c>
      <c r="K69" s="679">
        <f t="shared" si="0"/>
        <v>2</v>
      </c>
      <c r="L69" s="679">
        <f t="shared" si="0"/>
        <v>1</v>
      </c>
      <c r="M69" s="679">
        <f t="shared" si="0"/>
        <v>5</v>
      </c>
      <c r="N69" s="679">
        <f t="shared" si="0"/>
        <v>0</v>
      </c>
      <c r="O69" s="679">
        <f t="shared" si="0"/>
        <v>1</v>
      </c>
      <c r="P69" s="679">
        <f t="shared" si="0"/>
        <v>4</v>
      </c>
      <c r="Q69" s="679">
        <f t="shared" si="0"/>
        <v>3</v>
      </c>
      <c r="R69" s="679">
        <f t="shared" si="0"/>
        <v>0</v>
      </c>
      <c r="S69" s="680"/>
      <c r="T69" s="3"/>
    </row>
    <row r="70" spans="2:20" ht="17.25" thickBot="1" thickTop="1">
      <c r="B70" s="2"/>
      <c r="C70" s="677"/>
      <c r="D70" s="677"/>
      <c r="E70" s="19"/>
      <c r="F70" s="681" t="s">
        <v>149</v>
      </c>
      <c r="G70" s="682">
        <f>'[3]Tasa de Falla'!HN73</f>
        <v>1.13</v>
      </c>
      <c r="H70" s="682">
        <f>'[3]Tasa de Falla'!HO73</f>
        <v>1.07</v>
      </c>
      <c r="I70" s="682">
        <f>'[3]Tasa de Falla'!HP73</f>
        <v>1</v>
      </c>
      <c r="J70" s="682">
        <f>'[3]Tasa de Falla'!HQ73</f>
        <v>0.87</v>
      </c>
      <c r="K70" s="682">
        <f>'[3]Tasa de Falla'!HR73</f>
        <v>0.83</v>
      </c>
      <c r="L70" s="682">
        <f>'[3]Tasa de Falla'!HS73</f>
        <v>0.77</v>
      </c>
      <c r="M70" s="682">
        <f>'[3]Tasa de Falla'!HT73</f>
        <v>0.73</v>
      </c>
      <c r="N70" s="682">
        <f>'[3]Tasa de Falla'!HU73</f>
        <v>0.9</v>
      </c>
      <c r="O70" s="682">
        <f>'[3]Tasa de Falla'!HV73</f>
        <v>0.83</v>
      </c>
      <c r="P70" s="682">
        <f>'[3]Tasa de Falla'!HW73</f>
        <v>0.8</v>
      </c>
      <c r="Q70" s="682">
        <f>'[3]Tasa de Falla'!HX73</f>
        <v>0.9</v>
      </c>
      <c r="R70" s="682">
        <f>'[3]Tasa de Falla'!HY73</f>
        <v>0.9</v>
      </c>
      <c r="S70" s="682">
        <f>SUM(G69:R69)/F68*100</f>
        <v>0.9008558130223714</v>
      </c>
      <c r="T70" s="3"/>
    </row>
    <row r="71" spans="2:20" ht="18.75" customHeight="1" thickBot="1" thickTop="1">
      <c r="B71" s="2"/>
      <c r="C71" s="683" t="s">
        <v>150</v>
      </c>
      <c r="D71" s="19" t="s">
        <v>151</v>
      </c>
      <c r="E71" s="684"/>
      <c r="F71" s="685"/>
      <c r="G71" s="686"/>
      <c r="H71" s="686"/>
      <c r="I71" s="686"/>
      <c r="J71" s="686"/>
      <c r="K71" s="686"/>
      <c r="L71" s="686"/>
      <c r="M71" s="686"/>
      <c r="N71" s="686"/>
      <c r="O71" s="686"/>
      <c r="P71" s="686"/>
      <c r="Q71" s="686"/>
      <c r="R71" s="686"/>
      <c r="S71" s="686"/>
      <c r="T71" s="44"/>
    </row>
    <row r="72" spans="2:20" ht="17.25" thickBot="1" thickTop="1">
      <c r="B72" s="687"/>
      <c r="C72" s="688"/>
      <c r="D72" s="688"/>
      <c r="H72" s="703" t="s">
        <v>152</v>
      </c>
      <c r="I72" s="704"/>
      <c r="J72" s="689">
        <f>S70</f>
        <v>0.9008558130223714</v>
      </c>
      <c r="K72" s="705" t="s">
        <v>153</v>
      </c>
      <c r="L72" s="705"/>
      <c r="M72" s="706"/>
      <c r="N72" s="688"/>
      <c r="O72" s="688"/>
      <c r="P72" s="688"/>
      <c r="Q72" s="688"/>
      <c r="R72" s="688"/>
      <c r="S72" s="688"/>
      <c r="T72" s="3"/>
    </row>
    <row r="73" spans="2:20" ht="18.75" customHeight="1" thickBot="1" thickTop="1">
      <c r="B73" s="690"/>
      <c r="C73" s="691"/>
      <c r="D73" s="32"/>
      <c r="E73" s="32"/>
      <c r="F73" s="692"/>
      <c r="G73" s="693"/>
      <c r="H73" s="693"/>
      <c r="I73" s="693"/>
      <c r="J73" s="693"/>
      <c r="K73" s="693"/>
      <c r="L73" s="693"/>
      <c r="M73" s="693"/>
      <c r="N73" s="693"/>
      <c r="O73" s="693"/>
      <c r="P73" s="693"/>
      <c r="Q73" s="693"/>
      <c r="R73" s="693"/>
      <c r="S73" s="693"/>
      <c r="T73" s="694"/>
    </row>
    <row r="74" ht="13.5" thickTop="1"/>
  </sheetData>
  <sheetProtection/>
  <mergeCells count="2">
    <mergeCell ref="H72:I72"/>
    <mergeCell ref="K72:M72"/>
  </mergeCells>
  <printOptions horizontalCentered="1"/>
  <pageMargins left="0.25" right="0.1968503937007874" top="0.61" bottom="0.69" header="0.5118110236220472" footer="0.4"/>
  <pageSetup fitToHeight="1" fitToWidth="1" horizontalDpi="300" verticalDpi="300" orientation="landscape" paperSize="9" scale="40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Carola Giordano</cp:lastModifiedBy>
  <cp:lastPrinted>2014-07-07T15:28:55Z</cp:lastPrinted>
  <dcterms:created xsi:type="dcterms:W3CDTF">2000-10-04T20:14:32Z</dcterms:created>
  <dcterms:modified xsi:type="dcterms:W3CDTF">2014-10-17T14:53:43Z</dcterms:modified>
  <cp:category/>
  <cp:version/>
  <cp:contentType/>
  <cp:contentStatus/>
</cp:coreProperties>
</file>