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0"/>
  </bookViews>
  <sheets>
    <sheet name="TOT-1212" sheetId="1" r:id="rId1"/>
    <sheet name="LI-12 (1)" sheetId="2" r:id="rId2"/>
    <sheet name="LI-12 (2)" sheetId="3" r:id="rId3"/>
    <sheet name="LI-12 (3)" sheetId="4" r:id="rId4"/>
    <sheet name="LI-12 (4)" sheetId="5" r:id="rId5"/>
    <sheet name="Condiciones Climaticas 313-01" sheetId="6" r:id="rId6"/>
    <sheet name="T-12 (1)" sheetId="7" r:id="rId7"/>
    <sheet name="T-12 (2)" sheetId="8" r:id="rId8"/>
    <sheet name="SA-12 (1)" sheetId="9" r:id="rId9"/>
    <sheet name="SA-12 (3)" sheetId="10" r:id="rId10"/>
    <sheet name="SA-12 (5)" sheetId="11" r:id="rId11"/>
    <sheet name="SA-12 (6)" sheetId="12" r:id="rId12"/>
    <sheet name="RE-12 (1)" sheetId="13" r:id="rId13"/>
    <sheet name="TASA FALLA" sheetId="14" r:id="rId14"/>
  </sheets>
  <externalReferences>
    <externalReference r:id="rId17"/>
  </externalReferences>
  <definedNames>
    <definedName name="_xlnm.Print_Area" localSheetId="13">'TASA FALLA'!$A$1:$V$168</definedName>
    <definedName name="DD" localSheetId="5">'Condiciones Climaticas 313-01'!DD</definedName>
    <definedName name="DD" localSheetId="13">'TASA FALLA'!DD</definedName>
    <definedName name="DD">[0]!DD</definedName>
    <definedName name="DDD" localSheetId="5">'Condiciones Climaticas 313-01'!DDD</definedName>
    <definedName name="DDD" localSheetId="13">'TASA FALLA'!DDD</definedName>
    <definedName name="DDD">[0]!DDD</definedName>
    <definedName name="DISTROCUYO" localSheetId="5">'Condiciones Climaticas 313-01'!DISTROCUYO</definedName>
    <definedName name="DISTROCUYO" localSheetId="13">'TASA FALLA'!DISTROCUYO</definedName>
    <definedName name="DISTROCUYO">[0]!DISTROCUYO</definedName>
    <definedName name="INICIO" localSheetId="5">'Condiciones Climaticas 313-01'!INICIO</definedName>
    <definedName name="INICIO" localSheetId="13">'TASA FALLA'!INICIO</definedName>
    <definedName name="INICIO">[0]!INICIO</definedName>
    <definedName name="INICIOTI" localSheetId="5">'Condiciones Climaticas 313-01'!INICIOTI</definedName>
    <definedName name="INICIOTI" localSheetId="13">'TASA FALLA'!INICIOTI</definedName>
    <definedName name="INICIOTI">[0]!INICIOTI</definedName>
    <definedName name="LINEAS" localSheetId="5">'Condiciones Climaticas 313-01'!LINEAS</definedName>
    <definedName name="LINEAS" localSheetId="13">'TASA FALLA'!LINEAS</definedName>
    <definedName name="LINEAS">[0]!LINEAS</definedName>
    <definedName name="NAME_L" localSheetId="5">'Condiciones Climaticas 313-01'!NAME_L</definedName>
    <definedName name="NAME_L" localSheetId="13">'TASA FALLA'!NAME_L</definedName>
    <definedName name="NAME_L">[0]!NAME_L</definedName>
    <definedName name="NAME_L_TI" localSheetId="5">'Condiciones Climaticas 313-01'!NAME_L_TI</definedName>
    <definedName name="NAME_L_TI" localSheetId="13">'TASA FALLA'!NAME_L_TI</definedName>
    <definedName name="NAME_L_TI">[0]!NAME_L_TI</definedName>
    <definedName name="QITBA">#REF!</definedName>
    <definedName name="TRANSNOA" localSheetId="5">'Condiciones Climaticas 313-01'!TRANSNOA</definedName>
    <definedName name="TRANSNOA" localSheetId="13">'TASA FALLA'!TRANSNOA</definedName>
    <definedName name="TRANSNOA">[0]!TRANSNOA</definedName>
    <definedName name="XX" localSheetId="5">'Condiciones Climaticas 313-01'!XX</definedName>
    <definedName name="XX" localSheetId="13">'TASA FALLA'!XX</definedName>
    <definedName name="XX">[0]!XX</definedName>
  </definedNames>
  <calcPr fullCalcOnLoad="1"/>
</workbook>
</file>

<file path=xl/comments6.xml><?xml version="1.0" encoding="utf-8"?>
<comments xmlns="http://schemas.openxmlformats.org/spreadsheetml/2006/main">
  <authors>
    <author>gmir</author>
    <author>GMir</author>
  </authors>
  <commentList>
    <comment ref="AB22" authorId="0">
      <text>
        <r>
          <rPr>
            <sz val="8"/>
            <rFont val="Tahoma"/>
            <family val="0"/>
          </rPr>
          <t xml:space="preserve">
fp= 1 para atentado</t>
        </r>
      </text>
    </comment>
    <comment ref="AF22" authorId="1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solo paso a minutos el Tst (columna AI, porque el calculo de la PC esta hecho en minutos</t>
        </r>
      </text>
    </comment>
  </commentList>
</comments>
</file>

<file path=xl/sharedStrings.xml><?xml version="1.0" encoding="utf-8"?>
<sst xmlns="http://schemas.openxmlformats.org/spreadsheetml/2006/main" count="1306" uniqueCount="312">
  <si>
    <t>TRANSBA S.A.</t>
  </si>
  <si>
    <t>LÍNEAS</t>
  </si>
  <si>
    <t>CLASE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</si>
  <si>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</si>
  <si>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</si>
  <si>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</si>
  <si>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</si>
  <si>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</si>
  <si>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</si>
  <si>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</si>
  <si>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</si>
  <si>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</si>
  <si>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</si>
  <si>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</si>
  <si>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</si>
  <si>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</si>
  <si>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</si>
  <si>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</si>
  <si>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</si>
  <si>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</si>
  <si>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</si>
  <si>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</si>
  <si>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</si>
  <si>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</si>
  <si>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</si>
  <si>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</si>
  <si>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</si>
  <si>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</si>
  <si>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</si>
  <si>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</si>
  <si>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</si>
  <si>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</si>
  <si>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</si>
  <si>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</si>
  <si>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</si>
  <si>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</si>
  <si>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</si>
  <si>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</si>
  <si>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</si>
  <si>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</si>
  <si>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</si>
  <si>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</si>
  <si>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</si>
  <si>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</si>
  <si>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</si>
  <si>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</si>
  <si>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</si>
  <si>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</si>
  <si>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</si>
  <si>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</si>
  <si>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</si>
  <si>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</si>
  <si>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</si>
  <si>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</si>
  <si>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</si>
  <si>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</si>
  <si>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</si>
  <si>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</si>
  <si>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</si>
  <si>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</si>
  <si>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</si>
  <si>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</si>
  <si>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</si>
  <si>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</si>
  <si>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</si>
  <si>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3.- REACTIVA</t>
  </si>
  <si>
    <t>3.1.1- Equipamiento propio Res. 01_03</t>
  </si>
  <si>
    <t>MVA    $ =</t>
  </si>
  <si>
    <t>3.-</t>
  </si>
  <si>
    <t>Equipamiento propio Res. 01_03</t>
  </si>
  <si>
    <t>INDISP</t>
  </si>
  <si>
    <t>ID EQUIPO</t>
  </si>
  <si>
    <t>Desde el 01 al 31 de diciembre de 2012</t>
  </si>
  <si>
    <t>LINCOLN - BRAGADO</t>
  </si>
  <si>
    <t>C</t>
  </si>
  <si>
    <t>F</t>
  </si>
  <si>
    <t>SI</t>
  </si>
  <si>
    <t>0,000</t>
  </si>
  <si>
    <t>TANDIL - BARKER</t>
  </si>
  <si>
    <t>P</t>
  </si>
  <si>
    <t>CARLOS CASARES - 9 DE JULIO</t>
  </si>
  <si>
    <t>MAR DE AJO - PINAMAR</t>
  </si>
  <si>
    <t>MAR DEL PLATA - QUEQUEN - NECOCHEA</t>
  </si>
  <si>
    <t>B</t>
  </si>
  <si>
    <t>TRENQUE LAUQUEN - PEHUAJO</t>
  </si>
  <si>
    <t>CHIVILCOY - MERCEDES B.A.</t>
  </si>
  <si>
    <t>BRAGADO - CHIVILCOY</t>
  </si>
  <si>
    <t>AZUL - CACHARI</t>
  </si>
  <si>
    <t>ROSAS - NEWTON</t>
  </si>
  <si>
    <t>BAHIA BLANCA - PETROQ. BAHIA BLANCA 1</t>
  </si>
  <si>
    <t>CNEL. SUAREZ - PIGUE</t>
  </si>
  <si>
    <t>GRAL. MADARIAGA - LAS ARMAS</t>
  </si>
  <si>
    <t>SALADILLO - LAS FLORES</t>
  </si>
  <si>
    <t>BRAGADO - SALADILLO</t>
  </si>
  <si>
    <t>CACHARI - LAS FLORES</t>
  </si>
  <si>
    <t>TANDIL - BALCARCE</t>
  </si>
  <si>
    <t>VILLA GESELL - GRAL. MADARIAGA</t>
  </si>
  <si>
    <t>RAMALLO - SIDERAR  1</t>
  </si>
  <si>
    <t>LOMA NEGRA - OLAVARRIA</t>
  </si>
  <si>
    <t>BAHIA BLANCA - NORTE II</t>
  </si>
  <si>
    <t>SAN NICOLÁS - VILLA CONSTITUCIÓN RES.</t>
  </si>
  <si>
    <t>OLAVARRIA VIEJA - OLAVARRIA</t>
  </si>
  <si>
    <t>CNEL. DORREGO - BAHIA BLANCA</t>
  </si>
  <si>
    <t>BAHIA BLANCA - PRINGLES</t>
  </si>
  <si>
    <t>OLAVARRIA - AZUL</t>
  </si>
  <si>
    <t>MAR DEL PLATA - MIRAMAR</t>
  </si>
  <si>
    <t>OLAVARRIA - HENDERSON</t>
  </si>
  <si>
    <t>LAS ARMAS - DOLORES</t>
  </si>
  <si>
    <t>BAHIA BLANCA - PETROQ. BAHIA BLANCA 3</t>
  </si>
  <si>
    <t>DOLORES - CHASCOMUS</t>
  </si>
  <si>
    <t>LOMA NEGRA - C. AVELLANEDA</t>
  </si>
  <si>
    <t>PERGAMINO - ROJAS</t>
  </si>
  <si>
    <t>PEHUAJO - CARLOS CASARES</t>
  </si>
  <si>
    <t>GONZALEZ CHAVEZ - NECOCHEA</t>
  </si>
  <si>
    <t>A</t>
  </si>
  <si>
    <t>TANDIL - NECOCHEA</t>
  </si>
  <si>
    <t>MERCEDES B.A. - LUJAN</t>
  </si>
  <si>
    <t>LAS PALMAS - SAN PEDRO</t>
  </si>
  <si>
    <t>URBANA BBCA</t>
  </si>
  <si>
    <t>Trafo 2</t>
  </si>
  <si>
    <t>132/33/13,2</t>
  </si>
  <si>
    <t>LUJAN</t>
  </si>
  <si>
    <t>Trafo 1</t>
  </si>
  <si>
    <t>SALADILLO</t>
  </si>
  <si>
    <t>TRAFO 1</t>
  </si>
  <si>
    <t>ARRECIFES</t>
  </si>
  <si>
    <t>Trafo 3</t>
  </si>
  <si>
    <t>C. SARMIENTO</t>
  </si>
  <si>
    <t>66/33/13,2</t>
  </si>
  <si>
    <t>MIRAMAR</t>
  </si>
  <si>
    <t>OLAVARRIA VIEJA</t>
  </si>
  <si>
    <t>T2OA</t>
  </si>
  <si>
    <t>LOS CHAÑARES</t>
  </si>
  <si>
    <t>R</t>
  </si>
  <si>
    <t>AZUL</t>
  </si>
  <si>
    <t>PERGAMINO</t>
  </si>
  <si>
    <t>Trafo 6</t>
  </si>
  <si>
    <t>COLON</t>
  </si>
  <si>
    <t>CHACABUCO</t>
  </si>
  <si>
    <t>T1CB</t>
  </si>
  <si>
    <t>MONTE</t>
  </si>
  <si>
    <t>SAN NICOLAS</t>
  </si>
  <si>
    <t>Trafo</t>
  </si>
  <si>
    <t>T. LAUQUEN</t>
  </si>
  <si>
    <t>Trafo 5</t>
  </si>
  <si>
    <t>132/66/13,2</t>
  </si>
  <si>
    <t>CARLOS CASARES</t>
  </si>
  <si>
    <t>DORREGO</t>
  </si>
  <si>
    <t>S. CLEMENTE</t>
  </si>
  <si>
    <t>VILLA GESELL</t>
  </si>
  <si>
    <t>LAS PALMAS</t>
  </si>
  <si>
    <t>AutoTrafo 5</t>
  </si>
  <si>
    <t>TRES ARROYOS</t>
  </si>
  <si>
    <t>LUJAN II</t>
  </si>
  <si>
    <t>Alimentador a TRES LOMAS</t>
  </si>
  <si>
    <t>PEHUAJO</t>
  </si>
  <si>
    <t>Alimentador 1 a PEHUAJO</t>
  </si>
  <si>
    <t>Alimentador 6 a PEHUAJO</t>
  </si>
  <si>
    <t>Alimentador 5 a PEHUAJO</t>
  </si>
  <si>
    <t>CAMPANA</t>
  </si>
  <si>
    <t>Alimentador a ESSO  4-31</t>
  </si>
  <si>
    <t>DOLORES</t>
  </si>
  <si>
    <t>Línea a CASTELLI</t>
  </si>
  <si>
    <t>Alimentador a ESSO  4-35</t>
  </si>
  <si>
    <t>Alimentador 2 a T. LAUQUEN</t>
  </si>
  <si>
    <t>Línea a GUIDO</t>
  </si>
  <si>
    <t>Alimentador 7 a CHAPADMALAL</t>
  </si>
  <si>
    <t>Alimentador a ESSO S.A.P.A.</t>
  </si>
  <si>
    <t>Alimentador 3 a T. LAUQUEN</t>
  </si>
  <si>
    <t>ALIMENT. 1 A COOP. T. LAUQUEN</t>
  </si>
  <si>
    <t>Alimentador a MAR DEL SUR</t>
  </si>
  <si>
    <t>SAN PEDRO</t>
  </si>
  <si>
    <t>Alimentador a BARADERO  2-32</t>
  </si>
  <si>
    <t>LAS TONINAS</t>
  </si>
  <si>
    <t>Alimentador 1</t>
  </si>
  <si>
    <t>ALIMENTADOR A ROQUE PEREZ</t>
  </si>
  <si>
    <t>PRINGLES</t>
  </si>
  <si>
    <t>Alimentador 1 a Coop. PRINGLES</t>
  </si>
  <si>
    <t>Alimentador 2 a Coop. PRINGLES</t>
  </si>
  <si>
    <t>Alimentador 2 Coop. T. LAUQUEN</t>
  </si>
  <si>
    <t>Alimentador a CAP. DEL SEÑOR</t>
  </si>
  <si>
    <t>Alimentador 1 a Coop. LUJAN</t>
  </si>
  <si>
    <t>Alimentador 2 a Coop. LUJAN</t>
  </si>
  <si>
    <t>Alimentador 7 a Coop. LUJAN</t>
  </si>
  <si>
    <t>Alimentador 8 a Coop. LUJAN</t>
  </si>
  <si>
    <t>Alimentador 2</t>
  </si>
  <si>
    <t>Alimentador  3 a TRES ARROYOS 1</t>
  </si>
  <si>
    <t>Alimentador a BARADERO  2-33</t>
  </si>
  <si>
    <t>Alimentador  4 a TRES ARROYOS 2</t>
  </si>
  <si>
    <t>Alimentador 4 a T. LAUQUEN</t>
  </si>
  <si>
    <t>G.CHAVES</t>
  </si>
  <si>
    <t>Alimentador 3 a  GONZALEZ CHAVES</t>
  </si>
  <si>
    <t>Alimentador 1 a T. LAUQUEN</t>
  </si>
  <si>
    <t>Alimentador 2 a MIRAMAR</t>
  </si>
  <si>
    <t>ALIM. A C.T. MIRAMAR</t>
  </si>
  <si>
    <t>OLAVARRIA</t>
  </si>
  <si>
    <t>SALIDA C.T. OLAVARRIA</t>
  </si>
  <si>
    <t>Alimentador 3 a Coop. LUJAN</t>
  </si>
  <si>
    <t>Alimentador 4 a Coop. LUJAN</t>
  </si>
  <si>
    <t>Alimentador 6 a Coop. LUJAN</t>
  </si>
  <si>
    <t>VALERIA DEL MAR</t>
  </si>
  <si>
    <t>ALIMENTADOR 2 A OSTENDE</t>
  </si>
  <si>
    <t>ALIMENTADOR 3 A VALERIA</t>
  </si>
  <si>
    <t>LAS FLORES</t>
  </si>
  <si>
    <t>Alimentador 1 a Coop. LAS FLORES</t>
  </si>
  <si>
    <t>Alimentador 3 a Coop. LAS FLORES</t>
  </si>
  <si>
    <t>Alimentador 1  a Coop. AZUL</t>
  </si>
  <si>
    <t>ALIMENTADOR 8 A COOP. V. GESELL</t>
  </si>
  <si>
    <t>COLON BA</t>
  </si>
  <si>
    <t>BRAGADO</t>
  </si>
  <si>
    <t>Línea a BRAGADO 1</t>
  </si>
  <si>
    <t>IMSA</t>
  </si>
  <si>
    <t>Alimentador 4</t>
  </si>
  <si>
    <t>Alimentador a SALTO 1</t>
  </si>
  <si>
    <t>PETROQUIMICA</t>
  </si>
  <si>
    <t>Línea a POLISUR 2</t>
  </si>
  <si>
    <t>PIGUE</t>
  </si>
  <si>
    <t>Alimentador 4 a Coop. GOYENA</t>
  </si>
  <si>
    <t>S. A. de ARECO</t>
  </si>
  <si>
    <t>Alimentador 3 a S.A. de ARECO</t>
  </si>
  <si>
    <t>ZARATE</t>
  </si>
  <si>
    <t>Alimentador a Coop. Zarate 3-33</t>
  </si>
  <si>
    <t>Línea a 25 DE MAYO</t>
  </si>
  <si>
    <t>SIDERAR</t>
  </si>
  <si>
    <t>SALIDA 1 CETE 1</t>
  </si>
  <si>
    <t>Alimentador 6 a CLAROMECO,ORENSE</t>
  </si>
  <si>
    <t>JUNIN</t>
  </si>
  <si>
    <t>K1JU</t>
  </si>
  <si>
    <t>K3CB</t>
  </si>
  <si>
    <t>FICTICIO PICO - TRENQUE LAUQUEN</t>
  </si>
  <si>
    <t>66/33</t>
  </si>
  <si>
    <t>RF</t>
  </si>
  <si>
    <t>13,2/33</t>
  </si>
  <si>
    <t>SALIDA C.T. COLON</t>
  </si>
  <si>
    <t>SALIDA 1 ACERIA 1</t>
  </si>
  <si>
    <t>SALIDA 1 ACERIA 2</t>
  </si>
  <si>
    <t>P - PROGRAMADA  ; 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</si>
  <si>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</si>
  <si>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P - PROGRAMADA  ; F - FORZADA  ; RF - RESTNATE FORZADA  ; R - REDUCCION FORZADA</t>
  </si>
  <si>
    <t>P - PROGRAMADA  ; F - FORZADA   ; R - REDUCCION FORZADA</t>
  </si>
  <si>
    <t>P - PROGRAMADA</t>
  </si>
  <si>
    <t>NO</t>
  </si>
  <si>
    <t>255347 b</t>
  </si>
  <si>
    <t>255532 b</t>
  </si>
  <si>
    <t>SISTEMA DE TRANSPORTE DE ENERGÍA ELÉCTRICA POR DISTRIBUCIÓN TRONCAL</t>
  </si>
  <si>
    <t>INDISPONIBILIDADES FORZADAS DE LÍNEAS - TASA DE FALLA</t>
  </si>
  <si>
    <t>Codigo</t>
  </si>
  <si>
    <t xml:space="preserve">Longitud Total </t>
  </si>
  <si>
    <t>km</t>
  </si>
  <si>
    <t xml:space="preserve">Indisponibilidades Forzadas </t>
  </si>
  <si>
    <t xml:space="preserve">TASA DE FALLA </t>
  </si>
  <si>
    <t>TASA DE FALLA</t>
  </si>
  <si>
    <t>SALIDAS x AÑO / 100 km</t>
  </si>
  <si>
    <t>TOTAL DE PENALIZACIONES A APLICAR</t>
  </si>
  <si>
    <t>Valores remuneratorios según "Convenio de Renovación del Acuerdo Instrumental del Acta Acuerdo UNIREN - TRANSBA" (Dec. PEN Nº 1460/05)</t>
  </si>
  <si>
    <t>1.1 - Indisponibilidades de LAT causadas por condiciones climáticas extremas. Resolución ENRE 313/01</t>
  </si>
  <si>
    <t xml:space="preserve">$/100 km-h : LINEAS 220 kV </t>
  </si>
  <si>
    <t xml:space="preserve">FORMULAS UTILIZADAS PARA EL CALCULO </t>
  </si>
  <si>
    <t xml:space="preserve">$/100 km-h : LINEAS 132 kV </t>
  </si>
  <si>
    <t>DE LAS SANCIONES SEGÚN REGIMEN NORMAL,</t>
  </si>
  <si>
    <t>DE SANCION SEGÚN REGIMEN NORMAL para</t>
  </si>
  <si>
    <t xml:space="preserve">$/100 km-h : LINEAS 66 kV </t>
  </si>
  <si>
    <t xml:space="preserve"> PARA UN TIEMPO Tst= Tdt+Trt</t>
  </si>
  <si>
    <t>el tiempo real de indisponibilidad TI</t>
  </si>
  <si>
    <t>orden</t>
  </si>
  <si>
    <t>CL</t>
  </si>
  <si>
    <t>K</t>
  </si>
  <si>
    <t>Hs.
Indisp.</t>
  </si>
  <si>
    <t>Mtos.
Indisp.</t>
  </si>
  <si>
    <t>Rest.
%</t>
  </si>
  <si>
    <t>R.D.</t>
  </si>
  <si>
    <t>PENALIZACIÓN FORZADA
Por Salida    1ras 3 hs.   hs. Restantes</t>
  </si>
  <si>
    <t>PC en Tst</t>
  </si>
  <si>
    <t>N° de estruc. caidas</t>
  </si>
  <si>
    <t>Td [hs]</t>
  </si>
  <si>
    <t>Tf [hs]</t>
  </si>
  <si>
    <t>fp</t>
  </si>
  <si>
    <t>Tdt + Tf
 [hs]</t>
  </si>
  <si>
    <t>Trt [hs]</t>
  </si>
  <si>
    <t>Tst=Tdt+Trt
[hs]</t>
  </si>
  <si>
    <t>Tst [min]</t>
  </si>
  <si>
    <t>alfa</t>
  </si>
  <si>
    <t>beta</t>
  </si>
  <si>
    <t>TOTAL REGIMEN NORMAL 
(en Ti)</t>
  </si>
  <si>
    <t>EVENTO  1</t>
  </si>
  <si>
    <t>Td:</t>
  </si>
  <si>
    <t>hasta 10 estructuras caídas, Td=48hs, si no 72 horas.</t>
  </si>
  <si>
    <t>Tr:</t>
  </si>
  <si>
    <t>24 horas por estructura caída.</t>
  </si>
  <si>
    <t>Tdt:</t>
  </si>
  <si>
    <t>será igual a Tind. o a Td, dependiendo de si el Ti fue menor o no al Tst.</t>
  </si>
  <si>
    <t>fp :</t>
  </si>
  <si>
    <t>igual a 0,9 o 1 p/ Cond. Climáticas Ext. e igual a 1 p/ Atentados.</t>
  </si>
  <si>
    <t>1.1.-</t>
  </si>
  <si>
    <t>Cond. Climáticas Res. ENRE N° 313/01</t>
  </si>
  <si>
    <t>64*</t>
  </si>
  <si>
    <t>Aplicación de la cláusula 6.1.6. del Acta Acuerdo</t>
  </si>
  <si>
    <t>66*</t>
  </si>
  <si>
    <t>Terceros</t>
  </si>
  <si>
    <t>101*</t>
  </si>
  <si>
    <t>102*</t>
  </si>
  <si>
    <t>138*</t>
  </si>
  <si>
    <t>155*</t>
  </si>
  <si>
    <t>156*</t>
  </si>
  <si>
    <t>162*</t>
  </si>
  <si>
    <t>169*</t>
  </si>
  <si>
    <t>170*</t>
  </si>
  <si>
    <t>171*</t>
  </si>
  <si>
    <t>172*</t>
  </si>
  <si>
    <t>(*)</t>
  </si>
  <si>
    <t>Tasa de falla correspondiente al mes de diciembre de 2012</t>
  </si>
  <si>
    <t>ANEXO I al Memorándum  D.T.E.E.  N° 335 /2014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</si>
</sst>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00_)"/>
    <numFmt numFmtId="178" formatCode="0.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0.0\ \k\V"/>
    <numFmt numFmtId="184" formatCode="0.00\ &quot;km&quot;"/>
    <numFmt numFmtId="185" formatCode="0.00\ &quot;MVA&quot;"/>
    <numFmt numFmtId="186" formatCode="0.0"/>
    <numFmt numFmtId="187" formatCode="dd/mm/yy"/>
    <numFmt numFmtId="188" formatCode="mmm\-yyyy"/>
    <numFmt numFmtId="189" formatCode="dd\-mm\-yy"/>
    <numFmt numFmtId="190" formatCode="mmmm\ d\,\ yyyy"/>
    <numFmt numFmtId="191" formatCode="#,##0.00000"/>
    <numFmt numFmtId="192" formatCode="#,##0;[Red]#,##0"/>
    <numFmt numFmtId="193" formatCode="#,##0.000000"/>
  </numFmts>
  <fonts count="115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Wingdings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sz val="14"/>
      <name val="MS Sans Serif"/>
      <family val="0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1"/>
      <color indexed="57"/>
      <name val="Times New Roman"/>
      <family val="1"/>
    </font>
    <font>
      <sz val="10"/>
      <color indexed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double"/>
      <right style="double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0" applyNumberFormat="0" applyBorder="0" applyAlignment="0" applyProtection="0"/>
    <xf numFmtId="0" fontId="100" fillId="21" borderId="1" applyNumberFormat="0" applyAlignment="0" applyProtection="0"/>
    <xf numFmtId="0" fontId="101" fillId="22" borderId="2" applyNumberFormat="0" applyAlignment="0" applyProtection="0"/>
    <xf numFmtId="0" fontId="102" fillId="0" borderId="3" applyNumberFormat="0" applyFill="0" applyAlignment="0" applyProtection="0"/>
    <xf numFmtId="0" fontId="103" fillId="0" borderId="0" applyNumberFormat="0" applyFill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104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7" fillId="21" borderId="5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03" fillId="0" borderId="8" applyNumberFormat="0" applyFill="0" applyAlignment="0" applyProtection="0"/>
    <xf numFmtId="0" fontId="113" fillId="0" borderId="9" applyNumberFormat="0" applyFill="0" applyAlignment="0" applyProtection="0"/>
  </cellStyleXfs>
  <cellXfs count="780">
    <xf numFmtId="0" fontId="0" fillId="0" borderId="0" xfId="0" applyAlignment="1">
      <alignment/>
    </xf>
    <xf numFmtId="0" fontId="6" fillId="0" borderId="0" xfId="61" applyFont="1">
      <alignment/>
      <protection/>
    </xf>
    <xf numFmtId="0" fontId="6" fillId="0" borderId="0" xfId="61" applyFont="1" applyFill="1" applyBorder="1">
      <alignment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centerContinuous"/>
      <protection/>
    </xf>
    <xf numFmtId="0" fontId="1" fillId="0" borderId="0" xfId="61">
      <alignment/>
      <protection/>
    </xf>
    <xf numFmtId="0" fontId="6" fillId="0" borderId="0" xfId="61" applyFont="1" applyAlignment="1">
      <alignment horizontal="centerContinuous"/>
      <protection/>
    </xf>
    <xf numFmtId="0" fontId="6" fillId="0" borderId="0" xfId="61" applyFont="1" applyBorder="1">
      <alignment/>
      <protection/>
    </xf>
    <xf numFmtId="0" fontId="4" fillId="0" borderId="0" xfId="61" applyFont="1" applyFill="1" applyBorder="1" applyAlignment="1" applyProtection="1">
      <alignment horizontal="centerContinuous"/>
      <protection/>
    </xf>
    <xf numFmtId="0" fontId="10" fillId="0" borderId="0" xfId="61" applyFont="1">
      <alignment/>
      <protection/>
    </xf>
    <xf numFmtId="0" fontId="11" fillId="0" borderId="0" xfId="61" applyFont="1">
      <alignment/>
      <protection/>
    </xf>
    <xf numFmtId="0" fontId="13" fillId="0" borderId="10" xfId="61" applyFont="1" applyBorder="1" applyAlignment="1">
      <alignment horizontal="centerContinuous"/>
      <protection/>
    </xf>
    <xf numFmtId="0" fontId="13" fillId="0" borderId="0" xfId="61" applyFont="1" applyBorder="1" applyAlignment="1">
      <alignment horizontal="centerContinuous"/>
      <protection/>
    </xf>
    <xf numFmtId="0" fontId="6" fillId="0" borderId="10" xfId="61" applyFont="1" applyBorder="1">
      <alignment/>
      <protection/>
    </xf>
    <xf numFmtId="0" fontId="6" fillId="0" borderId="11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0" fontId="9" fillId="0" borderId="0" xfId="61" applyFont="1" applyAlignment="1" applyProtection="1">
      <alignment horizontal="centerContinuous"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4" fillId="0" borderId="0" xfId="61" applyFont="1" applyBorder="1" applyAlignment="1" applyProtection="1">
      <alignment horizontal="centerContinuous"/>
      <protection/>
    </xf>
    <xf numFmtId="0" fontId="6" fillId="0" borderId="12" xfId="61" applyFont="1" applyBorder="1">
      <alignment/>
      <protection/>
    </xf>
    <xf numFmtId="0" fontId="6" fillId="0" borderId="13" xfId="61" applyFont="1" applyBorder="1">
      <alignment/>
      <protection/>
    </xf>
    <xf numFmtId="0" fontId="6" fillId="0" borderId="14" xfId="61" applyFont="1" applyBorder="1">
      <alignment/>
      <protection/>
    </xf>
    <xf numFmtId="0" fontId="15" fillId="0" borderId="0" xfId="61" applyFont="1">
      <alignment/>
      <protection/>
    </xf>
    <xf numFmtId="0" fontId="15" fillId="0" borderId="10" xfId="61" applyFont="1" applyBorder="1">
      <alignment/>
      <protection/>
    </xf>
    <xf numFmtId="0" fontId="16" fillId="0" borderId="0" xfId="61" applyFont="1" applyBorder="1">
      <alignment/>
      <protection/>
    </xf>
    <xf numFmtId="0" fontId="15" fillId="0" borderId="0" xfId="61" applyFont="1" applyBorder="1">
      <alignment/>
      <protection/>
    </xf>
    <xf numFmtId="0" fontId="15" fillId="0" borderId="11" xfId="61" applyFont="1" applyBorder="1">
      <alignment/>
      <protection/>
    </xf>
    <xf numFmtId="0" fontId="3" fillId="0" borderId="0" xfId="61" applyFont="1" applyBorder="1">
      <alignment/>
      <protection/>
    </xf>
    <xf numFmtId="0" fontId="13" fillId="0" borderId="0" xfId="61" applyFont="1" applyFill="1" applyBorder="1" applyAlignment="1" applyProtection="1">
      <alignment horizontal="centerContinuous"/>
      <protection locked="0"/>
    </xf>
    <xf numFmtId="0" fontId="13" fillId="0" borderId="0" xfId="61" applyFont="1" applyAlignment="1">
      <alignment horizontal="centerContinuous"/>
      <protection/>
    </xf>
    <xf numFmtId="0" fontId="13" fillId="0" borderId="0" xfId="61" applyFont="1" applyBorder="1" applyAlignment="1" applyProtection="1">
      <alignment horizontal="centerContinuous"/>
      <protection/>
    </xf>
    <xf numFmtId="0" fontId="13" fillId="0" borderId="11" xfId="61" applyFont="1" applyBorder="1" applyAlignment="1">
      <alignment horizontal="centerContinuous"/>
      <protection/>
    </xf>
    <xf numFmtId="0" fontId="12" fillId="0" borderId="0" xfId="61" applyFont="1" applyBorder="1">
      <alignment/>
      <protection/>
    </xf>
    <xf numFmtId="0" fontId="3" fillId="0" borderId="0" xfId="61" applyFont="1" applyBorder="1" applyProtection="1">
      <alignment/>
      <protection/>
    </xf>
    <xf numFmtId="0" fontId="6" fillId="0" borderId="0" xfId="61" applyFont="1" applyBorder="1" applyProtection="1">
      <alignment/>
      <protection/>
    </xf>
    <xf numFmtId="0" fontId="1" fillId="0" borderId="15" xfId="61" applyFont="1" applyBorder="1" applyAlignment="1" applyProtection="1">
      <alignment horizontal="center"/>
      <protection/>
    </xf>
    <xf numFmtId="175" fontId="1" fillId="0" borderId="15" xfId="61" applyNumberFormat="1" applyFont="1" applyBorder="1" applyAlignment="1">
      <alignment horizontal="centerContinuous"/>
      <protection/>
    </xf>
    <xf numFmtId="0" fontId="3" fillId="0" borderId="16" xfId="61" applyFont="1" applyBorder="1" applyAlignment="1" applyProtection="1">
      <alignment horizontal="centerContinuous"/>
      <protection/>
    </xf>
    <xf numFmtId="0" fontId="3" fillId="0" borderId="0" xfId="61" applyFont="1" applyBorder="1" applyAlignment="1" applyProtection="1">
      <alignment/>
      <protection/>
    </xf>
    <xf numFmtId="0" fontId="1" fillId="0" borderId="0" xfId="61" applyFont="1" applyBorder="1" applyAlignment="1">
      <alignment horizontal="right"/>
      <protection/>
    </xf>
    <xf numFmtId="0" fontId="1" fillId="0" borderId="0" xfId="61" applyFont="1" applyBorder="1" applyAlignment="1" applyProtection="1">
      <alignment horizontal="center"/>
      <protection locked="0"/>
    </xf>
    <xf numFmtId="0" fontId="1" fillId="0" borderId="0" xfId="61" applyFont="1" applyAlignment="1" applyProtection="1">
      <alignment/>
      <protection/>
    </xf>
    <xf numFmtId="171" fontId="6" fillId="0" borderId="16" xfId="61" applyNumberFormat="1" applyFont="1" applyBorder="1" applyAlignment="1">
      <alignment horizontal="centerContinuous"/>
      <protection/>
    </xf>
    <xf numFmtId="171" fontId="6" fillId="0" borderId="0" xfId="61" applyNumberFormat="1" applyFont="1" applyBorder="1" applyAlignment="1">
      <alignment/>
      <protection/>
    </xf>
    <xf numFmtId="0" fontId="1" fillId="0" borderId="0" xfId="61" applyFont="1" applyAlignment="1">
      <alignment horizontal="right"/>
      <protection/>
    </xf>
    <xf numFmtId="0" fontId="6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17" fillId="0" borderId="17" xfId="61" applyFont="1" applyBorder="1" applyAlignment="1" applyProtection="1">
      <alignment horizontal="center" vertical="center"/>
      <protection/>
    </xf>
    <xf numFmtId="0" fontId="17" fillId="0" borderId="17" xfId="61" applyFont="1" applyBorder="1" applyAlignment="1" applyProtection="1">
      <alignment horizontal="center" vertical="center" wrapText="1"/>
      <protection/>
    </xf>
    <xf numFmtId="0" fontId="18" fillId="33" borderId="17" xfId="61" applyFont="1" applyFill="1" applyBorder="1" applyAlignment="1" applyProtection="1">
      <alignment horizontal="center" vertical="center"/>
      <protection/>
    </xf>
    <xf numFmtId="0" fontId="20" fillId="34" borderId="17" xfId="61" applyFont="1" applyFill="1" applyBorder="1" applyAlignment="1" applyProtection="1">
      <alignment horizontal="center" vertical="center" wrapText="1"/>
      <protection/>
    </xf>
    <xf numFmtId="0" fontId="21" fillId="35" borderId="17" xfId="61" applyFont="1" applyFill="1" applyBorder="1" applyAlignment="1">
      <alignment horizontal="center" vertical="center" wrapText="1"/>
      <protection/>
    </xf>
    <xf numFmtId="0" fontId="22" fillId="36" borderId="17" xfId="61" applyFont="1" applyFill="1" applyBorder="1" applyAlignment="1">
      <alignment horizontal="center" vertical="center" wrapText="1"/>
      <protection/>
    </xf>
    <xf numFmtId="0" fontId="23" fillId="33" borderId="15" xfId="61" applyFont="1" applyFill="1" applyBorder="1" applyAlignment="1" applyProtection="1">
      <alignment horizontal="centerContinuous" vertical="center" wrapText="1"/>
      <protection/>
    </xf>
    <xf numFmtId="0" fontId="24" fillId="33" borderId="18" xfId="61" applyFont="1" applyFill="1" applyBorder="1" applyAlignment="1">
      <alignment horizontal="centerContinuous"/>
      <protection/>
    </xf>
    <xf numFmtId="0" fontId="23" fillId="33" borderId="16" xfId="61" applyFont="1" applyFill="1" applyBorder="1" applyAlignment="1">
      <alignment horizontal="centerContinuous" vertical="center"/>
      <protection/>
    </xf>
    <xf numFmtId="0" fontId="21" fillId="37" borderId="15" xfId="61" applyFont="1" applyFill="1" applyBorder="1" applyAlignment="1" applyProtection="1">
      <alignment horizontal="centerContinuous" vertical="center" wrapText="1"/>
      <protection/>
    </xf>
    <xf numFmtId="0" fontId="21" fillId="37" borderId="18" xfId="61" applyFont="1" applyFill="1" applyBorder="1" applyAlignment="1">
      <alignment horizontal="centerContinuous" vertical="center"/>
      <protection/>
    </xf>
    <xf numFmtId="0" fontId="21" fillId="37" borderId="16" xfId="61" applyFont="1" applyFill="1" applyBorder="1" applyAlignment="1">
      <alignment horizontal="centerContinuous" vertical="center"/>
      <protection/>
    </xf>
    <xf numFmtId="0" fontId="25" fillId="38" borderId="17" xfId="61" applyFont="1" applyFill="1" applyBorder="1" applyAlignment="1">
      <alignment horizontal="center" vertical="center" wrapText="1"/>
      <protection/>
    </xf>
    <xf numFmtId="0" fontId="26" fillId="39" borderId="17" xfId="61" applyFont="1" applyFill="1" applyBorder="1" applyAlignment="1">
      <alignment horizontal="center" vertical="center" wrapText="1"/>
      <protection/>
    </xf>
    <xf numFmtId="0" fontId="17" fillId="0" borderId="17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9" xfId="61" applyFont="1" applyBorder="1" applyProtection="1">
      <alignment/>
      <protection locked="0"/>
    </xf>
    <xf numFmtId="0" fontId="6" fillId="0" borderId="19" xfId="61" applyFont="1" applyBorder="1" applyAlignment="1" applyProtection="1">
      <alignment horizontal="center"/>
      <protection locked="0"/>
    </xf>
    <xf numFmtId="0" fontId="27" fillId="33" borderId="19" xfId="61" applyFont="1" applyFill="1" applyBorder="1" applyProtection="1">
      <alignment/>
      <protection locked="0"/>
    </xf>
    <xf numFmtId="0" fontId="6" fillId="0" borderId="19" xfId="61" applyFont="1" applyBorder="1" applyAlignment="1">
      <alignment horizontal="center"/>
      <protection/>
    </xf>
    <xf numFmtId="0" fontId="28" fillId="34" borderId="19" xfId="61" applyFont="1" applyFill="1" applyBorder="1" applyProtection="1">
      <alignment/>
      <protection locked="0"/>
    </xf>
    <xf numFmtId="0" fontId="29" fillId="35" borderId="19" xfId="61" applyFont="1" applyFill="1" applyBorder="1" applyProtection="1">
      <alignment/>
      <protection locked="0"/>
    </xf>
    <xf numFmtId="0" fontId="30" fillId="36" borderId="19" xfId="61" applyFont="1" applyFill="1" applyBorder="1" applyProtection="1">
      <alignment/>
      <protection locked="0"/>
    </xf>
    <xf numFmtId="0" fontId="31" fillId="33" borderId="19" xfId="61" applyFont="1" applyFill="1" applyBorder="1" applyAlignment="1" applyProtection="1">
      <alignment horizontal="center"/>
      <protection locked="0"/>
    </xf>
    <xf numFmtId="0" fontId="31" fillId="33" borderId="19" xfId="61" applyFont="1" applyFill="1" applyBorder="1" applyProtection="1">
      <alignment/>
      <protection locked="0"/>
    </xf>
    <xf numFmtId="0" fontId="29" fillId="37" borderId="19" xfId="61" applyFont="1" applyFill="1" applyBorder="1" applyProtection="1">
      <alignment/>
      <protection locked="0"/>
    </xf>
    <xf numFmtId="0" fontId="32" fillId="38" borderId="19" xfId="61" applyFont="1" applyFill="1" applyBorder="1" applyProtection="1">
      <alignment/>
      <protection locked="0"/>
    </xf>
    <xf numFmtId="0" fontId="33" fillId="39" borderId="19" xfId="61" applyFont="1" applyFill="1" applyBorder="1" applyProtection="1">
      <alignment/>
      <protection locked="0"/>
    </xf>
    <xf numFmtId="176" fontId="34" fillId="0" borderId="19" xfId="61" applyNumberFormat="1" applyFont="1" applyBorder="1" applyAlignment="1">
      <alignment horizontal="right"/>
      <protection/>
    </xf>
    <xf numFmtId="0" fontId="6" fillId="0" borderId="20" xfId="61" applyFont="1" applyBorder="1" applyProtection="1">
      <alignment/>
      <protection locked="0"/>
    </xf>
    <xf numFmtId="0" fontId="6" fillId="0" borderId="21" xfId="61" applyFont="1" applyBorder="1" applyAlignment="1" applyProtection="1">
      <alignment horizontal="center"/>
      <protection locked="0"/>
    </xf>
    <xf numFmtId="0" fontId="27" fillId="33" borderId="20" xfId="61" applyFont="1" applyFill="1" applyBorder="1" applyProtection="1">
      <alignment/>
      <protection locked="0"/>
    </xf>
    <xf numFmtId="0" fontId="6" fillId="0" borderId="20" xfId="61" applyFont="1" applyBorder="1" applyAlignment="1" applyProtection="1">
      <alignment horizontal="center"/>
      <protection locked="0"/>
    </xf>
    <xf numFmtId="0" fontId="6" fillId="0" borderId="20" xfId="61" applyFont="1" applyBorder="1" applyAlignment="1">
      <alignment horizontal="center"/>
      <protection/>
    </xf>
    <xf numFmtId="0" fontId="28" fillId="34" borderId="20" xfId="61" applyFont="1" applyFill="1" applyBorder="1" applyProtection="1">
      <alignment/>
      <protection locked="0"/>
    </xf>
    <xf numFmtId="0" fontId="29" fillId="35" borderId="20" xfId="61" applyFont="1" applyFill="1" applyBorder="1" applyProtection="1">
      <alignment/>
      <protection locked="0"/>
    </xf>
    <xf numFmtId="0" fontId="30" fillId="36" borderId="20" xfId="61" applyFont="1" applyFill="1" applyBorder="1" applyProtection="1">
      <alignment/>
      <protection locked="0"/>
    </xf>
    <xf numFmtId="0" fontId="31" fillId="33" borderId="20" xfId="61" applyFont="1" applyFill="1" applyBorder="1" applyAlignment="1" applyProtection="1">
      <alignment horizontal="center"/>
      <protection locked="0"/>
    </xf>
    <xf numFmtId="0" fontId="31" fillId="33" borderId="20" xfId="61" applyFont="1" applyFill="1" applyBorder="1" applyProtection="1">
      <alignment/>
      <protection locked="0"/>
    </xf>
    <xf numFmtId="0" fontId="29" fillId="37" borderId="20" xfId="61" applyFont="1" applyFill="1" applyBorder="1" applyProtection="1">
      <alignment/>
      <protection locked="0"/>
    </xf>
    <xf numFmtId="0" fontId="32" fillId="38" borderId="20" xfId="61" applyFont="1" applyFill="1" applyBorder="1" applyProtection="1">
      <alignment/>
      <protection locked="0"/>
    </xf>
    <xf numFmtId="0" fontId="33" fillId="39" borderId="20" xfId="61" applyFont="1" applyFill="1" applyBorder="1" applyProtection="1">
      <alignment/>
      <protection locked="0"/>
    </xf>
    <xf numFmtId="0" fontId="34" fillId="0" borderId="20" xfId="61" applyFont="1" applyBorder="1" applyAlignment="1">
      <alignment horizontal="center"/>
      <protection/>
    </xf>
    <xf numFmtId="2" fontId="6" fillId="0" borderId="21" xfId="61" applyNumberFormat="1" applyFont="1" applyBorder="1" applyAlignment="1" applyProtection="1">
      <alignment horizontal="center"/>
      <protection locked="0"/>
    </xf>
    <xf numFmtId="2" fontId="6" fillId="0" borderId="20" xfId="61" applyNumberFormat="1" applyFont="1" applyBorder="1" applyAlignment="1" applyProtection="1">
      <alignment horizontal="center"/>
      <protection locked="0"/>
    </xf>
    <xf numFmtId="172" fontId="27" fillId="33" borderId="20" xfId="61" applyNumberFormat="1" applyFont="1" applyFill="1" applyBorder="1" applyAlignment="1" applyProtection="1">
      <alignment horizontal="center"/>
      <protection locked="0"/>
    </xf>
    <xf numFmtId="22" fontId="6" fillId="0" borderId="20" xfId="61" applyNumberFormat="1" applyFont="1" applyBorder="1" applyAlignment="1" applyProtection="1">
      <alignment horizontal="center"/>
      <protection locked="0"/>
    </xf>
    <xf numFmtId="2" fontId="6" fillId="0" borderId="20" xfId="61" applyNumberFormat="1" applyFont="1" applyBorder="1" applyAlignment="1" applyProtection="1">
      <alignment horizontal="center"/>
      <protection/>
    </xf>
    <xf numFmtId="1" fontId="6" fillId="0" borderId="20" xfId="61" applyNumberFormat="1" applyFont="1" applyBorder="1" applyAlignment="1" applyProtection="1">
      <alignment horizontal="center"/>
      <protection/>
    </xf>
    <xf numFmtId="172" fontId="6" fillId="0" borderId="20" xfId="61" applyNumberFormat="1" applyFont="1" applyBorder="1" applyAlignment="1" applyProtection="1">
      <alignment horizontal="center"/>
      <protection locked="0"/>
    </xf>
    <xf numFmtId="172" fontId="28" fillId="34" borderId="20" xfId="61" applyNumberFormat="1" applyFont="1" applyFill="1" applyBorder="1" applyAlignment="1" applyProtection="1" quotePrefix="1">
      <alignment horizontal="center"/>
      <protection locked="0"/>
    </xf>
    <xf numFmtId="2" fontId="29" fillId="35" borderId="20" xfId="61" applyNumberFormat="1" applyFont="1" applyFill="1" applyBorder="1" applyAlignment="1" applyProtection="1">
      <alignment horizontal="center"/>
      <protection locked="0"/>
    </xf>
    <xf numFmtId="2" fontId="30" fillId="36" borderId="20" xfId="61" applyNumberFormat="1" applyFont="1" applyFill="1" applyBorder="1" applyAlignment="1" applyProtection="1">
      <alignment horizontal="center"/>
      <protection locked="0"/>
    </xf>
    <xf numFmtId="172" fontId="31" fillId="33" borderId="20" xfId="61" applyNumberFormat="1" applyFont="1" applyFill="1" applyBorder="1" applyAlignment="1" applyProtection="1" quotePrefix="1">
      <alignment horizontal="center"/>
      <protection locked="0"/>
    </xf>
    <xf numFmtId="4" fontId="31" fillId="33" borderId="20" xfId="61" applyNumberFormat="1" applyFont="1" applyFill="1" applyBorder="1" applyAlignment="1" applyProtection="1">
      <alignment horizontal="center"/>
      <protection locked="0"/>
    </xf>
    <xf numFmtId="172" fontId="29" fillId="37" borderId="20" xfId="61" applyNumberFormat="1" applyFont="1" applyFill="1" applyBorder="1" applyAlignment="1" applyProtection="1" quotePrefix="1">
      <alignment horizontal="center"/>
      <protection locked="0"/>
    </xf>
    <xf numFmtId="4" fontId="29" fillId="37" borderId="20" xfId="61" applyNumberFormat="1" applyFont="1" applyFill="1" applyBorder="1" applyAlignment="1" applyProtection="1">
      <alignment horizontal="center"/>
      <protection locked="0"/>
    </xf>
    <xf numFmtId="4" fontId="32" fillId="38" borderId="20" xfId="61" applyNumberFormat="1" applyFont="1" applyFill="1" applyBorder="1" applyAlignment="1" applyProtection="1">
      <alignment horizontal="center"/>
      <protection locked="0"/>
    </xf>
    <xf numFmtId="4" fontId="33" fillId="39" borderId="20" xfId="61" applyNumberFormat="1" applyFont="1" applyFill="1" applyBorder="1" applyAlignment="1" applyProtection="1">
      <alignment horizontal="center"/>
      <protection locked="0"/>
    </xf>
    <xf numFmtId="4" fontId="34" fillId="0" borderId="20" xfId="61" applyNumberFormat="1" applyFont="1" applyBorder="1" applyAlignment="1">
      <alignment horizontal="right"/>
      <protection/>
    </xf>
    <xf numFmtId="2" fontId="6" fillId="0" borderId="11" xfId="61" applyNumberFormat="1" applyFont="1" applyBorder="1">
      <alignment/>
      <protection/>
    </xf>
    <xf numFmtId="0" fontId="6" fillId="0" borderId="10" xfId="61" applyFont="1" applyBorder="1" applyAlignment="1">
      <alignment horizontal="center"/>
      <protection/>
    </xf>
    <xf numFmtId="0" fontId="6" fillId="0" borderId="22" xfId="61" applyFont="1" applyBorder="1" applyAlignment="1" applyProtection="1">
      <alignment horizontal="center"/>
      <protection locked="0"/>
    </xf>
    <xf numFmtId="172" fontId="6" fillId="0" borderId="22" xfId="61" applyNumberFormat="1" applyFont="1" applyBorder="1" applyAlignment="1" applyProtection="1">
      <alignment horizontal="center"/>
      <protection/>
    </xf>
    <xf numFmtId="172" fontId="27" fillId="33" borderId="22" xfId="61" applyNumberFormat="1" applyFont="1" applyFill="1" applyBorder="1" applyAlignment="1" applyProtection="1">
      <alignment horizontal="center"/>
      <protection/>
    </xf>
    <xf numFmtId="7" fontId="34" fillId="0" borderId="23" xfId="61" applyNumberFormat="1" applyFont="1" applyBorder="1" applyAlignment="1">
      <alignment horizontal="center"/>
      <protection/>
    </xf>
    <xf numFmtId="0" fontId="36" fillId="0" borderId="0" xfId="61" applyFont="1" applyBorder="1" applyAlignment="1" applyProtection="1">
      <alignment horizontal="left"/>
      <protection/>
    </xf>
    <xf numFmtId="0" fontId="6" fillId="0" borderId="0" xfId="61" applyFont="1" applyBorder="1" applyAlignment="1" applyProtection="1">
      <alignment horizontal="center"/>
      <protection/>
    </xf>
    <xf numFmtId="2" fontId="6" fillId="0" borderId="0" xfId="61" applyNumberFormat="1" applyFont="1" applyBorder="1" applyAlignment="1" applyProtection="1">
      <alignment horizontal="center"/>
      <protection/>
    </xf>
    <xf numFmtId="172" fontId="6" fillId="0" borderId="0" xfId="61" applyNumberFormat="1" applyFont="1" applyBorder="1" applyAlignment="1" applyProtection="1">
      <alignment horizontal="center"/>
      <protection/>
    </xf>
    <xf numFmtId="172" fontId="6" fillId="0" borderId="0" xfId="61" applyNumberFormat="1" applyFont="1" applyBorder="1" applyAlignment="1" applyProtection="1" quotePrefix="1">
      <alignment horizontal="center"/>
      <protection/>
    </xf>
    <xf numFmtId="2" fontId="29" fillId="35" borderId="17" xfId="61" applyNumberFormat="1" applyFont="1" applyFill="1" applyBorder="1" applyAlignment="1">
      <alignment horizontal="center"/>
      <protection/>
    </xf>
    <xf numFmtId="2" fontId="30" fillId="36" borderId="17" xfId="61" applyNumberFormat="1" applyFont="1" applyFill="1" applyBorder="1" applyAlignment="1">
      <alignment horizontal="center"/>
      <protection/>
    </xf>
    <xf numFmtId="172" fontId="31" fillId="33" borderId="17" xfId="61" applyNumberFormat="1" applyFont="1" applyFill="1" applyBorder="1" applyAlignment="1" applyProtection="1" quotePrefix="1">
      <alignment horizontal="center"/>
      <protection/>
    </xf>
    <xf numFmtId="172" fontId="29" fillId="37" borderId="17" xfId="61" applyNumberFormat="1" applyFont="1" applyFill="1" applyBorder="1" applyAlignment="1" applyProtection="1" quotePrefix="1">
      <alignment horizontal="center"/>
      <protection/>
    </xf>
    <xf numFmtId="172" fontId="32" fillId="38" borderId="17" xfId="61" applyNumberFormat="1" applyFont="1" applyFill="1" applyBorder="1" applyAlignment="1" applyProtection="1" quotePrefix="1">
      <alignment horizontal="center"/>
      <protection/>
    </xf>
    <xf numFmtId="172" fontId="33" fillId="39" borderId="17" xfId="61" applyNumberFormat="1" applyFont="1" applyFill="1" applyBorder="1" applyAlignment="1" applyProtection="1" quotePrefix="1">
      <alignment horizontal="center"/>
      <protection/>
    </xf>
    <xf numFmtId="4" fontId="7" fillId="0" borderId="0" xfId="61" applyNumberFormat="1" applyFont="1" applyBorder="1" applyAlignment="1">
      <alignment horizontal="center"/>
      <protection/>
    </xf>
    <xf numFmtId="2" fontId="6" fillId="0" borderId="11" xfId="61" applyNumberFormat="1" applyFont="1" applyBorder="1" applyAlignment="1">
      <alignment horizontal="center"/>
      <protection/>
    </xf>
    <xf numFmtId="0" fontId="35" fillId="0" borderId="0" xfId="61" applyFont="1">
      <alignment/>
      <protection/>
    </xf>
    <xf numFmtId="0" fontId="35" fillId="0" borderId="10" xfId="61" applyFont="1" applyBorder="1">
      <alignment/>
      <protection/>
    </xf>
    <xf numFmtId="0" fontId="35" fillId="0" borderId="0" xfId="61" applyFont="1" applyBorder="1" applyAlignment="1">
      <alignment horizontal="center"/>
      <protection/>
    </xf>
    <xf numFmtId="0" fontId="36" fillId="0" borderId="0" xfId="61" applyFont="1" applyBorder="1" applyAlignment="1" applyProtection="1">
      <alignment horizontal="left" vertical="top"/>
      <protection/>
    </xf>
    <xf numFmtId="0" fontId="35" fillId="0" borderId="0" xfId="61" applyFont="1" applyBorder="1" applyAlignment="1" applyProtection="1">
      <alignment horizontal="center"/>
      <protection/>
    </xf>
    <xf numFmtId="2" fontId="35" fillId="0" borderId="0" xfId="61" applyNumberFormat="1" applyFont="1" applyBorder="1" applyAlignment="1" applyProtection="1">
      <alignment horizontal="center"/>
      <protection/>
    </xf>
    <xf numFmtId="172" fontId="35" fillId="0" borderId="0" xfId="61" applyNumberFormat="1" applyFont="1" applyBorder="1" applyAlignment="1" applyProtection="1">
      <alignment horizontal="center"/>
      <protection/>
    </xf>
    <xf numFmtId="172" fontId="35" fillId="0" borderId="0" xfId="61" applyNumberFormat="1" applyFont="1" applyBorder="1" applyAlignment="1" applyProtection="1" quotePrefix="1">
      <alignment horizontal="center"/>
      <protection/>
    </xf>
    <xf numFmtId="2" fontId="37" fillId="0" borderId="0" xfId="61" applyNumberFormat="1" applyFont="1" applyBorder="1" applyAlignment="1">
      <alignment horizontal="center"/>
      <protection/>
    </xf>
    <xf numFmtId="172" fontId="38" fillId="0" borderId="0" xfId="61" applyNumberFormat="1" applyFont="1" applyBorder="1" applyAlignment="1" applyProtection="1" quotePrefix="1">
      <alignment horizontal="center"/>
      <protection/>
    </xf>
    <xf numFmtId="4" fontId="38" fillId="0" borderId="0" xfId="61" applyNumberFormat="1" applyFont="1" applyBorder="1" applyAlignment="1">
      <alignment horizontal="center"/>
      <protection/>
    </xf>
    <xf numFmtId="8" fontId="39" fillId="0" borderId="0" xfId="61" applyNumberFormat="1" applyFont="1" applyBorder="1" applyAlignment="1" applyProtection="1">
      <alignment horizontal="right"/>
      <protection locked="0"/>
    </xf>
    <xf numFmtId="2" fontId="35" fillId="0" borderId="11" xfId="61" applyNumberFormat="1" applyFont="1" applyBorder="1" applyAlignment="1">
      <alignment horizontal="center"/>
      <protection/>
    </xf>
    <xf numFmtId="0" fontId="6" fillId="0" borderId="24" xfId="61" applyFont="1" applyBorder="1">
      <alignment/>
      <protection/>
    </xf>
    <xf numFmtId="0" fontId="6" fillId="0" borderId="25" xfId="61" applyFont="1" applyBorder="1">
      <alignment/>
      <protection/>
    </xf>
    <xf numFmtId="0" fontId="6" fillId="0" borderId="26" xfId="61" applyFont="1" applyBorder="1">
      <alignment/>
      <protection/>
    </xf>
    <xf numFmtId="0" fontId="1" fillId="0" borderId="0" xfId="61" applyBorder="1">
      <alignment/>
      <protection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 horizontal="centerContinuous"/>
      <protection/>
    </xf>
    <xf numFmtId="0" fontId="6" fillId="0" borderId="0" xfId="61" applyFont="1" applyFill="1" applyAlignment="1">
      <alignment horizontal="centerContinuous"/>
      <protection/>
    </xf>
    <xf numFmtId="0" fontId="10" fillId="0" borderId="0" xfId="61" applyFont="1" applyFill="1" applyAlignment="1">
      <alignment horizontal="centerContinuous"/>
      <protection/>
    </xf>
    <xf numFmtId="0" fontId="10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6" fillId="0" borderId="12" xfId="61" applyFont="1" applyFill="1" applyBorder="1">
      <alignment/>
      <protection/>
    </xf>
    <xf numFmtId="0" fontId="6" fillId="0" borderId="13" xfId="61" applyFont="1" applyFill="1" applyBorder="1">
      <alignment/>
      <protection/>
    </xf>
    <xf numFmtId="0" fontId="6" fillId="0" borderId="14" xfId="61" applyFont="1" applyFill="1" applyBorder="1">
      <alignment/>
      <protection/>
    </xf>
    <xf numFmtId="0" fontId="15" fillId="0" borderId="10" xfId="61" applyFont="1" applyFill="1" applyBorder="1">
      <alignment/>
      <protection/>
    </xf>
    <xf numFmtId="0" fontId="15" fillId="0" borderId="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5" fillId="0" borderId="0" xfId="61" applyFont="1" applyFill="1">
      <alignment/>
      <protection/>
    </xf>
    <xf numFmtId="0" fontId="15" fillId="0" borderId="11" xfId="61" applyFont="1" applyFill="1" applyBorder="1">
      <alignment/>
      <protection/>
    </xf>
    <xf numFmtId="0" fontId="6" fillId="0" borderId="10" xfId="61" applyFont="1" applyFill="1" applyBorder="1">
      <alignment/>
      <protection/>
    </xf>
    <xf numFmtId="0" fontId="6" fillId="0" borderId="11" xfId="61" applyFont="1" applyFill="1" applyBorder="1">
      <alignment/>
      <protection/>
    </xf>
    <xf numFmtId="0" fontId="3" fillId="0" borderId="0" xfId="61" applyFont="1" applyFill="1" applyBorder="1">
      <alignment/>
      <protection/>
    </xf>
    <xf numFmtId="0" fontId="16" fillId="0" borderId="0" xfId="61" applyFont="1" applyFill="1">
      <alignment/>
      <protection/>
    </xf>
    <xf numFmtId="0" fontId="15" fillId="0" borderId="0" xfId="61" applyFont="1" applyFill="1" applyBorder="1" applyProtection="1">
      <alignment/>
      <protection/>
    </xf>
    <xf numFmtId="0" fontId="6" fillId="0" borderId="0" xfId="61" applyFont="1" applyFill="1" applyBorder="1" applyAlignment="1" applyProtection="1">
      <alignment horizontal="left"/>
      <protection/>
    </xf>
    <xf numFmtId="168" fontId="6" fillId="0" borderId="0" xfId="61" applyNumberFormat="1" applyFont="1" applyFill="1" applyBorder="1" applyProtection="1">
      <alignment/>
      <protection/>
    </xf>
    <xf numFmtId="0" fontId="6" fillId="0" borderId="0" xfId="61" applyFont="1" applyFill="1" applyBorder="1" applyProtection="1">
      <alignment/>
      <protection/>
    </xf>
    <xf numFmtId="0" fontId="13" fillId="0" borderId="10" xfId="61" applyFont="1" applyFill="1" applyBorder="1" applyAlignment="1">
      <alignment horizontal="centerContinuous"/>
      <protection/>
    </xf>
    <xf numFmtId="0" fontId="13" fillId="0" borderId="0" xfId="61" applyFont="1" applyFill="1" applyBorder="1" applyAlignment="1">
      <alignment horizontal="centerContinuous"/>
      <protection/>
    </xf>
    <xf numFmtId="0" fontId="13" fillId="0" borderId="11" xfId="61" applyFont="1" applyFill="1" applyBorder="1" applyAlignment="1">
      <alignment horizontal="centerContinuous"/>
      <protection/>
    </xf>
    <xf numFmtId="0" fontId="6" fillId="0" borderId="0" xfId="61" applyFont="1" applyFill="1" applyBorder="1" applyAlignment="1">
      <alignment horizontal="center"/>
      <protection/>
    </xf>
    <xf numFmtId="0" fontId="14" fillId="0" borderId="0" xfId="61" applyFont="1" applyFill="1" applyBorder="1" applyAlignment="1">
      <alignment horizontal="left"/>
      <protection/>
    </xf>
    <xf numFmtId="0" fontId="1" fillId="0" borderId="15" xfId="61" applyFont="1" applyFill="1" applyBorder="1" applyAlignment="1" applyProtection="1">
      <alignment horizontal="left"/>
      <protection/>
    </xf>
    <xf numFmtId="0" fontId="1" fillId="0" borderId="27" xfId="61" applyFont="1" applyFill="1" applyBorder="1" applyAlignment="1" applyProtection="1">
      <alignment horizontal="center"/>
      <protection/>
    </xf>
    <xf numFmtId="0" fontId="1" fillId="0" borderId="27" xfId="61" applyFont="1" applyFill="1" applyBorder="1">
      <alignment/>
      <protection/>
    </xf>
    <xf numFmtId="0" fontId="1" fillId="0" borderId="15" xfId="61" applyFont="1" applyFill="1" applyBorder="1" applyAlignment="1" applyProtection="1" quotePrefix="1">
      <alignment horizontal="left"/>
      <protection/>
    </xf>
    <xf numFmtId="0" fontId="1" fillId="0" borderId="18" xfId="61" applyFont="1" applyFill="1" applyBorder="1" applyAlignment="1" applyProtection="1">
      <alignment horizontal="center"/>
      <protection/>
    </xf>
    <xf numFmtId="168" fontId="1" fillId="0" borderId="17" xfId="61" applyNumberFormat="1" applyFont="1" applyFill="1" applyBorder="1" applyAlignment="1" applyProtection="1">
      <alignment horizontal="center"/>
      <protection/>
    </xf>
    <xf numFmtId="0" fontId="6" fillId="0" borderId="0" xfId="61" applyFont="1" applyAlignment="1" applyProtection="1">
      <alignment/>
      <protection/>
    </xf>
    <xf numFmtId="22" fontId="6" fillId="0" borderId="0" xfId="61" applyNumberFormat="1" applyFont="1" applyFill="1" applyBorder="1">
      <alignment/>
      <protection/>
    </xf>
    <xf numFmtId="0" fontId="6" fillId="0" borderId="0" xfId="61" applyFont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17" fillId="0" borderId="17" xfId="61" applyFont="1" applyFill="1" applyBorder="1" applyAlignment="1" applyProtection="1">
      <alignment horizontal="center" vertical="center" wrapText="1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 quotePrefix="1">
      <alignment horizontal="center" vertical="center" wrapText="1"/>
      <protection/>
    </xf>
    <xf numFmtId="0" fontId="17" fillId="0" borderId="17" xfId="61" applyFont="1" applyFill="1" applyBorder="1" applyAlignment="1">
      <alignment horizontal="center" vertical="center" wrapText="1"/>
      <protection/>
    </xf>
    <xf numFmtId="0" fontId="18" fillId="33" borderId="17" xfId="61" applyFont="1" applyFill="1" applyBorder="1" applyAlignment="1" applyProtection="1">
      <alignment horizontal="center" vertical="center"/>
      <protection/>
    </xf>
    <xf numFmtId="0" fontId="26" fillId="39" borderId="17" xfId="61" applyFont="1" applyFill="1" applyBorder="1" applyAlignment="1" applyProtection="1">
      <alignment horizontal="center" vertical="center"/>
      <protection/>
    </xf>
    <xf numFmtId="0" fontId="21" fillId="37" borderId="17" xfId="61" applyFont="1" applyFill="1" applyBorder="1" applyAlignment="1">
      <alignment horizontal="center" vertical="center" wrapText="1"/>
      <protection/>
    </xf>
    <xf numFmtId="0" fontId="20" fillId="40" borderId="17" xfId="61" applyFont="1" applyFill="1" applyBorder="1" applyAlignment="1">
      <alignment horizontal="center" vertical="center" wrapText="1"/>
      <protection/>
    </xf>
    <xf numFmtId="0" fontId="20" fillId="34" borderId="15" xfId="61" applyFont="1" applyFill="1" applyBorder="1" applyAlignment="1" applyProtection="1">
      <alignment horizontal="centerContinuous" vertical="center" wrapText="1"/>
      <protection/>
    </xf>
    <xf numFmtId="0" fontId="20" fillId="34" borderId="16" xfId="61" applyFont="1" applyFill="1" applyBorder="1" applyAlignment="1">
      <alignment horizontal="centerContinuous" vertical="center"/>
      <protection/>
    </xf>
    <xf numFmtId="0" fontId="40" fillId="41" borderId="15" xfId="61" applyFont="1" applyFill="1" applyBorder="1" applyAlignment="1" applyProtection="1">
      <alignment horizontal="centerContinuous" vertical="center" wrapText="1"/>
      <protection/>
    </xf>
    <xf numFmtId="0" fontId="40" fillId="41" borderId="16" xfId="61" applyFont="1" applyFill="1" applyBorder="1" applyAlignment="1">
      <alignment horizontal="centerContinuous" vertical="center"/>
      <protection/>
    </xf>
    <xf numFmtId="0" fontId="25" fillId="42" borderId="17" xfId="61" applyFont="1" applyFill="1" applyBorder="1" applyAlignment="1">
      <alignment horizontal="center" vertical="center" wrapText="1"/>
      <protection/>
    </xf>
    <xf numFmtId="0" fontId="20" fillId="43" borderId="17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28" xfId="61" applyFont="1" applyFill="1" applyBorder="1" applyAlignment="1" applyProtection="1">
      <alignment horizontal="center"/>
      <protection locked="0"/>
    </xf>
    <xf numFmtId="0" fontId="6" fillId="0" borderId="19" xfId="61" applyFont="1" applyFill="1" applyBorder="1" applyAlignment="1" applyProtection="1">
      <alignment horizontal="center"/>
      <protection locked="0"/>
    </xf>
    <xf numFmtId="0" fontId="6" fillId="0" borderId="19" xfId="61" applyFont="1" applyFill="1" applyBorder="1" applyProtection="1">
      <alignment/>
      <protection locked="0"/>
    </xf>
    <xf numFmtId="0" fontId="41" fillId="33" borderId="19" xfId="61" applyFont="1" applyFill="1" applyBorder="1" applyProtection="1">
      <alignment/>
      <protection locked="0"/>
    </xf>
    <xf numFmtId="0" fontId="6" fillId="0" borderId="19" xfId="61" applyFont="1" applyFill="1" applyBorder="1" applyAlignment="1">
      <alignment horizontal="center"/>
      <protection/>
    </xf>
    <xf numFmtId="0" fontId="5" fillId="40" borderId="19" xfId="61" applyFont="1" applyFill="1" applyBorder="1" applyProtection="1">
      <alignment/>
      <protection locked="0"/>
    </xf>
    <xf numFmtId="0" fontId="5" fillId="34" borderId="29" xfId="61" applyFont="1" applyFill="1" applyBorder="1" applyAlignment="1" applyProtection="1">
      <alignment horizontal="center"/>
      <protection locked="0"/>
    </xf>
    <xf numFmtId="0" fontId="5" fillId="34" borderId="30" xfId="61" applyFont="1" applyFill="1" applyBorder="1" applyProtection="1">
      <alignment/>
      <protection locked="0"/>
    </xf>
    <xf numFmtId="0" fontId="42" fillId="41" borderId="29" xfId="61" applyFont="1" applyFill="1" applyBorder="1" applyAlignment="1" applyProtection="1">
      <alignment horizontal="center"/>
      <protection locked="0"/>
    </xf>
    <xf numFmtId="0" fontId="42" fillId="41" borderId="30" xfId="61" applyFont="1" applyFill="1" applyBorder="1" applyProtection="1">
      <alignment/>
      <protection locked="0"/>
    </xf>
    <xf numFmtId="0" fontId="32" fillId="42" borderId="19" xfId="61" applyFont="1" applyFill="1" applyBorder="1" applyProtection="1">
      <alignment/>
      <protection locked="0"/>
    </xf>
    <xf numFmtId="0" fontId="5" fillId="43" borderId="19" xfId="61" applyFont="1" applyFill="1" applyBorder="1" applyProtection="1">
      <alignment/>
      <protection locked="0"/>
    </xf>
    <xf numFmtId="176" fontId="34" fillId="0" borderId="19" xfId="61" applyNumberFormat="1" applyFont="1" applyFill="1" applyBorder="1" applyAlignment="1">
      <alignment horizontal="right"/>
      <protection/>
    </xf>
    <xf numFmtId="0" fontId="6" fillId="0" borderId="31" xfId="61" applyFont="1" applyFill="1" applyBorder="1" applyAlignment="1" applyProtection="1">
      <alignment horizontal="center"/>
      <protection locked="0"/>
    </xf>
    <xf numFmtId="0" fontId="6" fillId="0" borderId="20" xfId="61" applyFont="1" applyFill="1" applyBorder="1" applyAlignment="1" applyProtection="1">
      <alignment horizontal="center"/>
      <protection locked="0"/>
    </xf>
    <xf numFmtId="0" fontId="6" fillId="0" borderId="20" xfId="61" applyFont="1" applyFill="1" applyBorder="1" applyProtection="1">
      <alignment/>
      <protection locked="0"/>
    </xf>
    <xf numFmtId="0" fontId="41" fillId="33" borderId="20" xfId="61" applyFont="1" applyFill="1" applyBorder="1" applyProtection="1">
      <alignment/>
      <protection locked="0"/>
    </xf>
    <xf numFmtId="0" fontId="6" fillId="0" borderId="20" xfId="61" applyFont="1" applyFill="1" applyBorder="1" applyAlignment="1">
      <alignment horizontal="center"/>
      <protection/>
    </xf>
    <xf numFmtId="0" fontId="5" fillId="40" borderId="20" xfId="61" applyFont="1" applyFill="1" applyBorder="1" applyProtection="1">
      <alignment/>
      <protection locked="0"/>
    </xf>
    <xf numFmtId="0" fontId="5" fillId="34" borderId="32" xfId="61" applyFont="1" applyFill="1" applyBorder="1" applyAlignment="1" applyProtection="1">
      <alignment horizontal="center"/>
      <protection locked="0"/>
    </xf>
    <xf numFmtId="0" fontId="5" fillId="34" borderId="33" xfId="61" applyFont="1" applyFill="1" applyBorder="1" applyProtection="1">
      <alignment/>
      <protection locked="0"/>
    </xf>
    <xf numFmtId="0" fontId="42" fillId="41" borderId="32" xfId="61" applyFont="1" applyFill="1" applyBorder="1" applyAlignment="1" applyProtection="1">
      <alignment horizontal="center"/>
      <protection locked="0"/>
    </xf>
    <xf numFmtId="0" fontId="42" fillId="41" borderId="33" xfId="61" applyFont="1" applyFill="1" applyBorder="1" applyProtection="1">
      <alignment/>
      <protection locked="0"/>
    </xf>
    <xf numFmtId="0" fontId="32" fillId="42" borderId="20" xfId="61" applyFont="1" applyFill="1" applyBorder="1" applyProtection="1">
      <alignment/>
      <protection locked="0"/>
    </xf>
    <xf numFmtId="0" fontId="5" fillId="43" borderId="20" xfId="61" applyFont="1" applyFill="1" applyBorder="1" applyProtection="1">
      <alignment/>
      <protection locked="0"/>
    </xf>
    <xf numFmtId="0" fontId="34" fillId="0" borderId="33" xfId="61" applyFont="1" applyFill="1" applyBorder="1" applyAlignment="1">
      <alignment horizontal="right"/>
      <protection/>
    </xf>
    <xf numFmtId="169" fontId="6" fillId="0" borderId="21" xfId="61" applyNumberFormat="1" applyFont="1" applyBorder="1" applyAlignment="1" applyProtection="1" quotePrefix="1">
      <alignment horizontal="center"/>
      <protection locked="0"/>
    </xf>
    <xf numFmtId="2" fontId="6" fillId="0" borderId="21" xfId="61" applyNumberFormat="1" applyFont="1" applyBorder="1" applyAlignment="1" applyProtection="1" quotePrefix="1">
      <alignment horizontal="center"/>
      <protection locked="0"/>
    </xf>
    <xf numFmtId="172" fontId="41" fillId="33" borderId="20" xfId="61" applyNumberFormat="1" applyFont="1" applyFill="1" applyBorder="1" applyAlignment="1" applyProtection="1">
      <alignment horizontal="center"/>
      <protection locked="0"/>
    </xf>
    <xf numFmtId="2" fontId="6" fillId="0" borderId="20" xfId="61" applyNumberFormat="1" applyFont="1" applyFill="1" applyBorder="1" applyAlignment="1" applyProtection="1">
      <alignment horizontal="center"/>
      <protection/>
    </xf>
    <xf numFmtId="3" fontId="6" fillId="0" borderId="20" xfId="61" applyNumberFormat="1" applyFont="1" applyFill="1" applyBorder="1" applyAlignment="1" applyProtection="1">
      <alignment horizontal="center"/>
      <protection/>
    </xf>
    <xf numFmtId="172" fontId="6" fillId="0" borderId="20" xfId="61" applyNumberFormat="1" applyFont="1" applyFill="1" applyBorder="1" applyAlignment="1" applyProtection="1">
      <alignment horizontal="center"/>
      <protection locked="0"/>
    </xf>
    <xf numFmtId="172" fontId="6" fillId="0" borderId="20" xfId="61" applyNumberFormat="1" applyFont="1" applyFill="1" applyBorder="1" applyAlignment="1" applyProtection="1" quotePrefix="1">
      <alignment horizontal="center"/>
      <protection locked="0"/>
    </xf>
    <xf numFmtId="2" fontId="29" fillId="37" borderId="20" xfId="61" applyNumberFormat="1" applyFont="1" applyFill="1" applyBorder="1" applyAlignment="1" applyProtection="1">
      <alignment horizontal="center"/>
      <protection locked="0"/>
    </xf>
    <xf numFmtId="2" fontId="5" fillId="40" borderId="20" xfId="61" applyNumberFormat="1" applyFont="1" applyFill="1" applyBorder="1" applyAlignment="1" applyProtection="1">
      <alignment horizontal="center"/>
      <protection locked="0"/>
    </xf>
    <xf numFmtId="172" fontId="5" fillId="34" borderId="32" xfId="61" applyNumberFormat="1" applyFont="1" applyFill="1" applyBorder="1" applyAlignment="1" applyProtection="1" quotePrefix="1">
      <alignment horizontal="center"/>
      <protection locked="0"/>
    </xf>
    <xf numFmtId="172" fontId="5" fillId="34" borderId="34" xfId="61" applyNumberFormat="1" applyFont="1" applyFill="1" applyBorder="1" applyAlignment="1" applyProtection="1" quotePrefix="1">
      <alignment horizontal="center"/>
      <protection locked="0"/>
    </xf>
    <xf numFmtId="172" fontId="42" fillId="41" borderId="32" xfId="61" applyNumberFormat="1" applyFont="1" applyFill="1" applyBorder="1" applyAlignment="1" applyProtection="1" quotePrefix="1">
      <alignment horizontal="center"/>
      <protection locked="0"/>
    </xf>
    <xf numFmtId="172" fontId="42" fillId="41" borderId="34" xfId="61" applyNumberFormat="1" applyFont="1" applyFill="1" applyBorder="1" applyAlignment="1" applyProtection="1" quotePrefix="1">
      <alignment horizontal="center"/>
      <protection locked="0"/>
    </xf>
    <xf numFmtId="172" fontId="32" fillId="42" borderId="20" xfId="61" applyNumberFormat="1" applyFont="1" applyFill="1" applyBorder="1" applyAlignment="1" applyProtection="1" quotePrefix="1">
      <alignment horizontal="center"/>
      <protection locked="0"/>
    </xf>
    <xf numFmtId="172" fontId="5" fillId="43" borderId="21" xfId="61" applyNumberFormat="1" applyFont="1" applyFill="1" applyBorder="1" applyAlignment="1" applyProtection="1" quotePrefix="1">
      <alignment horizontal="center"/>
      <protection locked="0"/>
    </xf>
    <xf numFmtId="172" fontId="34" fillId="0" borderId="33" xfId="61" applyNumberFormat="1" applyFont="1" applyFill="1" applyBorder="1" applyAlignment="1">
      <alignment horizontal="right"/>
      <protection/>
    </xf>
    <xf numFmtId="2" fontId="6" fillId="0" borderId="11" xfId="61" applyNumberFormat="1" applyFont="1" applyFill="1" applyBorder="1">
      <alignment/>
      <protection/>
    </xf>
    <xf numFmtId="0" fontId="6" fillId="0" borderId="22" xfId="61" applyFont="1" applyFill="1" applyBorder="1">
      <alignment/>
      <protection/>
    </xf>
    <xf numFmtId="0" fontId="41" fillId="33" borderId="22" xfId="61" applyFont="1" applyFill="1" applyBorder="1">
      <alignment/>
      <protection/>
    </xf>
    <xf numFmtId="0" fontId="34" fillId="0" borderId="35" xfId="61" applyFont="1" applyFill="1" applyBorder="1" applyAlignment="1">
      <alignment horizontal="right"/>
      <protection/>
    </xf>
    <xf numFmtId="7" fontId="29" fillId="37" borderId="17" xfId="61" applyNumberFormat="1" applyFont="1" applyFill="1" applyBorder="1" applyAlignment="1">
      <alignment horizontal="center"/>
      <protection/>
    </xf>
    <xf numFmtId="7" fontId="5" fillId="40" borderId="17" xfId="61" applyNumberFormat="1" applyFont="1" applyFill="1" applyBorder="1" applyAlignment="1">
      <alignment horizontal="center"/>
      <protection/>
    </xf>
    <xf numFmtId="7" fontId="5" fillId="34" borderId="17" xfId="61" applyNumberFormat="1" applyFont="1" applyFill="1" applyBorder="1" applyAlignment="1">
      <alignment horizontal="center"/>
      <protection/>
    </xf>
    <xf numFmtId="7" fontId="5" fillId="34" borderId="36" xfId="61" applyNumberFormat="1" applyFont="1" applyFill="1" applyBorder="1" applyAlignment="1">
      <alignment horizontal="center"/>
      <protection/>
    </xf>
    <xf numFmtId="7" fontId="42" fillId="41" borderId="17" xfId="61" applyNumberFormat="1" applyFont="1" applyFill="1" applyBorder="1" applyAlignment="1">
      <alignment horizontal="center"/>
      <protection/>
    </xf>
    <xf numFmtId="7" fontId="32" fillId="42" borderId="17" xfId="61" applyNumberFormat="1" applyFont="1" applyFill="1" applyBorder="1" applyAlignment="1">
      <alignment horizontal="center"/>
      <protection/>
    </xf>
    <xf numFmtId="7" fontId="5" fillId="43" borderId="17" xfId="61" applyNumberFormat="1" applyFont="1" applyFill="1" applyBorder="1" applyAlignment="1">
      <alignment horizontal="center"/>
      <protection/>
    </xf>
    <xf numFmtId="0" fontId="6" fillId="0" borderId="37" xfId="61" applyFont="1" applyFill="1" applyBorder="1">
      <alignment/>
      <protection/>
    </xf>
    <xf numFmtId="0" fontId="35" fillId="0" borderId="10" xfId="61" applyFont="1" applyFill="1" applyBorder="1">
      <alignment/>
      <protection/>
    </xf>
    <xf numFmtId="0" fontId="35" fillId="0" borderId="0" xfId="61" applyFont="1" applyFill="1" applyBorder="1">
      <alignment/>
      <protection/>
    </xf>
    <xf numFmtId="7" fontId="35" fillId="0" borderId="0" xfId="61" applyNumberFormat="1" applyFont="1" applyFill="1" applyBorder="1" applyAlignment="1">
      <alignment horizontal="center"/>
      <protection/>
    </xf>
    <xf numFmtId="7" fontId="35" fillId="0" borderId="0" xfId="61" applyNumberFormat="1" applyFont="1" applyFill="1" applyBorder="1" applyAlignment="1" applyProtection="1">
      <alignment horizontal="right"/>
      <protection locked="0"/>
    </xf>
    <xf numFmtId="0" fontId="35" fillId="0" borderId="11" xfId="61" applyFont="1" applyFill="1" applyBorder="1">
      <alignment/>
      <protection/>
    </xf>
    <xf numFmtId="0" fontId="6" fillId="0" borderId="24" xfId="61" applyFont="1" applyFill="1" applyBorder="1">
      <alignment/>
      <protection/>
    </xf>
    <xf numFmtId="0" fontId="6" fillId="0" borderId="25" xfId="61" applyFont="1" applyFill="1" applyBorder="1">
      <alignment/>
      <protection/>
    </xf>
    <xf numFmtId="0" fontId="6" fillId="0" borderId="26" xfId="61" applyFont="1" applyFill="1" applyBorder="1">
      <alignment/>
      <protection/>
    </xf>
    <xf numFmtId="0" fontId="1" fillId="0" borderId="0" xfId="61" applyFill="1" applyBorder="1">
      <alignment/>
      <protection/>
    </xf>
    <xf numFmtId="0" fontId="0" fillId="0" borderId="0" xfId="61" applyFont="1" applyFill="1" applyBorder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10" fillId="0" borderId="0" xfId="61" applyFont="1" applyAlignment="1">
      <alignment horizontal="centerContinuous"/>
      <protection/>
    </xf>
    <xf numFmtId="0" fontId="43" fillId="0" borderId="0" xfId="61" applyFont="1" applyBorder="1">
      <alignment/>
      <protection/>
    </xf>
    <xf numFmtId="0" fontId="13" fillId="0" borderId="0" xfId="61" applyFont="1" applyFill="1" applyBorder="1" applyAlignment="1" applyProtection="1" quotePrefix="1">
      <alignment horizontal="centerContinuous"/>
      <protection locked="0"/>
    </xf>
    <xf numFmtId="0" fontId="1" fillId="0" borderId="15" xfId="61" applyFont="1" applyBorder="1" applyAlignment="1" applyProtection="1">
      <alignment horizontal="left"/>
      <protection/>
    </xf>
    <xf numFmtId="173" fontId="1" fillId="0" borderId="36" xfId="61" applyNumberFormat="1" applyFont="1" applyBorder="1" applyAlignment="1" applyProtection="1">
      <alignment horizontal="center"/>
      <protection/>
    </xf>
    <xf numFmtId="0" fontId="1" fillId="0" borderId="17" xfId="61" applyFont="1" applyBorder="1" applyAlignment="1">
      <alignment horizontal="center"/>
      <protection/>
    </xf>
    <xf numFmtId="22" fontId="6" fillId="0" borderId="0" xfId="61" applyNumberFormat="1" applyFont="1" applyBorder="1">
      <alignment/>
      <protection/>
    </xf>
    <xf numFmtId="0" fontId="1" fillId="0" borderId="15" xfId="61" applyFont="1" applyBorder="1">
      <alignment/>
      <protection/>
    </xf>
    <xf numFmtId="173" fontId="44" fillId="0" borderId="36" xfId="61" applyNumberFormat="1" applyFont="1" applyBorder="1" applyAlignment="1">
      <alignment horizontal="center"/>
      <protection/>
    </xf>
    <xf numFmtId="0" fontId="1" fillId="0" borderId="22" xfId="61" applyFont="1" applyBorder="1" applyAlignment="1">
      <alignment horizontal="center"/>
      <protection/>
    </xf>
    <xf numFmtId="0" fontId="6" fillId="0" borderId="0" xfId="61" applyFont="1" applyBorder="1" applyAlignment="1">
      <alignment horizontal="left"/>
      <protection/>
    </xf>
    <xf numFmtId="173" fontId="6" fillId="0" borderId="0" xfId="61" applyNumberFormat="1" applyFont="1" applyBorder="1">
      <alignment/>
      <protection/>
    </xf>
    <xf numFmtId="0" fontId="6" fillId="0" borderId="0" xfId="61" applyFont="1" applyBorder="1" applyAlignment="1" quotePrefix="1">
      <alignment horizontal="center"/>
      <protection/>
    </xf>
    <xf numFmtId="0" fontId="1" fillId="0" borderId="15" xfId="61" applyFont="1" applyBorder="1" applyAlignment="1">
      <alignment horizontal="left"/>
      <protection/>
    </xf>
    <xf numFmtId="1" fontId="1" fillId="0" borderId="22" xfId="61" applyNumberFormat="1" applyFont="1" applyBorder="1" applyAlignment="1">
      <alignment horizontal="center"/>
      <protection/>
    </xf>
    <xf numFmtId="0" fontId="17" fillId="0" borderId="0" xfId="61" applyFont="1">
      <alignment/>
      <protection/>
    </xf>
    <xf numFmtId="0" fontId="17" fillId="0" borderId="10" xfId="61" applyFont="1" applyBorder="1">
      <alignment/>
      <protection/>
    </xf>
    <xf numFmtId="0" fontId="20" fillId="43" borderId="17" xfId="61" applyFont="1" applyFill="1" applyBorder="1" applyAlignment="1" applyProtection="1">
      <alignment horizontal="center" vertical="center"/>
      <protection/>
    </xf>
    <xf numFmtId="0" fontId="45" fillId="42" borderId="17" xfId="61" applyFont="1" applyFill="1" applyBorder="1" applyAlignment="1">
      <alignment horizontal="center" vertical="center" wrapText="1"/>
      <protection/>
    </xf>
    <xf numFmtId="0" fontId="20" fillId="41" borderId="15" xfId="61" applyFont="1" applyFill="1" applyBorder="1" applyAlignment="1" applyProtection="1">
      <alignment horizontal="centerContinuous" vertical="center" wrapText="1"/>
      <protection/>
    </xf>
    <xf numFmtId="0" fontId="20" fillId="41" borderId="16" xfId="61" applyFont="1" applyFill="1" applyBorder="1" applyAlignment="1">
      <alignment horizontal="centerContinuous" vertical="center"/>
      <protection/>
    </xf>
    <xf numFmtId="0" fontId="21" fillId="44" borderId="17" xfId="61" applyFont="1" applyFill="1" applyBorder="1" applyAlignment="1">
      <alignment horizontal="center" vertical="center" wrapText="1"/>
      <protection/>
    </xf>
    <xf numFmtId="0" fontId="17" fillId="0" borderId="11" xfId="61" applyFont="1" applyFill="1" applyBorder="1">
      <alignment/>
      <protection/>
    </xf>
    <xf numFmtId="168" fontId="6" fillId="0" borderId="19" xfId="61" applyNumberFormat="1" applyFont="1" applyFill="1" applyBorder="1" applyAlignment="1" applyProtection="1">
      <alignment horizontal="center"/>
      <protection locked="0"/>
    </xf>
    <xf numFmtId="0" fontId="27" fillId="33" borderId="19" xfId="61" applyFont="1" applyFill="1" applyBorder="1" applyAlignment="1" applyProtection="1">
      <alignment horizontal="center"/>
      <protection locked="0"/>
    </xf>
    <xf numFmtId="0" fontId="28" fillId="43" borderId="19" xfId="61" applyFont="1" applyFill="1" applyBorder="1" applyAlignment="1" applyProtection="1">
      <alignment horizontal="center"/>
      <protection locked="0"/>
    </xf>
    <xf numFmtId="0" fontId="46" fillId="42" borderId="19" xfId="61" applyFont="1" applyFill="1" applyBorder="1" applyAlignment="1" applyProtection="1">
      <alignment horizontal="center"/>
      <protection locked="0"/>
    </xf>
    <xf numFmtId="172" fontId="5" fillId="41" borderId="29" xfId="61" applyNumberFormat="1" applyFont="1" applyFill="1" applyBorder="1" applyAlignment="1" applyProtection="1" quotePrefix="1">
      <alignment horizontal="center"/>
      <protection locked="0"/>
    </xf>
    <xf numFmtId="172" fontId="5" fillId="41" borderId="38" xfId="61" applyNumberFormat="1" applyFont="1" applyFill="1" applyBorder="1" applyAlignment="1" applyProtection="1" quotePrefix="1">
      <alignment horizontal="center"/>
      <protection locked="0"/>
    </xf>
    <xf numFmtId="172" fontId="29" fillId="44" borderId="19" xfId="61" applyNumberFormat="1" applyFont="1" applyFill="1" applyBorder="1" applyAlignment="1" applyProtection="1" quotePrefix="1">
      <alignment horizontal="center"/>
      <protection locked="0"/>
    </xf>
    <xf numFmtId="0" fontId="6" fillId="0" borderId="28" xfId="61" applyFont="1" applyFill="1" applyBorder="1" applyAlignment="1" applyProtection="1">
      <alignment horizontal="left"/>
      <protection locked="0"/>
    </xf>
    <xf numFmtId="0" fontId="47" fillId="0" borderId="31" xfId="61" applyFont="1" applyFill="1" applyBorder="1" applyAlignment="1" applyProtection="1">
      <alignment horizontal="center"/>
      <protection locked="0"/>
    </xf>
    <xf numFmtId="174" fontId="7" fillId="0" borderId="20" xfId="61" applyNumberFormat="1" applyFont="1" applyFill="1" applyBorder="1" applyAlignment="1" applyProtection="1">
      <alignment horizontal="center"/>
      <protection locked="0"/>
    </xf>
    <xf numFmtId="173" fontId="27" fillId="33" borderId="20" xfId="61" applyNumberFormat="1" applyFont="1" applyFill="1" applyBorder="1" applyAlignment="1" applyProtection="1">
      <alignment horizontal="center"/>
      <protection locked="0"/>
    </xf>
    <xf numFmtId="168" fontId="6" fillId="0" borderId="20" xfId="61" applyNumberFormat="1" applyFont="1" applyFill="1" applyBorder="1" applyAlignment="1" applyProtection="1" quotePrefix="1">
      <alignment horizontal="center"/>
      <protection/>
    </xf>
    <xf numFmtId="168" fontId="28" fillId="43" borderId="20" xfId="61" applyNumberFormat="1" applyFont="1" applyFill="1" applyBorder="1" applyAlignment="1" applyProtection="1">
      <alignment horizontal="center"/>
      <protection locked="0"/>
    </xf>
    <xf numFmtId="2" fontId="46" fillId="42" borderId="20" xfId="61" applyNumberFormat="1" applyFont="1" applyFill="1" applyBorder="1" applyAlignment="1" applyProtection="1">
      <alignment horizontal="center"/>
      <protection locked="0"/>
    </xf>
    <xf numFmtId="172" fontId="5" fillId="41" borderId="32" xfId="61" applyNumberFormat="1" applyFont="1" applyFill="1" applyBorder="1" applyAlignment="1" applyProtection="1" quotePrefix="1">
      <alignment horizontal="center"/>
      <protection locked="0"/>
    </xf>
    <xf numFmtId="172" fontId="5" fillId="41" borderId="34" xfId="61" applyNumberFormat="1" applyFont="1" applyFill="1" applyBorder="1" applyAlignment="1" applyProtection="1" quotePrefix="1">
      <alignment horizontal="center"/>
      <protection locked="0"/>
    </xf>
    <xf numFmtId="172" fontId="29" fillId="44" borderId="20" xfId="61" applyNumberFormat="1" applyFont="1" applyFill="1" applyBorder="1" applyAlignment="1" applyProtection="1" quotePrefix="1">
      <alignment horizontal="center"/>
      <protection locked="0"/>
    </xf>
    <xf numFmtId="172" fontId="6" fillId="0" borderId="31" xfId="61" applyNumberFormat="1" applyFont="1" applyFill="1" applyBorder="1" applyAlignment="1" applyProtection="1">
      <alignment horizontal="center"/>
      <protection locked="0"/>
    </xf>
    <xf numFmtId="172" fontId="34" fillId="0" borderId="20" xfId="61" applyNumberFormat="1" applyFont="1" applyFill="1" applyBorder="1" applyAlignment="1">
      <alignment horizontal="center"/>
      <protection/>
    </xf>
    <xf numFmtId="174" fontId="7" fillId="0" borderId="20" xfId="61" applyNumberFormat="1" applyFont="1" applyFill="1" applyBorder="1" applyAlignment="1" applyProtection="1" quotePrefix="1">
      <alignment horizontal="center"/>
      <protection locked="0"/>
    </xf>
    <xf numFmtId="172" fontId="34" fillId="0" borderId="20" xfId="61" applyNumberFormat="1" applyFont="1" applyFill="1" applyBorder="1" applyAlignment="1">
      <alignment horizontal="right"/>
      <protection/>
    </xf>
    <xf numFmtId="0" fontId="27" fillId="33" borderId="22" xfId="61" applyFont="1" applyFill="1" applyBorder="1">
      <alignment/>
      <protection/>
    </xf>
    <xf numFmtId="0" fontId="34" fillId="0" borderId="35" xfId="61" applyFont="1" applyFill="1" applyBorder="1">
      <alignment/>
      <protection/>
    </xf>
    <xf numFmtId="2" fontId="46" fillId="42" borderId="17" xfId="61" applyNumberFormat="1" applyFont="1" applyFill="1" applyBorder="1" applyAlignment="1">
      <alignment horizontal="center"/>
      <protection/>
    </xf>
    <xf numFmtId="2" fontId="5" fillId="41" borderId="17" xfId="61" applyNumberFormat="1" applyFont="1" applyFill="1" applyBorder="1" applyAlignment="1">
      <alignment horizontal="center"/>
      <protection/>
    </xf>
    <xf numFmtId="2" fontId="29" fillId="44" borderId="17" xfId="61" applyNumberFormat="1" applyFont="1" applyFill="1" applyBorder="1" applyAlignment="1">
      <alignment horizontal="center"/>
      <protection/>
    </xf>
    <xf numFmtId="7" fontId="6" fillId="0" borderId="0" xfId="61" applyNumberFormat="1" applyFont="1" applyFill="1" applyBorder="1" applyAlignment="1">
      <alignment horizontal="center"/>
      <protection/>
    </xf>
    <xf numFmtId="7" fontId="39" fillId="0" borderId="0" xfId="61" applyNumberFormat="1" applyFont="1" applyFill="1" applyBorder="1" applyAlignment="1" applyProtection="1">
      <alignment horizontal="center"/>
      <protection locked="0"/>
    </xf>
    <xf numFmtId="0" fontId="1" fillId="0" borderId="0" xfId="61" applyFont="1">
      <alignment/>
      <protection/>
    </xf>
    <xf numFmtId="0" fontId="48" fillId="0" borderId="0" xfId="61" applyFont="1" applyAlignment="1">
      <alignment horizontal="right" vertical="top"/>
      <protection/>
    </xf>
    <xf numFmtId="0" fontId="48" fillId="0" borderId="0" xfId="61" applyFont="1" applyFill="1" applyAlignment="1">
      <alignment horizontal="right" vertical="top"/>
      <protection/>
    </xf>
    <xf numFmtId="175" fontId="1" fillId="0" borderId="17" xfId="61" applyNumberFormat="1" applyFont="1" applyFill="1" applyBorder="1" applyAlignment="1">
      <alignment horizontal="center"/>
      <protection/>
    </xf>
    <xf numFmtId="173" fontId="1" fillId="0" borderId="36" xfId="61" applyNumberFormat="1" applyFont="1" applyFill="1" applyBorder="1" applyAlignment="1" applyProtection="1">
      <alignment horizontal="center"/>
      <protection/>
    </xf>
    <xf numFmtId="0" fontId="6" fillId="0" borderId="22" xfId="61" applyFont="1" applyFill="1" applyBorder="1" applyProtection="1">
      <alignment/>
      <protection locked="0"/>
    </xf>
    <xf numFmtId="0" fontId="33" fillId="39" borderId="22" xfId="61" applyFont="1" applyFill="1" applyBorder="1" applyProtection="1">
      <alignment/>
      <protection locked="0"/>
    </xf>
    <xf numFmtId="0" fontId="29" fillId="37" borderId="22" xfId="61" applyFont="1" applyFill="1" applyBorder="1" applyProtection="1">
      <alignment/>
      <protection locked="0"/>
    </xf>
    <xf numFmtId="0" fontId="5" fillId="40" borderId="22" xfId="61" applyFont="1" applyFill="1" applyBorder="1" applyProtection="1">
      <alignment/>
      <protection locked="0"/>
    </xf>
    <xf numFmtId="0" fontId="5" fillId="34" borderId="39" xfId="61" applyFont="1" applyFill="1" applyBorder="1" applyProtection="1">
      <alignment/>
      <protection locked="0"/>
    </xf>
    <xf numFmtId="0" fontId="5" fillId="34" borderId="40" xfId="61" applyFont="1" applyFill="1" applyBorder="1" applyProtection="1">
      <alignment/>
      <protection locked="0"/>
    </xf>
    <xf numFmtId="0" fontId="42" fillId="41" borderId="39" xfId="61" applyFont="1" applyFill="1" applyBorder="1" applyProtection="1">
      <alignment/>
      <protection locked="0"/>
    </xf>
    <xf numFmtId="0" fontId="42" fillId="41" borderId="40" xfId="61" applyFont="1" applyFill="1" applyBorder="1" applyProtection="1">
      <alignment/>
      <protection locked="0"/>
    </xf>
    <xf numFmtId="0" fontId="32" fillId="42" borderId="22" xfId="61" applyFont="1" applyFill="1" applyBorder="1" applyProtection="1">
      <alignment/>
      <protection locked="0"/>
    </xf>
    <xf numFmtId="0" fontId="5" fillId="43" borderId="22" xfId="61" applyFont="1" applyFill="1" applyBorder="1" applyProtection="1">
      <alignment/>
      <protection locked="0"/>
    </xf>
    <xf numFmtId="0" fontId="28" fillId="43" borderId="22" xfId="61" applyFont="1" applyFill="1" applyBorder="1" applyProtection="1">
      <alignment/>
      <protection locked="0"/>
    </xf>
    <xf numFmtId="0" fontId="46" fillId="42" borderId="22" xfId="61" applyFont="1" applyFill="1" applyBorder="1" applyProtection="1">
      <alignment/>
      <protection locked="0"/>
    </xf>
    <xf numFmtId="0" fontId="5" fillId="41" borderId="39" xfId="61" applyFont="1" applyFill="1" applyBorder="1" applyProtection="1">
      <alignment/>
      <protection locked="0"/>
    </xf>
    <xf numFmtId="0" fontId="5" fillId="41" borderId="40" xfId="61" applyFont="1" applyFill="1" applyBorder="1" applyProtection="1">
      <alignment/>
      <protection locked="0"/>
    </xf>
    <xf numFmtId="0" fontId="29" fillId="44" borderId="22" xfId="61" applyFont="1" applyFill="1" applyBorder="1" applyProtection="1">
      <alignment/>
      <protection locked="0"/>
    </xf>
    <xf numFmtId="0" fontId="6" fillId="0" borderId="41" xfId="61" applyFont="1" applyBorder="1" applyAlignment="1" applyProtection="1">
      <alignment horizontal="center"/>
      <protection locked="0"/>
    </xf>
    <xf numFmtId="2" fontId="6" fillId="0" borderId="41" xfId="61" applyNumberFormat="1" applyFont="1" applyBorder="1" applyAlignment="1" applyProtection="1">
      <alignment horizontal="center"/>
      <protection locked="0"/>
    </xf>
    <xf numFmtId="172" fontId="6" fillId="0" borderId="22" xfId="61" applyNumberFormat="1" applyFont="1" applyBorder="1" applyAlignment="1" applyProtection="1">
      <alignment horizontal="center"/>
      <protection locked="0"/>
    </xf>
    <xf numFmtId="22" fontId="6" fillId="0" borderId="22" xfId="61" applyNumberFormat="1" applyFont="1" applyBorder="1" applyAlignment="1" applyProtection="1">
      <alignment horizontal="center"/>
      <protection locked="0"/>
    </xf>
    <xf numFmtId="22" fontId="28" fillId="34" borderId="22" xfId="61" applyNumberFormat="1" applyFont="1" applyFill="1" applyBorder="1" applyAlignment="1" applyProtection="1">
      <alignment horizontal="center"/>
      <protection locked="0"/>
    </xf>
    <xf numFmtId="172" fontId="29" fillId="35" borderId="22" xfId="61" applyNumberFormat="1" applyFont="1" applyFill="1" applyBorder="1" applyAlignment="1" applyProtection="1" quotePrefix="1">
      <alignment horizontal="center"/>
      <protection locked="0"/>
    </xf>
    <xf numFmtId="172" fontId="30" fillId="36" borderId="22" xfId="61" applyNumberFormat="1" applyFont="1" applyFill="1" applyBorder="1" applyAlignment="1" applyProtection="1" quotePrefix="1">
      <alignment horizontal="center"/>
      <protection locked="0"/>
    </xf>
    <xf numFmtId="172" fontId="31" fillId="33" borderId="22" xfId="61" applyNumberFormat="1" applyFont="1" applyFill="1" applyBorder="1" applyAlignment="1" applyProtection="1" quotePrefix="1">
      <alignment horizontal="center"/>
      <protection locked="0"/>
    </xf>
    <xf numFmtId="4" fontId="31" fillId="33" borderId="22" xfId="61" applyNumberFormat="1" applyFont="1" applyFill="1" applyBorder="1" applyAlignment="1" applyProtection="1">
      <alignment horizontal="center"/>
      <protection locked="0"/>
    </xf>
    <xf numFmtId="4" fontId="29" fillId="37" borderId="22" xfId="61" applyNumberFormat="1" applyFont="1" applyFill="1" applyBorder="1" applyAlignment="1" applyProtection="1">
      <alignment horizontal="center"/>
      <protection locked="0"/>
    </xf>
    <xf numFmtId="4" fontId="32" fillId="38" borderId="22" xfId="61" applyNumberFormat="1" applyFont="1" applyFill="1" applyBorder="1" applyAlignment="1" applyProtection="1">
      <alignment horizontal="center"/>
      <protection locked="0"/>
    </xf>
    <xf numFmtId="4" fontId="33" fillId="39" borderId="22" xfId="61" applyNumberFormat="1" applyFont="1" applyFill="1" applyBorder="1" applyAlignment="1" applyProtection="1">
      <alignment horizontal="center"/>
      <protection locked="0"/>
    </xf>
    <xf numFmtId="4" fontId="6" fillId="0" borderId="22" xfId="61" applyNumberFormat="1" applyFont="1" applyBorder="1" applyAlignment="1" applyProtection="1">
      <alignment horizontal="center"/>
      <protection locked="0"/>
    </xf>
    <xf numFmtId="0" fontId="8" fillId="0" borderId="0" xfId="58" applyFont="1">
      <alignment/>
      <protection/>
    </xf>
    <xf numFmtId="0" fontId="9" fillId="0" borderId="0" xfId="58" applyFont="1" applyAlignment="1">
      <alignment horizontal="centerContinuous"/>
      <protection/>
    </xf>
    <xf numFmtId="0" fontId="48" fillId="0" borderId="0" xfId="58" applyFont="1" applyAlignment="1">
      <alignment horizontal="right" vertical="top"/>
      <protection/>
    </xf>
    <xf numFmtId="0" fontId="49" fillId="0" borderId="0" xfId="58" applyFont="1" applyAlignment="1">
      <alignment horizontal="centerContinuous"/>
      <protection/>
    </xf>
    <xf numFmtId="0" fontId="8" fillId="0" borderId="0" xfId="58" applyFont="1" applyAlignment="1">
      <alignment horizontal="centerContinuous"/>
      <protection/>
    </xf>
    <xf numFmtId="0" fontId="6" fillId="0" borderId="0" xfId="58" applyFont="1">
      <alignment/>
      <protection/>
    </xf>
    <xf numFmtId="0" fontId="1" fillId="0" borderId="0" xfId="58">
      <alignment/>
      <protection/>
    </xf>
    <xf numFmtId="0" fontId="6" fillId="0" borderId="0" xfId="58" applyFont="1" applyAlignment="1">
      <alignment horizontal="centerContinuous"/>
      <protection/>
    </xf>
    <xf numFmtId="0" fontId="4" fillId="0" borderId="0" xfId="58" applyFont="1" applyFill="1" applyBorder="1" applyAlignment="1" applyProtection="1">
      <alignment horizontal="centerContinuous"/>
      <protection/>
    </xf>
    <xf numFmtId="0" fontId="10" fillId="0" borderId="0" xfId="58" applyNumberFormat="1" applyFont="1" applyAlignment="1">
      <alignment horizontal="left"/>
      <protection/>
    </xf>
    <xf numFmtId="0" fontId="10" fillId="0" borderId="0" xfId="58" applyFont="1">
      <alignment/>
      <protection/>
    </xf>
    <xf numFmtId="0" fontId="10" fillId="0" borderId="0" xfId="58" applyFont="1" applyBorder="1">
      <alignment/>
      <protection/>
    </xf>
    <xf numFmtId="0" fontId="50" fillId="0" borderId="0" xfId="58" applyFont="1" applyFill="1" applyBorder="1" applyAlignment="1" applyProtection="1">
      <alignment horizontal="left"/>
      <protection/>
    </xf>
    <xf numFmtId="0" fontId="8" fillId="0" borderId="0" xfId="58" applyFont="1" applyBorder="1">
      <alignment/>
      <protection/>
    </xf>
    <xf numFmtId="0" fontId="15" fillId="0" borderId="0" xfId="58" applyFont="1">
      <alignment/>
      <protection/>
    </xf>
    <xf numFmtId="0" fontId="51" fillId="0" borderId="0" xfId="58" applyFont="1" applyBorder="1" applyAlignment="1">
      <alignment horizontal="centerContinuous"/>
      <protection/>
    </xf>
    <xf numFmtId="0" fontId="52" fillId="0" borderId="0" xfId="58" applyFont="1" applyAlignment="1">
      <alignment horizontal="centerContinuous"/>
      <protection/>
    </xf>
    <xf numFmtId="0" fontId="15" fillId="0" borderId="0" xfId="58" applyFont="1" applyAlignment="1">
      <alignment horizontal="centerContinuous"/>
      <protection/>
    </xf>
    <xf numFmtId="0" fontId="15" fillId="0" borderId="0" xfId="58" applyFont="1" applyBorder="1" applyAlignment="1">
      <alignment horizontal="centerContinuous"/>
      <protection/>
    </xf>
    <xf numFmtId="0" fontId="15" fillId="0" borderId="0" xfId="58" applyFont="1" applyBorder="1">
      <alignment/>
      <protection/>
    </xf>
    <xf numFmtId="0" fontId="6" fillId="0" borderId="0" xfId="58" applyFont="1" applyBorder="1">
      <alignment/>
      <protection/>
    </xf>
    <xf numFmtId="0" fontId="12" fillId="0" borderId="0" xfId="58" applyFont="1">
      <alignment/>
      <protection/>
    </xf>
    <xf numFmtId="0" fontId="16" fillId="0" borderId="0" xfId="58" applyFont="1" applyAlignment="1">
      <alignment horizontal="centerContinuous"/>
      <protection/>
    </xf>
    <xf numFmtId="0" fontId="53" fillId="0" borderId="0" xfId="58" applyFont="1">
      <alignment/>
      <protection/>
    </xf>
    <xf numFmtId="0" fontId="54" fillId="0" borderId="0" xfId="58" applyFont="1" applyBorder="1">
      <alignment/>
      <protection/>
    </xf>
    <xf numFmtId="0" fontId="53" fillId="0" borderId="0" xfId="58" applyFont="1" applyBorder="1">
      <alignment/>
      <protection/>
    </xf>
    <xf numFmtId="0" fontId="55" fillId="0" borderId="12" xfId="58" applyFont="1" applyBorder="1">
      <alignment/>
      <protection/>
    </xf>
    <xf numFmtId="0" fontId="55" fillId="0" borderId="13" xfId="55" applyFont="1" applyBorder="1">
      <alignment/>
      <protection/>
    </xf>
    <xf numFmtId="0" fontId="53" fillId="0" borderId="13" xfId="58" applyFont="1" applyBorder="1">
      <alignment/>
      <protection/>
    </xf>
    <xf numFmtId="0" fontId="53" fillId="0" borderId="14" xfId="58" applyFont="1" applyBorder="1">
      <alignment/>
      <protection/>
    </xf>
    <xf numFmtId="0" fontId="11" fillId="0" borderId="0" xfId="58" applyFont="1">
      <alignment/>
      <protection/>
    </xf>
    <xf numFmtId="0" fontId="13" fillId="0" borderId="10" xfId="58" applyFont="1" applyBorder="1" applyAlignment="1">
      <alignment horizontal="centerContinuous"/>
      <protection/>
    </xf>
    <xf numFmtId="0" fontId="1" fillId="0" borderId="0" xfId="58" applyNumberFormat="1" applyAlignment="1">
      <alignment horizontal="centerContinuous"/>
      <protection/>
    </xf>
    <xf numFmtId="0" fontId="11" fillId="0" borderId="0" xfId="58" applyNumberFormat="1" applyFont="1" applyAlignment="1">
      <alignment horizontal="centerContinuous"/>
      <protection/>
    </xf>
    <xf numFmtId="0" fontId="13" fillId="0" borderId="0" xfId="58" applyFont="1" applyBorder="1" applyAlignment="1">
      <alignment horizontal="centerContinuous"/>
      <protection/>
    </xf>
    <xf numFmtId="0" fontId="11" fillId="0" borderId="0" xfId="58" applyFont="1" applyBorder="1" applyAlignment="1">
      <alignment horizontal="centerContinuous"/>
      <protection/>
    </xf>
    <xf numFmtId="0" fontId="11" fillId="0" borderId="11" xfId="58" applyFont="1" applyBorder="1" applyAlignment="1">
      <alignment horizontal="centerContinuous"/>
      <protection/>
    </xf>
    <xf numFmtId="0" fontId="11" fillId="0" borderId="0" xfId="58" applyFont="1" applyBorder="1">
      <alignment/>
      <protection/>
    </xf>
    <xf numFmtId="0" fontId="11" fillId="0" borderId="10" xfId="58" applyFont="1" applyBorder="1">
      <alignment/>
      <protection/>
    </xf>
    <xf numFmtId="0" fontId="56" fillId="0" borderId="0" xfId="58" applyNumberFormat="1" applyFont="1" applyBorder="1" applyAlignment="1">
      <alignment horizontal="right"/>
      <protection/>
    </xf>
    <xf numFmtId="0" fontId="13" fillId="0" borderId="0" xfId="58" applyFont="1" applyBorder="1">
      <alignment/>
      <protection/>
    </xf>
    <xf numFmtId="0" fontId="11" fillId="0" borderId="11" xfId="58" applyFont="1" applyBorder="1">
      <alignment/>
      <protection/>
    </xf>
    <xf numFmtId="0" fontId="56" fillId="0" borderId="0" xfId="58" applyNumberFormat="1" applyFont="1" applyBorder="1" applyAlignment="1">
      <alignment horizontal="centerContinuous"/>
      <protection/>
    </xf>
    <xf numFmtId="0" fontId="1" fillId="0" borderId="0" xfId="58" applyAlignment="1">
      <alignment horizontal="centerContinuous"/>
      <protection/>
    </xf>
    <xf numFmtId="0" fontId="56" fillId="0" borderId="0" xfId="58" applyNumberFormat="1" applyFont="1" applyBorder="1" applyAlignment="1">
      <alignment horizontal="right"/>
      <protection/>
    </xf>
    <xf numFmtId="0" fontId="56" fillId="0" borderId="0" xfId="58" applyNumberFormat="1" applyFont="1" applyBorder="1" applyAlignment="1">
      <alignment/>
      <protection/>
    </xf>
    <xf numFmtId="0" fontId="6" fillId="0" borderId="10" xfId="58" applyFont="1" applyBorder="1">
      <alignment/>
      <protection/>
    </xf>
    <xf numFmtId="0" fontId="3" fillId="0" borderId="0" xfId="58" applyNumberFormat="1" applyFont="1" applyBorder="1" applyAlignment="1">
      <alignment horizontal="right"/>
      <protection/>
    </xf>
    <xf numFmtId="0" fontId="3" fillId="0" borderId="0" xfId="58" applyNumberFormat="1" applyFont="1" applyBorder="1" applyAlignment="1">
      <alignment/>
      <protection/>
    </xf>
    <xf numFmtId="0" fontId="14" fillId="0" borderId="0" xfId="58" applyFont="1" applyBorder="1">
      <alignment/>
      <protection/>
    </xf>
    <xf numFmtId="0" fontId="6" fillId="0" borderId="11" xfId="58" applyFont="1" applyBorder="1">
      <alignment/>
      <protection/>
    </xf>
    <xf numFmtId="0" fontId="56" fillId="0" borderId="0" xfId="58" applyFont="1" applyBorder="1">
      <alignment/>
      <protection/>
    </xf>
    <xf numFmtId="0" fontId="56" fillId="0" borderId="15" xfId="58" applyFont="1" applyBorder="1" applyAlignment="1">
      <alignment horizontal="center"/>
      <protection/>
    </xf>
    <xf numFmtId="7" fontId="56" fillId="0" borderId="16" xfId="58" applyNumberFormat="1" applyFont="1" applyBorder="1" applyAlignment="1">
      <alignment horizontal="center"/>
      <protection/>
    </xf>
    <xf numFmtId="0" fontId="56" fillId="0" borderId="0" xfId="58" applyFont="1" applyBorder="1" applyAlignment="1">
      <alignment horizontal="center"/>
      <protection/>
    </xf>
    <xf numFmtId="7" fontId="56" fillId="0" borderId="0" xfId="58" applyNumberFormat="1" applyFont="1" applyBorder="1" applyAlignment="1">
      <alignment horizontal="center"/>
      <protection/>
    </xf>
    <xf numFmtId="0" fontId="57" fillId="0" borderId="0" xfId="58" applyNumberFormat="1" applyFont="1" applyBorder="1" applyAlignment="1">
      <alignment horizontal="left"/>
      <protection/>
    </xf>
    <xf numFmtId="0" fontId="53" fillId="0" borderId="24" xfId="58" applyFont="1" applyBorder="1">
      <alignment/>
      <protection/>
    </xf>
    <xf numFmtId="0" fontId="53" fillId="0" borderId="25" xfId="58" applyFont="1" applyBorder="1">
      <alignment/>
      <protection/>
    </xf>
    <xf numFmtId="0" fontId="53" fillId="0" borderId="26" xfId="58" applyFont="1" applyBorder="1">
      <alignment/>
      <protection/>
    </xf>
    <xf numFmtId="49" fontId="6" fillId="0" borderId="19" xfId="61" applyNumberFormat="1" applyFont="1" applyFill="1" applyBorder="1" applyAlignment="1" applyProtection="1">
      <alignment horizontal="center"/>
      <protection locked="0"/>
    </xf>
    <xf numFmtId="49" fontId="6" fillId="0" borderId="19" xfId="61" applyNumberFormat="1" applyFont="1" applyFill="1" applyBorder="1" applyProtection="1">
      <alignment/>
      <protection locked="0"/>
    </xf>
    <xf numFmtId="49" fontId="6" fillId="0" borderId="22" xfId="61" applyNumberFormat="1" applyFont="1" applyFill="1" applyBorder="1" applyProtection="1">
      <alignment/>
      <protection locked="0"/>
    </xf>
    <xf numFmtId="49" fontId="6" fillId="0" borderId="30" xfId="61" applyNumberFormat="1" applyFont="1" applyFill="1" applyBorder="1" applyAlignment="1" applyProtection="1">
      <alignment horizontal="center"/>
      <protection locked="0"/>
    </xf>
    <xf numFmtId="7" fontId="56" fillId="0" borderId="0" xfId="58" applyNumberFormat="1" applyFont="1" applyBorder="1">
      <alignment/>
      <protection/>
    </xf>
    <xf numFmtId="0" fontId="16" fillId="0" borderId="0" xfId="56" applyFont="1" applyBorder="1">
      <alignment/>
      <protection/>
    </xf>
    <xf numFmtId="178" fontId="6" fillId="0" borderId="19" xfId="61" applyNumberFormat="1" applyFont="1" applyFill="1" applyBorder="1" applyProtection="1">
      <alignment/>
      <protection locked="0"/>
    </xf>
    <xf numFmtId="178" fontId="6" fillId="0" borderId="21" xfId="61" applyNumberFormat="1" applyFont="1" applyBorder="1" applyAlignment="1" applyProtection="1" quotePrefix="1">
      <alignment horizontal="center"/>
      <protection locked="0"/>
    </xf>
    <xf numFmtId="7" fontId="2" fillId="0" borderId="42" xfId="61" applyNumberFormat="1" applyFont="1" applyFill="1" applyBorder="1" applyAlignment="1" applyProtection="1">
      <alignment horizontal="right"/>
      <protection locked="0"/>
    </xf>
    <xf numFmtId="0" fontId="6" fillId="0" borderId="43" xfId="61" applyFont="1" applyFill="1" applyBorder="1" applyAlignment="1" applyProtection="1">
      <alignment horizontal="center"/>
      <protection locked="0"/>
    </xf>
    <xf numFmtId="172" fontId="41" fillId="33" borderId="21" xfId="61" applyNumberFormat="1" applyFont="1" applyFill="1" applyBorder="1" applyAlignment="1" applyProtection="1">
      <alignment horizontal="center"/>
      <protection locked="0"/>
    </xf>
    <xf numFmtId="8" fontId="2" fillId="0" borderId="17" xfId="61" applyNumberFormat="1" applyFont="1" applyBorder="1" applyAlignment="1" applyProtection="1">
      <alignment horizontal="right"/>
      <protection/>
    </xf>
    <xf numFmtId="7" fontId="2" fillId="0" borderId="17" xfId="61" applyNumberFormat="1" applyFont="1" applyFill="1" applyBorder="1" applyAlignment="1" applyProtection="1">
      <alignment horizontal="right"/>
      <protection/>
    </xf>
    <xf numFmtId="7" fontId="2" fillId="0" borderId="17" xfId="61" applyNumberFormat="1" applyFont="1" applyFill="1" applyBorder="1" applyAlignment="1" applyProtection="1">
      <alignment horizontal="right"/>
      <protection/>
    </xf>
    <xf numFmtId="0" fontId="6" fillId="0" borderId="28" xfId="61" applyFont="1" applyFill="1" applyBorder="1" applyProtection="1">
      <alignment/>
      <protection locked="0"/>
    </xf>
    <xf numFmtId="0" fontId="17" fillId="0" borderId="17" xfId="0" applyFont="1" applyBorder="1" applyAlignment="1">
      <alignment horizontal="center" vertical="center"/>
    </xf>
    <xf numFmtId="0" fontId="28" fillId="0" borderId="0" xfId="61" applyFont="1" applyBorder="1">
      <alignment/>
      <protection/>
    </xf>
    <xf numFmtId="0" fontId="28" fillId="0" borderId="0" xfId="61" applyFont="1" applyFill="1" applyBorder="1">
      <alignment/>
      <protection/>
    </xf>
    <xf numFmtId="172" fontId="6" fillId="0" borderId="20" xfId="0" applyNumberFormat="1" applyFont="1" applyFill="1" applyBorder="1" applyAlignment="1" applyProtection="1">
      <alignment horizontal="center"/>
      <protection/>
    </xf>
    <xf numFmtId="172" fontId="6" fillId="0" borderId="20" xfId="0" applyNumberFormat="1" applyFont="1" applyFill="1" applyBorder="1" applyAlignment="1" applyProtection="1" quotePrefix="1">
      <alignment horizontal="center"/>
      <protection/>
    </xf>
    <xf numFmtId="172" fontId="6" fillId="0" borderId="20" xfId="0" applyNumberFormat="1" applyFont="1" applyBorder="1" applyAlignment="1" applyProtection="1" quotePrefix="1">
      <alignment horizontal="center"/>
      <protection/>
    </xf>
    <xf numFmtId="4" fontId="6" fillId="0" borderId="33" xfId="0" applyNumberFormat="1" applyFont="1" applyBorder="1" applyAlignment="1" applyProtection="1">
      <alignment horizontal="center"/>
      <protection/>
    </xf>
    <xf numFmtId="172" fontId="6" fillId="0" borderId="21" xfId="0" applyNumberFormat="1" applyFont="1" applyFill="1" applyBorder="1" applyAlignment="1" applyProtection="1" quotePrefix="1">
      <alignment horizontal="center"/>
      <protection/>
    </xf>
    <xf numFmtId="172" fontId="6" fillId="0" borderId="21" xfId="0" applyNumberFormat="1" applyFont="1" applyFill="1" applyBorder="1" applyAlignment="1" applyProtection="1">
      <alignment horizontal="center"/>
      <protection/>
    </xf>
    <xf numFmtId="172" fontId="6" fillId="0" borderId="20" xfId="0" applyNumberFormat="1" applyFont="1" applyBorder="1" applyAlignment="1" applyProtection="1">
      <alignment horizontal="center"/>
      <protection/>
    </xf>
    <xf numFmtId="177" fontId="6" fillId="0" borderId="33" xfId="0" applyNumberFormat="1" applyFont="1" applyBorder="1" applyAlignment="1" applyProtection="1" quotePrefix="1">
      <alignment horizontal="center"/>
      <protection/>
    </xf>
    <xf numFmtId="22" fontId="6" fillId="0" borderId="20" xfId="61" applyNumberFormat="1" applyFont="1" applyFill="1" applyBorder="1" applyAlignment="1" applyProtection="1">
      <alignment horizontal="center"/>
      <protection locked="0"/>
    </xf>
    <xf numFmtId="22" fontId="6" fillId="0" borderId="20" xfId="61" applyNumberFormat="1" applyFont="1" applyFill="1" applyBorder="1" applyProtection="1">
      <alignment/>
      <protection locked="0"/>
    </xf>
    <xf numFmtId="22" fontId="6" fillId="0" borderId="21" xfId="61" applyNumberFormat="1" applyFont="1" applyFill="1" applyBorder="1" applyAlignment="1" applyProtection="1">
      <alignment horizontal="center"/>
      <protection locked="0"/>
    </xf>
    <xf numFmtId="22" fontId="6" fillId="0" borderId="34" xfId="61" applyNumberFormat="1" applyFont="1" applyFill="1" applyBorder="1" applyAlignment="1" applyProtection="1">
      <alignment horizontal="center"/>
      <protection locked="0"/>
    </xf>
    <xf numFmtId="0" fontId="6" fillId="0" borderId="21" xfId="61" applyNumberFormat="1" applyFont="1" applyBorder="1" applyAlignment="1" applyProtection="1">
      <alignment horizontal="center"/>
      <protection locked="0"/>
    </xf>
    <xf numFmtId="0" fontId="60" fillId="0" borderId="0" xfId="61" applyFont="1" applyBorder="1" applyAlignment="1">
      <alignment horizontal="left"/>
      <protection/>
    </xf>
    <xf numFmtId="0" fontId="60" fillId="0" borderId="27" xfId="61" applyFont="1" applyBorder="1" applyAlignment="1">
      <alignment horizontal="center"/>
      <protection/>
    </xf>
    <xf numFmtId="0" fontId="1" fillId="0" borderId="0" xfId="59">
      <alignment/>
      <protection/>
    </xf>
    <xf numFmtId="0" fontId="48" fillId="0" borderId="0" xfId="59" applyFont="1" applyAlignment="1">
      <alignment horizontal="right" vertical="top"/>
      <protection/>
    </xf>
    <xf numFmtId="0" fontId="8" fillId="0" borderId="0" xfId="59" applyFont="1">
      <alignment/>
      <protection/>
    </xf>
    <xf numFmtId="0" fontId="62" fillId="0" borderId="0" xfId="59" applyFont="1" applyAlignment="1">
      <alignment horizontal="centerContinuous"/>
      <protection/>
    </xf>
    <xf numFmtId="0" fontId="4" fillId="0" borderId="0" xfId="59" applyFont="1" applyFill="1" applyBorder="1" applyAlignment="1" applyProtection="1">
      <alignment horizontal="centerContinuous"/>
      <protection/>
    </xf>
    <xf numFmtId="0" fontId="10" fillId="0" borderId="0" xfId="59" applyFont="1" applyAlignment="1">
      <alignment horizontal="centerContinuous"/>
      <protection/>
    </xf>
    <xf numFmtId="0" fontId="10" fillId="0" borderId="0" xfId="59" applyFont="1">
      <alignment/>
      <protection/>
    </xf>
    <xf numFmtId="0" fontId="10" fillId="0" borderId="0" xfId="59" applyFont="1" applyAlignment="1">
      <alignment/>
      <protection/>
    </xf>
    <xf numFmtId="0" fontId="16" fillId="0" borderId="0" xfId="59" applyFont="1">
      <alignment/>
      <protection/>
    </xf>
    <xf numFmtId="0" fontId="16" fillId="0" borderId="0" xfId="59" applyFont="1" applyAlignment="1">
      <alignment horizontal="centerContinuous"/>
      <protection/>
    </xf>
    <xf numFmtId="0" fontId="16" fillId="0" borderId="0" xfId="59" applyFont="1" applyAlignment="1">
      <alignment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Continuous"/>
      <protection/>
    </xf>
    <xf numFmtId="0" fontId="1" fillId="0" borderId="0" xfId="59" applyAlignment="1">
      <alignment horizontal="centerContinuous"/>
      <protection/>
    </xf>
    <xf numFmtId="0" fontId="1" fillId="0" borderId="0" xfId="59" applyAlignment="1">
      <alignment/>
      <protection/>
    </xf>
    <xf numFmtId="0" fontId="53" fillId="0" borderId="0" xfId="59" applyFont="1">
      <alignment/>
      <protection/>
    </xf>
    <xf numFmtId="0" fontId="53" fillId="0" borderId="0" xfId="59" applyFont="1" applyAlignment="1">
      <alignment horizontal="centerContinuous"/>
      <protection/>
    </xf>
    <xf numFmtId="0" fontId="1" fillId="0" borderId="12" xfId="59" applyBorder="1" applyAlignment="1">
      <alignment horizontal="centerContinuous"/>
      <protection/>
    </xf>
    <xf numFmtId="0" fontId="1" fillId="0" borderId="13" xfId="59" applyBorder="1" applyAlignment="1">
      <alignment horizontal="centerContinuous"/>
      <protection/>
    </xf>
    <xf numFmtId="0" fontId="1" fillId="0" borderId="14" xfId="59" applyBorder="1" applyAlignment="1">
      <alignment/>
      <protection/>
    </xf>
    <xf numFmtId="0" fontId="1" fillId="0" borderId="10" xfId="59" applyBorder="1">
      <alignment/>
      <protection/>
    </xf>
    <xf numFmtId="0" fontId="1" fillId="0" borderId="0" xfId="59" applyBorder="1">
      <alignment/>
      <protection/>
    </xf>
    <xf numFmtId="0" fontId="1" fillId="0" borderId="11" xfId="59" applyBorder="1" applyAlignment="1">
      <alignment/>
      <protection/>
    </xf>
    <xf numFmtId="0" fontId="17" fillId="0" borderId="0" xfId="59" applyFont="1" applyAlignment="1">
      <alignment horizontal="center" vertical="center"/>
      <protection/>
    </xf>
    <xf numFmtId="167" fontId="17" fillId="0" borderId="10" xfId="48" applyFont="1" applyBorder="1" applyAlignment="1" quotePrefix="1">
      <alignment horizontal="center" vertical="center"/>
    </xf>
    <xf numFmtId="0" fontId="17" fillId="0" borderId="17" xfId="59" applyFont="1" applyBorder="1" applyAlignment="1">
      <alignment horizontal="center" vertical="center"/>
      <protection/>
    </xf>
    <xf numFmtId="0" fontId="17" fillId="0" borderId="17" xfId="0" applyFont="1" applyBorder="1" applyAlignment="1">
      <alignment horizontal="center" vertical="center" wrapText="1"/>
    </xf>
    <xf numFmtId="17" fontId="17" fillId="0" borderId="17" xfId="0" applyNumberFormat="1" applyFont="1" applyBorder="1" applyAlignment="1">
      <alignment horizontal="center" vertical="center"/>
    </xf>
    <xf numFmtId="17" fontId="17" fillId="0" borderId="17" xfId="59" applyNumberFormat="1" applyFont="1" applyBorder="1" applyAlignment="1">
      <alignment horizontal="center" vertical="center"/>
      <protection/>
    </xf>
    <xf numFmtId="0" fontId="17" fillId="0" borderId="11" xfId="59" applyFont="1" applyBorder="1" applyAlignment="1">
      <alignment horizontal="center" vertical="center"/>
      <protection/>
    </xf>
    <xf numFmtId="0" fontId="64" fillId="0" borderId="0" xfId="59" applyFont="1" applyAlignment="1">
      <alignment vertical="center"/>
      <protection/>
    </xf>
    <xf numFmtId="0" fontId="64" fillId="0" borderId="10" xfId="59" applyFont="1" applyBorder="1" applyAlignment="1">
      <alignment vertical="center"/>
      <protection/>
    </xf>
    <xf numFmtId="0" fontId="64" fillId="0" borderId="31" xfId="59" applyFont="1" applyBorder="1" applyAlignment="1">
      <alignment vertical="center"/>
      <protection/>
    </xf>
    <xf numFmtId="0" fontId="64" fillId="0" borderId="20" xfId="59" applyFont="1" applyBorder="1" applyAlignment="1">
      <alignment vertical="center"/>
      <protection/>
    </xf>
    <xf numFmtId="0" fontId="64" fillId="0" borderId="44" xfId="59" applyFont="1" applyFill="1" applyBorder="1" applyAlignment="1">
      <alignment vertical="center"/>
      <protection/>
    </xf>
    <xf numFmtId="0" fontId="64" fillId="0" borderId="11" xfId="59" applyFont="1" applyBorder="1" applyAlignment="1">
      <alignment vertical="center"/>
      <protection/>
    </xf>
    <xf numFmtId="0" fontId="64" fillId="0" borderId="35" xfId="59" applyFont="1" applyFill="1" applyBorder="1" applyAlignment="1">
      <alignment horizontal="center" vertical="center"/>
      <protection/>
    </xf>
    <xf numFmtId="0" fontId="64" fillId="0" borderId="45" xfId="59" applyFont="1" applyBorder="1" applyAlignment="1">
      <alignment horizontal="center" vertical="center"/>
      <protection/>
    </xf>
    <xf numFmtId="0" fontId="64" fillId="0" borderId="41" xfId="59" applyFont="1" applyBorder="1" applyAlignment="1">
      <alignment horizontal="center" vertical="center"/>
      <protection/>
    </xf>
    <xf numFmtId="0" fontId="64" fillId="0" borderId="46" xfId="59" applyFont="1" applyBorder="1" applyAlignment="1">
      <alignment horizontal="center" vertical="center"/>
      <protection/>
    </xf>
    <xf numFmtId="0" fontId="64" fillId="0" borderId="0" xfId="59" applyFont="1" applyBorder="1" applyAlignment="1">
      <alignment horizontal="center" vertical="center"/>
      <protection/>
    </xf>
    <xf numFmtId="0" fontId="65" fillId="0" borderId="27" xfId="59" applyFont="1" applyBorder="1" applyAlignment="1" applyProtection="1">
      <alignment horizontal="right" vertical="center"/>
      <protection/>
    </xf>
    <xf numFmtId="186" fontId="66" fillId="0" borderId="17" xfId="59" applyNumberFormat="1" applyFont="1" applyBorder="1" applyAlignment="1">
      <alignment horizontal="center" vertical="center"/>
      <protection/>
    </xf>
    <xf numFmtId="0" fontId="67" fillId="0" borderId="0" xfId="59" applyFont="1" applyBorder="1" applyAlignment="1">
      <alignment horizontal="center" vertical="center"/>
      <protection/>
    </xf>
    <xf numFmtId="0" fontId="64" fillId="0" borderId="18" xfId="59" applyFont="1" applyFill="1" applyBorder="1" applyAlignment="1">
      <alignment horizontal="center" vertical="center"/>
      <protection/>
    </xf>
    <xf numFmtId="0" fontId="64" fillId="0" borderId="0" xfId="59" applyFont="1" applyBorder="1" applyAlignment="1">
      <alignment vertical="center"/>
      <protection/>
    </xf>
    <xf numFmtId="0" fontId="65" fillId="0" borderId="0" xfId="59" applyFont="1" applyAlignment="1">
      <alignment horizontal="right" vertical="center"/>
      <protection/>
    </xf>
    <xf numFmtId="0" fontId="64" fillId="0" borderId="17" xfId="59" applyFont="1" applyBorder="1" applyAlignment="1">
      <alignment horizontal="center" vertical="center"/>
      <protection/>
    </xf>
    <xf numFmtId="0" fontId="64" fillId="0" borderId="22" xfId="59" applyFont="1" applyFill="1" applyBorder="1" applyAlignment="1">
      <alignment horizontal="center" vertical="center"/>
      <protection/>
    </xf>
    <xf numFmtId="0" fontId="66" fillId="0" borderId="0" xfId="59" applyFont="1" applyBorder="1" applyAlignment="1">
      <alignment horizontal="center" vertical="center"/>
      <protection/>
    </xf>
    <xf numFmtId="17" fontId="65" fillId="0" borderId="0" xfId="59" applyNumberFormat="1" applyFont="1" applyBorder="1" applyAlignment="1">
      <alignment horizontal="right" vertical="center"/>
      <protection/>
    </xf>
    <xf numFmtId="0" fontId="6" fillId="0" borderId="0" xfId="59" applyFont="1" applyBorder="1">
      <alignment/>
      <protection/>
    </xf>
    <xf numFmtId="0" fontId="3" fillId="0" borderId="0" xfId="59" applyFont="1" applyBorder="1" applyAlignment="1" applyProtection="1">
      <alignment horizontal="center"/>
      <protection/>
    </xf>
    <xf numFmtId="172" fontId="3" fillId="0" borderId="0" xfId="59" applyNumberFormat="1" applyFont="1" applyBorder="1" applyAlignment="1" applyProtection="1">
      <alignment horizontal="right"/>
      <protection/>
    </xf>
    <xf numFmtId="0" fontId="1" fillId="0" borderId="0" xfId="59" applyBorder="1" applyAlignment="1">
      <alignment horizontal="center"/>
      <protection/>
    </xf>
    <xf numFmtId="2" fontId="1" fillId="0" borderId="0" xfId="59" applyNumberFormat="1" applyBorder="1" applyAlignment="1">
      <alignment horizontal="center"/>
      <protection/>
    </xf>
    <xf numFmtId="2" fontId="1" fillId="0" borderId="11" xfId="59" applyNumberFormat="1" applyBorder="1" applyAlignment="1">
      <alignment horizontal="center"/>
      <protection/>
    </xf>
    <xf numFmtId="0" fontId="68" fillId="0" borderId="10" xfId="59" applyFont="1" applyBorder="1">
      <alignment/>
      <protection/>
    </xf>
    <xf numFmtId="0" fontId="69" fillId="0" borderId="0" xfId="59" applyFont="1" applyBorder="1" applyAlignment="1">
      <alignment horizontal="center" vertical="center"/>
      <protection/>
    </xf>
    <xf numFmtId="0" fontId="70" fillId="0" borderId="0" xfId="59" applyFont="1">
      <alignment/>
      <protection/>
    </xf>
    <xf numFmtId="0" fontId="1" fillId="0" borderId="15" xfId="59" applyFont="1" applyBorder="1">
      <alignment/>
      <protection/>
    </xf>
    <xf numFmtId="0" fontId="1" fillId="0" borderId="18" xfId="59" applyBorder="1">
      <alignment/>
      <protection/>
    </xf>
    <xf numFmtId="2" fontId="71" fillId="0" borderId="18" xfId="59" applyNumberFormat="1" applyFont="1" applyBorder="1" applyAlignment="1">
      <alignment horizontal="center"/>
      <protection/>
    </xf>
    <xf numFmtId="0" fontId="72" fillId="0" borderId="18" xfId="59" applyFont="1" applyBorder="1">
      <alignment/>
      <protection/>
    </xf>
    <xf numFmtId="0" fontId="1" fillId="0" borderId="16" xfId="59" applyBorder="1">
      <alignment/>
      <protection/>
    </xf>
    <xf numFmtId="0" fontId="1" fillId="0" borderId="11" xfId="59" applyBorder="1">
      <alignment/>
      <protection/>
    </xf>
    <xf numFmtId="0" fontId="68" fillId="0" borderId="24" xfId="59" applyFont="1" applyBorder="1">
      <alignment/>
      <protection/>
    </xf>
    <xf numFmtId="0" fontId="3" fillId="0" borderId="25" xfId="59" applyFont="1" applyBorder="1" applyAlignment="1" applyProtection="1">
      <alignment horizontal="left"/>
      <protection/>
    </xf>
    <xf numFmtId="0" fontId="6" fillId="0" borderId="25" xfId="59" applyFont="1" applyBorder="1">
      <alignment/>
      <protection/>
    </xf>
    <xf numFmtId="0" fontId="3" fillId="0" borderId="25" xfId="59" applyFont="1" applyBorder="1" applyAlignment="1">
      <alignment horizontal="center"/>
      <protection/>
    </xf>
    <xf numFmtId="1" fontId="73" fillId="0" borderId="25" xfId="59" applyNumberFormat="1" applyFont="1" applyBorder="1" applyAlignment="1" applyProtection="1">
      <alignment horizontal="center"/>
      <protection/>
    </xf>
    <xf numFmtId="0" fontId="1" fillId="0" borderId="25" xfId="59" applyBorder="1">
      <alignment/>
      <protection/>
    </xf>
    <xf numFmtId="0" fontId="1" fillId="0" borderId="26" xfId="59" applyBorder="1">
      <alignment/>
      <protection/>
    </xf>
    <xf numFmtId="0" fontId="1" fillId="0" borderId="0" xfId="59" applyAlignment="1">
      <alignment horizontal="center"/>
      <protection/>
    </xf>
    <xf numFmtId="175" fontId="1" fillId="0" borderId="0" xfId="59" applyNumberFormat="1" applyBorder="1" applyAlignment="1">
      <alignment horizontal="center"/>
      <protection/>
    </xf>
    <xf numFmtId="0" fontId="1" fillId="0" borderId="0" xfId="59" applyAlignment="1">
      <alignment horizontal="right"/>
      <protection/>
    </xf>
    <xf numFmtId="0" fontId="64" fillId="45" borderId="32" xfId="59" applyFont="1" applyFill="1" applyBorder="1" applyAlignment="1">
      <alignment horizontal="center" vertical="center"/>
      <protection/>
    </xf>
    <xf numFmtId="0" fontId="64" fillId="46" borderId="32" xfId="59" applyFont="1" applyFill="1" applyBorder="1" applyAlignment="1">
      <alignment horizontal="center" vertical="center"/>
      <protection/>
    </xf>
    <xf numFmtId="0" fontId="64" fillId="46" borderId="31" xfId="59" applyFont="1" applyFill="1" applyBorder="1" applyAlignment="1">
      <alignment vertical="center"/>
      <protection/>
    </xf>
    <xf numFmtId="0" fontId="64" fillId="46" borderId="46" xfId="59" applyFont="1" applyFill="1" applyBorder="1" applyAlignment="1">
      <alignment horizontal="center" vertical="center"/>
      <protection/>
    </xf>
    <xf numFmtId="0" fontId="64" fillId="47" borderId="32" xfId="59" applyFont="1" applyFill="1" applyBorder="1" applyAlignment="1">
      <alignment horizontal="center" vertical="center"/>
      <protection/>
    </xf>
    <xf numFmtId="0" fontId="64" fillId="48" borderId="32" xfId="59" applyFont="1" applyFill="1" applyBorder="1" applyAlignment="1">
      <alignment horizontal="center" vertical="center"/>
      <protection/>
    </xf>
    <xf numFmtId="2" fontId="65" fillId="49" borderId="17" xfId="59" applyNumberFormat="1" applyFont="1" applyFill="1" applyBorder="1" applyAlignment="1">
      <alignment horizontal="center" vertical="center"/>
      <protection/>
    </xf>
    <xf numFmtId="0" fontId="8" fillId="0" borderId="0" xfId="60" applyFont="1" applyFill="1">
      <alignment/>
      <protection/>
    </xf>
    <xf numFmtId="0" fontId="8" fillId="0" borderId="0" xfId="60" applyFont="1">
      <alignment/>
      <protection/>
    </xf>
    <xf numFmtId="0" fontId="48" fillId="0" borderId="0" xfId="60" applyFont="1" applyAlignment="1">
      <alignment horizontal="right" vertical="top"/>
      <protection/>
    </xf>
    <xf numFmtId="0" fontId="9" fillId="0" borderId="0" xfId="60" applyFont="1" applyAlignment="1">
      <alignment horizontal="centerContinuous"/>
      <protection/>
    </xf>
    <xf numFmtId="0" fontId="9" fillId="0" borderId="0" xfId="60" applyFont="1" applyFill="1" applyAlignment="1">
      <alignment horizontal="centerContinuous"/>
      <protection/>
    </xf>
    <xf numFmtId="0" fontId="6" fillId="0" borderId="0" xfId="60" applyFont="1" applyFill="1">
      <alignment/>
      <protection/>
    </xf>
    <xf numFmtId="0" fontId="6" fillId="0" borderId="0" xfId="60" applyFont="1">
      <alignment/>
      <protection/>
    </xf>
    <xf numFmtId="0" fontId="4" fillId="0" borderId="0" xfId="60" applyFont="1" applyFill="1" applyBorder="1" applyAlignment="1" applyProtection="1">
      <alignment horizontal="centerContinuous"/>
      <protection/>
    </xf>
    <xf numFmtId="0" fontId="10" fillId="0" borderId="0" xfId="60" applyFont="1" applyAlignment="1">
      <alignment horizontal="centerContinuous"/>
      <protection/>
    </xf>
    <xf numFmtId="0" fontId="10" fillId="0" borderId="0" xfId="60" applyFont="1">
      <alignment/>
      <protection/>
    </xf>
    <xf numFmtId="0" fontId="10" fillId="0" borderId="0" xfId="60" applyFont="1" applyFill="1">
      <alignment/>
      <protection/>
    </xf>
    <xf numFmtId="0" fontId="6" fillId="0" borderId="12" xfId="60" applyFont="1" applyBorder="1">
      <alignment/>
      <protection/>
    </xf>
    <xf numFmtId="0" fontId="6" fillId="0" borderId="13" xfId="60" applyFont="1" applyBorder="1">
      <alignment/>
      <protection/>
    </xf>
    <xf numFmtId="0" fontId="6" fillId="0" borderId="13" xfId="60" applyFont="1" applyBorder="1" applyAlignment="1" applyProtection="1">
      <alignment horizontal="left"/>
      <protection/>
    </xf>
    <xf numFmtId="0" fontId="6" fillId="0" borderId="13" xfId="60" applyFont="1" applyFill="1" applyBorder="1">
      <alignment/>
      <protection/>
    </xf>
    <xf numFmtId="0" fontId="6" fillId="0" borderId="14" xfId="60" applyFont="1" applyFill="1" applyBorder="1">
      <alignment/>
      <protection/>
    </xf>
    <xf numFmtId="0" fontId="15" fillId="0" borderId="0" xfId="60" applyFont="1">
      <alignment/>
      <protection/>
    </xf>
    <xf numFmtId="0" fontId="15" fillId="0" borderId="10" xfId="60" applyFont="1" applyBorder="1">
      <alignment/>
      <protection/>
    </xf>
    <xf numFmtId="0" fontId="15" fillId="0" borderId="0" xfId="60" applyFont="1" applyBorder="1">
      <alignment/>
      <protection/>
    </xf>
    <xf numFmtId="0" fontId="15" fillId="0" borderId="0" xfId="60" applyFont="1" applyFill="1">
      <alignment/>
      <protection/>
    </xf>
    <xf numFmtId="0" fontId="16" fillId="0" borderId="0" xfId="60" applyFont="1" applyBorder="1">
      <alignment/>
      <protection/>
    </xf>
    <xf numFmtId="0" fontId="15" fillId="0" borderId="0" xfId="60" applyFont="1" applyFill="1" applyBorder="1">
      <alignment/>
      <protection/>
    </xf>
    <xf numFmtId="0" fontId="15" fillId="0" borderId="11" xfId="60" applyFont="1" applyFill="1" applyBorder="1">
      <alignment/>
      <protection/>
    </xf>
    <xf numFmtId="0" fontId="6" fillId="0" borderId="10" xfId="60" applyFont="1" applyBorder="1">
      <alignment/>
      <protection/>
    </xf>
    <xf numFmtId="0" fontId="6" fillId="0" borderId="0" xfId="60" applyFont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11" xfId="60" applyFont="1" applyFill="1" applyBorder="1">
      <alignment/>
      <protection/>
    </xf>
    <xf numFmtId="0" fontId="16" fillId="0" borderId="0" xfId="60" applyFont="1" applyBorder="1" applyProtection="1">
      <alignment/>
      <protection locked="0"/>
    </xf>
    <xf numFmtId="0" fontId="11" fillId="0" borderId="0" xfId="60" applyFont="1">
      <alignment/>
      <protection/>
    </xf>
    <xf numFmtId="0" fontId="13" fillId="0" borderId="10" xfId="54" applyFont="1" applyBorder="1" applyAlignment="1">
      <alignment horizontal="centerContinuous"/>
      <protection/>
    </xf>
    <xf numFmtId="0" fontId="13" fillId="0" borderId="0" xfId="60" applyFont="1" applyBorder="1" applyAlignment="1">
      <alignment horizontal="centerContinuous"/>
      <protection/>
    </xf>
    <xf numFmtId="0" fontId="13" fillId="0" borderId="0" xfId="60" applyFont="1" applyFill="1" applyBorder="1" applyAlignment="1">
      <alignment horizontal="centerContinuous"/>
      <protection/>
    </xf>
    <xf numFmtId="0" fontId="13" fillId="0" borderId="0" xfId="60" applyFont="1" applyAlignment="1">
      <alignment horizontal="centerContinuous"/>
      <protection/>
    </xf>
    <xf numFmtId="0" fontId="13" fillId="0" borderId="11" xfId="60" applyFont="1" applyFill="1" applyBorder="1" applyAlignment="1">
      <alignment horizontal="centerContinuous"/>
      <protection/>
    </xf>
    <xf numFmtId="0" fontId="6" fillId="0" borderId="0" xfId="60" applyFont="1" applyBorder="1" applyAlignment="1">
      <alignment horizontal="center"/>
      <protection/>
    </xf>
    <xf numFmtId="0" fontId="14" fillId="0" borderId="0" xfId="60" applyFont="1" applyBorder="1" applyAlignment="1">
      <alignment horizontal="left"/>
      <protection/>
    </xf>
    <xf numFmtId="0" fontId="1" fillId="0" borderId="15" xfId="60" applyFont="1" applyBorder="1" applyAlignment="1" applyProtection="1">
      <alignment horizontal="center"/>
      <protection/>
    </xf>
    <xf numFmtId="175" fontId="34" fillId="0" borderId="15" xfId="53" applyNumberFormat="1" applyFont="1" applyBorder="1" applyAlignment="1" applyProtection="1">
      <alignment horizontal="centerContinuous"/>
      <protection locked="0"/>
    </xf>
    <xf numFmtId="0" fontId="1" fillId="0" borderId="16" xfId="60" applyBorder="1" applyAlignment="1">
      <alignment horizontal="centerContinuous"/>
      <protection/>
    </xf>
    <xf numFmtId="175" fontId="34" fillId="0" borderId="0" xfId="53" applyNumberFormat="1" applyFont="1" applyBorder="1" applyAlignment="1">
      <alignment horizontal="center"/>
      <protection/>
    </xf>
    <xf numFmtId="0" fontId="3" fillId="50" borderId="12" xfId="60" applyFont="1" applyFill="1" applyBorder="1" applyAlignment="1">
      <alignment horizontal="left"/>
      <protection/>
    </xf>
    <xf numFmtId="2" fontId="6" fillId="50" borderId="13" xfId="60" applyNumberFormat="1" applyFont="1" applyFill="1" applyBorder="1" applyAlignment="1">
      <alignment horizontal="left"/>
      <protection/>
    </xf>
    <xf numFmtId="0" fontId="6" fillId="50" borderId="14" xfId="60" applyFont="1" applyFill="1" applyBorder="1" applyAlignment="1">
      <alignment horizontal="left"/>
      <protection/>
    </xf>
    <xf numFmtId="0" fontId="3" fillId="51" borderId="47" xfId="60" applyFont="1" applyFill="1" applyBorder="1">
      <alignment/>
      <protection/>
    </xf>
    <xf numFmtId="0" fontId="3" fillId="51" borderId="48" xfId="60" applyFont="1" applyFill="1" applyBorder="1">
      <alignment/>
      <protection/>
    </xf>
    <xf numFmtId="0" fontId="3" fillId="51" borderId="49" xfId="60" applyFont="1" applyFill="1" applyBorder="1">
      <alignment/>
      <protection/>
    </xf>
    <xf numFmtId="175" fontId="1" fillId="0" borderId="0" xfId="60" applyNumberFormat="1" applyFont="1" applyBorder="1" applyAlignment="1">
      <alignment horizontal="centerContinuous"/>
      <protection/>
    </xf>
    <xf numFmtId="0" fontId="6" fillId="50" borderId="10" xfId="60" applyFont="1" applyFill="1" applyBorder="1" applyAlignment="1">
      <alignment horizontal="left"/>
      <protection/>
    </xf>
    <xf numFmtId="0" fontId="6" fillId="50" borderId="0" xfId="60" applyFont="1" applyFill="1" applyBorder="1" applyAlignment="1">
      <alignment horizontal="left"/>
      <protection/>
    </xf>
    <xf numFmtId="22" fontId="6" fillId="50" borderId="11" xfId="60" applyNumberFormat="1" applyFont="1" applyFill="1" applyBorder="1" applyAlignment="1">
      <alignment horizontal="left"/>
      <protection/>
    </xf>
    <xf numFmtId="22" fontId="6" fillId="0" borderId="0" xfId="60" applyNumberFormat="1" applyFont="1" applyBorder="1">
      <alignment/>
      <protection/>
    </xf>
    <xf numFmtId="0" fontId="3" fillId="51" borderId="50" xfId="60" applyFont="1" applyFill="1" applyBorder="1">
      <alignment/>
      <protection/>
    </xf>
    <xf numFmtId="0" fontId="3" fillId="51" borderId="0" xfId="60" applyFont="1" applyFill="1" applyBorder="1">
      <alignment/>
      <protection/>
    </xf>
    <xf numFmtId="0" fontId="3" fillId="51" borderId="51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3" fillId="0" borderId="11" xfId="60" applyFont="1" applyFill="1" applyBorder="1">
      <alignment/>
      <protection/>
    </xf>
    <xf numFmtId="0" fontId="6" fillId="0" borderId="0" xfId="60" applyFont="1" applyBorder="1" applyAlignment="1" applyProtection="1">
      <alignment horizontal="center"/>
      <protection/>
    </xf>
    <xf numFmtId="0" fontId="6" fillId="0" borderId="52" xfId="60" applyFont="1" applyBorder="1">
      <alignment/>
      <protection/>
    </xf>
    <xf numFmtId="0" fontId="6" fillId="50" borderId="24" xfId="60" applyFont="1" applyFill="1" applyBorder="1" applyAlignment="1">
      <alignment horizontal="left"/>
      <protection/>
    </xf>
    <xf numFmtId="0" fontId="3" fillId="50" borderId="25" xfId="60" applyFont="1" applyFill="1" applyBorder="1" applyAlignment="1">
      <alignment horizontal="left"/>
      <protection/>
    </xf>
    <xf numFmtId="0" fontId="3" fillId="50" borderId="26" xfId="60" applyFont="1" applyFill="1" applyBorder="1" applyAlignment="1">
      <alignment horizontal="left"/>
      <protection/>
    </xf>
    <xf numFmtId="0" fontId="3" fillId="51" borderId="53" xfId="60" applyFont="1" applyFill="1" applyBorder="1">
      <alignment/>
      <protection/>
    </xf>
    <xf numFmtId="0" fontId="3" fillId="51" borderId="54" xfId="60" applyFont="1" applyFill="1" applyBorder="1">
      <alignment/>
      <protection/>
    </xf>
    <xf numFmtId="0" fontId="3" fillId="51" borderId="55" xfId="60" applyFont="1" applyFill="1" applyBorder="1">
      <alignment/>
      <protection/>
    </xf>
    <xf numFmtId="0" fontId="17" fillId="0" borderId="17" xfId="60" applyFont="1" applyBorder="1" applyAlignment="1" applyProtection="1">
      <alignment horizontal="center" vertical="center" textRotation="90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17" xfId="60" applyFont="1" applyBorder="1" applyAlignment="1" applyProtection="1">
      <alignment horizontal="center" vertical="center"/>
      <protection/>
    </xf>
    <xf numFmtId="168" fontId="17" fillId="0" borderId="17" xfId="60" applyNumberFormat="1" applyFont="1" applyBorder="1" applyAlignment="1" applyProtection="1">
      <alignment horizontal="center" vertical="center" wrapText="1"/>
      <protection/>
    </xf>
    <xf numFmtId="0" fontId="17" fillId="0" borderId="17" xfId="60" applyFont="1" applyBorder="1" applyAlignment="1" applyProtection="1">
      <alignment horizontal="center" vertical="center" wrapText="1"/>
      <protection/>
    </xf>
    <xf numFmtId="172" fontId="17" fillId="0" borderId="17" xfId="60" applyNumberFormat="1" applyFont="1" applyBorder="1" applyAlignment="1" applyProtection="1">
      <alignment horizontal="center" vertical="center"/>
      <protection/>
    </xf>
    <xf numFmtId="0" fontId="26" fillId="36" borderId="17" xfId="60" applyFont="1" applyFill="1" applyBorder="1" applyAlignment="1" applyProtection="1">
      <alignment horizontal="center" vertical="center"/>
      <protection/>
    </xf>
    <xf numFmtId="0" fontId="17" fillId="0" borderId="15" xfId="60" applyFont="1" applyBorder="1" applyAlignment="1" applyProtection="1">
      <alignment horizontal="center" vertical="center"/>
      <protection/>
    </xf>
    <xf numFmtId="0" fontId="17" fillId="0" borderId="15" xfId="60" applyFont="1" applyFill="1" applyBorder="1" applyAlignment="1" applyProtection="1">
      <alignment horizontal="center" vertical="center" wrapText="1"/>
      <protection/>
    </xf>
    <xf numFmtId="0" fontId="17" fillId="0" borderId="17" xfId="60" applyFont="1" applyFill="1" applyBorder="1" applyAlignment="1" applyProtection="1">
      <alignment horizontal="center" vertical="center" wrapText="1"/>
      <protection/>
    </xf>
    <xf numFmtId="0" fontId="17" fillId="0" borderId="15" xfId="60" applyFont="1" applyBorder="1" applyAlignment="1" applyProtection="1">
      <alignment horizontal="center" vertical="center" wrapText="1"/>
      <protection/>
    </xf>
    <xf numFmtId="0" fontId="23" fillId="33" borderId="56" xfId="60" applyFont="1" applyFill="1" applyBorder="1" applyAlignment="1" applyProtection="1">
      <alignment horizontal="centerContinuous" vertical="center" wrapText="1"/>
      <protection/>
    </xf>
    <xf numFmtId="0" fontId="24" fillId="33" borderId="52" xfId="60" applyFont="1" applyFill="1" applyBorder="1" applyAlignment="1">
      <alignment horizontal="centerContinuous"/>
      <protection/>
    </xf>
    <xf numFmtId="0" fontId="23" fillId="33" borderId="57" xfId="60" applyFont="1" applyFill="1" applyBorder="1" applyAlignment="1">
      <alignment horizontal="centerContinuous" vertical="center"/>
      <protection/>
    </xf>
    <xf numFmtId="0" fontId="17" fillId="0" borderId="17" xfId="60" applyFont="1" applyFill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50" borderId="17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/>
      <protection/>
    </xf>
    <xf numFmtId="0" fontId="6" fillId="0" borderId="19" xfId="60" applyFont="1" applyBorder="1">
      <alignment/>
      <protection/>
    </xf>
    <xf numFmtId="0" fontId="6" fillId="0" borderId="19" xfId="60" applyFont="1" applyBorder="1" applyAlignment="1">
      <alignment horizontal="center"/>
      <protection/>
    </xf>
    <xf numFmtId="0" fontId="74" fillId="52" borderId="19" xfId="60" applyFont="1" applyFill="1" applyBorder="1">
      <alignment/>
      <protection/>
    </xf>
    <xf numFmtId="0" fontId="75" fillId="36" borderId="19" xfId="60" applyFont="1" applyFill="1" applyBorder="1">
      <alignment/>
      <protection/>
    </xf>
    <xf numFmtId="0" fontId="6" fillId="0" borderId="19" xfId="60" applyFont="1" applyFill="1" applyBorder="1">
      <alignment/>
      <protection/>
    </xf>
    <xf numFmtId="0" fontId="6" fillId="53" borderId="19" xfId="60" applyFont="1" applyFill="1" applyBorder="1">
      <alignment/>
      <protection/>
    </xf>
    <xf numFmtId="0" fontId="6" fillId="33" borderId="29" xfId="60" applyFont="1" applyFill="1" applyBorder="1">
      <alignment/>
      <protection/>
    </xf>
    <xf numFmtId="0" fontId="6" fillId="33" borderId="58" xfId="60" applyFont="1" applyFill="1" applyBorder="1">
      <alignment/>
      <protection/>
    </xf>
    <xf numFmtId="0" fontId="6" fillId="33" borderId="38" xfId="60" applyFont="1" applyFill="1" applyBorder="1">
      <alignment/>
      <protection/>
    </xf>
    <xf numFmtId="7" fontId="34" fillId="0" borderId="19" xfId="60" applyNumberFormat="1" applyFont="1" applyFill="1" applyBorder="1" applyAlignment="1">
      <alignment/>
      <protection/>
    </xf>
    <xf numFmtId="7" fontId="34" fillId="0" borderId="0" xfId="60" applyNumberFormat="1" applyFont="1" applyBorder="1" applyAlignment="1">
      <alignment/>
      <protection/>
    </xf>
    <xf numFmtId="7" fontId="34" fillId="0" borderId="0" xfId="60" applyNumberFormat="1" applyFont="1" applyFill="1" applyBorder="1" applyAlignment="1">
      <alignment/>
      <protection/>
    </xf>
    <xf numFmtId="7" fontId="34" fillId="0" borderId="50" xfId="60" applyNumberFormat="1" applyFont="1" applyFill="1" applyBorder="1" applyAlignment="1">
      <alignment/>
      <protection/>
    </xf>
    <xf numFmtId="7" fontId="34" fillId="50" borderId="0" xfId="60" applyNumberFormat="1" applyFont="1" applyFill="1" applyBorder="1" applyAlignment="1">
      <alignment/>
      <protection/>
    </xf>
    <xf numFmtId="0" fontId="6" fillId="46" borderId="44" xfId="60" applyFont="1" applyFill="1" applyBorder="1">
      <alignment/>
      <protection/>
    </xf>
    <xf numFmtId="0" fontId="6" fillId="0" borderId="35" xfId="60" applyFont="1" applyBorder="1">
      <alignment/>
      <protection/>
    </xf>
    <xf numFmtId="0" fontId="6" fillId="0" borderId="59" xfId="60" applyFont="1" applyBorder="1">
      <alignment/>
      <protection/>
    </xf>
    <xf numFmtId="0" fontId="6" fillId="0" borderId="35" xfId="60" applyFont="1" applyFill="1" applyBorder="1">
      <alignment/>
      <protection/>
    </xf>
    <xf numFmtId="0" fontId="6" fillId="0" borderId="59" xfId="60" applyFont="1" applyFill="1" applyBorder="1" applyProtection="1">
      <alignment/>
      <protection locked="0"/>
    </xf>
    <xf numFmtId="172" fontId="7" fillId="0" borderId="23" xfId="60" applyNumberFormat="1" applyFont="1" applyFill="1" applyBorder="1" applyAlignment="1" applyProtection="1" quotePrefix="1">
      <alignment horizontal="center"/>
      <protection/>
    </xf>
    <xf numFmtId="4" fontId="7" fillId="0" borderId="23" xfId="60" applyNumberFormat="1" applyFont="1" applyFill="1" applyBorder="1" applyAlignment="1" applyProtection="1">
      <alignment horizontal="center"/>
      <protection/>
    </xf>
    <xf numFmtId="0" fontId="34" fillId="0" borderId="59" xfId="60" applyFont="1" applyFill="1" applyBorder="1">
      <alignment/>
      <protection/>
    </xf>
    <xf numFmtId="0" fontId="34" fillId="0" borderId="59" xfId="60" applyFont="1" applyFill="1" applyBorder="1" applyProtection="1">
      <alignment/>
      <protection locked="0"/>
    </xf>
    <xf numFmtId="0" fontId="34" fillId="0" borderId="60" xfId="60" applyFont="1" applyFill="1" applyBorder="1">
      <alignment/>
      <protection/>
    </xf>
    <xf numFmtId="0" fontId="34" fillId="0" borderId="59" xfId="60" applyFont="1" applyBorder="1">
      <alignment/>
      <protection/>
    </xf>
    <xf numFmtId="0" fontId="6" fillId="0" borderId="10" xfId="60" applyFont="1" applyFill="1" applyBorder="1">
      <alignment/>
      <protection/>
    </xf>
    <xf numFmtId="0" fontId="6" fillId="0" borderId="61" xfId="60" applyFont="1" applyFill="1" applyBorder="1" applyAlignment="1">
      <alignment horizontal="center"/>
      <protection/>
    </xf>
    <xf numFmtId="0" fontId="6" fillId="0" borderId="61" xfId="61" applyFont="1" applyBorder="1" applyAlignment="1" applyProtection="1">
      <alignment horizontal="center"/>
      <protection locked="0"/>
    </xf>
    <xf numFmtId="2" fontId="6" fillId="0" borderId="61" xfId="61" applyNumberFormat="1" applyFont="1" applyBorder="1" applyAlignment="1" applyProtection="1">
      <alignment horizontal="center"/>
      <protection locked="0"/>
    </xf>
    <xf numFmtId="0" fontId="6" fillId="0" borderId="61" xfId="53" applyFont="1" applyFill="1" applyBorder="1" applyAlignment="1" applyProtection="1">
      <alignment horizontal="center"/>
      <protection locked="0"/>
    </xf>
    <xf numFmtId="0" fontId="6" fillId="0" borderId="61" xfId="60" applyFont="1" applyFill="1" applyBorder="1" applyProtection="1">
      <alignment/>
      <protection locked="0"/>
    </xf>
    <xf numFmtId="0" fontId="75" fillId="0" borderId="61" xfId="60" applyFont="1" applyFill="1" applyBorder="1" applyProtection="1">
      <alignment/>
      <protection locked="0"/>
    </xf>
    <xf numFmtId="22" fontId="6" fillId="0" borderId="61" xfId="61" applyNumberFormat="1" applyFont="1" applyFill="1" applyBorder="1" applyAlignment="1" applyProtection="1">
      <alignment horizontal="center"/>
      <protection locked="0"/>
    </xf>
    <xf numFmtId="4" fontId="6" fillId="0" borderId="61" xfId="60" applyNumberFormat="1" applyFont="1" applyFill="1" applyBorder="1" applyAlignment="1" applyProtection="1" quotePrefix="1">
      <alignment horizontal="center"/>
      <protection/>
    </xf>
    <xf numFmtId="168" fontId="6" fillId="0" borderId="61" xfId="60" applyNumberFormat="1" applyFont="1" applyFill="1" applyBorder="1" applyAlignment="1" applyProtection="1" quotePrefix="1">
      <alignment horizontal="center"/>
      <protection/>
    </xf>
    <xf numFmtId="172" fontId="6" fillId="0" borderId="62" xfId="60" applyNumberFormat="1" applyFont="1" applyFill="1" applyBorder="1" applyAlignment="1" applyProtection="1">
      <alignment horizontal="center"/>
      <protection locked="0"/>
    </xf>
    <xf numFmtId="177" fontId="6" fillId="0" borderId="61" xfId="60" applyNumberFormat="1" applyFont="1" applyFill="1" applyBorder="1" applyAlignment="1" applyProtection="1" quotePrefix="1">
      <alignment horizontal="center"/>
      <protection/>
    </xf>
    <xf numFmtId="172" fontId="6" fillId="0" borderId="61" xfId="60" applyNumberFormat="1" applyFont="1" applyFill="1" applyBorder="1" applyAlignment="1" applyProtection="1">
      <alignment horizontal="center"/>
      <protection/>
    </xf>
    <xf numFmtId="172" fontId="7" fillId="0" borderId="61" xfId="60" applyNumberFormat="1" applyFont="1" applyFill="1" applyBorder="1" applyAlignment="1" applyProtection="1" quotePrefix="1">
      <alignment horizontal="center"/>
      <protection/>
    </xf>
    <xf numFmtId="4" fontId="7" fillId="0" borderId="61" xfId="60" applyNumberFormat="1" applyFont="1" applyFill="1" applyBorder="1" applyAlignment="1" applyProtection="1">
      <alignment horizontal="center"/>
      <protection/>
    </xf>
    <xf numFmtId="4" fontId="34" fillId="0" borderId="62" xfId="60" applyNumberFormat="1" applyFont="1" applyFill="1" applyBorder="1" applyAlignment="1">
      <alignment horizontal="right"/>
      <protection/>
    </xf>
    <xf numFmtId="4" fontId="6" fillId="0" borderId="61" xfId="60" applyNumberFormat="1" applyFont="1" applyFill="1" applyBorder="1" applyAlignment="1" applyProtection="1">
      <alignment horizontal="center"/>
      <protection/>
    </xf>
    <xf numFmtId="192" fontId="34" fillId="0" borderId="62" xfId="60" applyNumberFormat="1" applyFont="1" applyFill="1" applyBorder="1" applyAlignment="1" applyProtection="1">
      <alignment horizontal="right"/>
      <protection locked="0"/>
    </xf>
    <xf numFmtId="3" fontId="34" fillId="0" borderId="63" xfId="60" applyNumberFormat="1" applyFont="1" applyFill="1" applyBorder="1" applyAlignment="1">
      <alignment horizontal="right"/>
      <protection/>
    </xf>
    <xf numFmtId="4" fontId="34" fillId="0" borderId="64" xfId="60" applyNumberFormat="1" applyFont="1" applyFill="1" applyBorder="1" applyAlignment="1" applyProtection="1">
      <alignment horizontal="center"/>
      <protection locked="0"/>
    </xf>
    <xf numFmtId="186" fontId="34" fillId="0" borderId="64" xfId="60" applyNumberFormat="1" applyFont="1" applyFill="1" applyBorder="1" applyAlignment="1">
      <alignment horizontal="center"/>
      <protection/>
    </xf>
    <xf numFmtId="4" fontId="34" fillId="0" borderId="63" xfId="60" applyNumberFormat="1" applyFont="1" applyFill="1" applyBorder="1" applyAlignment="1">
      <alignment horizontal="right"/>
      <protection/>
    </xf>
    <xf numFmtId="4" fontId="34" fillId="0" borderId="65" xfId="60" applyNumberFormat="1" applyFont="1" applyFill="1" applyBorder="1" applyAlignment="1">
      <alignment horizontal="right"/>
      <protection/>
    </xf>
    <xf numFmtId="4" fontId="76" fillId="0" borderId="62" xfId="60" applyNumberFormat="1" applyFont="1" applyFill="1" applyBorder="1" applyAlignment="1">
      <alignment horizontal="right"/>
      <protection/>
    </xf>
    <xf numFmtId="193" fontId="76" fillId="0" borderId="62" xfId="60" applyNumberFormat="1" applyFont="1" applyFill="1" applyBorder="1" applyAlignment="1">
      <alignment horizontal="right"/>
      <protection/>
    </xf>
    <xf numFmtId="4" fontId="34" fillId="0" borderId="61" xfId="60" applyNumberFormat="1" applyFont="1" applyFill="1" applyBorder="1" applyAlignment="1">
      <alignment horizontal="right"/>
      <protection/>
    </xf>
    <xf numFmtId="2" fontId="6" fillId="0" borderId="11" xfId="60" applyNumberFormat="1" applyFont="1" applyFill="1" applyBorder="1" applyAlignment="1">
      <alignment horizontal="center"/>
      <protection/>
    </xf>
    <xf numFmtId="0" fontId="6" fillId="0" borderId="21" xfId="60" applyFont="1" applyFill="1" applyBorder="1" applyAlignment="1">
      <alignment horizontal="center"/>
      <protection/>
    </xf>
    <xf numFmtId="0" fontId="6" fillId="0" borderId="66" xfId="60" applyFont="1" applyFill="1" applyBorder="1" applyAlignment="1">
      <alignment horizontal="center"/>
      <protection/>
    </xf>
    <xf numFmtId="0" fontId="6" fillId="0" borderId="21" xfId="53" applyFont="1" applyFill="1" applyBorder="1" applyAlignment="1" applyProtection="1">
      <alignment horizontal="center"/>
      <protection locked="0"/>
    </xf>
    <xf numFmtId="168" fontId="6" fillId="0" borderId="21" xfId="53" applyNumberFormat="1" applyFont="1" applyFill="1" applyBorder="1" applyAlignment="1" applyProtection="1">
      <alignment horizontal="center"/>
      <protection locked="0"/>
    </xf>
    <xf numFmtId="169" fontId="6" fillId="0" borderId="21" xfId="53" applyNumberFormat="1" applyFont="1" applyFill="1" applyBorder="1" applyAlignment="1" applyProtection="1">
      <alignment horizontal="center"/>
      <protection locked="0"/>
    </xf>
    <xf numFmtId="0" fontId="74" fillId="0" borderId="21" xfId="60" applyFont="1" applyFill="1" applyBorder="1" applyProtection="1">
      <alignment/>
      <protection locked="0"/>
    </xf>
    <xf numFmtId="22" fontId="6" fillId="0" borderId="21" xfId="53" applyNumberFormat="1" applyFont="1" applyFill="1" applyBorder="1" applyAlignment="1" applyProtection="1">
      <alignment horizontal="center"/>
      <protection locked="0"/>
    </xf>
    <xf numFmtId="4" fontId="6" fillId="0" borderId="21" xfId="60" applyNumberFormat="1" applyFont="1" applyFill="1" applyBorder="1" applyAlignment="1" applyProtection="1" quotePrefix="1">
      <alignment horizontal="center"/>
      <protection/>
    </xf>
    <xf numFmtId="168" fontId="6" fillId="0" borderId="21" xfId="60" applyNumberFormat="1" applyFont="1" applyFill="1" applyBorder="1" applyAlignment="1" applyProtection="1" quotePrefix="1">
      <alignment horizontal="center"/>
      <protection/>
    </xf>
    <xf numFmtId="172" fontId="6" fillId="0" borderId="21" xfId="60" applyNumberFormat="1" applyFont="1" applyFill="1" applyBorder="1" applyAlignment="1" applyProtection="1">
      <alignment horizontal="center"/>
      <protection locked="0"/>
    </xf>
    <xf numFmtId="177" fontId="6" fillId="0" borderId="21" xfId="60" applyNumberFormat="1" applyFont="1" applyFill="1" applyBorder="1" applyAlignment="1" applyProtection="1" quotePrefix="1">
      <alignment horizontal="center"/>
      <protection/>
    </xf>
    <xf numFmtId="172" fontId="6" fillId="0" borderId="21" xfId="60" applyNumberFormat="1" applyFont="1" applyFill="1" applyBorder="1" applyAlignment="1" applyProtection="1">
      <alignment horizontal="center"/>
      <protection/>
    </xf>
    <xf numFmtId="172" fontId="7" fillId="0" borderId="21" xfId="60" applyNumberFormat="1" applyFont="1" applyFill="1" applyBorder="1" applyAlignment="1" applyProtection="1" quotePrefix="1">
      <alignment horizontal="center"/>
      <protection/>
    </xf>
    <xf numFmtId="4" fontId="7" fillId="0" borderId="21" xfId="60" applyNumberFormat="1" applyFont="1" applyFill="1" applyBorder="1" applyAlignment="1" applyProtection="1">
      <alignment horizontal="center"/>
      <protection/>
    </xf>
    <xf numFmtId="4" fontId="34" fillId="0" borderId="21" xfId="60" applyNumberFormat="1" applyFont="1" applyFill="1" applyBorder="1" applyAlignment="1">
      <alignment horizontal="right"/>
      <protection/>
    </xf>
    <xf numFmtId="192" fontId="34" fillId="0" borderId="21" xfId="60" applyNumberFormat="1" applyFont="1" applyFill="1" applyBorder="1" applyAlignment="1" applyProtection="1">
      <alignment horizontal="right"/>
      <protection locked="0"/>
    </xf>
    <xf numFmtId="3" fontId="34" fillId="0" borderId="66" xfId="60" applyNumberFormat="1" applyFont="1" applyFill="1" applyBorder="1" applyAlignment="1">
      <alignment horizontal="right"/>
      <protection/>
    </xf>
    <xf numFmtId="4" fontId="34" fillId="0" borderId="21" xfId="60" applyNumberFormat="1" applyFont="1" applyFill="1" applyBorder="1" applyAlignment="1" applyProtection="1">
      <alignment horizontal="center"/>
      <protection locked="0"/>
    </xf>
    <xf numFmtId="186" fontId="34" fillId="0" borderId="33" xfId="60" applyNumberFormat="1" applyFont="1" applyFill="1" applyBorder="1" applyAlignment="1">
      <alignment horizontal="center"/>
      <protection/>
    </xf>
    <xf numFmtId="4" fontId="34" fillId="0" borderId="66" xfId="60" applyNumberFormat="1" applyFont="1" applyFill="1" applyBorder="1" applyAlignment="1">
      <alignment horizontal="right"/>
      <protection/>
    </xf>
    <xf numFmtId="193" fontId="34" fillId="0" borderId="21" xfId="60" applyNumberFormat="1" applyFont="1" applyFill="1" applyBorder="1" applyAlignment="1">
      <alignment horizontal="right"/>
      <protection/>
    </xf>
    <xf numFmtId="0" fontId="6" fillId="0" borderId="67" xfId="60" applyFont="1" applyFill="1" applyBorder="1" applyAlignment="1">
      <alignment horizontal="center"/>
      <protection/>
    </xf>
    <xf numFmtId="0" fontId="6" fillId="0" borderId="68" xfId="60" applyFont="1" applyFill="1" applyBorder="1" applyAlignment="1">
      <alignment horizontal="center"/>
      <protection/>
    </xf>
    <xf numFmtId="0" fontId="6" fillId="0" borderId="67" xfId="53" applyFont="1" applyFill="1" applyBorder="1" applyAlignment="1" applyProtection="1">
      <alignment horizontal="center"/>
      <protection locked="0"/>
    </xf>
    <xf numFmtId="168" fontId="6" fillId="0" borderId="67" xfId="53" applyNumberFormat="1" applyFont="1" applyFill="1" applyBorder="1" applyAlignment="1" applyProtection="1">
      <alignment horizontal="center"/>
      <protection locked="0"/>
    </xf>
    <xf numFmtId="169" fontId="6" fillId="0" borderId="67" xfId="53" applyNumberFormat="1" applyFont="1" applyFill="1" applyBorder="1" applyAlignment="1" applyProtection="1">
      <alignment horizontal="center"/>
      <protection locked="0"/>
    </xf>
    <xf numFmtId="0" fontId="74" fillId="0" borderId="67" xfId="60" applyFont="1" applyFill="1" applyBorder="1" applyProtection="1">
      <alignment/>
      <protection locked="0"/>
    </xf>
    <xf numFmtId="0" fontId="75" fillId="0" borderId="69" xfId="60" applyFont="1" applyFill="1" applyBorder="1" applyProtection="1">
      <alignment/>
      <protection locked="0"/>
    </xf>
    <xf numFmtId="22" fontId="6" fillId="0" borderId="67" xfId="53" applyNumberFormat="1" applyFont="1" applyFill="1" applyBorder="1" applyAlignment="1" applyProtection="1">
      <alignment horizontal="center"/>
      <protection locked="0"/>
    </xf>
    <xf numFmtId="4" fontId="6" fillId="0" borderId="67" xfId="60" applyNumberFormat="1" applyFont="1" applyFill="1" applyBorder="1" applyAlignment="1" applyProtection="1" quotePrefix="1">
      <alignment horizontal="center"/>
      <protection/>
    </xf>
    <xf numFmtId="168" fontId="6" fillId="0" borderId="67" xfId="60" applyNumberFormat="1" applyFont="1" applyFill="1" applyBorder="1" applyAlignment="1" applyProtection="1" quotePrefix="1">
      <alignment horizontal="center"/>
      <protection/>
    </xf>
    <xf numFmtId="172" fontId="6" fillId="0" borderId="67" xfId="60" applyNumberFormat="1" applyFont="1" applyFill="1" applyBorder="1" applyAlignment="1" applyProtection="1">
      <alignment horizontal="center"/>
      <protection locked="0"/>
    </xf>
    <xf numFmtId="177" fontId="6" fillId="0" borderId="67" xfId="60" applyNumberFormat="1" applyFont="1" applyFill="1" applyBorder="1" applyAlignment="1" applyProtection="1" quotePrefix="1">
      <alignment horizontal="center"/>
      <protection/>
    </xf>
    <xf numFmtId="172" fontId="6" fillId="0" borderId="67" xfId="60" applyNumberFormat="1" applyFont="1" applyFill="1" applyBorder="1" applyAlignment="1" applyProtection="1">
      <alignment horizontal="center"/>
      <protection/>
    </xf>
    <xf numFmtId="172" fontId="7" fillId="0" borderId="67" xfId="60" applyNumberFormat="1" applyFont="1" applyFill="1" applyBorder="1" applyAlignment="1" applyProtection="1" quotePrefix="1">
      <alignment horizontal="center"/>
      <protection/>
    </xf>
    <xf numFmtId="4" fontId="7" fillId="0" borderId="67" xfId="60" applyNumberFormat="1" applyFont="1" applyFill="1" applyBorder="1" applyAlignment="1" applyProtection="1">
      <alignment horizontal="center"/>
      <protection/>
    </xf>
    <xf numFmtId="4" fontId="34" fillId="0" borderId="67" xfId="60" applyNumberFormat="1" applyFont="1" applyFill="1" applyBorder="1" applyAlignment="1">
      <alignment horizontal="right"/>
      <protection/>
    </xf>
    <xf numFmtId="192" fontId="34" fillId="0" borderId="67" xfId="60" applyNumberFormat="1" applyFont="1" applyFill="1" applyBorder="1" applyAlignment="1" applyProtection="1">
      <alignment horizontal="right"/>
      <protection locked="0"/>
    </xf>
    <xf numFmtId="3" fontId="34" fillId="0" borderId="67" xfId="60" applyNumberFormat="1" applyFont="1" applyFill="1" applyBorder="1" applyAlignment="1">
      <alignment horizontal="right"/>
      <protection/>
    </xf>
    <xf numFmtId="4" fontId="34" fillId="0" borderId="67" xfId="60" applyNumberFormat="1" applyFont="1" applyFill="1" applyBorder="1" applyAlignment="1" applyProtection="1">
      <alignment horizontal="center"/>
      <protection locked="0"/>
    </xf>
    <xf numFmtId="186" fontId="34" fillId="0" borderId="70" xfId="60" applyNumberFormat="1" applyFont="1" applyFill="1" applyBorder="1" applyAlignment="1">
      <alignment horizontal="center"/>
      <protection/>
    </xf>
    <xf numFmtId="4" fontId="34" fillId="0" borderId="68" xfId="60" applyNumberFormat="1" applyFont="1" applyFill="1" applyBorder="1" applyAlignment="1">
      <alignment horizontal="right"/>
      <protection/>
    </xf>
    <xf numFmtId="193" fontId="34" fillId="0" borderId="67" xfId="60" applyNumberFormat="1" applyFont="1" applyFill="1" applyBorder="1" applyAlignment="1">
      <alignment horizontal="right"/>
      <protection/>
    </xf>
    <xf numFmtId="172" fontId="7" fillId="0" borderId="69" xfId="60" applyNumberFormat="1" applyFont="1" applyFill="1" applyBorder="1" applyAlignment="1" applyProtection="1" quotePrefix="1">
      <alignment horizontal="center"/>
      <protection/>
    </xf>
    <xf numFmtId="4" fontId="7" fillId="0" borderId="69" xfId="60" applyNumberFormat="1" applyFont="1" applyFill="1" applyBorder="1" applyAlignment="1" applyProtection="1">
      <alignment horizontal="center"/>
      <protection/>
    </xf>
    <xf numFmtId="0" fontId="6" fillId="0" borderId="62" xfId="60" applyFont="1" applyFill="1" applyBorder="1" applyAlignment="1">
      <alignment horizontal="center"/>
      <protection/>
    </xf>
    <xf numFmtId="0" fontId="6" fillId="0" borderId="23" xfId="57" applyFont="1" applyFill="1" applyBorder="1" applyAlignment="1" applyProtection="1">
      <alignment horizontal="center"/>
      <protection locked="0"/>
    </xf>
    <xf numFmtId="168" fontId="6" fillId="0" borderId="23" xfId="57" applyNumberFormat="1" applyFont="1" applyFill="1" applyBorder="1" applyAlignment="1" applyProtection="1">
      <alignment horizontal="center"/>
      <protection locked="0"/>
    </xf>
    <xf numFmtId="169" fontId="6" fillId="0" borderId="23" xfId="57" applyNumberFormat="1" applyFont="1" applyFill="1" applyBorder="1" applyAlignment="1" applyProtection="1">
      <alignment horizontal="center"/>
      <protection locked="0"/>
    </xf>
    <xf numFmtId="0" fontId="74" fillId="0" borderId="61" xfId="60" applyFont="1" applyFill="1" applyBorder="1" applyProtection="1">
      <alignment/>
      <protection locked="0"/>
    </xf>
    <xf numFmtId="22" fontId="6" fillId="0" borderId="71" xfId="57" applyNumberFormat="1" applyFont="1" applyFill="1" applyBorder="1" applyAlignment="1" applyProtection="1">
      <alignment horizontal="center"/>
      <protection locked="0"/>
    </xf>
    <xf numFmtId="22" fontId="6" fillId="0" borderId="72" xfId="57" applyNumberFormat="1" applyFont="1" applyFill="1" applyBorder="1" applyAlignment="1" applyProtection="1">
      <alignment horizontal="center"/>
      <protection locked="0"/>
    </xf>
    <xf numFmtId="3" fontId="34" fillId="0" borderId="62" xfId="60" applyNumberFormat="1" applyFont="1" applyFill="1" applyBorder="1" applyAlignment="1">
      <alignment horizontal="right"/>
      <protection/>
    </xf>
    <xf numFmtId="4" fontId="34" fillId="0" borderId="61" xfId="60" applyNumberFormat="1" applyFont="1" applyFill="1" applyBorder="1" applyAlignment="1" applyProtection="1">
      <alignment horizontal="center"/>
      <protection locked="0"/>
    </xf>
    <xf numFmtId="186" fontId="34" fillId="0" borderId="61" xfId="60" applyNumberFormat="1" applyFont="1" applyFill="1" applyBorder="1" applyAlignment="1">
      <alignment horizontal="center"/>
      <protection/>
    </xf>
    <xf numFmtId="22" fontId="6" fillId="0" borderId="66" xfId="53" applyNumberFormat="1" applyFont="1" applyFill="1" applyBorder="1" applyAlignment="1" applyProtection="1">
      <alignment horizontal="center"/>
      <protection locked="0"/>
    </xf>
    <xf numFmtId="22" fontId="6" fillId="0" borderId="73" xfId="53" applyNumberFormat="1" applyFont="1" applyFill="1" applyBorder="1" applyAlignment="1" applyProtection="1">
      <alignment horizontal="center"/>
      <protection locked="0"/>
    </xf>
    <xf numFmtId="172" fontId="6" fillId="0" borderId="66" xfId="60" applyNumberFormat="1" applyFont="1" applyFill="1" applyBorder="1" applyAlignment="1" applyProtection="1">
      <alignment horizontal="center"/>
      <protection locked="0"/>
    </xf>
    <xf numFmtId="192" fontId="34" fillId="0" borderId="66" xfId="60" applyNumberFormat="1" applyFont="1" applyFill="1" applyBorder="1" applyAlignment="1" applyProtection="1">
      <alignment horizontal="right"/>
      <protection locked="0"/>
    </xf>
    <xf numFmtId="4" fontId="34" fillId="0" borderId="33" xfId="60" applyNumberFormat="1" applyFont="1" applyFill="1" applyBorder="1" applyAlignment="1" applyProtection="1">
      <alignment horizontal="center"/>
      <protection locked="0"/>
    </xf>
    <xf numFmtId="4" fontId="34" fillId="0" borderId="74" xfId="60" applyNumberFormat="1" applyFont="1" applyFill="1" applyBorder="1" applyAlignment="1">
      <alignment horizontal="right"/>
      <protection/>
    </xf>
    <xf numFmtId="4" fontId="34" fillId="0" borderId="33" xfId="60" applyNumberFormat="1" applyFont="1" applyFill="1" applyBorder="1" applyAlignment="1">
      <alignment horizontal="right"/>
      <protection/>
    </xf>
    <xf numFmtId="193" fontId="34" fillId="0" borderId="66" xfId="60" applyNumberFormat="1" applyFont="1" applyFill="1" applyBorder="1" applyAlignment="1">
      <alignment horizontal="right"/>
      <protection/>
    </xf>
    <xf numFmtId="4" fontId="34" fillId="0" borderId="20" xfId="60" applyNumberFormat="1" applyFont="1" applyFill="1" applyBorder="1" applyAlignment="1">
      <alignment horizontal="right"/>
      <protection/>
    </xf>
    <xf numFmtId="3" fontId="34" fillId="0" borderId="21" xfId="60" applyNumberFormat="1" applyFont="1" applyFill="1" applyBorder="1" applyAlignment="1">
      <alignment horizontal="right"/>
      <protection/>
    </xf>
    <xf numFmtId="186" fontId="34" fillId="0" borderId="67" xfId="60" applyNumberFormat="1" applyFont="1" applyFill="1" applyBorder="1" applyAlignment="1">
      <alignment horizontal="center"/>
      <protection/>
    </xf>
    <xf numFmtId="0" fontId="6" fillId="46" borderId="22" xfId="60" applyFont="1" applyFill="1" applyBorder="1">
      <alignment/>
      <protection/>
    </xf>
    <xf numFmtId="0" fontId="6" fillId="0" borderId="22" xfId="60" applyFont="1" applyBorder="1" applyAlignment="1">
      <alignment horizontal="center"/>
      <protection/>
    </xf>
    <xf numFmtId="0" fontId="6" fillId="0" borderId="57" xfId="60" applyFont="1" applyBorder="1" applyAlignment="1">
      <alignment horizontal="center"/>
      <protection/>
    </xf>
    <xf numFmtId="0" fontId="6" fillId="0" borderId="22" xfId="60" applyFont="1" applyFill="1" applyBorder="1" applyAlignment="1" applyProtection="1">
      <alignment horizontal="center"/>
      <protection locked="0"/>
    </xf>
    <xf numFmtId="168" fontId="7" fillId="0" borderId="22" xfId="60" applyNumberFormat="1" applyFont="1" applyFill="1" applyBorder="1" applyAlignment="1" applyProtection="1">
      <alignment horizontal="center"/>
      <protection locked="0"/>
    </xf>
    <xf numFmtId="169" fontId="6" fillId="0" borderId="22" xfId="60" applyNumberFormat="1" applyFont="1" applyFill="1" applyBorder="1" applyAlignment="1" applyProtection="1">
      <alignment horizontal="center"/>
      <protection locked="0"/>
    </xf>
    <xf numFmtId="0" fontId="74" fillId="0" borderId="22" xfId="60" applyFont="1" applyFill="1" applyBorder="1" applyAlignment="1" applyProtection="1">
      <alignment horizontal="center"/>
      <protection locked="0"/>
    </xf>
    <xf numFmtId="175" fontId="75" fillId="0" borderId="22" xfId="60" applyNumberFormat="1" applyFont="1" applyFill="1" applyBorder="1" applyAlignment="1" applyProtection="1">
      <alignment horizontal="center"/>
      <protection locked="0"/>
    </xf>
    <xf numFmtId="172" fontId="6" fillId="0" borderId="22" xfId="60" applyNumberFormat="1" applyFont="1" applyFill="1" applyBorder="1" applyAlignment="1" applyProtection="1">
      <alignment horizontal="center"/>
      <protection locked="0"/>
    </xf>
    <xf numFmtId="172" fontId="6" fillId="0" borderId="22" xfId="60" applyNumberFormat="1" applyFont="1" applyFill="1" applyBorder="1" applyAlignment="1" applyProtection="1">
      <alignment horizontal="center"/>
      <protection/>
    </xf>
    <xf numFmtId="177" fontId="6" fillId="0" borderId="22" xfId="60" applyNumberFormat="1" applyFont="1" applyFill="1" applyBorder="1" applyAlignment="1" applyProtection="1" quotePrefix="1">
      <alignment horizontal="center"/>
      <protection/>
    </xf>
    <xf numFmtId="172" fontId="31" fillId="0" borderId="41" xfId="60" applyNumberFormat="1" applyFont="1" applyFill="1" applyBorder="1" applyAlignment="1" applyProtection="1" quotePrefix="1">
      <alignment horizontal="center"/>
      <protection/>
    </xf>
    <xf numFmtId="4" fontId="31" fillId="0" borderId="41" xfId="60" applyNumberFormat="1" applyFont="1" applyFill="1" applyBorder="1" applyAlignment="1" applyProtection="1">
      <alignment horizontal="center"/>
      <protection/>
    </xf>
    <xf numFmtId="2" fontId="34" fillId="0" borderId="22" xfId="60" applyNumberFormat="1" applyFont="1" applyFill="1" applyBorder="1" applyAlignment="1">
      <alignment horizontal="right"/>
      <protection/>
    </xf>
    <xf numFmtId="4" fontId="7" fillId="0" borderId="22" xfId="60" applyNumberFormat="1" applyFont="1" applyFill="1" applyBorder="1" applyAlignment="1" applyProtection="1">
      <alignment horizontal="center"/>
      <protection/>
    </xf>
    <xf numFmtId="0" fontId="34" fillId="0" borderId="22" xfId="60" applyFont="1" applyFill="1" applyBorder="1" applyProtection="1">
      <alignment/>
      <protection locked="0"/>
    </xf>
    <xf numFmtId="0" fontId="34" fillId="0" borderId="22" xfId="60" applyFont="1" applyFill="1" applyBorder="1">
      <alignment/>
      <protection/>
    </xf>
    <xf numFmtId="0" fontId="34" fillId="0" borderId="22" xfId="60" applyFont="1" applyFill="1" applyBorder="1" applyAlignment="1" applyProtection="1">
      <alignment horizontal="center"/>
      <protection locked="0"/>
    </xf>
    <xf numFmtId="186" fontId="34" fillId="0" borderId="22" xfId="60" applyNumberFormat="1" applyFont="1" applyFill="1" applyBorder="1" applyAlignment="1">
      <alignment horizontal="center"/>
      <protection/>
    </xf>
    <xf numFmtId="4" fontId="34" fillId="0" borderId="22" xfId="60" applyNumberFormat="1" applyFont="1" applyFill="1" applyBorder="1" applyAlignment="1">
      <alignment horizontal="right"/>
      <protection/>
    </xf>
    <xf numFmtId="172" fontId="31" fillId="0" borderId="22" xfId="60" applyNumberFormat="1" applyFont="1" applyFill="1" applyBorder="1" applyAlignment="1" applyProtection="1" quotePrefix="1">
      <alignment horizontal="center"/>
      <protection/>
    </xf>
    <xf numFmtId="4" fontId="31" fillId="0" borderId="22" xfId="60" applyNumberFormat="1" applyFont="1" applyFill="1" applyBorder="1" applyAlignment="1" applyProtection="1">
      <alignment horizontal="center"/>
      <protection/>
    </xf>
    <xf numFmtId="0" fontId="34" fillId="0" borderId="35" xfId="60" applyFont="1" applyBorder="1">
      <alignment/>
      <protection/>
    </xf>
    <xf numFmtId="0" fontId="35" fillId="0" borderId="27" xfId="60" applyFont="1" applyBorder="1" applyAlignment="1">
      <alignment horizontal="center"/>
      <protection/>
    </xf>
    <xf numFmtId="0" fontId="36" fillId="0" borderId="0" xfId="60" applyFont="1" applyBorder="1" applyAlignment="1" applyProtection="1">
      <alignment horizontal="left"/>
      <protection/>
    </xf>
    <xf numFmtId="168" fontId="7" fillId="0" borderId="0" xfId="60" applyNumberFormat="1" applyFont="1" applyBorder="1" applyAlignment="1" applyProtection="1">
      <alignment horizontal="center"/>
      <protection/>
    </xf>
    <xf numFmtId="169" fontId="6" fillId="0" borderId="0" xfId="60" applyNumberFormat="1" applyFont="1" applyBorder="1" applyAlignment="1" applyProtection="1">
      <alignment horizontal="center"/>
      <protection/>
    </xf>
    <xf numFmtId="172" fontId="6" fillId="0" borderId="0" xfId="60" applyNumberFormat="1" applyFont="1" applyBorder="1" applyAlignment="1" applyProtection="1">
      <alignment horizontal="center"/>
      <protection/>
    </xf>
    <xf numFmtId="172" fontId="6" fillId="0" borderId="0" xfId="60" applyNumberFormat="1" applyFont="1" applyFill="1" applyBorder="1" applyAlignment="1" applyProtection="1">
      <alignment horizontal="center"/>
      <protection/>
    </xf>
    <xf numFmtId="177" fontId="6" fillId="0" borderId="0" xfId="60" applyNumberFormat="1" applyFont="1" applyBorder="1" applyAlignment="1" applyProtection="1" quotePrefix="1">
      <alignment horizontal="center"/>
      <protection/>
    </xf>
    <xf numFmtId="2" fontId="31" fillId="33" borderId="22" xfId="60" applyNumberFormat="1" applyFont="1" applyFill="1" applyBorder="1" applyAlignment="1" applyProtection="1">
      <alignment horizontal="center"/>
      <protection/>
    </xf>
    <xf numFmtId="7" fontId="2" fillId="0" borderId="0" xfId="60" applyNumberFormat="1" applyFont="1" applyFill="1" applyBorder="1" applyAlignment="1" applyProtection="1">
      <alignment horizontal="right"/>
      <protection/>
    </xf>
    <xf numFmtId="2" fontId="77" fillId="0" borderId="0" xfId="60" applyNumberFormat="1" applyFont="1" applyBorder="1" applyAlignment="1" applyProtection="1">
      <alignment horizontal="center"/>
      <protection/>
    </xf>
    <xf numFmtId="7" fontId="2" fillId="0" borderId="42" xfId="60" applyNumberFormat="1" applyFont="1" applyFill="1" applyBorder="1" applyAlignment="1" applyProtection="1">
      <alignment horizontal="right"/>
      <protection/>
    </xf>
    <xf numFmtId="0" fontId="1" fillId="0" borderId="10" xfId="60" applyBorder="1">
      <alignment/>
      <protection/>
    </xf>
    <xf numFmtId="0" fontId="1" fillId="0" borderId="0" xfId="60" applyBorder="1">
      <alignment/>
      <protection/>
    </xf>
    <xf numFmtId="0" fontId="1" fillId="0" borderId="0" xfId="60">
      <alignment/>
      <protection/>
    </xf>
    <xf numFmtId="0" fontId="1" fillId="0" borderId="0" xfId="60" applyFont="1">
      <alignment/>
      <protection/>
    </xf>
    <xf numFmtId="0" fontId="1" fillId="0" borderId="0" xfId="60" applyFont="1" applyFill="1">
      <alignment/>
      <protection/>
    </xf>
    <xf numFmtId="0" fontId="1" fillId="0" borderId="0" xfId="60" applyFill="1">
      <alignment/>
      <protection/>
    </xf>
    <xf numFmtId="0" fontId="1" fillId="0" borderId="11" xfId="60" applyBorder="1">
      <alignment/>
      <protection/>
    </xf>
    <xf numFmtId="0" fontId="6" fillId="0" borderId="24" xfId="60" applyFont="1" applyBorder="1">
      <alignment/>
      <protection/>
    </xf>
    <xf numFmtId="0" fontId="6" fillId="0" borderId="25" xfId="60" applyFont="1" applyBorder="1">
      <alignment/>
      <protection/>
    </xf>
    <xf numFmtId="0" fontId="1" fillId="0" borderId="25" xfId="60" applyFont="1" applyBorder="1">
      <alignment/>
      <protection/>
    </xf>
    <xf numFmtId="0" fontId="1" fillId="0" borderId="25" xfId="60" applyFont="1" applyFill="1" applyBorder="1">
      <alignment/>
      <protection/>
    </xf>
    <xf numFmtId="0" fontId="6" fillId="0" borderId="26" xfId="60" applyFont="1" applyBorder="1">
      <alignment/>
      <protection/>
    </xf>
    <xf numFmtId="0" fontId="69" fillId="0" borderId="0" xfId="60" applyFont="1">
      <alignment/>
      <protection/>
    </xf>
    <xf numFmtId="0" fontId="69" fillId="0" borderId="0" xfId="60" applyFont="1" applyFill="1">
      <alignment/>
      <protection/>
    </xf>
    <xf numFmtId="0" fontId="60" fillId="0" borderId="0" xfId="61" applyFont="1" applyBorder="1" applyAlignment="1">
      <alignment horizontal="center"/>
      <protection/>
    </xf>
    <xf numFmtId="4" fontId="38" fillId="0" borderId="11" xfId="61" applyNumberFormat="1" applyFont="1" applyBorder="1" applyAlignment="1">
      <alignment horizontal="center"/>
      <protection/>
    </xf>
    <xf numFmtId="0" fontId="6" fillId="46" borderId="64" xfId="60" applyFont="1" applyFill="1" applyBorder="1" applyAlignment="1">
      <alignment horizontal="center" vertical="center" textRotation="90"/>
      <protection/>
    </xf>
    <xf numFmtId="0" fontId="6" fillId="46" borderId="35" xfId="60" applyFont="1" applyFill="1" applyBorder="1" applyAlignment="1">
      <alignment horizontal="center" vertical="center" textRotation="90"/>
      <protection/>
    </xf>
    <xf numFmtId="0" fontId="6" fillId="46" borderId="75" xfId="60" applyFont="1" applyFill="1" applyBorder="1" applyAlignment="1">
      <alignment horizontal="center" vertical="center" textRotation="90"/>
      <protection/>
    </xf>
    <xf numFmtId="0" fontId="63" fillId="0" borderId="10" xfId="59" applyFont="1" applyBorder="1" applyAlignment="1">
      <alignment horizontal="center"/>
      <protection/>
    </xf>
    <xf numFmtId="0" fontId="63" fillId="0" borderId="0" xfId="59" applyFont="1" applyBorder="1" applyAlignment="1">
      <alignment horizontal="center"/>
      <protection/>
    </xf>
    <xf numFmtId="0" fontId="63" fillId="0" borderId="11" xfId="59" applyFont="1" applyBorder="1" applyAlignment="1">
      <alignment horizontal="center"/>
      <protection/>
    </xf>
    <xf numFmtId="0" fontId="16" fillId="0" borderId="0" xfId="59" applyFont="1" applyAlignment="1">
      <alignment horizontal="center"/>
      <protection/>
    </xf>
    <xf numFmtId="0" fontId="51" fillId="0" borderId="0" xfId="59" applyFont="1" applyAlignment="1">
      <alignment horizontal="center"/>
      <protection/>
    </xf>
    <xf numFmtId="0" fontId="54" fillId="0" borderId="0" xfId="59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313_TEMPORAL" xfId="53"/>
    <cellStyle name="Normal_a0401NER Anexo I1" xfId="54"/>
    <cellStyle name="Normal_EDN-EDS-ELP-SGE" xfId="55"/>
    <cellStyle name="Normal_F0407NER" xfId="56"/>
    <cellStyle name="Normal_info-penalizaciones-iii" xfId="57"/>
    <cellStyle name="Normal_PAFTT Anexo 28" xfId="58"/>
    <cellStyle name="Normal_T0002TBA" xfId="59"/>
    <cellStyle name="Normal_TRANS" xfId="60"/>
    <cellStyle name="Normal_TRANSBA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981075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1000125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0</xdr:col>
      <xdr:colOff>962025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9525</xdr:rowOff>
    </xdr:from>
    <xdr:to>
      <xdr:col>0</xdr:col>
      <xdr:colOff>962025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1</xdr:col>
      <xdr:colOff>180975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0</xdr:col>
      <xdr:colOff>971550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990600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0</xdr:col>
      <xdr:colOff>1019175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990600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1</xdr:col>
      <xdr:colOff>304800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0</xdr:rowOff>
    </xdr:from>
    <xdr:to>
      <xdr:col>0</xdr:col>
      <xdr:colOff>933450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</xdr:rowOff>
    </xdr:from>
    <xdr:to>
      <xdr:col>0</xdr:col>
      <xdr:colOff>923925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0</xdr:col>
      <xdr:colOff>1009650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</sheetNames>
    <sheetDataSet>
      <sheetData sheetId="0"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  <cell r="GG17">
            <v>1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FV18" t="str">
            <v>XXXX</v>
          </cell>
          <cell r="FW18" t="str">
            <v>XXXX</v>
          </cell>
          <cell r="FX18" t="str">
            <v>XXXX</v>
          </cell>
          <cell r="FY18" t="str">
            <v>XXXX</v>
          </cell>
          <cell r="FZ18" t="str">
            <v>XXXX</v>
          </cell>
          <cell r="GA18" t="str">
            <v>XXXX</v>
          </cell>
          <cell r="GB18" t="str">
            <v>XXXX</v>
          </cell>
          <cell r="GC18" t="str">
            <v>XXXX</v>
          </cell>
          <cell r="GD18" t="str">
            <v>XXXX</v>
          </cell>
          <cell r="GE18" t="str">
            <v>XXXX</v>
          </cell>
          <cell r="GF18" t="str">
            <v>XXXX</v>
          </cell>
          <cell r="GG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  <cell r="GD20">
            <v>1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102.09</v>
          </cell>
          <cell r="H22" t="str">
            <v>C</v>
          </cell>
          <cell r="FW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  <cell r="FV23">
            <v>1</v>
          </cell>
          <cell r="GB23">
            <v>1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  <cell r="GC24">
            <v>2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  <cell r="FZ25">
            <v>1</v>
          </cell>
          <cell r="GB25">
            <v>1</v>
          </cell>
          <cell r="GD25">
            <v>1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  <cell r="FZ27">
            <v>1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FZ28">
            <v>1</v>
          </cell>
          <cell r="GC28">
            <v>1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FV29" t="str">
            <v>XXXX</v>
          </cell>
          <cell r="FW29" t="str">
            <v>XXXX</v>
          </cell>
          <cell r="FX29" t="str">
            <v>XXXX</v>
          </cell>
          <cell r="FY29" t="str">
            <v>XXXX</v>
          </cell>
          <cell r="FZ29" t="str">
            <v>XXXX</v>
          </cell>
          <cell r="GA29" t="str">
            <v>XXXX</v>
          </cell>
          <cell r="GB29" t="str">
            <v>XXXX</v>
          </cell>
          <cell r="GC29" t="str">
            <v>XXXX</v>
          </cell>
          <cell r="GD29" t="str">
            <v>XXXX</v>
          </cell>
          <cell r="GE29" t="str">
            <v>XXXX</v>
          </cell>
          <cell r="GF29" t="str">
            <v>XXXX</v>
          </cell>
          <cell r="GG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  <cell r="FW32">
            <v>1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  <cell r="FV33">
            <v>1</v>
          </cell>
          <cell r="FW33">
            <v>1</v>
          </cell>
          <cell r="GB33">
            <v>1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GD34">
            <v>1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  <cell r="GD36">
            <v>1</v>
          </cell>
          <cell r="GE36">
            <v>1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90.23</v>
          </cell>
          <cell r="H37" t="str">
            <v>C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FV38" t="str">
            <v>XXXX</v>
          </cell>
          <cell r="FW38" t="str">
            <v>XXXX</v>
          </cell>
          <cell r="FX38" t="str">
            <v>XXXX</v>
          </cell>
          <cell r="FY38" t="str">
            <v>XXXX</v>
          </cell>
          <cell r="FZ38" t="str">
            <v>XXXX</v>
          </cell>
          <cell r="GA38" t="str">
            <v>XXXX</v>
          </cell>
          <cell r="GB38" t="str">
            <v>XXXX</v>
          </cell>
          <cell r="GC38" t="str">
            <v>XXXX</v>
          </cell>
          <cell r="GD38" t="str">
            <v>XXXX</v>
          </cell>
          <cell r="GE38" t="str">
            <v>XXXX</v>
          </cell>
          <cell r="GF38" t="str">
            <v>XXXX</v>
          </cell>
          <cell r="GG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138.86</v>
          </cell>
          <cell r="H39" t="str">
            <v>A</v>
          </cell>
          <cell r="FW39">
            <v>1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40.22</v>
          </cell>
          <cell r="H40" t="str">
            <v>C</v>
          </cell>
          <cell r="FZ40">
            <v>1</v>
          </cell>
          <cell r="GA40">
            <v>1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FV43">
            <v>1</v>
          </cell>
          <cell r="GC43">
            <v>1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  <cell r="FY44">
            <v>1</v>
          </cell>
          <cell r="GB44">
            <v>1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FV47" t="str">
            <v>XXXX</v>
          </cell>
          <cell r="FW47" t="str">
            <v>XXXX</v>
          </cell>
          <cell r="FX47" t="str">
            <v>XXXX</v>
          </cell>
          <cell r="FY47" t="str">
            <v>XXXX</v>
          </cell>
          <cell r="FZ47" t="str">
            <v>XXXX</v>
          </cell>
          <cell r="GA47" t="str">
            <v>XXXX</v>
          </cell>
          <cell r="GB47" t="str">
            <v>XXXX</v>
          </cell>
          <cell r="GC47" t="str">
            <v>XXXX</v>
          </cell>
          <cell r="GD47" t="str">
            <v>XXXX</v>
          </cell>
          <cell r="GE47" t="str">
            <v>XXXX</v>
          </cell>
          <cell r="GF47" t="str">
            <v>XXXX</v>
          </cell>
          <cell r="GG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FY48">
            <v>1</v>
          </cell>
          <cell r="GD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51.51</v>
          </cell>
          <cell r="H50" t="str">
            <v>C</v>
          </cell>
          <cell r="FW50">
            <v>1</v>
          </cell>
        </row>
        <row r="51">
          <cell r="C51">
            <v>35</v>
          </cell>
          <cell r="D51">
            <v>2620</v>
          </cell>
          <cell r="E51" t="str">
            <v>LUJAN  - MALV.1 - CATONAS 1 - MORÓN 1</v>
          </cell>
          <cell r="F51">
            <v>132</v>
          </cell>
          <cell r="G51">
            <v>38.29</v>
          </cell>
          <cell r="H51" t="str">
            <v>A</v>
          </cell>
          <cell r="FV51" t="str">
            <v>XXXX</v>
          </cell>
          <cell r="FW51" t="str">
            <v>XXXX</v>
          </cell>
          <cell r="FX51" t="str">
            <v>XXXX</v>
          </cell>
          <cell r="FY51" t="str">
            <v>XXXX</v>
          </cell>
          <cell r="FZ51" t="str">
            <v>XXXX</v>
          </cell>
          <cell r="GA51" t="str">
            <v>XXXX</v>
          </cell>
          <cell r="GB51" t="str">
            <v>XXXX</v>
          </cell>
          <cell r="GC51" t="str">
            <v>XXXX</v>
          </cell>
          <cell r="GD51" t="str">
            <v>XXXX</v>
          </cell>
          <cell r="GE51" t="str">
            <v>XXXX</v>
          </cell>
          <cell r="GF51" t="str">
            <v>XXXX</v>
          </cell>
          <cell r="GG51" t="str">
            <v>XXXX</v>
          </cell>
        </row>
        <row r="52">
          <cell r="C52">
            <v>36</v>
          </cell>
          <cell r="D52">
            <v>2621</v>
          </cell>
          <cell r="E52" t="str">
            <v>LUJAN - MALV.2 - CATONAS 2 - MORÓN 2</v>
          </cell>
          <cell r="F52">
            <v>132</v>
          </cell>
          <cell r="G52">
            <v>44.56</v>
          </cell>
          <cell r="H52" t="str">
            <v>A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39.29</v>
          </cell>
          <cell r="H54" t="str">
            <v>C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103.29</v>
          </cell>
          <cell r="H57" t="str">
            <v>A</v>
          </cell>
          <cell r="GD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GC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FV59" t="str">
            <v>XXXX</v>
          </cell>
          <cell r="FW59" t="str">
            <v>XXXX</v>
          </cell>
          <cell r="FX59" t="str">
            <v>XXXX</v>
          </cell>
          <cell r="FY59" t="str">
            <v>XXXX</v>
          </cell>
          <cell r="FZ59" t="str">
            <v>XXXX</v>
          </cell>
          <cell r="GA59" t="str">
            <v>XXXX</v>
          </cell>
          <cell r="GB59" t="str">
            <v>XXXX</v>
          </cell>
          <cell r="GC59" t="str">
            <v>XXXX</v>
          </cell>
          <cell r="GD59" t="str">
            <v>XXXX</v>
          </cell>
          <cell r="GE59" t="str">
            <v>XXXX</v>
          </cell>
          <cell r="GF59" t="str">
            <v>XXXX</v>
          </cell>
          <cell r="GG59" t="str">
            <v>XXXX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FV61" t="str">
            <v>XXXX</v>
          </cell>
          <cell r="FW61" t="str">
            <v>XXXX</v>
          </cell>
          <cell r="FX61" t="str">
            <v>XXXX</v>
          </cell>
          <cell r="FY61" t="str">
            <v>XXXX</v>
          </cell>
          <cell r="FZ61" t="str">
            <v>XXXX</v>
          </cell>
          <cell r="GA61" t="str">
            <v>XXXX</v>
          </cell>
          <cell r="GB61" t="str">
            <v>XXXX</v>
          </cell>
          <cell r="GC61" t="str">
            <v>XXXX</v>
          </cell>
          <cell r="GD61" t="str">
            <v>XXXX</v>
          </cell>
          <cell r="GE61" t="str">
            <v>XXXX</v>
          </cell>
          <cell r="GF61" t="str">
            <v>XXXX</v>
          </cell>
          <cell r="GG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GA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FV64" t="str">
            <v>XXXX</v>
          </cell>
          <cell r="FW64" t="str">
            <v>XXXX</v>
          </cell>
          <cell r="FX64" t="str">
            <v>XXXX</v>
          </cell>
          <cell r="FY64" t="str">
            <v>XXXX</v>
          </cell>
          <cell r="FZ64" t="str">
            <v>XXXX</v>
          </cell>
          <cell r="GA64" t="str">
            <v>XXXX</v>
          </cell>
          <cell r="GB64" t="str">
            <v>XXXX</v>
          </cell>
          <cell r="GC64" t="str">
            <v>XXXX</v>
          </cell>
          <cell r="GD64" t="str">
            <v>XXXX</v>
          </cell>
          <cell r="GE64" t="str">
            <v>XXXX</v>
          </cell>
          <cell r="GF64" t="str">
            <v>XXXX</v>
          </cell>
          <cell r="GG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139.9</v>
          </cell>
          <cell r="H65" t="str">
            <v>C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  <cell r="FV66" t="str">
            <v>XXXX</v>
          </cell>
          <cell r="FW66" t="str">
            <v>XXXX</v>
          </cell>
          <cell r="FX66" t="str">
            <v>XXXX</v>
          </cell>
          <cell r="FY66" t="str">
            <v>XXXX</v>
          </cell>
          <cell r="FZ66" t="str">
            <v>XXXX</v>
          </cell>
          <cell r="GA66" t="str">
            <v>XXXX</v>
          </cell>
          <cell r="GB66" t="str">
            <v>XXXX</v>
          </cell>
          <cell r="GC66" t="str">
            <v>XXXX</v>
          </cell>
          <cell r="GD66" t="str">
            <v>XXXX</v>
          </cell>
          <cell r="GE66" t="str">
            <v>XXXX</v>
          </cell>
          <cell r="GF66" t="str">
            <v>XXXX</v>
          </cell>
          <cell r="GG66" t="str">
            <v>XXXX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35.59</v>
          </cell>
          <cell r="H68" t="str">
            <v>C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  <cell r="FZ69">
            <v>1</v>
          </cell>
          <cell r="GE69">
            <v>1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  <cell r="GG72">
            <v>1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  <cell r="GC75">
            <v>1</v>
          </cell>
          <cell r="GG75">
            <v>1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20.28</v>
          </cell>
          <cell r="H77" t="str">
            <v>C</v>
          </cell>
          <cell r="FV77" t="str">
            <v>XXXX</v>
          </cell>
          <cell r="FW77" t="str">
            <v>XXXX</v>
          </cell>
          <cell r="FX77" t="str">
            <v>XXXX</v>
          </cell>
          <cell r="FY77" t="str">
            <v>XXXX</v>
          </cell>
          <cell r="FZ77" t="str">
            <v>XXXX</v>
          </cell>
          <cell r="GA77" t="str">
            <v>XXXX</v>
          </cell>
          <cell r="GB77" t="str">
            <v>XXXX</v>
          </cell>
          <cell r="GC77" t="str">
            <v>XXXX</v>
          </cell>
          <cell r="GD77" t="str">
            <v>XXXX</v>
          </cell>
          <cell r="GE77" t="str">
            <v>XXXX</v>
          </cell>
          <cell r="GF77" t="str">
            <v>XXXX</v>
          </cell>
          <cell r="GG77" t="str">
            <v>XXXX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  <cell r="FZ79">
            <v>1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12.86</v>
          </cell>
          <cell r="H80" t="str">
            <v>C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FV81">
            <v>1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  <cell r="FY83">
            <v>1</v>
          </cell>
          <cell r="GE83">
            <v>1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FV84" t="str">
            <v>XXXX</v>
          </cell>
          <cell r="FW84" t="str">
            <v>XXXX</v>
          </cell>
          <cell r="FX84" t="str">
            <v>XXXX</v>
          </cell>
          <cell r="FY84" t="str">
            <v>XXXX</v>
          </cell>
          <cell r="FZ84" t="str">
            <v>XXXX</v>
          </cell>
          <cell r="GA84" t="str">
            <v>XXXX</v>
          </cell>
          <cell r="GB84" t="str">
            <v>XXXX</v>
          </cell>
          <cell r="GC84" t="str">
            <v>XXXX</v>
          </cell>
          <cell r="GD84" t="str">
            <v>XXXX</v>
          </cell>
          <cell r="GE84" t="str">
            <v>XXXX</v>
          </cell>
          <cell r="GF84" t="str">
            <v>XXXX</v>
          </cell>
          <cell r="GG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  <cell r="FY85">
            <v>1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29.57</v>
          </cell>
          <cell r="H86" t="str">
            <v>B</v>
          </cell>
          <cell r="GG86">
            <v>2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  <cell r="FX87">
            <v>1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FV89" t="str">
            <v>XXXX</v>
          </cell>
          <cell r="FW89" t="str">
            <v>XXXX</v>
          </cell>
          <cell r="FX89" t="str">
            <v>XXXX</v>
          </cell>
          <cell r="FY89" t="str">
            <v>XXXX</v>
          </cell>
          <cell r="FZ89" t="str">
            <v>XXXX</v>
          </cell>
          <cell r="GA89" t="str">
            <v>XXXX</v>
          </cell>
          <cell r="GB89" t="str">
            <v>XXXX</v>
          </cell>
          <cell r="GC89" t="str">
            <v>XXXX</v>
          </cell>
          <cell r="GD89" t="str">
            <v>XXXX</v>
          </cell>
          <cell r="GE89" t="str">
            <v>XXXX</v>
          </cell>
          <cell r="GF89" t="str">
            <v>XXXX</v>
          </cell>
          <cell r="GG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FV90" t="str">
            <v>XXXX</v>
          </cell>
          <cell r="FW90" t="str">
            <v>XXXX</v>
          </cell>
          <cell r="FX90" t="str">
            <v>XXXX</v>
          </cell>
          <cell r="FY90" t="str">
            <v>XXXX</v>
          </cell>
          <cell r="FZ90" t="str">
            <v>XXXX</v>
          </cell>
          <cell r="GA90" t="str">
            <v>XXXX</v>
          </cell>
          <cell r="GB90" t="str">
            <v>XXXX</v>
          </cell>
          <cell r="GC90" t="str">
            <v>XXXX</v>
          </cell>
          <cell r="GD90" t="str">
            <v>XXXX</v>
          </cell>
          <cell r="GE90" t="str">
            <v>XXXX</v>
          </cell>
          <cell r="GF90" t="str">
            <v>XXXX</v>
          </cell>
          <cell r="GG90" t="str">
            <v>XXXX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FV92" t="str">
            <v>XXXX</v>
          </cell>
          <cell r="FW92" t="str">
            <v>XXXX</v>
          </cell>
          <cell r="FX92" t="str">
            <v>XXXX</v>
          </cell>
          <cell r="FY92" t="str">
            <v>XXXX</v>
          </cell>
          <cell r="FZ92" t="str">
            <v>XXXX</v>
          </cell>
          <cell r="GA92" t="str">
            <v>XXXX</v>
          </cell>
          <cell r="GB92" t="str">
            <v>XXXX</v>
          </cell>
          <cell r="GC92" t="str">
            <v>XXXX</v>
          </cell>
          <cell r="GD92" t="str">
            <v>XXXX</v>
          </cell>
          <cell r="GE92" t="str">
            <v>XXXX</v>
          </cell>
          <cell r="GF92" t="str">
            <v>XXXX</v>
          </cell>
          <cell r="GG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23.52</v>
          </cell>
          <cell r="H94" t="str">
            <v>C</v>
          </cell>
          <cell r="FV94" t="str">
            <v>XXXX</v>
          </cell>
          <cell r="FW94" t="str">
            <v>XXXX</v>
          </cell>
          <cell r="FX94" t="str">
            <v>XXXX</v>
          </cell>
          <cell r="FY94" t="str">
            <v>XXXX</v>
          </cell>
          <cell r="FZ94" t="str">
            <v>XXXX</v>
          </cell>
          <cell r="GA94" t="str">
            <v>XXXX</v>
          </cell>
          <cell r="GB94" t="str">
            <v>XXXX</v>
          </cell>
          <cell r="GC94" t="str">
            <v>XXXX</v>
          </cell>
          <cell r="GD94" t="str">
            <v>XXXX</v>
          </cell>
          <cell r="GE94" t="str">
            <v>XXXX</v>
          </cell>
          <cell r="GF94" t="str">
            <v>XXXX</v>
          </cell>
          <cell r="GG94" t="str">
            <v>XXXX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FY96">
            <v>1</v>
          </cell>
          <cell r="FZ96">
            <v>1</v>
          </cell>
          <cell r="GD96">
            <v>1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  <cell r="FY97">
            <v>1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  <cell r="FZ99">
            <v>1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  <cell r="GD102">
            <v>1</v>
          </cell>
          <cell r="GG102">
            <v>1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FV107" t="str">
            <v>XXXX</v>
          </cell>
          <cell r="FW107" t="str">
            <v>XXXX</v>
          </cell>
          <cell r="FX107" t="str">
            <v>XXXX</v>
          </cell>
          <cell r="FY107" t="str">
            <v>XXXX</v>
          </cell>
          <cell r="FZ107" t="str">
            <v>XXXX</v>
          </cell>
          <cell r="GA107" t="str">
            <v>XXXX</v>
          </cell>
          <cell r="GB107" t="str">
            <v>XXXX</v>
          </cell>
          <cell r="GC107" t="str">
            <v>XXXX</v>
          </cell>
          <cell r="GD107" t="str">
            <v>XXXX</v>
          </cell>
          <cell r="GE107" t="str">
            <v>XXXX</v>
          </cell>
          <cell r="GF107" t="str">
            <v>XXXX</v>
          </cell>
          <cell r="GG107" t="str">
            <v>XXXX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FV108" t="str">
            <v>XXXX</v>
          </cell>
          <cell r="FW108" t="str">
            <v>XXXX</v>
          </cell>
          <cell r="FX108" t="str">
            <v>XXXX</v>
          </cell>
          <cell r="FY108" t="str">
            <v>XXXX</v>
          </cell>
          <cell r="FZ108" t="str">
            <v>XXXX</v>
          </cell>
          <cell r="GA108" t="str">
            <v>XXXX</v>
          </cell>
          <cell r="GB108" t="str">
            <v>XXXX</v>
          </cell>
          <cell r="GC108" t="str">
            <v>XXXX</v>
          </cell>
          <cell r="GD108" t="str">
            <v>XXXX</v>
          </cell>
          <cell r="GE108" t="str">
            <v>XXXX</v>
          </cell>
          <cell r="GF108" t="str">
            <v>XXXX</v>
          </cell>
          <cell r="GG108" t="str">
            <v>XXXX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60.94</v>
          </cell>
          <cell r="H109" t="str">
            <v>C</v>
          </cell>
          <cell r="FV109" t="str">
            <v>XXXX</v>
          </cell>
          <cell r="FW109" t="str">
            <v>XXXX</v>
          </cell>
          <cell r="FX109" t="str">
            <v>XXXX</v>
          </cell>
          <cell r="FY109" t="str">
            <v>XXXX</v>
          </cell>
          <cell r="FZ109" t="str">
            <v>XXXX</v>
          </cell>
          <cell r="GA109" t="str">
            <v>XXXX</v>
          </cell>
          <cell r="GB109" t="str">
            <v>XXXX</v>
          </cell>
          <cell r="GC109" t="str">
            <v>XXXX</v>
          </cell>
          <cell r="GD109" t="str">
            <v>XXXX</v>
          </cell>
          <cell r="GE109" t="str">
            <v>XXXX</v>
          </cell>
          <cell r="GF109" t="str">
            <v>XXXX</v>
          </cell>
          <cell r="GG109" t="str">
            <v>XXXX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FV110" t="str">
            <v>XXXX</v>
          </cell>
          <cell r="FW110" t="str">
            <v>XXXX</v>
          </cell>
          <cell r="FX110" t="str">
            <v>XXXX</v>
          </cell>
          <cell r="FY110" t="str">
            <v>XXXX</v>
          </cell>
          <cell r="FZ110" t="str">
            <v>XXXX</v>
          </cell>
          <cell r="GA110" t="str">
            <v>XXXX</v>
          </cell>
          <cell r="GB110" t="str">
            <v>XXXX</v>
          </cell>
          <cell r="GC110" t="str">
            <v>XXXX</v>
          </cell>
          <cell r="GD110" t="str">
            <v>XXXX</v>
          </cell>
          <cell r="GE110" t="str">
            <v>XXXX</v>
          </cell>
          <cell r="GF110" t="str">
            <v>XXXX</v>
          </cell>
          <cell r="GG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FV111">
            <v>1</v>
          </cell>
          <cell r="GA111">
            <v>1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FV112">
            <v>1</v>
          </cell>
          <cell r="FW112">
            <v>1</v>
          </cell>
          <cell r="GF112">
            <v>1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FW113">
            <v>1</v>
          </cell>
          <cell r="GE113">
            <v>2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FX114">
            <v>1</v>
          </cell>
          <cell r="FY114">
            <v>1</v>
          </cell>
          <cell r="GC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FW115">
            <v>1</v>
          </cell>
          <cell r="FX115">
            <v>1</v>
          </cell>
          <cell r="FY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 (CORCEMAR)</v>
          </cell>
          <cell r="F116">
            <v>132</v>
          </cell>
          <cell r="G116">
            <v>5</v>
          </cell>
          <cell r="H116" t="str">
            <v>C</v>
          </cell>
        </row>
        <row r="117">
          <cell r="C117">
            <v>101</v>
          </cell>
          <cell r="D117">
            <v>3557</v>
          </cell>
          <cell r="E117" t="str">
            <v>(CORCEMAR) MINETTI - ZARATE</v>
          </cell>
          <cell r="F117">
            <v>132</v>
          </cell>
          <cell r="G117">
            <v>7</v>
          </cell>
          <cell r="H117" t="str">
            <v>C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  <cell r="FV118" t="str">
            <v>XXXX</v>
          </cell>
          <cell r="FW118" t="str">
            <v>XXXX</v>
          </cell>
          <cell r="FX118" t="str">
            <v>XXXX</v>
          </cell>
          <cell r="FY118" t="str">
            <v>XXXX</v>
          </cell>
          <cell r="FZ118" t="str">
            <v>XXXX</v>
          </cell>
          <cell r="GA118" t="str">
            <v>XXXX</v>
          </cell>
          <cell r="GB118" t="str">
            <v>XXXX</v>
          </cell>
          <cell r="GC118" t="str">
            <v>XXXX</v>
          </cell>
          <cell r="GD118" t="str">
            <v>XXXX</v>
          </cell>
          <cell r="GE118" t="str">
            <v>XXXX</v>
          </cell>
          <cell r="GF118" t="str">
            <v>XXXX</v>
          </cell>
          <cell r="GG118" t="str">
            <v>XXXX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  <cell r="GA121">
            <v>1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  <cell r="FY125">
            <v>1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  <cell r="GF126">
            <v>1</v>
          </cell>
        </row>
        <row r="127">
          <cell r="C127">
            <v>111</v>
          </cell>
          <cell r="D127">
            <v>3715</v>
          </cell>
          <cell r="E127" t="str">
            <v>SALTO BA - CHACABUCO</v>
          </cell>
          <cell r="F127">
            <v>132</v>
          </cell>
          <cell r="G127">
            <v>60.1</v>
          </cell>
          <cell r="H127" t="str">
            <v>C</v>
          </cell>
          <cell r="FV127" t="str">
            <v>XXXX</v>
          </cell>
          <cell r="FW127" t="str">
            <v>XXXX</v>
          </cell>
          <cell r="FX127" t="str">
            <v>XXXX</v>
          </cell>
          <cell r="FY127" t="str">
            <v>XXXX</v>
          </cell>
          <cell r="FZ127" t="str">
            <v>XXXX</v>
          </cell>
          <cell r="GA127" t="str">
            <v>XXXX</v>
          </cell>
          <cell r="GB127" t="str">
            <v>XXXX</v>
          </cell>
          <cell r="GC127" t="str">
            <v>XXXX</v>
          </cell>
          <cell r="GD127" t="str">
            <v>XXXX</v>
          </cell>
          <cell r="GE127" t="str">
            <v>XXXX</v>
          </cell>
          <cell r="GF127" t="str">
            <v>XXXX</v>
          </cell>
          <cell r="GG127" t="str">
            <v>XXXX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  <cell r="GB128">
            <v>1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  <cell r="FW132">
            <v>1</v>
          </cell>
          <cell r="GC132">
            <v>1</v>
          </cell>
          <cell r="GD132">
            <v>1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73.43</v>
          </cell>
          <cell r="H133" t="str">
            <v>C</v>
          </cell>
          <cell r="FW133">
            <v>1</v>
          </cell>
          <cell r="GA133">
            <v>1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89.14</v>
          </cell>
          <cell r="H134" t="str">
            <v>C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  <cell r="GG136">
            <v>1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  <cell r="GE139">
            <v>1</v>
          </cell>
          <cell r="GF139">
            <v>1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2">
          <cell r="C142">
            <v>126</v>
          </cell>
          <cell r="D142">
            <v>4830</v>
          </cell>
          <cell r="E142" t="str">
            <v>LOS CHAÑARES - PTQ. BAHIA BLANCA</v>
          </cell>
          <cell r="F142">
            <v>132</v>
          </cell>
          <cell r="G142">
            <v>15.701</v>
          </cell>
          <cell r="H142" t="str">
            <v>C</v>
          </cell>
          <cell r="GA142">
            <v>1</v>
          </cell>
          <cell r="GB142">
            <v>1</v>
          </cell>
        </row>
        <row r="143">
          <cell r="C143">
            <v>127</v>
          </cell>
          <cell r="D143">
            <v>4831</v>
          </cell>
          <cell r="E143" t="str">
            <v>NORTE II - LOS CHAÑARES</v>
          </cell>
          <cell r="F143">
            <v>132</v>
          </cell>
          <cell r="G143">
            <v>15.725</v>
          </cell>
          <cell r="H143" t="str">
            <v>C</v>
          </cell>
        </row>
        <row r="144">
          <cell r="C144">
            <v>128</v>
          </cell>
          <cell r="D144">
            <v>4701</v>
          </cell>
          <cell r="E144" t="str">
            <v>CHACABUCO - CHACABUCO IND.</v>
          </cell>
          <cell r="F144">
            <v>132</v>
          </cell>
          <cell r="G144">
            <v>15.9</v>
          </cell>
          <cell r="H144" t="str">
            <v>C</v>
          </cell>
          <cell r="GC144">
            <v>1</v>
          </cell>
        </row>
        <row r="145">
          <cell r="C145">
            <v>129</v>
          </cell>
          <cell r="D145">
            <v>4702</v>
          </cell>
          <cell r="E145" t="str">
            <v>CHACABUCO IND. - SALTO BA</v>
          </cell>
          <cell r="F145">
            <v>132</v>
          </cell>
          <cell r="G145">
            <v>48.6</v>
          </cell>
          <cell r="H145" t="str">
            <v>C</v>
          </cell>
        </row>
        <row r="146">
          <cell r="C146">
            <v>130</v>
          </cell>
          <cell r="D146">
            <v>4935</v>
          </cell>
          <cell r="E146" t="str">
            <v>LAS PALMAS - SAN PEDRO</v>
          </cell>
          <cell r="F146">
            <v>132</v>
          </cell>
          <cell r="G146">
            <v>67.3</v>
          </cell>
          <cell r="H146" t="str">
            <v>C</v>
          </cell>
          <cell r="FW146">
            <v>1</v>
          </cell>
          <cell r="GA146">
            <v>1</v>
          </cell>
          <cell r="GC146">
            <v>1</v>
          </cell>
          <cell r="GF146">
            <v>1</v>
          </cell>
        </row>
        <row r="147">
          <cell r="C147">
            <v>131</v>
          </cell>
          <cell r="D147">
            <v>4933</v>
          </cell>
          <cell r="E147" t="str">
            <v>ZARATE - LAS PALMAS</v>
          </cell>
          <cell r="F147">
            <v>132</v>
          </cell>
          <cell r="G147">
            <v>8.7</v>
          </cell>
          <cell r="H147" t="str">
            <v>C</v>
          </cell>
        </row>
        <row r="148">
          <cell r="C148">
            <v>132</v>
          </cell>
          <cell r="E148" t="str">
            <v>LAS PALMAS - PROTISA</v>
          </cell>
          <cell r="F148">
            <v>132</v>
          </cell>
          <cell r="G148">
            <v>4.4</v>
          </cell>
          <cell r="H148" t="str">
            <v>C</v>
          </cell>
        </row>
        <row r="149">
          <cell r="C149">
            <v>133</v>
          </cell>
          <cell r="D149">
            <v>4671</v>
          </cell>
          <cell r="E149" t="str">
            <v>PERGAMINO - COLON</v>
          </cell>
          <cell r="F149">
            <v>132</v>
          </cell>
          <cell r="G149">
            <v>52.7</v>
          </cell>
          <cell r="H149" t="str">
            <v>C</v>
          </cell>
          <cell r="GA149">
            <v>1</v>
          </cell>
        </row>
        <row r="150">
          <cell r="C150">
            <v>134</v>
          </cell>
          <cell r="D150">
            <v>1434</v>
          </cell>
          <cell r="E150" t="str">
            <v>9 DE JULIO 66 - BRAGADO</v>
          </cell>
          <cell r="F150">
            <v>66</v>
          </cell>
          <cell r="G150">
            <v>60.94</v>
          </cell>
          <cell r="H150" t="str">
            <v>C</v>
          </cell>
          <cell r="FX150">
            <v>1</v>
          </cell>
        </row>
        <row r="151">
          <cell r="C151">
            <v>135</v>
          </cell>
          <cell r="D151">
            <v>4715</v>
          </cell>
          <cell r="E151" t="str">
            <v>LUJAN GBA - LUJAN II GBA</v>
          </cell>
          <cell r="F151">
            <v>132</v>
          </cell>
          <cell r="G151">
            <v>9.02</v>
          </cell>
          <cell r="H151" t="str">
            <v>C</v>
          </cell>
        </row>
        <row r="152">
          <cell r="C152">
            <v>136</v>
          </cell>
          <cell r="D152">
            <v>4716</v>
          </cell>
          <cell r="E152" t="str">
            <v>LUJAN  II - MALV.1- CATONAS 1 - MORON 1</v>
          </cell>
          <cell r="F152">
            <v>132</v>
          </cell>
          <cell r="G152">
            <v>38.29</v>
          </cell>
          <cell r="H152" t="str">
            <v>A</v>
          </cell>
        </row>
        <row r="153">
          <cell r="C153">
            <v>137</v>
          </cell>
          <cell r="D153">
            <v>4888</v>
          </cell>
          <cell r="E153" t="str">
            <v>ZARATE -CAMPANA III</v>
          </cell>
          <cell r="F153">
            <v>132</v>
          </cell>
          <cell r="G153">
            <v>16.8</v>
          </cell>
          <cell r="H153" t="str">
            <v>C</v>
          </cell>
        </row>
        <row r="154">
          <cell r="C154">
            <v>138</v>
          </cell>
          <cell r="D154">
            <v>4889</v>
          </cell>
          <cell r="E154" t="str">
            <v>CAMPANBA III - MATHEU</v>
          </cell>
          <cell r="F154">
            <v>132</v>
          </cell>
          <cell r="G154">
            <v>24.7</v>
          </cell>
          <cell r="H154" t="str">
            <v>C</v>
          </cell>
        </row>
        <row r="155">
          <cell r="C155">
            <v>139</v>
          </cell>
          <cell r="D155">
            <v>4914</v>
          </cell>
          <cell r="E155" t="str">
            <v>RAMALLO - SIDERAR</v>
          </cell>
          <cell r="F155">
            <v>132</v>
          </cell>
          <cell r="G155">
            <v>6.75</v>
          </cell>
          <cell r="H155" t="str">
            <v>C</v>
          </cell>
        </row>
        <row r="156">
          <cell r="C156">
            <v>140</v>
          </cell>
          <cell r="D156">
            <v>4915</v>
          </cell>
          <cell r="E156" t="str">
            <v>SIDERAR - SAN NICOLÁS</v>
          </cell>
          <cell r="F156">
            <v>132</v>
          </cell>
          <cell r="G156">
            <v>1.31</v>
          </cell>
          <cell r="H156" t="str">
            <v>C</v>
          </cell>
        </row>
        <row r="157">
          <cell r="C157">
            <v>141</v>
          </cell>
          <cell r="E157" t="str">
            <v>RAMALLO IND - RAMALLO</v>
          </cell>
          <cell r="F157">
            <v>132</v>
          </cell>
          <cell r="G157">
            <v>17.66</v>
          </cell>
          <cell r="H157" t="str">
            <v>C</v>
          </cell>
        </row>
        <row r="158">
          <cell r="C158">
            <v>142</v>
          </cell>
          <cell r="D158">
            <v>4964</v>
          </cell>
          <cell r="E158" t="str">
            <v>PINAMAR - VALERIA DEL MAR</v>
          </cell>
          <cell r="F158">
            <v>132</v>
          </cell>
          <cell r="G158">
            <v>6</v>
          </cell>
          <cell r="H158" t="str">
            <v>C</v>
          </cell>
        </row>
        <row r="159">
          <cell r="C159">
            <v>143</v>
          </cell>
          <cell r="D159">
            <v>4965</v>
          </cell>
          <cell r="E159" t="str">
            <v>VALERIA DEL MAR - VILLA GESELL</v>
          </cell>
          <cell r="F159">
            <v>132</v>
          </cell>
          <cell r="G159">
            <v>14.28</v>
          </cell>
          <cell r="H159" t="str">
            <v>C</v>
          </cell>
        </row>
        <row r="160">
          <cell r="C160">
            <v>144</v>
          </cell>
          <cell r="E160" t="str">
            <v>BAHIA BLANCA - MONTE HERMOSO</v>
          </cell>
          <cell r="F160">
            <v>132</v>
          </cell>
          <cell r="G160">
            <v>90</v>
          </cell>
          <cell r="FV160" t="str">
            <v>XXXX</v>
          </cell>
          <cell r="FW160" t="str">
            <v>XXXX</v>
          </cell>
          <cell r="FX160" t="str">
            <v>XXXX</v>
          </cell>
          <cell r="FY160" t="str">
            <v>XXXX</v>
          </cell>
          <cell r="FZ160" t="str">
            <v>XXXX</v>
          </cell>
          <cell r="GA160" t="str">
            <v>XXXX</v>
          </cell>
          <cell r="GB160" t="str">
            <v>XXXX</v>
          </cell>
          <cell r="GC160" t="str">
            <v>XXXX</v>
          </cell>
          <cell r="GD160" t="str">
            <v>XXXX</v>
          </cell>
          <cell r="GE160" t="str">
            <v>XXXX</v>
          </cell>
          <cell r="GF160" t="str">
            <v>XXXX</v>
          </cell>
          <cell r="GG160" t="str">
            <v>XXXX</v>
          </cell>
        </row>
        <row r="161">
          <cell r="C161">
            <v>145</v>
          </cell>
          <cell r="E161" t="str">
            <v>MONTE HERMOSO - CORONEL DORREGO</v>
          </cell>
          <cell r="F161">
            <v>132</v>
          </cell>
          <cell r="G161">
            <v>35.4</v>
          </cell>
          <cell r="FV161" t="str">
            <v>XXXX</v>
          </cell>
          <cell r="FW161" t="str">
            <v>XXXX</v>
          </cell>
          <cell r="FX161" t="str">
            <v>XXXX</v>
          </cell>
          <cell r="FY161" t="str">
            <v>XXXX</v>
          </cell>
          <cell r="FZ161" t="str">
            <v>XXXX</v>
          </cell>
          <cell r="GA161" t="str">
            <v>XXXX</v>
          </cell>
          <cell r="GB161" t="str">
            <v>XXXX</v>
          </cell>
          <cell r="GC161" t="str">
            <v>XXXX</v>
          </cell>
          <cell r="GD161" t="str">
            <v>XXXX</v>
          </cell>
          <cell r="GE161" t="str">
            <v>XXXX</v>
          </cell>
          <cell r="GF161" t="str">
            <v>XXXX</v>
          </cell>
          <cell r="GG161" t="str">
            <v>XXXX</v>
          </cell>
        </row>
        <row r="166">
          <cell r="FV166">
            <v>1.5</v>
          </cell>
          <cell r="FW166">
            <v>1.49</v>
          </cell>
          <cell r="FX166">
            <v>1.57</v>
          </cell>
          <cell r="FY166">
            <v>1.59</v>
          </cell>
          <cell r="FZ166">
            <v>1.67</v>
          </cell>
          <cell r="GA166">
            <v>1.68</v>
          </cell>
          <cell r="GB166">
            <v>1.64</v>
          </cell>
          <cell r="GC166">
            <v>1.47</v>
          </cell>
          <cell r="GD166">
            <v>1.59</v>
          </cell>
          <cell r="GE166">
            <v>1.57</v>
          </cell>
          <cell r="GF166">
            <v>1.52</v>
          </cell>
          <cell r="GG166">
            <v>1.47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350" customWidth="1"/>
    <col min="2" max="2" width="7.7109375" style="350" customWidth="1"/>
    <col min="3" max="3" width="10.8515625" style="350" customWidth="1"/>
    <col min="4" max="4" width="6.7109375" style="350" customWidth="1"/>
    <col min="5" max="5" width="17.8515625" style="350" customWidth="1"/>
    <col min="6" max="6" width="16.7109375" style="350" customWidth="1"/>
    <col min="7" max="7" width="21.140625" style="350" customWidth="1"/>
    <col min="8" max="8" width="24.7109375" style="350" customWidth="1"/>
    <col min="9" max="9" width="19.8515625" style="350" customWidth="1"/>
    <col min="10" max="10" width="14.28125" style="350" customWidth="1"/>
    <col min="11" max="11" width="15.7109375" style="350" customWidth="1"/>
    <col min="12" max="16384" width="11.421875" style="350" customWidth="1"/>
  </cols>
  <sheetData>
    <row r="1" spans="2:11" s="345" customFormat="1" ht="26.25">
      <c r="B1" s="346"/>
      <c r="K1" s="347"/>
    </row>
    <row r="2" spans="2:10" s="345" customFormat="1" ht="26.25">
      <c r="B2" s="346" t="s">
        <v>311</v>
      </c>
      <c r="C2" s="348"/>
      <c r="D2" s="349"/>
      <c r="E2" s="349"/>
      <c r="F2" s="349"/>
      <c r="G2" s="349"/>
      <c r="H2" s="349"/>
      <c r="I2" s="349"/>
      <c r="J2" s="349"/>
    </row>
    <row r="3" spans="3:10" ht="12.75">
      <c r="C3" s="351"/>
      <c r="D3" s="352"/>
      <c r="E3" s="352"/>
      <c r="F3" s="352"/>
      <c r="G3" s="352"/>
      <c r="H3" s="352"/>
      <c r="I3" s="352"/>
      <c r="J3" s="352"/>
    </row>
    <row r="4" spans="1:11" s="355" customFormat="1" ht="11.25">
      <c r="A4" s="353" t="s">
        <v>3</v>
      </c>
      <c r="B4" s="354"/>
      <c r="D4" s="356"/>
      <c r="E4" s="356"/>
      <c r="F4" s="356"/>
      <c r="G4" s="356"/>
      <c r="H4" s="356"/>
      <c r="I4" s="356"/>
      <c r="J4" s="356"/>
      <c r="K4" s="356"/>
    </row>
    <row r="5" spans="1:11" s="355" customFormat="1" ht="11.25">
      <c r="A5" s="353" t="s">
        <v>4</v>
      </c>
      <c r="B5" s="354"/>
      <c r="D5" s="356"/>
      <c r="E5" s="356"/>
      <c r="F5" s="356"/>
      <c r="G5" s="356"/>
      <c r="H5" s="356"/>
      <c r="I5" s="356"/>
      <c r="J5" s="356"/>
      <c r="K5" s="356"/>
    </row>
    <row r="6" spans="2:11" s="345" customFormat="1" ht="11.25" customHeight="1">
      <c r="B6" s="357"/>
      <c r="D6" s="358"/>
      <c r="E6" s="358"/>
      <c r="F6" s="358"/>
      <c r="G6" s="358"/>
      <c r="H6" s="358"/>
      <c r="I6" s="358"/>
      <c r="J6" s="358"/>
      <c r="K6" s="358"/>
    </row>
    <row r="7" spans="2:11" s="359" customFormat="1" ht="21">
      <c r="B7" s="360" t="s">
        <v>55</v>
      </c>
      <c r="C7" s="361"/>
      <c r="D7" s="362"/>
      <c r="E7" s="362"/>
      <c r="F7" s="362"/>
      <c r="G7" s="363"/>
      <c r="H7" s="363"/>
      <c r="I7" s="363"/>
      <c r="J7" s="363"/>
      <c r="K7" s="364"/>
    </row>
    <row r="8" spans="9:11" ht="12.75">
      <c r="I8" s="365"/>
      <c r="J8" s="365"/>
      <c r="K8" s="365"/>
    </row>
    <row r="9" spans="2:11" s="359" customFormat="1" ht="21">
      <c r="B9" s="360" t="s">
        <v>0</v>
      </c>
      <c r="C9" s="361"/>
      <c r="D9" s="362"/>
      <c r="E9" s="362"/>
      <c r="F9" s="362"/>
      <c r="G9" s="362"/>
      <c r="H9" s="362"/>
      <c r="I9" s="363"/>
      <c r="J9" s="363"/>
      <c r="K9" s="364"/>
    </row>
    <row r="10" spans="4:11" ht="12.75">
      <c r="D10" s="366"/>
      <c r="E10" s="366"/>
      <c r="F10" s="366"/>
      <c r="I10" s="365"/>
      <c r="J10" s="365"/>
      <c r="K10" s="365"/>
    </row>
    <row r="11" spans="2:11" s="359" customFormat="1" ht="20.25">
      <c r="B11" s="360" t="s">
        <v>253</v>
      </c>
      <c r="C11" s="367"/>
      <c r="D11" s="367"/>
      <c r="E11" s="367"/>
      <c r="F11" s="367"/>
      <c r="G11" s="362"/>
      <c r="H11" s="362"/>
      <c r="I11" s="363"/>
      <c r="J11" s="363"/>
      <c r="K11" s="364"/>
    </row>
    <row r="12" spans="4:11" s="368" customFormat="1" ht="16.5" thickBot="1">
      <c r="D12" s="369"/>
      <c r="E12" s="369"/>
      <c r="F12" s="369"/>
      <c r="I12" s="370"/>
      <c r="J12" s="370"/>
      <c r="K12" s="370"/>
    </row>
    <row r="13" spans="2:11" s="368" customFormat="1" ht="16.5" thickTop="1">
      <c r="B13" s="371">
        <v>1</v>
      </c>
      <c r="C13" s="372" t="b">
        <v>0</v>
      </c>
      <c r="D13" s="373"/>
      <c r="E13" s="373"/>
      <c r="F13" s="373"/>
      <c r="G13" s="373"/>
      <c r="H13" s="373"/>
      <c r="I13" s="373"/>
      <c r="J13" s="374"/>
      <c r="K13" s="370"/>
    </row>
    <row r="14" spans="2:11" s="375" customFormat="1" ht="19.5">
      <c r="B14" s="376" t="s">
        <v>72</v>
      </c>
      <c r="C14" s="377"/>
      <c r="D14" s="378"/>
      <c r="E14" s="379"/>
      <c r="F14" s="379"/>
      <c r="G14" s="379"/>
      <c r="H14" s="379"/>
      <c r="I14" s="380"/>
      <c r="J14" s="381"/>
      <c r="K14" s="382"/>
    </row>
    <row r="15" spans="2:11" s="375" customFormat="1" ht="19.5" hidden="1">
      <c r="B15" s="383"/>
      <c r="C15" s="384"/>
      <c r="D15" s="384"/>
      <c r="E15" s="382"/>
      <c r="F15" s="382"/>
      <c r="G15" s="385"/>
      <c r="H15" s="385"/>
      <c r="I15" s="382"/>
      <c r="J15" s="386"/>
      <c r="K15" s="382"/>
    </row>
    <row r="16" spans="2:11" s="375" customFormat="1" ht="19.5" hidden="1">
      <c r="B16" s="376" t="s">
        <v>56</v>
      </c>
      <c r="C16" s="387"/>
      <c r="D16" s="387"/>
      <c r="E16" s="380"/>
      <c r="F16" s="379"/>
      <c r="G16" s="379"/>
      <c r="H16" s="380"/>
      <c r="I16" s="388"/>
      <c r="J16" s="381"/>
      <c r="K16" s="382"/>
    </row>
    <row r="17" spans="2:11" s="375" customFormat="1" ht="19.5">
      <c r="B17" s="383"/>
      <c r="C17" s="384"/>
      <c r="D17" s="384"/>
      <c r="E17" s="382"/>
      <c r="F17" s="385"/>
      <c r="G17" s="385"/>
      <c r="H17" s="382"/>
      <c r="I17" s="351"/>
      <c r="J17" s="386"/>
      <c r="K17" s="382"/>
    </row>
    <row r="18" spans="2:11" s="375" customFormat="1" ht="19.5">
      <c r="B18" s="383"/>
      <c r="C18" s="389" t="s">
        <v>57</v>
      </c>
      <c r="D18" s="390" t="s">
        <v>1</v>
      </c>
      <c r="E18" s="382"/>
      <c r="F18" s="382"/>
      <c r="G18" s="385"/>
      <c r="I18" s="409">
        <f>'LI-12 (4)'!AC39</f>
        <v>375519.93</v>
      </c>
      <c r="J18" s="386"/>
      <c r="K18" s="382"/>
    </row>
    <row r="19" spans="2:11" ht="18.75">
      <c r="B19" s="391"/>
      <c r="C19" s="392"/>
      <c r="D19" s="389" t="s">
        <v>293</v>
      </c>
      <c r="E19" s="396" t="s">
        <v>294</v>
      </c>
      <c r="F19" s="365"/>
      <c r="G19" s="394"/>
      <c r="H19" s="394"/>
      <c r="I19" s="409">
        <f>'Condiciones Climaticas 313-01'!AM33</f>
        <v>17738.12</v>
      </c>
      <c r="J19" s="395"/>
      <c r="K19" s="365"/>
    </row>
    <row r="20" spans="2:11" ht="18.75">
      <c r="B20" s="391"/>
      <c r="C20" s="392"/>
      <c r="D20" s="393"/>
      <c r="E20" s="365"/>
      <c r="F20" s="365"/>
      <c r="G20" s="394"/>
      <c r="H20" s="394"/>
      <c r="I20" s="409"/>
      <c r="J20" s="395"/>
      <c r="K20" s="365"/>
    </row>
    <row r="21" spans="2:11" s="375" customFormat="1" ht="19.5">
      <c r="B21" s="383"/>
      <c r="C21" s="389" t="s">
        <v>58</v>
      </c>
      <c r="D21" s="390" t="s">
        <v>59</v>
      </c>
      <c r="E21" s="382"/>
      <c r="F21" s="382"/>
      <c r="G21" s="385"/>
      <c r="H21" s="385"/>
      <c r="I21" s="409"/>
      <c r="J21" s="386"/>
      <c r="K21" s="382"/>
    </row>
    <row r="22" spans="2:11" ht="18.75">
      <c r="B22" s="391"/>
      <c r="C22" s="392"/>
      <c r="D22" s="392"/>
      <c r="E22" s="365"/>
      <c r="F22" s="365"/>
      <c r="G22" s="394"/>
      <c r="H22" s="394"/>
      <c r="I22" s="409"/>
      <c r="J22" s="395"/>
      <c r="K22" s="365"/>
    </row>
    <row r="23" spans="2:11" s="375" customFormat="1" ht="19.5">
      <c r="B23" s="383"/>
      <c r="C23" s="389"/>
      <c r="D23" s="389" t="s">
        <v>60</v>
      </c>
      <c r="E23" s="396" t="s">
        <v>61</v>
      </c>
      <c r="F23" s="396"/>
      <c r="G23" s="385"/>
      <c r="I23" s="409">
        <f>'T-12 (2)'!AC38</f>
        <v>178244.15</v>
      </c>
      <c r="J23" s="386"/>
      <c r="K23" s="382"/>
    </row>
    <row r="24" spans="2:11" ht="18.75">
      <c r="B24" s="391"/>
      <c r="C24" s="392"/>
      <c r="D24" s="392"/>
      <c r="E24" s="365"/>
      <c r="F24" s="365"/>
      <c r="G24" s="394"/>
      <c r="H24" s="394"/>
      <c r="I24" s="409"/>
      <c r="J24" s="395"/>
      <c r="K24" s="365"/>
    </row>
    <row r="25" spans="2:11" s="375" customFormat="1" ht="19.5">
      <c r="B25" s="383"/>
      <c r="C25" s="389"/>
      <c r="D25" s="389" t="s">
        <v>62</v>
      </c>
      <c r="E25" s="396" t="s">
        <v>63</v>
      </c>
      <c r="F25" s="396"/>
      <c r="G25" s="385"/>
      <c r="H25" s="385"/>
      <c r="I25" s="409">
        <f>'SA-12 (6)'!V32</f>
        <v>17218.68</v>
      </c>
      <c r="J25" s="386"/>
      <c r="K25" s="382"/>
    </row>
    <row r="26" spans="2:11" s="375" customFormat="1" ht="19.5">
      <c r="B26" s="383"/>
      <c r="C26" s="384"/>
      <c r="D26" s="384"/>
      <c r="E26" s="396"/>
      <c r="F26" s="396"/>
      <c r="G26" s="385"/>
      <c r="H26" s="385"/>
      <c r="I26" s="409"/>
      <c r="J26" s="386"/>
      <c r="K26" s="382"/>
    </row>
    <row r="27" spans="2:11" s="375" customFormat="1" ht="19.5">
      <c r="B27" s="383"/>
      <c r="C27" s="389" t="s">
        <v>68</v>
      </c>
      <c r="D27" s="390" t="s">
        <v>69</v>
      </c>
      <c r="E27" s="382"/>
      <c r="F27" s="382"/>
      <c r="G27" s="385"/>
      <c r="H27" s="385"/>
      <c r="I27" s="409">
        <f>'RE-12 (1)'!AD41</f>
        <v>41.54</v>
      </c>
      <c r="J27" s="386"/>
      <c r="K27" s="382"/>
    </row>
    <row r="28" spans="2:11" s="375" customFormat="1" ht="20.25" thickBot="1">
      <c r="B28" s="383"/>
      <c r="C28" s="384"/>
      <c r="D28" s="384"/>
      <c r="E28" s="382"/>
      <c r="F28" s="382"/>
      <c r="G28" s="385"/>
      <c r="H28" s="385"/>
      <c r="I28" s="382"/>
      <c r="J28" s="386"/>
      <c r="K28" s="382"/>
    </row>
    <row r="29" spans="2:11" s="375" customFormat="1" ht="20.25" thickBot="1" thickTop="1">
      <c r="B29" s="383"/>
      <c r="C29" s="389"/>
      <c r="D29" s="389"/>
      <c r="E29" s="351"/>
      <c r="F29" s="397" t="s">
        <v>64</v>
      </c>
      <c r="G29" s="398">
        <f>ROUND(SUM(I18:I27),2)</f>
        <v>588762.42</v>
      </c>
      <c r="H29" s="351"/>
      <c r="J29" s="386"/>
      <c r="K29" s="382"/>
    </row>
    <row r="30" spans="2:11" s="375" customFormat="1" ht="9" customHeight="1" thickTop="1">
      <c r="B30" s="383"/>
      <c r="C30" s="389"/>
      <c r="D30" s="389"/>
      <c r="E30" s="351"/>
      <c r="F30" s="399"/>
      <c r="G30" s="400"/>
      <c r="H30" s="351"/>
      <c r="J30" s="386"/>
      <c r="K30" s="382"/>
    </row>
    <row r="31" spans="2:11" s="375" customFormat="1" ht="18.75">
      <c r="B31" s="383"/>
      <c r="C31" s="401" t="s">
        <v>254</v>
      </c>
      <c r="D31" s="389"/>
      <c r="E31" s="351"/>
      <c r="F31" s="399"/>
      <c r="G31" s="400"/>
      <c r="H31" s="351"/>
      <c r="J31" s="386"/>
      <c r="K31" s="382"/>
    </row>
    <row r="32" spans="2:11" s="368" customFormat="1" ht="9" customHeight="1" thickBot="1">
      <c r="B32" s="402"/>
      <c r="C32" s="403"/>
      <c r="D32" s="403"/>
      <c r="E32" s="403"/>
      <c r="F32" s="403"/>
      <c r="G32" s="403"/>
      <c r="H32" s="403"/>
      <c r="I32" s="403"/>
      <c r="J32" s="404"/>
      <c r="K32" s="370"/>
    </row>
    <row r="33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7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0" zoomScaleNormal="70" zoomScalePageLayoutView="0" workbookViewId="0" topLeftCell="A16">
      <selection activeCell="A32" sqref="A32:IV43"/>
    </sheetView>
  </sheetViews>
  <sheetFormatPr defaultColWidth="11.421875" defaultRowHeight="12.75"/>
  <cols>
    <col min="1" max="1" width="18.710937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9"/>
      <c r="W1" s="313"/>
    </row>
    <row r="2" spans="1:23" s="3" customFormat="1" ht="26.25">
      <c r="A2" s="259"/>
      <c r="B2" s="16" t="str">
        <f>'TOT-1212'!B2</f>
        <v>ANEXO I al Memorándum  D.T.E.E.  N° 335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1"/>
    </row>
    <row r="5" spans="1:2" s="9" customFormat="1" ht="11.25">
      <c r="A5" s="8" t="s">
        <v>4</v>
      </c>
      <c r="B5" s="261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'TOT-1212'!B14</f>
        <v>Desde el 01 al 31 de diciembre de 2012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4" t="s">
        <v>48</v>
      </c>
      <c r="G14" s="316">
        <v>19.787</v>
      </c>
      <c r="H14" s="266">
        <f>60*'TOT-1212'!B13</f>
        <v>60</v>
      </c>
      <c r="I14" s="34"/>
      <c r="J14" s="176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4" t="s">
        <v>49</v>
      </c>
      <c r="G15" s="265">
        <v>9.893</v>
      </c>
      <c r="H15" s="266">
        <f>50*'TOT-1212'!B13</f>
        <v>50</v>
      </c>
      <c r="J15" s="176" t="str">
        <f>IF(H15=50," ",IF(H15=100,"    Coeficiente duplicado por tasa de falla &gt;4 Sal. x año/100 km.","    REVISAR COEFICIENTE"))</f>
        <v> </v>
      </c>
      <c r="S15" s="7"/>
      <c r="T15" s="7"/>
      <c r="U15" s="7"/>
      <c r="V15" s="267"/>
      <c r="W15" s="14"/>
    </row>
    <row r="16" spans="2:23" s="1" customFormat="1" ht="16.5" customHeight="1" thickBot="1" thickTop="1">
      <c r="B16" s="13"/>
      <c r="C16" s="7"/>
      <c r="D16" s="7"/>
      <c r="E16" s="7"/>
      <c r="F16" s="268" t="s">
        <v>50</v>
      </c>
      <c r="G16" s="269">
        <v>7.419</v>
      </c>
      <c r="H16" s="270">
        <f>50*'TOT-1212'!B13</f>
        <v>50</v>
      </c>
      <c r="J16" s="176" t="str">
        <f>IF(H16=50," ",IF(H16=100,"    Coeficiente duplicado por tasa de falla &gt;4 Sal. x año/100 km.","    REVISAR COEFICIENTE"))</f>
        <v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6.5" customHeight="1" thickBot="1" thickTop="1">
      <c r="B17" s="13"/>
      <c r="C17" s="7"/>
      <c r="D17" s="7"/>
      <c r="E17" s="7"/>
      <c r="F17" s="274" t="s">
        <v>51</v>
      </c>
      <c r="G17" s="269">
        <v>7.419</v>
      </c>
      <c r="H17" s="275">
        <f>40*'TOT-1212'!B13</f>
        <v>40</v>
      </c>
      <c r="J17" s="176" t="str">
        <f>IF(H17=40," ",IF(H17=80,"    Coeficiente duplicado por tasa de falla &gt;4 Sal. x año/100 km.","    REVISAR COEFICIENTE"))</f>
        <v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6.5" customHeight="1" thickBot="1" thickTop="1">
      <c r="B18" s="13"/>
      <c r="C18" s="421">
        <v>3</v>
      </c>
      <c r="D18" s="421">
        <v>4</v>
      </c>
      <c r="E18" s="421">
        <v>5</v>
      </c>
      <c r="F18" s="421">
        <v>6</v>
      </c>
      <c r="G18" s="421">
        <v>7</v>
      </c>
      <c r="H18" s="421">
        <v>8</v>
      </c>
      <c r="I18" s="421">
        <v>9</v>
      </c>
      <c r="J18" s="421">
        <v>10</v>
      </c>
      <c r="K18" s="421">
        <v>11</v>
      </c>
      <c r="L18" s="421">
        <v>12</v>
      </c>
      <c r="M18" s="421">
        <v>13</v>
      </c>
      <c r="N18" s="421">
        <v>14</v>
      </c>
      <c r="O18" s="421">
        <v>15</v>
      </c>
      <c r="P18" s="421">
        <v>16</v>
      </c>
      <c r="Q18" s="421">
        <v>17</v>
      </c>
      <c r="R18" s="421">
        <v>18</v>
      </c>
      <c r="S18" s="421">
        <v>19</v>
      </c>
      <c r="T18" s="421">
        <v>20</v>
      </c>
      <c r="U18" s="421">
        <v>21</v>
      </c>
      <c r="V18" s="421">
        <v>22</v>
      </c>
      <c r="W18" s="14"/>
    </row>
    <row r="19" spans="2:23" s="276" customFormat="1" ht="34.5" customHeight="1" thickBot="1" thickTop="1">
      <c r="B19" s="277"/>
      <c r="C19" s="420" t="s">
        <v>13</v>
      </c>
      <c r="D19" s="420" t="s">
        <v>70</v>
      </c>
      <c r="E19" s="420" t="s">
        <v>71</v>
      </c>
      <c r="F19" s="180" t="s">
        <v>35</v>
      </c>
      <c r="G19" s="181" t="s">
        <v>36</v>
      </c>
      <c r="H19" s="183" t="s">
        <v>14</v>
      </c>
      <c r="I19" s="49" t="s">
        <v>16</v>
      </c>
      <c r="J19" s="181" t="s">
        <v>17</v>
      </c>
      <c r="K19" s="181" t="s">
        <v>18</v>
      </c>
      <c r="L19" s="180" t="s">
        <v>38</v>
      </c>
      <c r="M19" s="180" t="s">
        <v>39</v>
      </c>
      <c r="N19" s="48" t="s">
        <v>54</v>
      </c>
      <c r="O19" s="181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3" t="s">
        <v>29</v>
      </c>
      <c r="V19" s="183" t="s">
        <v>30</v>
      </c>
      <c r="W19" s="283"/>
    </row>
    <row r="20" spans="2:23" s="1" customFormat="1" ht="16.5" customHeight="1" thickTop="1">
      <c r="B20" s="13"/>
      <c r="C20" s="197"/>
      <c r="D20" s="419"/>
      <c r="E20" s="419"/>
      <c r="F20" s="195"/>
      <c r="G20" s="195"/>
      <c r="H20" s="284"/>
      <c r="I20" s="285"/>
      <c r="J20" s="405"/>
      <c r="K20" s="408"/>
      <c r="L20" s="199"/>
      <c r="M20" s="199"/>
      <c r="N20" s="196"/>
      <c r="O20" s="196"/>
      <c r="P20" s="286"/>
      <c r="Q20" s="287"/>
      <c r="R20" s="288"/>
      <c r="S20" s="289"/>
      <c r="T20" s="290"/>
      <c r="U20" s="291"/>
      <c r="V20" s="207">
        <f>'SA-12 (1)'!V44</f>
        <v>6769.58</v>
      </c>
      <c r="W20" s="158"/>
    </row>
    <row r="21" spans="2:23" s="1" customFormat="1" ht="16.5" customHeight="1">
      <c r="B21" s="13"/>
      <c r="C21" s="209"/>
      <c r="D21" s="208"/>
      <c r="E21" s="208"/>
      <c r="F21" s="292"/>
      <c r="G21" s="292"/>
      <c r="H21" s="293"/>
      <c r="I21" s="294"/>
      <c r="J21" s="433"/>
      <c r="K21" s="434"/>
      <c r="L21" s="224"/>
      <c r="M21" s="295"/>
      <c r="N21" s="226"/>
      <c r="O21" s="226"/>
      <c r="P21" s="296"/>
      <c r="Q21" s="297"/>
      <c r="R21" s="298"/>
      <c r="S21" s="299"/>
      <c r="T21" s="300"/>
      <c r="U21" s="301"/>
      <c r="V21" s="302"/>
      <c r="W21" s="158"/>
    </row>
    <row r="22" spans="2:23" s="1" customFormat="1" ht="16.5" customHeight="1">
      <c r="B22" s="13"/>
      <c r="C22" s="209">
        <v>124</v>
      </c>
      <c r="D22" s="208">
        <v>255329</v>
      </c>
      <c r="E22" s="208">
        <v>2567</v>
      </c>
      <c r="F22" s="292" t="s">
        <v>176</v>
      </c>
      <c r="G22" s="292" t="s">
        <v>178</v>
      </c>
      <c r="H22" s="303">
        <v>13.199999809265137</v>
      </c>
      <c r="I22" s="294">
        <f aca="true" t="shared" si="0" ref="I22:I43">IF(H22=220,$G$14,IF(AND(H22&lt;=132,H22&gt;=66),$G$15,IF(AND(H22&lt;66,H22&gt;=33),$G$16,$G$17)))</f>
        <v>7.419</v>
      </c>
      <c r="J22" s="433">
        <v>41248.535416666666</v>
      </c>
      <c r="K22" s="434">
        <v>41248.56527777778</v>
      </c>
      <c r="L22" s="224">
        <f aca="true" t="shared" si="1" ref="L22:L43">IF(F22="","",(K22-J22)*24)</f>
        <v>0.7166666667326353</v>
      </c>
      <c r="M22" s="295">
        <f aca="true" t="shared" si="2" ref="M22:M43">IF(F22="","",ROUND((K22-J22)*24*60,0))</f>
        <v>43</v>
      </c>
      <c r="N22" s="226" t="s">
        <v>79</v>
      </c>
      <c r="O22" s="427" t="str">
        <f aca="true" t="shared" si="3" ref="O22:O43">IF(F22="","",IF(OR(N22="P",N22="RP"),"--","NO"))</f>
        <v>--</v>
      </c>
      <c r="P22" s="296">
        <f aca="true" t="shared" si="4" ref="P22:P43">IF(H22=220,$H$14,IF(AND(H22&lt;=132,H22&gt;=66),$H$15,IF(AND(H22&lt;66,H22&gt;13.2),$H$16,$H$17)))</f>
        <v>40</v>
      </c>
      <c r="Q22" s="297">
        <f aca="true" t="shared" si="5" ref="Q22:Q43">IF(N22="P",I22*P22*ROUND(M22/60,2)*0.1,"--")</f>
        <v>21.36672</v>
      </c>
      <c r="R22" s="298" t="str">
        <f aca="true" t="shared" si="6" ref="R22:R43">IF(AND(N22="F",O22="NO"),I22*P22,"--")</f>
        <v>--</v>
      </c>
      <c r="S22" s="299" t="str">
        <f aca="true" t="shared" si="7" ref="S22:S43">IF(N22="F",I22*P22*ROUND(M22/60,2),"--")</f>
        <v>--</v>
      </c>
      <c r="T22" s="300" t="str">
        <f aca="true" t="shared" si="8" ref="T22:T43">IF(N22="RF",I22*P22*ROUND(M22/60,2),"--")</f>
        <v>--</v>
      </c>
      <c r="U22" s="428" t="s">
        <v>76</v>
      </c>
      <c r="V22" s="304">
        <f aca="true" t="shared" si="9" ref="V22:V43">IF(F22="","",SUM(Q22:T22)*IF(U22="SI",1,2)*IF(H22="500/220",0,1))</f>
        <v>21.36672</v>
      </c>
      <c r="W22" s="237"/>
    </row>
    <row r="23" spans="2:23" s="1" customFormat="1" ht="16.5" customHeight="1">
      <c r="B23" s="13"/>
      <c r="C23" s="209">
        <v>125</v>
      </c>
      <c r="D23" s="208">
        <v>255330</v>
      </c>
      <c r="E23" s="208">
        <v>4216</v>
      </c>
      <c r="F23" s="292" t="s">
        <v>143</v>
      </c>
      <c r="G23" s="292" t="s">
        <v>179</v>
      </c>
      <c r="H23" s="293">
        <v>33</v>
      </c>
      <c r="I23" s="294">
        <f t="shared" si="0"/>
        <v>7.419</v>
      </c>
      <c r="J23" s="433">
        <v>41248.580555555556</v>
      </c>
      <c r="K23" s="434">
        <v>41248.691666666666</v>
      </c>
      <c r="L23" s="224">
        <f t="shared" si="1"/>
        <v>2.6666666666278616</v>
      </c>
      <c r="M23" s="295">
        <f t="shared" si="2"/>
        <v>160</v>
      </c>
      <c r="N23" s="226" t="s">
        <v>79</v>
      </c>
      <c r="O23" s="427" t="str">
        <f t="shared" si="3"/>
        <v>--</v>
      </c>
      <c r="P23" s="296">
        <f t="shared" si="4"/>
        <v>50</v>
      </c>
      <c r="Q23" s="297">
        <f t="shared" si="5"/>
        <v>99.04365</v>
      </c>
      <c r="R23" s="298" t="str">
        <f t="shared" si="6"/>
        <v>--</v>
      </c>
      <c r="S23" s="299" t="str">
        <f t="shared" si="7"/>
        <v>--</v>
      </c>
      <c r="T23" s="300" t="str">
        <f t="shared" si="8"/>
        <v>--</v>
      </c>
      <c r="U23" s="428" t="s">
        <v>76</v>
      </c>
      <c r="V23" s="304">
        <f t="shared" si="9"/>
        <v>99.04365</v>
      </c>
      <c r="W23" s="237"/>
    </row>
    <row r="24" spans="2:23" s="1" customFormat="1" ht="16.5" customHeight="1">
      <c r="B24" s="13"/>
      <c r="C24" s="209">
        <v>126</v>
      </c>
      <c r="D24" s="208">
        <v>255338</v>
      </c>
      <c r="E24" s="208">
        <v>3667</v>
      </c>
      <c r="F24" s="292" t="s">
        <v>159</v>
      </c>
      <c r="G24" s="292" t="s">
        <v>167</v>
      </c>
      <c r="H24" s="293">
        <v>132</v>
      </c>
      <c r="I24" s="294">
        <f t="shared" si="0"/>
        <v>9.893</v>
      </c>
      <c r="J24" s="433">
        <v>41249.34375</v>
      </c>
      <c r="K24" s="434">
        <v>41249.71041666667</v>
      </c>
      <c r="L24" s="224">
        <f t="shared" si="1"/>
        <v>8.800000000046566</v>
      </c>
      <c r="M24" s="295">
        <f t="shared" si="2"/>
        <v>528</v>
      </c>
      <c r="N24" s="226" t="s">
        <v>79</v>
      </c>
      <c r="O24" s="427" t="str">
        <f t="shared" si="3"/>
        <v>--</v>
      </c>
      <c r="P24" s="296">
        <f t="shared" si="4"/>
        <v>50</v>
      </c>
      <c r="Q24" s="297">
        <f t="shared" si="5"/>
        <v>435.29200000000014</v>
      </c>
      <c r="R24" s="298" t="str">
        <f t="shared" si="6"/>
        <v>--</v>
      </c>
      <c r="S24" s="299" t="str">
        <f t="shared" si="7"/>
        <v>--</v>
      </c>
      <c r="T24" s="300" t="str">
        <f t="shared" si="8"/>
        <v>--</v>
      </c>
      <c r="U24" s="428" t="s">
        <v>76</v>
      </c>
      <c r="V24" s="304">
        <f t="shared" si="9"/>
        <v>435.29200000000014</v>
      </c>
      <c r="W24" s="237"/>
    </row>
    <row r="25" spans="2:23" s="1" customFormat="1" ht="16.5" customHeight="1">
      <c r="B25" s="13"/>
      <c r="C25" s="209">
        <v>127</v>
      </c>
      <c r="D25" s="208">
        <v>255339</v>
      </c>
      <c r="E25" s="208">
        <v>4297</v>
      </c>
      <c r="F25" s="292" t="s">
        <v>173</v>
      </c>
      <c r="G25" s="292" t="s">
        <v>185</v>
      </c>
      <c r="H25" s="293">
        <v>33</v>
      </c>
      <c r="I25" s="294">
        <f t="shared" si="0"/>
        <v>7.419</v>
      </c>
      <c r="J25" s="433">
        <v>41249.375</v>
      </c>
      <c r="K25" s="434">
        <v>41249.55</v>
      </c>
      <c r="L25" s="224">
        <f t="shared" si="1"/>
        <v>4.200000000069849</v>
      </c>
      <c r="M25" s="295">
        <f t="shared" si="2"/>
        <v>252</v>
      </c>
      <c r="N25" s="226" t="s">
        <v>79</v>
      </c>
      <c r="O25" s="427" t="str">
        <f t="shared" si="3"/>
        <v>--</v>
      </c>
      <c r="P25" s="296">
        <f t="shared" si="4"/>
        <v>50</v>
      </c>
      <c r="Q25" s="297">
        <f t="shared" si="5"/>
        <v>155.799</v>
      </c>
      <c r="R25" s="298" t="str">
        <f t="shared" si="6"/>
        <v>--</v>
      </c>
      <c r="S25" s="299" t="str">
        <f t="shared" si="7"/>
        <v>--</v>
      </c>
      <c r="T25" s="300" t="str">
        <f t="shared" si="8"/>
        <v>--</v>
      </c>
      <c r="U25" s="428" t="s">
        <v>76</v>
      </c>
      <c r="V25" s="304">
        <f t="shared" si="9"/>
        <v>155.799</v>
      </c>
      <c r="W25" s="237"/>
    </row>
    <row r="26" spans="2:23" s="1" customFormat="1" ht="16.5" customHeight="1">
      <c r="B26" s="13"/>
      <c r="C26" s="209">
        <v>128</v>
      </c>
      <c r="D26" s="208">
        <v>255340</v>
      </c>
      <c r="E26" s="208">
        <v>2633</v>
      </c>
      <c r="F26" s="292" t="s">
        <v>159</v>
      </c>
      <c r="G26" s="292" t="s">
        <v>163</v>
      </c>
      <c r="H26" s="293">
        <v>33</v>
      </c>
      <c r="I26" s="294">
        <f t="shared" si="0"/>
        <v>7.419</v>
      </c>
      <c r="J26" s="433">
        <v>41249.375</v>
      </c>
      <c r="K26" s="434">
        <v>41249.680555555555</v>
      </c>
      <c r="L26" s="224">
        <f t="shared" si="1"/>
        <v>7.333333333313931</v>
      </c>
      <c r="M26" s="295">
        <f t="shared" si="2"/>
        <v>440</v>
      </c>
      <c r="N26" s="226" t="s">
        <v>79</v>
      </c>
      <c r="O26" s="427" t="str">
        <f t="shared" si="3"/>
        <v>--</v>
      </c>
      <c r="P26" s="296">
        <f t="shared" si="4"/>
        <v>50</v>
      </c>
      <c r="Q26" s="297">
        <f t="shared" si="5"/>
        <v>271.90635</v>
      </c>
      <c r="R26" s="298" t="str">
        <f t="shared" si="6"/>
        <v>--</v>
      </c>
      <c r="S26" s="299" t="str">
        <f t="shared" si="7"/>
        <v>--</v>
      </c>
      <c r="T26" s="300" t="str">
        <f t="shared" si="8"/>
        <v>--</v>
      </c>
      <c r="U26" s="428" t="s">
        <v>76</v>
      </c>
      <c r="V26" s="304">
        <f t="shared" si="9"/>
        <v>271.90635</v>
      </c>
      <c r="W26" s="237"/>
    </row>
    <row r="27" spans="2:23" s="1" customFormat="1" ht="16.5" customHeight="1">
      <c r="B27" s="13"/>
      <c r="C27" s="209">
        <v>129</v>
      </c>
      <c r="D27" s="208">
        <v>255341</v>
      </c>
      <c r="E27" s="208">
        <v>2399</v>
      </c>
      <c r="F27" s="292" t="s">
        <v>152</v>
      </c>
      <c r="G27" s="292" t="s">
        <v>186</v>
      </c>
      <c r="H27" s="293">
        <v>33</v>
      </c>
      <c r="I27" s="294">
        <f t="shared" si="0"/>
        <v>7.419</v>
      </c>
      <c r="J27" s="433">
        <v>41249.38402777778</v>
      </c>
      <c r="K27" s="434">
        <v>41249.416666666664</v>
      </c>
      <c r="L27" s="224">
        <f t="shared" si="1"/>
        <v>0.7833333332673647</v>
      </c>
      <c r="M27" s="295">
        <f t="shared" si="2"/>
        <v>47</v>
      </c>
      <c r="N27" s="226" t="s">
        <v>79</v>
      </c>
      <c r="O27" s="427" t="str">
        <f t="shared" si="3"/>
        <v>--</v>
      </c>
      <c r="P27" s="296">
        <f t="shared" si="4"/>
        <v>50</v>
      </c>
      <c r="Q27" s="297">
        <f t="shared" si="5"/>
        <v>28.9341</v>
      </c>
      <c r="R27" s="298" t="str">
        <f t="shared" si="6"/>
        <v>--</v>
      </c>
      <c r="S27" s="299" t="str">
        <f t="shared" si="7"/>
        <v>--</v>
      </c>
      <c r="T27" s="300" t="str">
        <f t="shared" si="8"/>
        <v>--</v>
      </c>
      <c r="U27" s="428" t="s">
        <v>76</v>
      </c>
      <c r="V27" s="304">
        <f t="shared" si="9"/>
        <v>28.9341</v>
      </c>
      <c r="W27" s="237"/>
    </row>
    <row r="28" spans="2:23" s="1" customFormat="1" ht="16.5" customHeight="1">
      <c r="B28" s="13"/>
      <c r="C28" s="209">
        <v>130</v>
      </c>
      <c r="D28" s="208">
        <v>255342</v>
      </c>
      <c r="E28" s="208">
        <v>2058</v>
      </c>
      <c r="F28" s="292" t="s">
        <v>171</v>
      </c>
      <c r="G28" s="292" t="s">
        <v>187</v>
      </c>
      <c r="H28" s="293">
        <v>33</v>
      </c>
      <c r="I28" s="294">
        <f t="shared" si="0"/>
        <v>7.419</v>
      </c>
      <c r="J28" s="433">
        <v>41249.404861111114</v>
      </c>
      <c r="K28" s="434">
        <v>41249.53055555555</v>
      </c>
      <c r="L28" s="224">
        <f t="shared" si="1"/>
        <v>3.016666666546371</v>
      </c>
      <c r="M28" s="295">
        <f t="shared" si="2"/>
        <v>181</v>
      </c>
      <c r="N28" s="226" t="s">
        <v>79</v>
      </c>
      <c r="O28" s="427" t="str">
        <f t="shared" si="3"/>
        <v>--</v>
      </c>
      <c r="P28" s="296">
        <f t="shared" si="4"/>
        <v>50</v>
      </c>
      <c r="Q28" s="297">
        <f t="shared" si="5"/>
        <v>112.02690000000001</v>
      </c>
      <c r="R28" s="298" t="str">
        <f t="shared" si="6"/>
        <v>--</v>
      </c>
      <c r="S28" s="299" t="str">
        <f t="shared" si="7"/>
        <v>--</v>
      </c>
      <c r="T28" s="300" t="str">
        <f t="shared" si="8"/>
        <v>--</v>
      </c>
      <c r="U28" s="428" t="s">
        <v>76</v>
      </c>
      <c r="V28" s="304">
        <f t="shared" si="9"/>
        <v>112.02690000000001</v>
      </c>
      <c r="W28" s="237"/>
    </row>
    <row r="29" spans="2:23" s="1" customFormat="1" ht="16.5" customHeight="1">
      <c r="B29" s="13"/>
      <c r="C29" s="209">
        <v>131</v>
      </c>
      <c r="D29" s="208">
        <v>255344</v>
      </c>
      <c r="E29" s="208">
        <v>2400</v>
      </c>
      <c r="F29" s="292" t="s">
        <v>152</v>
      </c>
      <c r="G29" s="292" t="s">
        <v>188</v>
      </c>
      <c r="H29" s="293">
        <v>33</v>
      </c>
      <c r="I29" s="294">
        <f t="shared" si="0"/>
        <v>7.419</v>
      </c>
      <c r="J29" s="433">
        <v>41249.416666666664</v>
      </c>
      <c r="K29" s="434">
        <v>41249.45694444444</v>
      </c>
      <c r="L29" s="224">
        <f t="shared" si="1"/>
        <v>0.9666666666744277</v>
      </c>
      <c r="M29" s="295">
        <f t="shared" si="2"/>
        <v>58</v>
      </c>
      <c r="N29" s="226" t="s">
        <v>79</v>
      </c>
      <c r="O29" s="427" t="str">
        <f t="shared" si="3"/>
        <v>--</v>
      </c>
      <c r="P29" s="296">
        <f t="shared" si="4"/>
        <v>50</v>
      </c>
      <c r="Q29" s="297">
        <f t="shared" si="5"/>
        <v>35.98215</v>
      </c>
      <c r="R29" s="298" t="str">
        <f t="shared" si="6"/>
        <v>--</v>
      </c>
      <c r="S29" s="299" t="str">
        <f t="shared" si="7"/>
        <v>--</v>
      </c>
      <c r="T29" s="300" t="str">
        <f t="shared" si="8"/>
        <v>--</v>
      </c>
      <c r="U29" s="428" t="s">
        <v>76</v>
      </c>
      <c r="V29" s="304">
        <f t="shared" si="9"/>
        <v>35.98215</v>
      </c>
      <c r="W29" s="237"/>
    </row>
    <row r="30" spans="2:23" s="1" customFormat="1" ht="16.5" customHeight="1">
      <c r="B30" s="13"/>
      <c r="C30" s="209">
        <v>132</v>
      </c>
      <c r="D30" s="208">
        <v>255345</v>
      </c>
      <c r="E30" s="208">
        <v>2276</v>
      </c>
      <c r="F30" s="292" t="s">
        <v>143</v>
      </c>
      <c r="G30" s="292" t="s">
        <v>189</v>
      </c>
      <c r="H30" s="293">
        <v>13.199999809265137</v>
      </c>
      <c r="I30" s="294">
        <f t="shared" si="0"/>
        <v>7.419</v>
      </c>
      <c r="J30" s="433">
        <v>41249.42361111111</v>
      </c>
      <c r="K30" s="434">
        <v>41249.532638888886</v>
      </c>
      <c r="L30" s="224">
        <f t="shared" si="1"/>
        <v>2.616666666639503</v>
      </c>
      <c r="M30" s="295">
        <f t="shared" si="2"/>
        <v>157</v>
      </c>
      <c r="N30" s="226" t="s">
        <v>79</v>
      </c>
      <c r="O30" s="427" t="str">
        <f t="shared" si="3"/>
        <v>--</v>
      </c>
      <c r="P30" s="296">
        <f t="shared" si="4"/>
        <v>40</v>
      </c>
      <c r="Q30" s="297">
        <f t="shared" si="5"/>
        <v>77.75112000000001</v>
      </c>
      <c r="R30" s="298" t="str">
        <f t="shared" si="6"/>
        <v>--</v>
      </c>
      <c r="S30" s="299" t="str">
        <f t="shared" si="7"/>
        <v>--</v>
      </c>
      <c r="T30" s="300" t="str">
        <f t="shared" si="8"/>
        <v>--</v>
      </c>
      <c r="U30" s="428" t="s">
        <v>76</v>
      </c>
      <c r="V30" s="304">
        <f t="shared" si="9"/>
        <v>77.75112000000001</v>
      </c>
      <c r="W30" s="237"/>
    </row>
    <row r="31" spans="2:23" s="1" customFormat="1" ht="16.5" customHeight="1">
      <c r="B31" s="13"/>
      <c r="C31" s="209">
        <v>133</v>
      </c>
      <c r="D31" s="208">
        <v>255346</v>
      </c>
      <c r="E31" s="208">
        <v>2326</v>
      </c>
      <c r="F31" s="292" t="s">
        <v>190</v>
      </c>
      <c r="G31" s="292" t="s">
        <v>191</v>
      </c>
      <c r="H31" s="293">
        <v>13.199999809265137</v>
      </c>
      <c r="I31" s="294">
        <f t="shared" si="0"/>
        <v>7.419</v>
      </c>
      <c r="J31" s="433">
        <v>41249.51597222222</v>
      </c>
      <c r="K31" s="434">
        <v>41249.52777777778</v>
      </c>
      <c r="L31" s="224">
        <f t="shared" si="1"/>
        <v>0.28333333338378</v>
      </c>
      <c r="M31" s="295">
        <f t="shared" si="2"/>
        <v>17</v>
      </c>
      <c r="N31" s="226" t="s">
        <v>79</v>
      </c>
      <c r="O31" s="427" t="str">
        <f t="shared" si="3"/>
        <v>--</v>
      </c>
      <c r="P31" s="296">
        <f t="shared" si="4"/>
        <v>40</v>
      </c>
      <c r="Q31" s="297">
        <f t="shared" si="5"/>
        <v>8.309280000000001</v>
      </c>
      <c r="R31" s="298" t="str">
        <f t="shared" si="6"/>
        <v>--</v>
      </c>
      <c r="S31" s="299" t="str">
        <f t="shared" si="7"/>
        <v>--</v>
      </c>
      <c r="T31" s="300" t="str">
        <f t="shared" si="8"/>
        <v>--</v>
      </c>
      <c r="U31" s="428" t="s">
        <v>76</v>
      </c>
      <c r="V31" s="304">
        <f t="shared" si="9"/>
        <v>8.309280000000001</v>
      </c>
      <c r="W31" s="237"/>
    </row>
    <row r="32" spans="2:23" s="1" customFormat="1" ht="16.5" customHeight="1">
      <c r="B32" s="13"/>
      <c r="C32" s="209">
        <v>134</v>
      </c>
      <c r="D32" s="208">
        <v>255357</v>
      </c>
      <c r="E32" s="208">
        <v>3667</v>
      </c>
      <c r="F32" s="292" t="s">
        <v>159</v>
      </c>
      <c r="G32" s="292" t="s">
        <v>167</v>
      </c>
      <c r="H32" s="293">
        <v>132</v>
      </c>
      <c r="I32" s="294">
        <f t="shared" si="0"/>
        <v>9.893</v>
      </c>
      <c r="J32" s="433">
        <v>41250.399305555555</v>
      </c>
      <c r="K32" s="434">
        <v>41250.57777777778</v>
      </c>
      <c r="L32" s="224">
        <f t="shared" si="1"/>
        <v>4.283333333325572</v>
      </c>
      <c r="M32" s="295">
        <f t="shared" si="2"/>
        <v>257</v>
      </c>
      <c r="N32" s="226" t="s">
        <v>79</v>
      </c>
      <c r="O32" s="427" t="str">
        <f t="shared" si="3"/>
        <v>--</v>
      </c>
      <c r="P32" s="296">
        <f t="shared" si="4"/>
        <v>50</v>
      </c>
      <c r="Q32" s="297">
        <f t="shared" si="5"/>
        <v>211.71020000000004</v>
      </c>
      <c r="R32" s="298" t="str">
        <f t="shared" si="6"/>
        <v>--</v>
      </c>
      <c r="S32" s="299" t="str">
        <f t="shared" si="7"/>
        <v>--</v>
      </c>
      <c r="T32" s="300" t="str">
        <f t="shared" si="8"/>
        <v>--</v>
      </c>
      <c r="U32" s="428" t="s">
        <v>76</v>
      </c>
      <c r="V32" s="304">
        <f t="shared" si="9"/>
        <v>211.71020000000004</v>
      </c>
      <c r="W32" s="237"/>
    </row>
    <row r="33" spans="2:23" s="1" customFormat="1" ht="16.5" customHeight="1">
      <c r="B33" s="13"/>
      <c r="C33" s="209">
        <v>135</v>
      </c>
      <c r="D33" s="208">
        <v>255359</v>
      </c>
      <c r="E33" s="208">
        <v>2273</v>
      </c>
      <c r="F33" s="292" t="s">
        <v>143</v>
      </c>
      <c r="G33" s="292" t="s">
        <v>192</v>
      </c>
      <c r="H33" s="293">
        <v>13.199999809265137</v>
      </c>
      <c r="I33" s="294">
        <f t="shared" si="0"/>
        <v>7.419</v>
      </c>
      <c r="J33" s="433">
        <v>41250.444444444445</v>
      </c>
      <c r="K33" s="434">
        <v>41250.51597222222</v>
      </c>
      <c r="L33" s="224">
        <f t="shared" si="1"/>
        <v>1.7166666666744277</v>
      </c>
      <c r="M33" s="295">
        <f t="shared" si="2"/>
        <v>103</v>
      </c>
      <c r="N33" s="226" t="s">
        <v>79</v>
      </c>
      <c r="O33" s="427" t="str">
        <f t="shared" si="3"/>
        <v>--</v>
      </c>
      <c r="P33" s="296">
        <f t="shared" si="4"/>
        <v>40</v>
      </c>
      <c r="Q33" s="297">
        <f t="shared" si="5"/>
        <v>51.04272</v>
      </c>
      <c r="R33" s="298" t="str">
        <f t="shared" si="6"/>
        <v>--</v>
      </c>
      <c r="S33" s="299" t="str">
        <f t="shared" si="7"/>
        <v>--</v>
      </c>
      <c r="T33" s="300" t="str">
        <f t="shared" si="8"/>
        <v>--</v>
      </c>
      <c r="U33" s="428" t="s">
        <v>76</v>
      </c>
      <c r="V33" s="304">
        <f t="shared" si="9"/>
        <v>51.04272</v>
      </c>
      <c r="W33" s="237"/>
    </row>
    <row r="34" spans="2:23" s="1" customFormat="1" ht="16.5" customHeight="1">
      <c r="B34" s="13"/>
      <c r="C34" s="209">
        <v>136</v>
      </c>
      <c r="D34" s="208">
        <v>255360</v>
      </c>
      <c r="E34" s="208">
        <v>2369</v>
      </c>
      <c r="F34" s="292" t="s">
        <v>129</v>
      </c>
      <c r="G34" s="292" t="s">
        <v>193</v>
      </c>
      <c r="H34" s="293">
        <v>13.199999809265137</v>
      </c>
      <c r="I34" s="294">
        <f t="shared" si="0"/>
        <v>7.419</v>
      </c>
      <c r="J34" s="433">
        <v>41250.50763888889</v>
      </c>
      <c r="K34" s="434">
        <v>41254.69305555556</v>
      </c>
      <c r="L34" s="224">
        <f t="shared" si="1"/>
        <v>100.45000000001164</v>
      </c>
      <c r="M34" s="295">
        <f t="shared" si="2"/>
        <v>6027</v>
      </c>
      <c r="N34" s="226" t="s">
        <v>79</v>
      </c>
      <c r="O34" s="427" t="str">
        <f t="shared" si="3"/>
        <v>--</v>
      </c>
      <c r="P34" s="296">
        <f t="shared" si="4"/>
        <v>40</v>
      </c>
      <c r="Q34" s="297">
        <f t="shared" si="5"/>
        <v>2980.9542</v>
      </c>
      <c r="R34" s="298" t="str">
        <f t="shared" si="6"/>
        <v>--</v>
      </c>
      <c r="S34" s="299" t="str">
        <f t="shared" si="7"/>
        <v>--</v>
      </c>
      <c r="T34" s="300" t="str">
        <f t="shared" si="8"/>
        <v>--</v>
      </c>
      <c r="U34" s="428" t="s">
        <v>76</v>
      </c>
      <c r="V34" s="304">
        <f t="shared" si="9"/>
        <v>2980.9542</v>
      </c>
      <c r="W34" s="237"/>
    </row>
    <row r="35" spans="2:23" s="1" customFormat="1" ht="16.5" customHeight="1">
      <c r="B35" s="13"/>
      <c r="C35" s="209">
        <v>137</v>
      </c>
      <c r="D35" s="208">
        <v>255364</v>
      </c>
      <c r="E35" s="208">
        <v>5208</v>
      </c>
      <c r="F35" s="292" t="s">
        <v>129</v>
      </c>
      <c r="G35" s="292" t="s">
        <v>194</v>
      </c>
      <c r="H35" s="293">
        <v>13.199999809265137</v>
      </c>
      <c r="I35" s="294">
        <f t="shared" si="0"/>
        <v>7.419</v>
      </c>
      <c r="J35" s="433">
        <v>41252.37152777778</v>
      </c>
      <c r="K35" s="434">
        <v>41252.71111111111</v>
      </c>
      <c r="L35" s="224">
        <f t="shared" si="1"/>
        <v>8.14999999984866</v>
      </c>
      <c r="M35" s="295">
        <f t="shared" si="2"/>
        <v>489</v>
      </c>
      <c r="N35" s="226" t="s">
        <v>79</v>
      </c>
      <c r="O35" s="427" t="str">
        <f t="shared" si="3"/>
        <v>--</v>
      </c>
      <c r="P35" s="296">
        <f t="shared" si="4"/>
        <v>40</v>
      </c>
      <c r="Q35" s="297">
        <f t="shared" si="5"/>
        <v>241.85940000000002</v>
      </c>
      <c r="R35" s="298" t="str">
        <f t="shared" si="6"/>
        <v>--</v>
      </c>
      <c r="S35" s="299" t="str">
        <f t="shared" si="7"/>
        <v>--</v>
      </c>
      <c r="T35" s="300" t="str">
        <f t="shared" si="8"/>
        <v>--</v>
      </c>
      <c r="U35" s="428" t="s">
        <v>76</v>
      </c>
      <c r="V35" s="304">
        <f t="shared" si="9"/>
        <v>241.85940000000002</v>
      </c>
      <c r="W35" s="237"/>
    </row>
    <row r="36" spans="2:23" s="1" customFormat="1" ht="16.5" customHeight="1">
      <c r="B36" s="13"/>
      <c r="C36" s="209" t="s">
        <v>301</v>
      </c>
      <c r="D36" s="208">
        <v>255514</v>
      </c>
      <c r="E36" s="208">
        <v>4939</v>
      </c>
      <c r="F36" s="292" t="s">
        <v>195</v>
      </c>
      <c r="G36" s="292" t="s">
        <v>196</v>
      </c>
      <c r="H36" s="293">
        <v>132</v>
      </c>
      <c r="I36" s="294">
        <f t="shared" si="0"/>
        <v>9.893</v>
      </c>
      <c r="J36" s="433">
        <v>41253.48125</v>
      </c>
      <c r="K36" s="434">
        <v>41253.48541666667</v>
      </c>
      <c r="L36" s="224">
        <f t="shared" si="1"/>
        <v>0.10000000015133992</v>
      </c>
      <c r="M36" s="295">
        <f t="shared" si="2"/>
        <v>6</v>
      </c>
      <c r="N36" s="226" t="s">
        <v>75</v>
      </c>
      <c r="O36" s="427" t="str">
        <f t="shared" si="3"/>
        <v>NO</v>
      </c>
      <c r="P36" s="296">
        <f t="shared" si="4"/>
        <v>50</v>
      </c>
      <c r="Q36" s="297" t="str">
        <f t="shared" si="5"/>
        <v>--</v>
      </c>
      <c r="R36" s="298">
        <f t="shared" si="6"/>
        <v>494.65000000000003</v>
      </c>
      <c r="S36" s="299">
        <f t="shared" si="7"/>
        <v>49.465</v>
      </c>
      <c r="T36" s="300" t="str">
        <f t="shared" si="8"/>
        <v>--</v>
      </c>
      <c r="U36" s="428" t="s">
        <v>76</v>
      </c>
      <c r="V36" s="304">
        <v>0</v>
      </c>
      <c r="W36" s="237"/>
    </row>
    <row r="37" spans="2:23" s="1" customFormat="1" ht="16.5" customHeight="1">
      <c r="B37" s="13"/>
      <c r="C37" s="209">
        <v>139</v>
      </c>
      <c r="D37" s="208">
        <v>255516</v>
      </c>
      <c r="E37" s="208">
        <v>2227</v>
      </c>
      <c r="F37" s="292" t="s">
        <v>121</v>
      </c>
      <c r="G37" s="292" t="s">
        <v>182</v>
      </c>
      <c r="H37" s="293">
        <v>13.199999809265137</v>
      </c>
      <c r="I37" s="294">
        <f t="shared" si="0"/>
        <v>7.419</v>
      </c>
      <c r="J37" s="433">
        <v>41253.549305555556</v>
      </c>
      <c r="K37" s="434">
        <v>41253.55138888889</v>
      </c>
      <c r="L37" s="224">
        <f t="shared" si="1"/>
        <v>0.04999999998835847</v>
      </c>
      <c r="M37" s="295">
        <f t="shared" si="2"/>
        <v>3</v>
      </c>
      <c r="N37" s="226" t="s">
        <v>75</v>
      </c>
      <c r="O37" s="427" t="str">
        <f t="shared" si="3"/>
        <v>NO</v>
      </c>
      <c r="P37" s="296">
        <f t="shared" si="4"/>
        <v>40</v>
      </c>
      <c r="Q37" s="297" t="str">
        <f t="shared" si="5"/>
        <v>--</v>
      </c>
      <c r="R37" s="298">
        <f t="shared" si="6"/>
        <v>296.76</v>
      </c>
      <c r="S37" s="299">
        <f t="shared" si="7"/>
        <v>14.838000000000001</v>
      </c>
      <c r="T37" s="300" t="str">
        <f t="shared" si="8"/>
        <v>--</v>
      </c>
      <c r="U37" s="428" t="s">
        <v>76</v>
      </c>
      <c r="V37" s="304">
        <f t="shared" si="9"/>
        <v>311.598</v>
      </c>
      <c r="W37" s="237"/>
    </row>
    <row r="38" spans="2:23" s="1" customFormat="1" ht="16.5" customHeight="1">
      <c r="B38" s="13"/>
      <c r="C38" s="209">
        <v>140</v>
      </c>
      <c r="D38" s="208">
        <v>255517</v>
      </c>
      <c r="E38" s="208">
        <v>2232</v>
      </c>
      <c r="F38" s="292" t="s">
        <v>121</v>
      </c>
      <c r="G38" s="292" t="s">
        <v>183</v>
      </c>
      <c r="H38" s="293">
        <v>13.199999809265137</v>
      </c>
      <c r="I38" s="294">
        <f t="shared" si="0"/>
        <v>7.419</v>
      </c>
      <c r="J38" s="433">
        <v>41253.549305555556</v>
      </c>
      <c r="K38" s="434">
        <v>41253.552777777775</v>
      </c>
      <c r="L38" s="224">
        <f t="shared" si="1"/>
        <v>0.08333333325572312</v>
      </c>
      <c r="M38" s="295">
        <f t="shared" si="2"/>
        <v>5</v>
      </c>
      <c r="N38" s="226" t="s">
        <v>75</v>
      </c>
      <c r="O38" s="427" t="str">
        <f t="shared" si="3"/>
        <v>NO</v>
      </c>
      <c r="P38" s="296">
        <f t="shared" si="4"/>
        <v>40</v>
      </c>
      <c r="Q38" s="297" t="str">
        <f t="shared" si="5"/>
        <v>--</v>
      </c>
      <c r="R38" s="298">
        <f t="shared" si="6"/>
        <v>296.76</v>
      </c>
      <c r="S38" s="299">
        <f t="shared" si="7"/>
        <v>23.7408</v>
      </c>
      <c r="T38" s="300" t="str">
        <f t="shared" si="8"/>
        <v>--</v>
      </c>
      <c r="U38" s="428" t="s">
        <v>76</v>
      </c>
      <c r="V38" s="304">
        <f t="shared" si="9"/>
        <v>320.50079999999997</v>
      </c>
      <c r="W38" s="237"/>
    </row>
    <row r="39" spans="2:23" s="1" customFormat="1" ht="16.5" customHeight="1">
      <c r="B39" s="13"/>
      <c r="C39" s="209">
        <v>141</v>
      </c>
      <c r="D39" s="208">
        <v>255518</v>
      </c>
      <c r="E39" s="208">
        <v>3595</v>
      </c>
      <c r="F39" s="292" t="s">
        <v>121</v>
      </c>
      <c r="G39" s="292" t="s">
        <v>184</v>
      </c>
      <c r="H39" s="293">
        <v>13.199999809265137</v>
      </c>
      <c r="I39" s="294">
        <f t="shared" si="0"/>
        <v>7.419</v>
      </c>
      <c r="J39" s="433">
        <v>41253.549305555556</v>
      </c>
      <c r="K39" s="434">
        <v>41253.552777777775</v>
      </c>
      <c r="L39" s="224">
        <f t="shared" si="1"/>
        <v>0.08333333325572312</v>
      </c>
      <c r="M39" s="295">
        <f t="shared" si="2"/>
        <v>5</v>
      </c>
      <c r="N39" s="226" t="s">
        <v>75</v>
      </c>
      <c r="O39" s="427" t="str">
        <f t="shared" si="3"/>
        <v>NO</v>
      </c>
      <c r="P39" s="296">
        <f t="shared" si="4"/>
        <v>40</v>
      </c>
      <c r="Q39" s="297" t="str">
        <f t="shared" si="5"/>
        <v>--</v>
      </c>
      <c r="R39" s="298">
        <f t="shared" si="6"/>
        <v>296.76</v>
      </c>
      <c r="S39" s="299">
        <f t="shared" si="7"/>
        <v>23.7408</v>
      </c>
      <c r="T39" s="300" t="str">
        <f t="shared" si="8"/>
        <v>--</v>
      </c>
      <c r="U39" s="428" t="s">
        <v>76</v>
      </c>
      <c r="V39" s="304">
        <f t="shared" si="9"/>
        <v>320.50079999999997</v>
      </c>
      <c r="W39" s="237"/>
    </row>
    <row r="40" spans="2:23" s="1" customFormat="1" ht="16.5" customHeight="1">
      <c r="B40" s="13"/>
      <c r="C40" s="209">
        <v>142</v>
      </c>
      <c r="D40" s="208">
        <v>255519</v>
      </c>
      <c r="E40" s="208">
        <v>2228</v>
      </c>
      <c r="F40" s="292" t="s">
        <v>121</v>
      </c>
      <c r="G40" s="292" t="s">
        <v>197</v>
      </c>
      <c r="H40" s="293">
        <v>13.199999809265137</v>
      </c>
      <c r="I40" s="294">
        <f t="shared" si="0"/>
        <v>7.419</v>
      </c>
      <c r="J40" s="433">
        <v>41253.549305555556</v>
      </c>
      <c r="K40" s="434">
        <v>41253.552777777775</v>
      </c>
      <c r="L40" s="224">
        <f t="shared" si="1"/>
        <v>0.08333333325572312</v>
      </c>
      <c r="M40" s="295">
        <f t="shared" si="2"/>
        <v>5</v>
      </c>
      <c r="N40" s="226" t="s">
        <v>75</v>
      </c>
      <c r="O40" s="427" t="str">
        <f t="shared" si="3"/>
        <v>NO</v>
      </c>
      <c r="P40" s="296">
        <f t="shared" si="4"/>
        <v>40</v>
      </c>
      <c r="Q40" s="297" t="str">
        <f t="shared" si="5"/>
        <v>--</v>
      </c>
      <c r="R40" s="298">
        <f t="shared" si="6"/>
        <v>296.76</v>
      </c>
      <c r="S40" s="299">
        <f t="shared" si="7"/>
        <v>23.7408</v>
      </c>
      <c r="T40" s="300" t="str">
        <f t="shared" si="8"/>
        <v>--</v>
      </c>
      <c r="U40" s="428" t="s">
        <v>76</v>
      </c>
      <c r="V40" s="304">
        <f t="shared" si="9"/>
        <v>320.50079999999997</v>
      </c>
      <c r="W40" s="237"/>
    </row>
    <row r="41" spans="2:23" s="1" customFormat="1" ht="16.5" customHeight="1">
      <c r="B41" s="13"/>
      <c r="C41" s="209">
        <v>143</v>
      </c>
      <c r="D41" s="208">
        <v>255520</v>
      </c>
      <c r="E41" s="208">
        <v>2229</v>
      </c>
      <c r="F41" s="292" t="s">
        <v>121</v>
      </c>
      <c r="G41" s="292" t="s">
        <v>198</v>
      </c>
      <c r="H41" s="293">
        <v>13.199999809265137</v>
      </c>
      <c r="I41" s="294">
        <f t="shared" si="0"/>
        <v>7.419</v>
      </c>
      <c r="J41" s="433">
        <v>41253.549305555556</v>
      </c>
      <c r="K41" s="434">
        <v>41253.55347222222</v>
      </c>
      <c r="L41" s="224">
        <f t="shared" si="1"/>
        <v>0.09999999997671694</v>
      </c>
      <c r="M41" s="295">
        <f t="shared" si="2"/>
        <v>6</v>
      </c>
      <c r="N41" s="226" t="s">
        <v>75</v>
      </c>
      <c r="O41" s="427" t="str">
        <f t="shared" si="3"/>
        <v>NO</v>
      </c>
      <c r="P41" s="296">
        <f t="shared" si="4"/>
        <v>40</v>
      </c>
      <c r="Q41" s="297" t="str">
        <f t="shared" si="5"/>
        <v>--</v>
      </c>
      <c r="R41" s="298">
        <f t="shared" si="6"/>
        <v>296.76</v>
      </c>
      <c r="S41" s="299">
        <f t="shared" si="7"/>
        <v>29.676000000000002</v>
      </c>
      <c r="T41" s="300" t="str">
        <f t="shared" si="8"/>
        <v>--</v>
      </c>
      <c r="U41" s="428" t="s">
        <v>76</v>
      </c>
      <c r="V41" s="304">
        <f t="shared" si="9"/>
        <v>326.436</v>
      </c>
      <c r="W41" s="237"/>
    </row>
    <row r="42" spans="2:23" s="1" customFormat="1" ht="16.5" customHeight="1">
      <c r="B42" s="13"/>
      <c r="C42" s="209">
        <v>144</v>
      </c>
      <c r="D42" s="208">
        <v>255521</v>
      </c>
      <c r="E42" s="208">
        <v>2231</v>
      </c>
      <c r="F42" s="292" t="s">
        <v>121</v>
      </c>
      <c r="G42" s="292" t="s">
        <v>199</v>
      </c>
      <c r="H42" s="293">
        <v>13.199999809265137</v>
      </c>
      <c r="I42" s="294">
        <f t="shared" si="0"/>
        <v>7.419</v>
      </c>
      <c r="J42" s="433">
        <v>41253.549305555556</v>
      </c>
      <c r="K42" s="434">
        <v>41253.55347222222</v>
      </c>
      <c r="L42" s="224">
        <f t="shared" si="1"/>
        <v>0.09999999997671694</v>
      </c>
      <c r="M42" s="295">
        <f t="shared" si="2"/>
        <v>6</v>
      </c>
      <c r="N42" s="226" t="s">
        <v>75</v>
      </c>
      <c r="O42" s="427" t="str">
        <f t="shared" si="3"/>
        <v>NO</v>
      </c>
      <c r="P42" s="296">
        <f t="shared" si="4"/>
        <v>40</v>
      </c>
      <c r="Q42" s="297" t="str">
        <f t="shared" si="5"/>
        <v>--</v>
      </c>
      <c r="R42" s="298">
        <f t="shared" si="6"/>
        <v>296.76</v>
      </c>
      <c r="S42" s="299">
        <f t="shared" si="7"/>
        <v>29.676000000000002</v>
      </c>
      <c r="T42" s="300" t="str">
        <f t="shared" si="8"/>
        <v>--</v>
      </c>
      <c r="U42" s="428" t="s">
        <v>76</v>
      </c>
      <c r="V42" s="304">
        <f t="shared" si="9"/>
        <v>326.436</v>
      </c>
      <c r="W42" s="237"/>
    </row>
    <row r="43" spans="2:23" s="1" customFormat="1" ht="16.5" customHeight="1">
      <c r="B43" s="13"/>
      <c r="C43" s="209">
        <v>145</v>
      </c>
      <c r="D43" s="208">
        <v>255522</v>
      </c>
      <c r="E43" s="208">
        <v>2222</v>
      </c>
      <c r="F43" s="292" t="s">
        <v>121</v>
      </c>
      <c r="G43" s="292" t="s">
        <v>180</v>
      </c>
      <c r="H43" s="293">
        <v>33</v>
      </c>
      <c r="I43" s="294">
        <f t="shared" si="0"/>
        <v>7.419</v>
      </c>
      <c r="J43" s="433">
        <v>41253.549305555556</v>
      </c>
      <c r="K43" s="434">
        <v>41253.55486111111</v>
      </c>
      <c r="L43" s="224">
        <f t="shared" si="1"/>
        <v>0.1333333332440816</v>
      </c>
      <c r="M43" s="295">
        <f t="shared" si="2"/>
        <v>8</v>
      </c>
      <c r="N43" s="226" t="s">
        <v>75</v>
      </c>
      <c r="O43" s="427" t="str">
        <f t="shared" si="3"/>
        <v>NO</v>
      </c>
      <c r="P43" s="296">
        <f t="shared" si="4"/>
        <v>50</v>
      </c>
      <c r="Q43" s="297" t="str">
        <f t="shared" si="5"/>
        <v>--</v>
      </c>
      <c r="R43" s="298">
        <f t="shared" si="6"/>
        <v>370.95</v>
      </c>
      <c r="S43" s="299">
        <f t="shared" si="7"/>
        <v>48.2235</v>
      </c>
      <c r="T43" s="300" t="str">
        <f t="shared" si="8"/>
        <v>--</v>
      </c>
      <c r="U43" s="428" t="s">
        <v>76</v>
      </c>
      <c r="V43" s="304">
        <f t="shared" si="9"/>
        <v>419.1735</v>
      </c>
      <c r="W43" s="237"/>
    </row>
    <row r="44" spans="2:23" s="1" customFormat="1" ht="16.5" customHeight="1" thickBot="1">
      <c r="B44" s="13"/>
      <c r="C44" s="317"/>
      <c r="D44" s="317"/>
      <c r="E44" s="317"/>
      <c r="F44" s="317"/>
      <c r="G44" s="317"/>
      <c r="H44" s="317"/>
      <c r="I44" s="305"/>
      <c r="J44" s="407"/>
      <c r="K44" s="407"/>
      <c r="L44" s="238"/>
      <c r="M44" s="238"/>
      <c r="N44" s="317"/>
      <c r="O44" s="317"/>
      <c r="P44" s="327"/>
      <c r="Q44" s="328"/>
      <c r="R44" s="329"/>
      <c r="S44" s="330"/>
      <c r="T44" s="331"/>
      <c r="U44" s="317"/>
      <c r="V44" s="306"/>
      <c r="W44" s="237"/>
    </row>
    <row r="45" spans="2:23" s="1" customFormat="1" ht="16.5" customHeight="1" thickBot="1" thickTop="1">
      <c r="B45" s="13"/>
      <c r="C45" s="437" t="s">
        <v>237</v>
      </c>
      <c r="D45" s="436" t="s">
        <v>240</v>
      </c>
      <c r="E45" s="128"/>
      <c r="F45" s="113"/>
      <c r="G45" s="2"/>
      <c r="H45" s="2"/>
      <c r="I45" s="2"/>
      <c r="J45" s="2"/>
      <c r="K45" s="2"/>
      <c r="L45" s="2"/>
      <c r="M45" s="2"/>
      <c r="N45" s="2"/>
      <c r="O45" s="2"/>
      <c r="P45" s="2"/>
      <c r="Q45" s="307">
        <f>SUM(Q20:Q44)</f>
        <v>4731.97779</v>
      </c>
      <c r="R45" s="308">
        <f>SUM(R20:R44)</f>
        <v>2646.16</v>
      </c>
      <c r="S45" s="308">
        <f>SUM(S20:S44)</f>
        <v>243.10090000000002</v>
      </c>
      <c r="T45" s="309">
        <f>SUM(T20:T44)</f>
        <v>0</v>
      </c>
      <c r="U45" s="310"/>
      <c r="V45" s="418">
        <f>ROUND(SUM(V20:V44),2)</f>
        <v>13846.7</v>
      </c>
      <c r="W45" s="237"/>
    </row>
    <row r="46" spans="2:23" s="126" customFormat="1" ht="9.75" thickTop="1">
      <c r="B46" s="127"/>
      <c r="C46" s="128"/>
      <c r="D46" s="128"/>
      <c r="E46" s="128"/>
      <c r="F46" s="129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1"/>
      <c r="V46" s="311"/>
      <c r="W46" s="253"/>
    </row>
    <row r="47" spans="2:23" s="1" customFormat="1" ht="16.5" customHeight="1" thickBot="1">
      <c r="B47" s="139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6"/>
    </row>
    <row r="48" spans="2:23" ht="16.5" customHeight="1" thickTop="1"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</row>
    <row r="49" spans="3:6" ht="16.5" customHeight="1">
      <c r="C49" s="312"/>
      <c r="D49" s="312"/>
      <c r="E49" s="312"/>
      <c r="F49" s="312"/>
    </row>
    <row r="50" ht="16.5" customHeight="1"/>
    <row r="51" ht="16.5" customHeight="1"/>
    <row r="52" ht="16.5" customHeight="1"/>
    <row r="53" ht="16.5" customHeight="1"/>
    <row r="54" ht="16.5" customHeight="1"/>
  </sheetData>
  <sheetProtection/>
  <printOptions/>
  <pageMargins left="0.23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70" zoomScaleNormal="70" zoomScalePageLayoutView="0" workbookViewId="0" topLeftCell="F13">
      <selection activeCell="W37" sqref="W37"/>
    </sheetView>
  </sheetViews>
  <sheetFormatPr defaultColWidth="11.421875" defaultRowHeight="12.75"/>
  <cols>
    <col min="1" max="1" width="19.0039062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9"/>
      <c r="W1" s="313"/>
    </row>
    <row r="2" spans="1:23" s="3" customFormat="1" ht="26.25">
      <c r="A2" s="259"/>
      <c r="B2" s="16" t="str">
        <f>'TOT-1212'!B2</f>
        <v>ANEXO I al Memorándum  D.T.E.E.  N° 335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1"/>
    </row>
    <row r="5" spans="1:2" s="9" customFormat="1" ht="11.25">
      <c r="A5" s="8" t="s">
        <v>4</v>
      </c>
      <c r="B5" s="261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'TOT-1212'!B14</f>
        <v>Desde el 01 al 31 de diciembre de 2012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4" t="s">
        <v>48</v>
      </c>
      <c r="G14" s="316">
        <v>19.787</v>
      </c>
      <c r="H14" s="266">
        <f>60*'TOT-1212'!B13</f>
        <v>60</v>
      </c>
      <c r="I14" s="34"/>
      <c r="J14" s="176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4" t="s">
        <v>49</v>
      </c>
      <c r="G15" s="265">
        <v>9.893</v>
      </c>
      <c r="H15" s="266">
        <f>50*'TOT-1212'!B13</f>
        <v>50</v>
      </c>
      <c r="J15" s="176" t="str">
        <f>IF(H15=50," ",IF(H15=100,"    Coeficiente duplicado por tasa de falla &gt;4 Sal. x año/100 km.","    REVISAR COEFICIENTE"))</f>
        <v> </v>
      </c>
      <c r="S15" s="7"/>
      <c r="T15" s="7"/>
      <c r="U15" s="7"/>
      <c r="V15" s="267"/>
      <c r="W15" s="14"/>
    </row>
    <row r="16" spans="2:23" s="1" customFormat="1" ht="16.5" customHeight="1" thickBot="1" thickTop="1">
      <c r="B16" s="13"/>
      <c r="C16" s="7"/>
      <c r="D16" s="7"/>
      <c r="E16" s="7"/>
      <c r="F16" s="268" t="s">
        <v>50</v>
      </c>
      <c r="G16" s="269">
        <v>7.419</v>
      </c>
      <c r="H16" s="270">
        <f>50*'TOT-1212'!B13</f>
        <v>50</v>
      </c>
      <c r="J16" s="176" t="str">
        <f>IF(H16=50," ",IF(H16=100,"    Coeficiente duplicado por tasa de falla &gt;4 Sal. x año/100 km.","    REVISAR COEFICIENTE"))</f>
        <v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6.5" customHeight="1" thickBot="1" thickTop="1">
      <c r="B17" s="13"/>
      <c r="C17" s="7"/>
      <c r="D17" s="7"/>
      <c r="E17" s="7"/>
      <c r="F17" s="274" t="s">
        <v>51</v>
      </c>
      <c r="G17" s="269">
        <v>7.419</v>
      </c>
      <c r="H17" s="275">
        <f>40*'TOT-1212'!B13</f>
        <v>40</v>
      </c>
      <c r="J17" s="176" t="str">
        <f>IF(H17=40," ",IF(H17=80,"    Coeficiente duplicado por tasa de falla &gt;4 Sal. x año/100 km.","    REVISAR COEFICIENTE"))</f>
        <v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6.5" customHeight="1" thickBot="1" thickTop="1">
      <c r="B18" s="13"/>
      <c r="C18" s="421">
        <v>3</v>
      </c>
      <c r="D18" s="421">
        <v>4</v>
      </c>
      <c r="E18" s="421">
        <v>5</v>
      </c>
      <c r="F18" s="421">
        <v>6</v>
      </c>
      <c r="G18" s="421">
        <v>7</v>
      </c>
      <c r="H18" s="421">
        <v>8</v>
      </c>
      <c r="I18" s="421">
        <v>9</v>
      </c>
      <c r="J18" s="421">
        <v>10</v>
      </c>
      <c r="K18" s="421">
        <v>11</v>
      </c>
      <c r="L18" s="421">
        <v>12</v>
      </c>
      <c r="M18" s="421">
        <v>13</v>
      </c>
      <c r="N18" s="421">
        <v>14</v>
      </c>
      <c r="O18" s="421">
        <v>15</v>
      </c>
      <c r="P18" s="421">
        <v>16</v>
      </c>
      <c r="Q18" s="421">
        <v>17</v>
      </c>
      <c r="R18" s="421">
        <v>18</v>
      </c>
      <c r="S18" s="421">
        <v>19</v>
      </c>
      <c r="T18" s="421">
        <v>20</v>
      </c>
      <c r="U18" s="421">
        <v>21</v>
      </c>
      <c r="V18" s="421">
        <v>22</v>
      </c>
      <c r="W18" s="14"/>
    </row>
    <row r="19" spans="2:23" s="276" customFormat="1" ht="34.5" customHeight="1" thickBot="1" thickTop="1">
      <c r="B19" s="277"/>
      <c r="C19" s="420" t="s">
        <v>13</v>
      </c>
      <c r="D19" s="420" t="s">
        <v>70</v>
      </c>
      <c r="E19" s="420" t="s">
        <v>71</v>
      </c>
      <c r="F19" s="180" t="s">
        <v>35</v>
      </c>
      <c r="G19" s="181" t="s">
        <v>36</v>
      </c>
      <c r="H19" s="183" t="s">
        <v>14</v>
      </c>
      <c r="I19" s="49" t="s">
        <v>16</v>
      </c>
      <c r="J19" s="181" t="s">
        <v>17</v>
      </c>
      <c r="K19" s="181" t="s">
        <v>18</v>
      </c>
      <c r="L19" s="180" t="s">
        <v>38</v>
      </c>
      <c r="M19" s="180" t="s">
        <v>39</v>
      </c>
      <c r="N19" s="48" t="s">
        <v>54</v>
      </c>
      <c r="O19" s="181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3" t="s">
        <v>29</v>
      </c>
      <c r="V19" s="183" t="s">
        <v>30</v>
      </c>
      <c r="W19" s="283"/>
    </row>
    <row r="20" spans="2:23" s="1" customFormat="1" ht="16.5" customHeight="1" thickTop="1">
      <c r="B20" s="13"/>
      <c r="C20" s="197"/>
      <c r="D20" s="419"/>
      <c r="E20" s="419"/>
      <c r="F20" s="195"/>
      <c r="G20" s="195"/>
      <c r="H20" s="284"/>
      <c r="I20" s="285"/>
      <c r="J20" s="405"/>
      <c r="K20" s="408"/>
      <c r="L20" s="199"/>
      <c r="M20" s="199"/>
      <c r="N20" s="196"/>
      <c r="O20" s="196"/>
      <c r="P20" s="286"/>
      <c r="Q20" s="287"/>
      <c r="R20" s="288"/>
      <c r="S20" s="289"/>
      <c r="T20" s="290"/>
      <c r="U20" s="291"/>
      <c r="V20" s="207">
        <f>'SA-12 (3)'!V45</f>
        <v>13846.7</v>
      </c>
      <c r="W20" s="158"/>
    </row>
    <row r="21" spans="2:23" s="1" customFormat="1" ht="16.5" customHeight="1">
      <c r="B21" s="13"/>
      <c r="C21" s="209"/>
      <c r="D21" s="208"/>
      <c r="E21" s="208"/>
      <c r="F21" s="292"/>
      <c r="G21" s="292"/>
      <c r="H21" s="293"/>
      <c r="I21" s="294"/>
      <c r="J21" s="433"/>
      <c r="K21" s="434"/>
      <c r="L21" s="224"/>
      <c r="M21" s="295"/>
      <c r="N21" s="226"/>
      <c r="O21" s="226"/>
      <c r="P21" s="296"/>
      <c r="Q21" s="297"/>
      <c r="R21" s="298"/>
      <c r="S21" s="299"/>
      <c r="T21" s="300"/>
      <c r="U21" s="301"/>
      <c r="V21" s="302"/>
      <c r="W21" s="158"/>
    </row>
    <row r="22" spans="2:23" s="1" customFormat="1" ht="16.5" customHeight="1">
      <c r="B22" s="13"/>
      <c r="C22" s="209">
        <v>146</v>
      </c>
      <c r="D22" s="208">
        <v>255523</v>
      </c>
      <c r="E22" s="208">
        <v>2226</v>
      </c>
      <c r="F22" s="292" t="s">
        <v>121</v>
      </c>
      <c r="G22" s="292" t="s">
        <v>181</v>
      </c>
      <c r="H22" s="303">
        <v>13.199999809265137</v>
      </c>
      <c r="I22" s="294">
        <f aca="true" t="shared" si="0" ref="I22:I42">IF(H22=220,$G$14,IF(AND(H22&lt;=132,H22&gt;=66),$G$15,IF(AND(H22&lt;66,H22&gt;=33),$G$16,$G$17)))</f>
        <v>7.419</v>
      </c>
      <c r="J22" s="433">
        <v>41253.549305555556</v>
      </c>
      <c r="K22" s="434">
        <v>41253.552083333336</v>
      </c>
      <c r="L22" s="224">
        <f aca="true" t="shared" si="1" ref="L22:L42">IF(F22="","",(K22-J22)*24)</f>
        <v>0.06666666670935228</v>
      </c>
      <c r="M22" s="295">
        <f aca="true" t="shared" si="2" ref="M22:M42">IF(F22="","",ROUND((K22-J22)*24*60,0))</f>
        <v>4</v>
      </c>
      <c r="N22" s="226" t="s">
        <v>75</v>
      </c>
      <c r="O22" s="427" t="str">
        <f aca="true" t="shared" si="3" ref="O22:O42">IF(F22="","",IF(OR(N22="P",N22="RP"),"--","NO"))</f>
        <v>NO</v>
      </c>
      <c r="P22" s="296">
        <f aca="true" t="shared" si="4" ref="P22:P42">IF(H22=220,$H$14,IF(AND(H22&lt;=132,H22&gt;=66),$H$15,IF(AND(H22&lt;66,H22&gt;13.2),$H$16,$H$17)))</f>
        <v>40</v>
      </c>
      <c r="Q22" s="297" t="str">
        <f aca="true" t="shared" si="5" ref="Q22:Q42">IF(N22="P",I22*P22*ROUND(M22/60,2)*0.1,"--")</f>
        <v>--</v>
      </c>
      <c r="R22" s="298">
        <f aca="true" t="shared" si="6" ref="R22:R42">IF(AND(N22="F",O22="NO"),I22*P22,"--")</f>
        <v>296.76</v>
      </c>
      <c r="S22" s="299">
        <f aca="true" t="shared" si="7" ref="S22:S42">IF(N22="F",I22*P22*ROUND(M22/60,2),"--")</f>
        <v>20.773200000000003</v>
      </c>
      <c r="T22" s="300" t="str">
        <f aca="true" t="shared" si="8" ref="T22:T42">IF(N22="RF",I22*P22*ROUND(M22/60,2),"--")</f>
        <v>--</v>
      </c>
      <c r="U22" s="428" t="s">
        <v>76</v>
      </c>
      <c r="V22" s="304">
        <f aca="true" t="shared" si="9" ref="V22:V30">IF(F22="","",SUM(Q22:T22)*IF(U22="SI",1,2)*IF(H22="500/220",0,1))</f>
        <v>317.53319999999997</v>
      </c>
      <c r="W22" s="237"/>
    </row>
    <row r="23" spans="2:23" s="1" customFormat="1" ht="16.5" customHeight="1">
      <c r="B23" s="13"/>
      <c r="C23" s="209">
        <v>147</v>
      </c>
      <c r="D23" s="208">
        <v>255525</v>
      </c>
      <c r="E23" s="208">
        <v>4968</v>
      </c>
      <c r="F23" s="292" t="s">
        <v>200</v>
      </c>
      <c r="G23" s="292" t="s">
        <v>201</v>
      </c>
      <c r="H23" s="293">
        <v>13.199999809265137</v>
      </c>
      <c r="I23" s="294">
        <f t="shared" si="0"/>
        <v>7.419</v>
      </c>
      <c r="J23" s="433">
        <v>41254.299305555556</v>
      </c>
      <c r="K23" s="434">
        <v>41254.65138888889</v>
      </c>
      <c r="L23" s="224">
        <f t="shared" si="1"/>
        <v>8.449999999953434</v>
      </c>
      <c r="M23" s="295">
        <f t="shared" si="2"/>
        <v>507</v>
      </c>
      <c r="N23" s="226" t="s">
        <v>79</v>
      </c>
      <c r="O23" s="427" t="str">
        <f t="shared" si="3"/>
        <v>--</v>
      </c>
      <c r="P23" s="296">
        <f t="shared" si="4"/>
        <v>40</v>
      </c>
      <c r="Q23" s="297">
        <f t="shared" si="5"/>
        <v>250.7622</v>
      </c>
      <c r="R23" s="298" t="str">
        <f t="shared" si="6"/>
        <v>--</v>
      </c>
      <c r="S23" s="299" t="str">
        <f t="shared" si="7"/>
        <v>--</v>
      </c>
      <c r="T23" s="300" t="str">
        <f t="shared" si="8"/>
        <v>--</v>
      </c>
      <c r="U23" s="428" t="s">
        <v>76</v>
      </c>
      <c r="V23" s="304">
        <f t="shared" si="9"/>
        <v>250.7622</v>
      </c>
      <c r="W23" s="237"/>
    </row>
    <row r="24" spans="2:23" s="1" customFormat="1" ht="16.5" customHeight="1">
      <c r="B24" s="13"/>
      <c r="C24" s="209">
        <v>148</v>
      </c>
      <c r="D24" s="208">
        <v>255526</v>
      </c>
      <c r="E24" s="208">
        <v>4969</v>
      </c>
      <c r="F24" s="292" t="s">
        <v>200</v>
      </c>
      <c r="G24" s="292" t="s">
        <v>202</v>
      </c>
      <c r="H24" s="293">
        <v>13.199999809265137</v>
      </c>
      <c r="I24" s="294">
        <f t="shared" si="0"/>
        <v>7.419</v>
      </c>
      <c r="J24" s="433">
        <v>41254.3</v>
      </c>
      <c r="K24" s="434">
        <v>41254.65138888889</v>
      </c>
      <c r="L24" s="224">
        <f t="shared" si="1"/>
        <v>8.43333333323244</v>
      </c>
      <c r="M24" s="295">
        <f t="shared" si="2"/>
        <v>506</v>
      </c>
      <c r="N24" s="226" t="s">
        <v>79</v>
      </c>
      <c r="O24" s="427" t="str">
        <f t="shared" si="3"/>
        <v>--</v>
      </c>
      <c r="P24" s="296">
        <f t="shared" si="4"/>
        <v>40</v>
      </c>
      <c r="Q24" s="297">
        <f t="shared" si="5"/>
        <v>250.16868</v>
      </c>
      <c r="R24" s="298" t="str">
        <f t="shared" si="6"/>
        <v>--</v>
      </c>
      <c r="S24" s="299" t="str">
        <f t="shared" si="7"/>
        <v>--</v>
      </c>
      <c r="T24" s="300" t="str">
        <f t="shared" si="8"/>
        <v>--</v>
      </c>
      <c r="U24" s="428" t="s">
        <v>76</v>
      </c>
      <c r="V24" s="304">
        <f t="shared" si="9"/>
        <v>250.16868</v>
      </c>
      <c r="W24" s="237"/>
    </row>
    <row r="25" spans="2:23" s="1" customFormat="1" ht="16.5" customHeight="1">
      <c r="B25" s="13"/>
      <c r="C25" s="209">
        <v>149</v>
      </c>
      <c r="D25" s="208">
        <v>255529</v>
      </c>
      <c r="E25" s="208">
        <v>2479</v>
      </c>
      <c r="F25" s="292" t="s">
        <v>203</v>
      </c>
      <c r="G25" s="292" t="s">
        <v>204</v>
      </c>
      <c r="H25" s="293">
        <v>13.199999809265137</v>
      </c>
      <c r="I25" s="294">
        <f t="shared" si="0"/>
        <v>7.419</v>
      </c>
      <c r="J25" s="433">
        <v>41254.39375</v>
      </c>
      <c r="K25" s="434">
        <v>41254.54652777778</v>
      </c>
      <c r="L25" s="224">
        <f t="shared" si="1"/>
        <v>3.666666666569654</v>
      </c>
      <c r="M25" s="295">
        <f t="shared" si="2"/>
        <v>220</v>
      </c>
      <c r="N25" s="226" t="s">
        <v>79</v>
      </c>
      <c r="O25" s="427" t="str">
        <f t="shared" si="3"/>
        <v>--</v>
      </c>
      <c r="P25" s="296">
        <f t="shared" si="4"/>
        <v>40</v>
      </c>
      <c r="Q25" s="297">
        <f t="shared" si="5"/>
        <v>108.91091999999999</v>
      </c>
      <c r="R25" s="298" t="str">
        <f t="shared" si="6"/>
        <v>--</v>
      </c>
      <c r="S25" s="299" t="str">
        <f t="shared" si="7"/>
        <v>--</v>
      </c>
      <c r="T25" s="300" t="str">
        <f t="shared" si="8"/>
        <v>--</v>
      </c>
      <c r="U25" s="428" t="s">
        <v>76</v>
      </c>
      <c r="V25" s="304">
        <f t="shared" si="9"/>
        <v>108.91091999999999</v>
      </c>
      <c r="W25" s="237"/>
    </row>
    <row r="26" spans="2:23" s="1" customFormat="1" ht="16.5" customHeight="1">
      <c r="B26" s="13"/>
      <c r="C26" s="209">
        <v>150</v>
      </c>
      <c r="D26" s="208">
        <v>255537</v>
      </c>
      <c r="E26" s="208">
        <v>2481</v>
      </c>
      <c r="F26" s="292" t="s">
        <v>203</v>
      </c>
      <c r="G26" s="292" t="s">
        <v>205</v>
      </c>
      <c r="H26" s="293">
        <v>13.199999809265137</v>
      </c>
      <c r="I26" s="294">
        <f t="shared" si="0"/>
        <v>7.419</v>
      </c>
      <c r="J26" s="433">
        <v>41255.40347222222</v>
      </c>
      <c r="K26" s="434">
        <v>41255.61111111111</v>
      </c>
      <c r="L26" s="224">
        <f t="shared" si="1"/>
        <v>4.983333333337214</v>
      </c>
      <c r="M26" s="295">
        <f t="shared" si="2"/>
        <v>299</v>
      </c>
      <c r="N26" s="226" t="s">
        <v>79</v>
      </c>
      <c r="O26" s="427" t="str">
        <f t="shared" si="3"/>
        <v>--</v>
      </c>
      <c r="P26" s="296">
        <f t="shared" si="4"/>
        <v>40</v>
      </c>
      <c r="Q26" s="297">
        <f t="shared" si="5"/>
        <v>147.78648</v>
      </c>
      <c r="R26" s="298" t="str">
        <f t="shared" si="6"/>
        <v>--</v>
      </c>
      <c r="S26" s="299" t="str">
        <f t="shared" si="7"/>
        <v>--</v>
      </c>
      <c r="T26" s="300" t="str">
        <f t="shared" si="8"/>
        <v>--</v>
      </c>
      <c r="U26" s="428" t="s">
        <v>76</v>
      </c>
      <c r="V26" s="304">
        <f t="shared" si="9"/>
        <v>147.78648</v>
      </c>
      <c r="W26" s="237"/>
    </row>
    <row r="27" spans="2:23" s="1" customFormat="1" ht="16.5" customHeight="1">
      <c r="B27" s="13"/>
      <c r="C27" s="209">
        <v>151</v>
      </c>
      <c r="D27" s="208">
        <v>255541</v>
      </c>
      <c r="E27" s="208">
        <v>5060</v>
      </c>
      <c r="F27" s="292" t="s">
        <v>208</v>
      </c>
      <c r="G27" s="292" t="s">
        <v>233</v>
      </c>
      <c r="H27" s="293">
        <v>13.2</v>
      </c>
      <c r="I27" s="294">
        <f t="shared" si="0"/>
        <v>7.419</v>
      </c>
      <c r="J27" s="433">
        <v>41256.291666666664</v>
      </c>
      <c r="K27" s="434">
        <v>41256.393055555556</v>
      </c>
      <c r="L27" s="224">
        <f t="shared" si="1"/>
        <v>2.433333333407063</v>
      </c>
      <c r="M27" s="295">
        <f t="shared" si="2"/>
        <v>146</v>
      </c>
      <c r="N27" s="226" t="s">
        <v>79</v>
      </c>
      <c r="O27" s="427" t="str">
        <f t="shared" si="3"/>
        <v>--</v>
      </c>
      <c r="P27" s="296">
        <f t="shared" si="4"/>
        <v>40</v>
      </c>
      <c r="Q27" s="297">
        <f t="shared" si="5"/>
        <v>72.11268</v>
      </c>
      <c r="R27" s="298" t="str">
        <f t="shared" si="6"/>
        <v>--</v>
      </c>
      <c r="S27" s="299" t="str">
        <f t="shared" si="7"/>
        <v>--</v>
      </c>
      <c r="T27" s="300" t="str">
        <f t="shared" si="8"/>
        <v>--</v>
      </c>
      <c r="U27" s="428" t="s">
        <v>76</v>
      </c>
      <c r="V27" s="304">
        <f t="shared" si="9"/>
        <v>72.11268</v>
      </c>
      <c r="W27" s="237"/>
    </row>
    <row r="28" spans="2:23" s="1" customFormat="1" ht="16.5" customHeight="1">
      <c r="B28" s="13"/>
      <c r="C28" s="209">
        <v>152</v>
      </c>
      <c r="D28" s="208">
        <v>255542</v>
      </c>
      <c r="E28" s="208">
        <v>2388</v>
      </c>
      <c r="F28" s="292" t="s">
        <v>134</v>
      </c>
      <c r="G28" s="292" t="s">
        <v>206</v>
      </c>
      <c r="H28" s="293">
        <v>33</v>
      </c>
      <c r="I28" s="294">
        <f t="shared" si="0"/>
        <v>7.419</v>
      </c>
      <c r="J28" s="433">
        <v>41256.29513888889</v>
      </c>
      <c r="K28" s="434">
        <v>41256.361805555556</v>
      </c>
      <c r="L28" s="224">
        <f t="shared" si="1"/>
        <v>1.599999999976717</v>
      </c>
      <c r="M28" s="295">
        <f t="shared" si="2"/>
        <v>96</v>
      </c>
      <c r="N28" s="226" t="s">
        <v>79</v>
      </c>
      <c r="O28" s="427" t="str">
        <f t="shared" si="3"/>
        <v>--</v>
      </c>
      <c r="P28" s="296">
        <f t="shared" si="4"/>
        <v>50</v>
      </c>
      <c r="Q28" s="297">
        <f t="shared" si="5"/>
        <v>59.352000000000004</v>
      </c>
      <c r="R28" s="298" t="str">
        <f t="shared" si="6"/>
        <v>--</v>
      </c>
      <c r="S28" s="299" t="str">
        <f t="shared" si="7"/>
        <v>--</v>
      </c>
      <c r="T28" s="300" t="str">
        <f t="shared" si="8"/>
        <v>--</v>
      </c>
      <c r="U28" s="428" t="s">
        <v>76</v>
      </c>
      <c r="V28" s="304">
        <f t="shared" si="9"/>
        <v>59.352000000000004</v>
      </c>
      <c r="W28" s="237"/>
    </row>
    <row r="29" spans="2:23" s="1" customFormat="1" ht="16.5" customHeight="1">
      <c r="B29" s="13"/>
      <c r="C29" s="209">
        <v>153</v>
      </c>
      <c r="D29" s="208">
        <v>255547</v>
      </c>
      <c r="E29" s="208">
        <v>4707</v>
      </c>
      <c r="F29" s="292" t="s">
        <v>149</v>
      </c>
      <c r="G29" s="292" t="s">
        <v>207</v>
      </c>
      <c r="H29" s="293">
        <v>13.199999809265137</v>
      </c>
      <c r="I29" s="294">
        <f t="shared" si="0"/>
        <v>7.419</v>
      </c>
      <c r="J29" s="433">
        <v>41256.53055555555</v>
      </c>
      <c r="K29" s="434">
        <v>41256.56180555555</v>
      </c>
      <c r="L29" s="224">
        <f t="shared" si="1"/>
        <v>0.75</v>
      </c>
      <c r="M29" s="295">
        <f t="shared" si="2"/>
        <v>45</v>
      </c>
      <c r="N29" s="226" t="s">
        <v>79</v>
      </c>
      <c r="O29" s="427" t="str">
        <f t="shared" si="3"/>
        <v>--</v>
      </c>
      <c r="P29" s="296">
        <f t="shared" si="4"/>
        <v>40</v>
      </c>
      <c r="Q29" s="297">
        <f t="shared" si="5"/>
        <v>22.257</v>
      </c>
      <c r="R29" s="298" t="str">
        <f t="shared" si="6"/>
        <v>--</v>
      </c>
      <c r="S29" s="299" t="str">
        <f t="shared" si="7"/>
        <v>--</v>
      </c>
      <c r="T29" s="300" t="str">
        <f t="shared" si="8"/>
        <v>--</v>
      </c>
      <c r="U29" s="428" t="s">
        <v>76</v>
      </c>
      <c r="V29" s="304">
        <f t="shared" si="9"/>
        <v>22.257</v>
      </c>
      <c r="W29" s="237"/>
    </row>
    <row r="30" spans="2:23" s="1" customFormat="1" ht="16.5" customHeight="1">
      <c r="B30" s="13"/>
      <c r="C30" s="209">
        <v>154</v>
      </c>
      <c r="D30" s="208">
        <v>255550</v>
      </c>
      <c r="E30" s="208">
        <v>4571</v>
      </c>
      <c r="F30" s="292" t="s">
        <v>123</v>
      </c>
      <c r="G30" s="292" t="s">
        <v>175</v>
      </c>
      <c r="H30" s="293">
        <v>33</v>
      </c>
      <c r="I30" s="294">
        <f t="shared" si="0"/>
        <v>7.419</v>
      </c>
      <c r="J30" s="433">
        <v>41258.319444444445</v>
      </c>
      <c r="K30" s="434">
        <v>41258.47152777778</v>
      </c>
      <c r="L30" s="224">
        <f t="shared" si="1"/>
        <v>3.650000000023283</v>
      </c>
      <c r="M30" s="295">
        <f t="shared" si="2"/>
        <v>219</v>
      </c>
      <c r="N30" s="226" t="s">
        <v>79</v>
      </c>
      <c r="O30" s="427" t="str">
        <f t="shared" si="3"/>
        <v>--</v>
      </c>
      <c r="P30" s="296">
        <f t="shared" si="4"/>
        <v>50</v>
      </c>
      <c r="Q30" s="297">
        <f t="shared" si="5"/>
        <v>135.39675</v>
      </c>
      <c r="R30" s="298" t="str">
        <f t="shared" si="6"/>
        <v>--</v>
      </c>
      <c r="S30" s="299" t="str">
        <f t="shared" si="7"/>
        <v>--</v>
      </c>
      <c r="T30" s="300" t="str">
        <f t="shared" si="8"/>
        <v>--</v>
      </c>
      <c r="U30" s="428" t="s">
        <v>76</v>
      </c>
      <c r="V30" s="304">
        <f t="shared" si="9"/>
        <v>135.39675</v>
      </c>
      <c r="W30" s="237"/>
    </row>
    <row r="31" spans="2:23" s="1" customFormat="1" ht="16.5" customHeight="1">
      <c r="B31" s="13"/>
      <c r="C31" s="209" t="s">
        <v>302</v>
      </c>
      <c r="D31" s="208">
        <v>255552</v>
      </c>
      <c r="E31" s="208">
        <v>2269</v>
      </c>
      <c r="F31" s="292" t="s">
        <v>143</v>
      </c>
      <c r="G31" s="292" t="s">
        <v>154</v>
      </c>
      <c r="H31" s="293">
        <v>66</v>
      </c>
      <c r="I31" s="294">
        <f t="shared" si="0"/>
        <v>9.893</v>
      </c>
      <c r="J31" s="433">
        <v>41258.66458333333</v>
      </c>
      <c r="K31" s="434">
        <v>41258.725</v>
      </c>
      <c r="L31" s="224">
        <f t="shared" si="1"/>
        <v>1.4500000000116415</v>
      </c>
      <c r="M31" s="295">
        <f t="shared" si="2"/>
        <v>87</v>
      </c>
      <c r="N31" s="226" t="s">
        <v>75</v>
      </c>
      <c r="O31" s="427" t="str">
        <f t="shared" si="3"/>
        <v>NO</v>
      </c>
      <c r="P31" s="296">
        <f t="shared" si="4"/>
        <v>50</v>
      </c>
      <c r="Q31" s="297" t="str">
        <f t="shared" si="5"/>
        <v>--</v>
      </c>
      <c r="R31" s="298">
        <f t="shared" si="6"/>
        <v>494.65000000000003</v>
      </c>
      <c r="S31" s="299">
        <f t="shared" si="7"/>
        <v>717.2425000000001</v>
      </c>
      <c r="T31" s="300" t="str">
        <f t="shared" si="8"/>
        <v>--</v>
      </c>
      <c r="U31" s="428" t="s">
        <v>76</v>
      </c>
      <c r="V31" s="304">
        <v>0</v>
      </c>
      <c r="W31" s="237"/>
    </row>
    <row r="32" spans="2:23" s="1" customFormat="1" ht="16.5" customHeight="1">
      <c r="B32" s="13"/>
      <c r="C32" s="209" t="s">
        <v>303</v>
      </c>
      <c r="D32" s="208">
        <v>255568</v>
      </c>
      <c r="E32" s="208">
        <v>2174</v>
      </c>
      <c r="F32" s="292" t="s">
        <v>209</v>
      </c>
      <c r="G32" s="292" t="s">
        <v>210</v>
      </c>
      <c r="H32" s="293">
        <v>66</v>
      </c>
      <c r="I32" s="294">
        <f t="shared" si="0"/>
        <v>9.893</v>
      </c>
      <c r="J32" s="433">
        <v>41259.23472222222</v>
      </c>
      <c r="K32" s="434">
        <v>41259.634722222225</v>
      </c>
      <c r="L32" s="224">
        <f t="shared" si="1"/>
        <v>9.600000000034925</v>
      </c>
      <c r="M32" s="295">
        <f t="shared" si="2"/>
        <v>576</v>
      </c>
      <c r="N32" s="226" t="s">
        <v>75</v>
      </c>
      <c r="O32" s="427" t="str">
        <f t="shared" si="3"/>
        <v>NO</v>
      </c>
      <c r="P32" s="296">
        <f t="shared" si="4"/>
        <v>50</v>
      </c>
      <c r="Q32" s="297" t="str">
        <f t="shared" si="5"/>
        <v>--</v>
      </c>
      <c r="R32" s="298">
        <f t="shared" si="6"/>
        <v>494.65000000000003</v>
      </c>
      <c r="S32" s="299">
        <f t="shared" si="7"/>
        <v>4748.64</v>
      </c>
      <c r="T32" s="300" t="str">
        <f t="shared" si="8"/>
        <v>--</v>
      </c>
      <c r="U32" s="428" t="s">
        <v>76</v>
      </c>
      <c r="V32" s="304">
        <v>0</v>
      </c>
      <c r="W32" s="237"/>
    </row>
    <row r="33" spans="2:23" s="1" customFormat="1" ht="16.5" customHeight="1">
      <c r="B33" s="13"/>
      <c r="C33" s="209">
        <v>157</v>
      </c>
      <c r="D33" s="208">
        <v>256270</v>
      </c>
      <c r="E33" s="208">
        <v>5049</v>
      </c>
      <c r="F33" s="292" t="s">
        <v>223</v>
      </c>
      <c r="G33" s="292" t="s">
        <v>234</v>
      </c>
      <c r="H33" s="293">
        <v>132</v>
      </c>
      <c r="I33" s="294">
        <f t="shared" si="0"/>
        <v>9.893</v>
      </c>
      <c r="J33" s="433">
        <v>41260.40694444445</v>
      </c>
      <c r="K33" s="434">
        <v>41260.61597222222</v>
      </c>
      <c r="L33" s="224">
        <f t="shared" si="1"/>
        <v>5.0166666666045785</v>
      </c>
      <c r="M33" s="295">
        <f t="shared" si="2"/>
        <v>301</v>
      </c>
      <c r="N33" s="226" t="s">
        <v>79</v>
      </c>
      <c r="O33" s="427" t="str">
        <f t="shared" si="3"/>
        <v>--</v>
      </c>
      <c r="P33" s="296">
        <f t="shared" si="4"/>
        <v>50</v>
      </c>
      <c r="Q33" s="297">
        <f t="shared" si="5"/>
        <v>248.3143</v>
      </c>
      <c r="R33" s="298" t="str">
        <f t="shared" si="6"/>
        <v>--</v>
      </c>
      <c r="S33" s="299" t="str">
        <f t="shared" si="7"/>
        <v>--</v>
      </c>
      <c r="T33" s="300" t="str">
        <f t="shared" si="8"/>
        <v>--</v>
      </c>
      <c r="U33" s="428" t="s">
        <v>76</v>
      </c>
      <c r="V33" s="304">
        <f aca="true" t="shared" si="10" ref="V33:V42">IF(F33="","",SUM(Q33:T33)*IF(U33="SI",1,2)*IF(H33="500/220",0,1))</f>
        <v>248.3143</v>
      </c>
      <c r="W33" s="237"/>
    </row>
    <row r="34" spans="2:23" s="1" customFormat="1" ht="16.5" customHeight="1">
      <c r="B34" s="13"/>
      <c r="C34" s="209">
        <v>158</v>
      </c>
      <c r="D34" s="208">
        <v>256271</v>
      </c>
      <c r="E34" s="208">
        <v>2167</v>
      </c>
      <c r="F34" s="292" t="s">
        <v>211</v>
      </c>
      <c r="G34" s="292" t="s">
        <v>174</v>
      </c>
      <c r="H34" s="293">
        <v>13.199999809265137</v>
      </c>
      <c r="I34" s="294">
        <f t="shared" si="0"/>
        <v>7.419</v>
      </c>
      <c r="J34" s="433">
        <v>41261.35277777778</v>
      </c>
      <c r="K34" s="434">
        <v>41261.38333333333</v>
      </c>
      <c r="L34" s="224">
        <f t="shared" si="1"/>
        <v>0.7333333332790062</v>
      </c>
      <c r="M34" s="295">
        <f t="shared" si="2"/>
        <v>44</v>
      </c>
      <c r="N34" s="226" t="s">
        <v>79</v>
      </c>
      <c r="O34" s="427" t="str">
        <f t="shared" si="3"/>
        <v>--</v>
      </c>
      <c r="P34" s="296">
        <f t="shared" si="4"/>
        <v>40</v>
      </c>
      <c r="Q34" s="297">
        <f t="shared" si="5"/>
        <v>21.66348</v>
      </c>
      <c r="R34" s="298" t="str">
        <f t="shared" si="6"/>
        <v>--</v>
      </c>
      <c r="S34" s="299" t="str">
        <f t="shared" si="7"/>
        <v>--</v>
      </c>
      <c r="T34" s="300" t="str">
        <f t="shared" si="8"/>
        <v>--</v>
      </c>
      <c r="U34" s="428" t="s">
        <v>76</v>
      </c>
      <c r="V34" s="304">
        <f t="shared" si="10"/>
        <v>21.66348</v>
      </c>
      <c r="W34" s="237"/>
    </row>
    <row r="35" spans="2:23" s="1" customFormat="1" ht="16.5" customHeight="1">
      <c r="B35" s="13"/>
      <c r="C35" s="209">
        <v>159</v>
      </c>
      <c r="D35" s="208">
        <v>256272</v>
      </c>
      <c r="E35" s="208">
        <v>2169</v>
      </c>
      <c r="F35" s="292" t="s">
        <v>211</v>
      </c>
      <c r="G35" s="292" t="s">
        <v>212</v>
      </c>
      <c r="H35" s="293">
        <v>13.199999809265137</v>
      </c>
      <c r="I35" s="294">
        <f t="shared" si="0"/>
        <v>7.419</v>
      </c>
      <c r="J35" s="433">
        <v>41261.36736111111</v>
      </c>
      <c r="K35" s="434">
        <v>41261.38888888889</v>
      </c>
      <c r="L35" s="224">
        <f t="shared" si="1"/>
        <v>0.5166666667792015</v>
      </c>
      <c r="M35" s="295">
        <f t="shared" si="2"/>
        <v>31</v>
      </c>
      <c r="N35" s="226" t="s">
        <v>79</v>
      </c>
      <c r="O35" s="427" t="str">
        <f t="shared" si="3"/>
        <v>--</v>
      </c>
      <c r="P35" s="296">
        <f t="shared" si="4"/>
        <v>40</v>
      </c>
      <c r="Q35" s="297">
        <f t="shared" si="5"/>
        <v>15.43152</v>
      </c>
      <c r="R35" s="298" t="str">
        <f t="shared" si="6"/>
        <v>--</v>
      </c>
      <c r="S35" s="299" t="str">
        <f t="shared" si="7"/>
        <v>--</v>
      </c>
      <c r="T35" s="300" t="str">
        <f t="shared" si="8"/>
        <v>--</v>
      </c>
      <c r="U35" s="428" t="s">
        <v>76</v>
      </c>
      <c r="V35" s="304">
        <f t="shared" si="10"/>
        <v>15.43152</v>
      </c>
      <c r="W35" s="237"/>
    </row>
    <row r="36" spans="2:23" s="1" customFormat="1" ht="16.5" customHeight="1">
      <c r="B36" s="13"/>
      <c r="C36" s="209">
        <v>160</v>
      </c>
      <c r="D36" s="208">
        <v>256275</v>
      </c>
      <c r="E36" s="208">
        <v>5049</v>
      </c>
      <c r="F36" s="292" t="s">
        <v>223</v>
      </c>
      <c r="G36" s="292" t="s">
        <v>234</v>
      </c>
      <c r="H36" s="293">
        <v>132</v>
      </c>
      <c r="I36" s="294">
        <f t="shared" si="0"/>
        <v>9.893</v>
      </c>
      <c r="J36" s="433">
        <v>41261.413194444445</v>
      </c>
      <c r="K36" s="434">
        <v>41261.56805555556</v>
      </c>
      <c r="L36" s="224">
        <f t="shared" si="1"/>
        <v>3.7166666667326353</v>
      </c>
      <c r="M36" s="295">
        <f t="shared" si="2"/>
        <v>223</v>
      </c>
      <c r="N36" s="226" t="s">
        <v>79</v>
      </c>
      <c r="O36" s="427" t="str">
        <f t="shared" si="3"/>
        <v>--</v>
      </c>
      <c r="P36" s="296">
        <f t="shared" si="4"/>
        <v>50</v>
      </c>
      <c r="Q36" s="297">
        <f t="shared" si="5"/>
        <v>184.00980000000004</v>
      </c>
      <c r="R36" s="298" t="str">
        <f t="shared" si="6"/>
        <v>--</v>
      </c>
      <c r="S36" s="299" t="str">
        <f t="shared" si="7"/>
        <v>--</v>
      </c>
      <c r="T36" s="300" t="str">
        <f t="shared" si="8"/>
        <v>--</v>
      </c>
      <c r="U36" s="428" t="s">
        <v>76</v>
      </c>
      <c r="V36" s="304">
        <f t="shared" si="10"/>
        <v>184.00980000000004</v>
      </c>
      <c r="W36" s="237"/>
    </row>
    <row r="37" spans="2:23" s="1" customFormat="1" ht="16.5" customHeight="1">
      <c r="B37" s="13"/>
      <c r="C37" s="209">
        <v>161</v>
      </c>
      <c r="D37" s="208">
        <v>256278</v>
      </c>
      <c r="E37" s="208">
        <v>2140</v>
      </c>
      <c r="F37" s="292" t="s">
        <v>125</v>
      </c>
      <c r="G37" s="292" t="s">
        <v>213</v>
      </c>
      <c r="H37" s="293">
        <v>33</v>
      </c>
      <c r="I37" s="294">
        <f t="shared" si="0"/>
        <v>7.419</v>
      </c>
      <c r="J37" s="433">
        <v>41261.44305555556</v>
      </c>
      <c r="K37" s="434">
        <v>41261.529861111114</v>
      </c>
      <c r="L37" s="224">
        <f t="shared" si="1"/>
        <v>2.083333333313931</v>
      </c>
      <c r="M37" s="295">
        <f t="shared" si="2"/>
        <v>125</v>
      </c>
      <c r="N37" s="226" t="s">
        <v>79</v>
      </c>
      <c r="O37" s="427" t="str">
        <f t="shared" si="3"/>
        <v>--</v>
      </c>
      <c r="P37" s="296">
        <f t="shared" si="4"/>
        <v>50</v>
      </c>
      <c r="Q37" s="297">
        <f t="shared" si="5"/>
        <v>77.1576</v>
      </c>
      <c r="R37" s="298" t="str">
        <f t="shared" si="6"/>
        <v>--</v>
      </c>
      <c r="S37" s="299" t="str">
        <f t="shared" si="7"/>
        <v>--</v>
      </c>
      <c r="T37" s="300" t="str">
        <f t="shared" si="8"/>
        <v>--</v>
      </c>
      <c r="U37" s="428" t="s">
        <v>76</v>
      </c>
      <c r="V37" s="304">
        <f t="shared" si="10"/>
        <v>77.1576</v>
      </c>
      <c r="W37" s="237"/>
    </row>
    <row r="38" spans="2:23" s="1" customFormat="1" ht="16.5" customHeight="1">
      <c r="B38" s="13"/>
      <c r="C38" s="209" t="s">
        <v>304</v>
      </c>
      <c r="D38" s="208">
        <v>256282</v>
      </c>
      <c r="E38" s="208">
        <v>2523</v>
      </c>
      <c r="F38" s="292" t="s">
        <v>214</v>
      </c>
      <c r="G38" s="292" t="s">
        <v>215</v>
      </c>
      <c r="H38" s="293">
        <v>132</v>
      </c>
      <c r="I38" s="294">
        <f t="shared" si="0"/>
        <v>9.893</v>
      </c>
      <c r="J38" s="433">
        <v>41262.36111111111</v>
      </c>
      <c r="K38" s="434">
        <v>41263.45694444444</v>
      </c>
      <c r="L38" s="224">
        <f t="shared" si="1"/>
        <v>26.29999999998836</v>
      </c>
      <c r="M38" s="295">
        <f t="shared" si="2"/>
        <v>1578</v>
      </c>
      <c r="N38" s="226" t="s">
        <v>79</v>
      </c>
      <c r="O38" s="427" t="str">
        <f t="shared" si="3"/>
        <v>--</v>
      </c>
      <c r="P38" s="296">
        <f t="shared" si="4"/>
        <v>50</v>
      </c>
      <c r="Q38" s="297">
        <f t="shared" si="5"/>
        <v>1300.9295000000002</v>
      </c>
      <c r="R38" s="298" t="str">
        <f t="shared" si="6"/>
        <v>--</v>
      </c>
      <c r="S38" s="299" t="str">
        <f t="shared" si="7"/>
        <v>--</v>
      </c>
      <c r="T38" s="300" t="str">
        <f t="shared" si="8"/>
        <v>--</v>
      </c>
      <c r="U38" s="428" t="s">
        <v>76</v>
      </c>
      <c r="V38" s="304">
        <v>0</v>
      </c>
      <c r="W38" s="237"/>
    </row>
    <row r="39" spans="2:23" s="1" customFormat="1" ht="16.5" customHeight="1">
      <c r="B39" s="13"/>
      <c r="C39" s="209">
        <v>163</v>
      </c>
      <c r="D39" s="208">
        <v>256283</v>
      </c>
      <c r="E39" s="208">
        <v>2169</v>
      </c>
      <c r="F39" s="292" t="s">
        <v>211</v>
      </c>
      <c r="G39" s="292" t="s">
        <v>212</v>
      </c>
      <c r="H39" s="293">
        <v>13.199999809265137</v>
      </c>
      <c r="I39" s="294">
        <f t="shared" si="0"/>
        <v>7.419</v>
      </c>
      <c r="J39" s="433">
        <v>41262.37013888889</v>
      </c>
      <c r="K39" s="434">
        <v>41262.407638888886</v>
      </c>
      <c r="L39" s="224">
        <f t="shared" si="1"/>
        <v>0.8999999999650754</v>
      </c>
      <c r="M39" s="295">
        <f t="shared" si="2"/>
        <v>54</v>
      </c>
      <c r="N39" s="226" t="s">
        <v>79</v>
      </c>
      <c r="O39" s="427" t="str">
        <f t="shared" si="3"/>
        <v>--</v>
      </c>
      <c r="P39" s="296">
        <f t="shared" si="4"/>
        <v>40</v>
      </c>
      <c r="Q39" s="297">
        <f t="shared" si="5"/>
        <v>26.7084</v>
      </c>
      <c r="R39" s="298" t="str">
        <f t="shared" si="6"/>
        <v>--</v>
      </c>
      <c r="S39" s="299" t="str">
        <f t="shared" si="7"/>
        <v>--</v>
      </c>
      <c r="T39" s="300" t="str">
        <f t="shared" si="8"/>
        <v>--</v>
      </c>
      <c r="U39" s="428" t="s">
        <v>76</v>
      </c>
      <c r="V39" s="304">
        <f t="shared" si="10"/>
        <v>26.7084</v>
      </c>
      <c r="W39" s="237"/>
    </row>
    <row r="40" spans="2:23" s="1" customFormat="1" ht="16.5" customHeight="1">
      <c r="B40" s="13"/>
      <c r="C40" s="209">
        <v>164</v>
      </c>
      <c r="D40" s="208">
        <v>256285</v>
      </c>
      <c r="E40" s="208">
        <v>5050</v>
      </c>
      <c r="F40" s="292" t="s">
        <v>223</v>
      </c>
      <c r="G40" s="292" t="s">
        <v>235</v>
      </c>
      <c r="H40" s="293">
        <v>132</v>
      </c>
      <c r="I40" s="294">
        <f t="shared" si="0"/>
        <v>9.893</v>
      </c>
      <c r="J40" s="433">
        <v>41262.404861111114</v>
      </c>
      <c r="K40" s="434">
        <v>41262.65902777778</v>
      </c>
      <c r="L40" s="224">
        <f t="shared" si="1"/>
        <v>6.099999999976717</v>
      </c>
      <c r="M40" s="295">
        <f t="shared" si="2"/>
        <v>366</v>
      </c>
      <c r="N40" s="226" t="s">
        <v>79</v>
      </c>
      <c r="O40" s="427" t="str">
        <f t="shared" si="3"/>
        <v>--</v>
      </c>
      <c r="P40" s="296">
        <f t="shared" si="4"/>
        <v>50</v>
      </c>
      <c r="Q40" s="297">
        <f t="shared" si="5"/>
        <v>301.73650000000004</v>
      </c>
      <c r="R40" s="298" t="str">
        <f t="shared" si="6"/>
        <v>--</v>
      </c>
      <c r="S40" s="299" t="str">
        <f t="shared" si="7"/>
        <v>--</v>
      </c>
      <c r="T40" s="300" t="str">
        <f t="shared" si="8"/>
        <v>--</v>
      </c>
      <c r="U40" s="428" t="s">
        <v>76</v>
      </c>
      <c r="V40" s="304">
        <f t="shared" si="10"/>
        <v>301.73650000000004</v>
      </c>
      <c r="W40" s="237"/>
    </row>
    <row r="41" spans="2:23" s="1" customFormat="1" ht="16.5" customHeight="1">
      <c r="B41" s="13"/>
      <c r="C41" s="209">
        <v>165</v>
      </c>
      <c r="D41" s="208">
        <v>256287</v>
      </c>
      <c r="E41" s="208">
        <v>5060</v>
      </c>
      <c r="F41" s="292" t="s">
        <v>208</v>
      </c>
      <c r="G41" s="292" t="s">
        <v>233</v>
      </c>
      <c r="H41" s="293">
        <v>13.2</v>
      </c>
      <c r="I41" s="294">
        <f t="shared" si="0"/>
        <v>7.419</v>
      </c>
      <c r="J41" s="433">
        <v>41262.993055555555</v>
      </c>
      <c r="K41" s="434">
        <v>41263.02222222222</v>
      </c>
      <c r="L41" s="224">
        <f t="shared" si="1"/>
        <v>0.7000000000116415</v>
      </c>
      <c r="M41" s="295">
        <f t="shared" si="2"/>
        <v>42</v>
      </c>
      <c r="N41" s="226" t="s">
        <v>79</v>
      </c>
      <c r="O41" s="427" t="str">
        <f t="shared" si="3"/>
        <v>--</v>
      </c>
      <c r="P41" s="296">
        <f t="shared" si="4"/>
        <v>40</v>
      </c>
      <c r="Q41" s="297">
        <f t="shared" si="5"/>
        <v>20.7732</v>
      </c>
      <c r="R41" s="298" t="str">
        <f t="shared" si="6"/>
        <v>--</v>
      </c>
      <c r="S41" s="299" t="str">
        <f t="shared" si="7"/>
        <v>--</v>
      </c>
      <c r="T41" s="300" t="str">
        <f t="shared" si="8"/>
        <v>--</v>
      </c>
      <c r="U41" s="428" t="s">
        <v>76</v>
      </c>
      <c r="V41" s="304">
        <f t="shared" si="10"/>
        <v>20.7732</v>
      </c>
      <c r="W41" s="237"/>
    </row>
    <row r="42" spans="2:23" s="1" customFormat="1" ht="16.5" customHeight="1">
      <c r="B42" s="13"/>
      <c r="C42" s="209">
        <v>166</v>
      </c>
      <c r="D42" s="208">
        <v>256291</v>
      </c>
      <c r="E42" s="208">
        <v>2546</v>
      </c>
      <c r="F42" s="292" t="s">
        <v>216</v>
      </c>
      <c r="G42" s="292" t="s">
        <v>217</v>
      </c>
      <c r="H42" s="293">
        <v>13.199999809265137</v>
      </c>
      <c r="I42" s="294">
        <f t="shared" si="0"/>
        <v>7.419</v>
      </c>
      <c r="J42" s="433">
        <v>41264.334027777775</v>
      </c>
      <c r="K42" s="434">
        <v>41264.62569444445</v>
      </c>
      <c r="L42" s="224">
        <f t="shared" si="1"/>
        <v>7.000000000116415</v>
      </c>
      <c r="M42" s="295">
        <f t="shared" si="2"/>
        <v>420</v>
      </c>
      <c r="N42" s="226" t="s">
        <v>79</v>
      </c>
      <c r="O42" s="427" t="str">
        <f t="shared" si="3"/>
        <v>--</v>
      </c>
      <c r="P42" s="296">
        <f t="shared" si="4"/>
        <v>40</v>
      </c>
      <c r="Q42" s="297">
        <f t="shared" si="5"/>
        <v>207.73199999999997</v>
      </c>
      <c r="R42" s="298" t="str">
        <f t="shared" si="6"/>
        <v>--</v>
      </c>
      <c r="S42" s="299" t="str">
        <f t="shared" si="7"/>
        <v>--</v>
      </c>
      <c r="T42" s="300" t="str">
        <f t="shared" si="8"/>
        <v>--</v>
      </c>
      <c r="U42" s="428" t="s">
        <v>76</v>
      </c>
      <c r="V42" s="304">
        <f t="shared" si="10"/>
        <v>207.73199999999997</v>
      </c>
      <c r="W42" s="237"/>
    </row>
    <row r="43" spans="2:23" s="1" customFormat="1" ht="16.5" customHeight="1" thickBot="1">
      <c r="B43" s="13"/>
      <c r="C43" s="317"/>
      <c r="D43" s="317"/>
      <c r="E43" s="317"/>
      <c r="F43" s="317"/>
      <c r="G43" s="317"/>
      <c r="H43" s="317"/>
      <c r="I43" s="305"/>
      <c r="J43" s="407"/>
      <c r="K43" s="407"/>
      <c r="L43" s="238"/>
      <c r="M43" s="238"/>
      <c r="N43" s="317"/>
      <c r="O43" s="317"/>
      <c r="P43" s="327"/>
      <c r="Q43" s="328"/>
      <c r="R43" s="329"/>
      <c r="S43" s="330"/>
      <c r="T43" s="331"/>
      <c r="U43" s="317"/>
      <c r="V43" s="306"/>
      <c r="W43" s="237"/>
    </row>
    <row r="44" spans="2:23" s="1" customFormat="1" ht="16.5" customHeight="1" thickBot="1" thickTop="1">
      <c r="B44" s="13"/>
      <c r="C44" s="437" t="s">
        <v>237</v>
      </c>
      <c r="D44" s="436" t="s">
        <v>236</v>
      </c>
      <c r="E44" s="128"/>
      <c r="F44" s="113"/>
      <c r="G44" s="2"/>
      <c r="H44" s="2"/>
      <c r="I44" s="2"/>
      <c r="J44" s="2"/>
      <c r="K44" s="2"/>
      <c r="L44" s="2"/>
      <c r="M44" s="2"/>
      <c r="N44" s="2"/>
      <c r="O44" s="2"/>
      <c r="P44" s="2"/>
      <c r="Q44" s="307">
        <f>SUM(Q20:Q43)</f>
        <v>3451.20301</v>
      </c>
      <c r="R44" s="308">
        <f>SUM(R20:R43)</f>
        <v>1286.0600000000002</v>
      </c>
      <c r="S44" s="308">
        <f>SUM(S20:S43)</f>
        <v>5486.6557</v>
      </c>
      <c r="T44" s="309">
        <f>SUM(T20:T43)</f>
        <v>0</v>
      </c>
      <c r="U44" s="310"/>
      <c r="V44" s="418">
        <f>ROUND(SUM(V20:V43),2)</f>
        <v>16314.51</v>
      </c>
      <c r="W44" s="237"/>
    </row>
    <row r="45" spans="2:23" s="126" customFormat="1" ht="14.25" customHeight="1" thickTop="1">
      <c r="B45" s="127"/>
      <c r="C45" s="769" t="s">
        <v>309</v>
      </c>
      <c r="D45" s="436" t="s">
        <v>298</v>
      </c>
      <c r="E45" s="769"/>
      <c r="F45" s="129"/>
      <c r="G45" s="130"/>
      <c r="H45" s="131"/>
      <c r="I45" s="131"/>
      <c r="J45" s="132"/>
      <c r="K45" s="132"/>
      <c r="L45" s="132"/>
      <c r="M45" s="132"/>
      <c r="N45" s="132"/>
      <c r="O45" s="132"/>
      <c r="P45" s="133"/>
      <c r="Q45" s="133"/>
      <c r="R45" s="134"/>
      <c r="S45" s="134"/>
      <c r="T45" s="135"/>
      <c r="U45" s="135"/>
      <c r="V45" s="136"/>
      <c r="W45" s="770"/>
    </row>
    <row r="46" spans="2:23" s="1" customFormat="1" ht="16.5" customHeight="1" thickBot="1">
      <c r="B46" s="139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6"/>
    </row>
    <row r="47" spans="2:23" ht="16.5" customHeight="1" thickTop="1"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</row>
    <row r="48" spans="3:6" ht="16.5" customHeight="1">
      <c r="C48" s="312"/>
      <c r="D48" s="312"/>
      <c r="E48" s="312"/>
      <c r="F48" s="312"/>
    </row>
    <row r="49" ht="16.5" customHeight="1"/>
    <row r="50" ht="16.5" customHeight="1"/>
    <row r="51" ht="16.5" customHeight="1"/>
    <row r="52" ht="16.5" customHeight="1"/>
    <row r="53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0" zoomScaleNormal="70" zoomScalePageLayoutView="0" workbookViewId="0" topLeftCell="A13">
      <selection activeCell="D40" sqref="D40"/>
    </sheetView>
  </sheetViews>
  <sheetFormatPr defaultColWidth="11.421875" defaultRowHeight="12.75"/>
  <cols>
    <col min="1" max="1" width="18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9"/>
      <c r="W1" s="313"/>
    </row>
    <row r="2" spans="1:23" s="3" customFormat="1" ht="26.25">
      <c r="A2" s="259"/>
      <c r="B2" s="16" t="str">
        <f>'TOT-1212'!B2</f>
        <v>ANEXO I al Memorándum  D.T.E.E.  N° 335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1"/>
    </row>
    <row r="5" spans="1:2" s="9" customFormat="1" ht="11.25">
      <c r="A5" s="8" t="s">
        <v>4</v>
      </c>
      <c r="B5" s="261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'TOT-1212'!B14</f>
        <v>Desde el 01 al 31 de diciembre de 2012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4" t="s">
        <v>48</v>
      </c>
      <c r="G14" s="316">
        <v>19.787</v>
      </c>
      <c r="H14" s="266">
        <f>60*'TOT-1212'!B13</f>
        <v>60</v>
      </c>
      <c r="I14" s="34"/>
      <c r="J14" s="176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4" t="s">
        <v>49</v>
      </c>
      <c r="G15" s="265">
        <v>9.893</v>
      </c>
      <c r="H15" s="266">
        <f>50*'TOT-1212'!B13</f>
        <v>50</v>
      </c>
      <c r="J15" s="176" t="str">
        <f>IF(H15=50," ",IF(H15=100,"    Coeficiente duplicado por tasa de falla &gt;4 Sal. x año/100 km.","    REVISAR COEFICIENTE"))</f>
        <v> </v>
      </c>
      <c r="S15" s="7"/>
      <c r="T15" s="7"/>
      <c r="U15" s="7"/>
      <c r="V15" s="267"/>
      <c r="W15" s="14"/>
    </row>
    <row r="16" spans="2:23" s="1" customFormat="1" ht="16.5" customHeight="1" thickBot="1" thickTop="1">
      <c r="B16" s="13"/>
      <c r="C16" s="7"/>
      <c r="D16" s="7"/>
      <c r="E16" s="7"/>
      <c r="F16" s="268" t="s">
        <v>50</v>
      </c>
      <c r="G16" s="269">
        <v>7.419</v>
      </c>
      <c r="H16" s="270">
        <f>50*'TOT-1212'!B13</f>
        <v>50</v>
      </c>
      <c r="J16" s="176" t="str">
        <f>IF(H16=50," ",IF(H16=100,"    Coeficiente duplicado por tasa de falla &gt;4 Sal. x año/100 km.","    REVISAR COEFICIENTE"))</f>
        <v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6.5" customHeight="1" thickBot="1" thickTop="1">
      <c r="B17" s="13"/>
      <c r="C17" s="7"/>
      <c r="D17" s="7"/>
      <c r="E17" s="7"/>
      <c r="F17" s="274" t="s">
        <v>51</v>
      </c>
      <c r="G17" s="269">
        <v>7.419</v>
      </c>
      <c r="H17" s="275">
        <f>40*'TOT-1212'!B13</f>
        <v>40</v>
      </c>
      <c r="J17" s="176" t="str">
        <f>IF(H17=40," ",IF(H17=80,"    Coeficiente duplicado por tasa de falla &gt;4 Sal. x año/100 km.","    REVISAR COEFICIENTE"))</f>
        <v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6.5" customHeight="1" thickBot="1" thickTop="1">
      <c r="B18" s="13"/>
      <c r="C18" s="421">
        <v>3</v>
      </c>
      <c r="D18" s="421">
        <v>4</v>
      </c>
      <c r="E18" s="421">
        <v>5</v>
      </c>
      <c r="F18" s="421">
        <v>6</v>
      </c>
      <c r="G18" s="421">
        <v>7</v>
      </c>
      <c r="H18" s="421">
        <v>8</v>
      </c>
      <c r="I18" s="421">
        <v>9</v>
      </c>
      <c r="J18" s="421">
        <v>10</v>
      </c>
      <c r="K18" s="421">
        <v>11</v>
      </c>
      <c r="L18" s="421">
        <v>12</v>
      </c>
      <c r="M18" s="421">
        <v>13</v>
      </c>
      <c r="N18" s="421">
        <v>14</v>
      </c>
      <c r="O18" s="421">
        <v>15</v>
      </c>
      <c r="P18" s="421">
        <v>16</v>
      </c>
      <c r="Q18" s="421">
        <v>17</v>
      </c>
      <c r="R18" s="421">
        <v>18</v>
      </c>
      <c r="S18" s="421">
        <v>19</v>
      </c>
      <c r="T18" s="421">
        <v>20</v>
      </c>
      <c r="U18" s="421">
        <v>21</v>
      </c>
      <c r="V18" s="421">
        <v>22</v>
      </c>
      <c r="W18" s="14"/>
    </row>
    <row r="19" spans="2:23" s="276" customFormat="1" ht="34.5" customHeight="1" thickBot="1" thickTop="1">
      <c r="B19" s="277"/>
      <c r="C19" s="420" t="s">
        <v>13</v>
      </c>
      <c r="D19" s="420" t="s">
        <v>70</v>
      </c>
      <c r="E19" s="420" t="s">
        <v>71</v>
      </c>
      <c r="F19" s="180" t="s">
        <v>35</v>
      </c>
      <c r="G19" s="181" t="s">
        <v>36</v>
      </c>
      <c r="H19" s="183" t="s">
        <v>14</v>
      </c>
      <c r="I19" s="49" t="s">
        <v>16</v>
      </c>
      <c r="J19" s="181" t="s">
        <v>17</v>
      </c>
      <c r="K19" s="181" t="s">
        <v>18</v>
      </c>
      <c r="L19" s="180" t="s">
        <v>38</v>
      </c>
      <c r="M19" s="180" t="s">
        <v>39</v>
      </c>
      <c r="N19" s="48" t="s">
        <v>54</v>
      </c>
      <c r="O19" s="181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3" t="s">
        <v>29</v>
      </c>
      <c r="V19" s="183" t="s">
        <v>30</v>
      </c>
      <c r="W19" s="283"/>
    </row>
    <row r="20" spans="2:23" s="1" customFormat="1" ht="16.5" customHeight="1" thickTop="1">
      <c r="B20" s="13"/>
      <c r="C20" s="197"/>
      <c r="D20" s="419"/>
      <c r="E20" s="419"/>
      <c r="F20" s="195"/>
      <c r="G20" s="195"/>
      <c r="H20" s="284"/>
      <c r="I20" s="285"/>
      <c r="J20" s="405"/>
      <c r="K20" s="408"/>
      <c r="L20" s="199"/>
      <c r="M20" s="199"/>
      <c r="N20" s="196"/>
      <c r="O20" s="196"/>
      <c r="P20" s="286"/>
      <c r="Q20" s="287"/>
      <c r="R20" s="288"/>
      <c r="S20" s="289"/>
      <c r="T20" s="290"/>
      <c r="U20" s="291"/>
      <c r="V20" s="207">
        <f>'SA-12 (5)'!V44</f>
        <v>16314.51</v>
      </c>
      <c r="W20" s="158"/>
    </row>
    <row r="21" spans="2:23" s="1" customFormat="1" ht="16.5" customHeight="1">
      <c r="B21" s="13"/>
      <c r="C21" s="209"/>
      <c r="D21" s="208"/>
      <c r="E21" s="208"/>
      <c r="F21" s="292"/>
      <c r="G21" s="292"/>
      <c r="H21" s="293"/>
      <c r="I21" s="294"/>
      <c r="J21" s="433"/>
      <c r="K21" s="434"/>
      <c r="L21" s="224"/>
      <c r="M21" s="295"/>
      <c r="N21" s="226"/>
      <c r="O21" s="226"/>
      <c r="P21" s="296"/>
      <c r="Q21" s="297"/>
      <c r="R21" s="298"/>
      <c r="S21" s="299"/>
      <c r="T21" s="300"/>
      <c r="U21" s="301"/>
      <c r="V21" s="302"/>
      <c r="W21" s="158"/>
    </row>
    <row r="22" spans="2:23" s="1" customFormat="1" ht="16.5" customHeight="1">
      <c r="B22" s="13"/>
      <c r="C22" s="209">
        <v>167</v>
      </c>
      <c r="D22" s="208">
        <v>256294</v>
      </c>
      <c r="E22" s="208">
        <v>2236</v>
      </c>
      <c r="F22" s="292" t="s">
        <v>218</v>
      </c>
      <c r="G22" s="292" t="s">
        <v>219</v>
      </c>
      <c r="H22" s="293">
        <v>13.199999809265137</v>
      </c>
      <c r="I22" s="294">
        <f aca="true" t="shared" si="0" ref="I22:I30">IF(H22=220,$G$14,IF(AND(H22&lt;=132,H22&gt;=66),$G$15,IF(AND(H22&lt;66,H22&gt;=33),$G$16,$G$17)))</f>
        <v>7.419</v>
      </c>
      <c r="J22" s="433">
        <v>41266.339583333334</v>
      </c>
      <c r="K22" s="434">
        <v>41266.46041666667</v>
      </c>
      <c r="L22" s="224">
        <f aca="true" t="shared" si="1" ref="L22:L30">IF(F22="","",(K22-J22)*24)</f>
        <v>2.900000000023283</v>
      </c>
      <c r="M22" s="295">
        <f aca="true" t="shared" si="2" ref="M22:M30">IF(F22="","",ROUND((K22-J22)*24*60,0))</f>
        <v>174</v>
      </c>
      <c r="N22" s="226" t="s">
        <v>79</v>
      </c>
      <c r="O22" s="427" t="str">
        <f aca="true" t="shared" si="3" ref="O22:O30">IF(F22="","",IF(OR(N22="P",N22="RP"),"--","NO"))</f>
        <v>--</v>
      </c>
      <c r="P22" s="296">
        <f aca="true" t="shared" si="4" ref="P22:P30">IF(H22=220,$H$14,IF(AND(H22&lt;=132,H22&gt;=66),$H$15,IF(AND(H22&lt;66,H22&gt;13.2),$H$16,$H$17)))</f>
        <v>40</v>
      </c>
      <c r="Q22" s="297">
        <f aca="true" t="shared" si="5" ref="Q22:Q30">IF(N22="P",I22*P22*ROUND(M22/60,2)*0.1,"--")</f>
        <v>86.0604</v>
      </c>
      <c r="R22" s="298" t="str">
        <f aca="true" t="shared" si="6" ref="R22:R30">IF(AND(N22="F",O22="NO"),I22*P22,"--")</f>
        <v>--</v>
      </c>
      <c r="S22" s="299" t="str">
        <f aca="true" t="shared" si="7" ref="S22:S30">IF(N22="F",I22*P22*ROUND(M22/60,2),"--")</f>
        <v>--</v>
      </c>
      <c r="T22" s="300" t="str">
        <f aca="true" t="shared" si="8" ref="T22:T30">IF(N22="RF",I22*P22*ROUND(M22/60,2),"--")</f>
        <v>--</v>
      </c>
      <c r="U22" s="428" t="s">
        <v>76</v>
      </c>
      <c r="V22" s="304">
        <f>IF(F22="","",SUM(Q22:T22)*IF(U22="SI",1,2)*IF(H22="500/220",0,1))</f>
        <v>86.0604</v>
      </c>
      <c r="W22" s="237"/>
    </row>
    <row r="23" spans="2:23" s="1" customFormat="1" ht="16.5" customHeight="1">
      <c r="B23" s="13"/>
      <c r="C23" s="209">
        <v>168</v>
      </c>
      <c r="D23" s="208">
        <v>256295</v>
      </c>
      <c r="E23" s="208">
        <v>2075</v>
      </c>
      <c r="F23" s="292" t="s">
        <v>220</v>
      </c>
      <c r="G23" s="292" t="s">
        <v>221</v>
      </c>
      <c r="H23" s="293">
        <v>33</v>
      </c>
      <c r="I23" s="294">
        <f t="shared" si="0"/>
        <v>7.419</v>
      </c>
      <c r="J23" s="433">
        <v>41266.35625</v>
      </c>
      <c r="K23" s="434">
        <v>41266.55763888889</v>
      </c>
      <c r="L23" s="224">
        <f t="shared" si="1"/>
        <v>4.833333333372138</v>
      </c>
      <c r="M23" s="295">
        <f t="shared" si="2"/>
        <v>290</v>
      </c>
      <c r="N23" s="226" t="s">
        <v>79</v>
      </c>
      <c r="O23" s="427" t="str">
        <f t="shared" si="3"/>
        <v>--</v>
      </c>
      <c r="P23" s="296">
        <f t="shared" si="4"/>
        <v>50</v>
      </c>
      <c r="Q23" s="297">
        <f t="shared" si="5"/>
        <v>179.16885000000002</v>
      </c>
      <c r="R23" s="298" t="str">
        <f t="shared" si="6"/>
        <v>--</v>
      </c>
      <c r="S23" s="299" t="str">
        <f t="shared" si="7"/>
        <v>--</v>
      </c>
      <c r="T23" s="300" t="str">
        <f t="shared" si="8"/>
        <v>--</v>
      </c>
      <c r="U23" s="428" t="s">
        <v>76</v>
      </c>
      <c r="V23" s="304">
        <f>IF(F23="","",SUM(Q23:T23)*IF(U23="SI",1,2)*IF(H23="500/220",0,1))</f>
        <v>179.16885000000002</v>
      </c>
      <c r="W23" s="237"/>
    </row>
    <row r="24" spans="2:23" s="1" customFormat="1" ht="16.5" customHeight="1">
      <c r="B24" s="13"/>
      <c r="C24" s="209" t="s">
        <v>305</v>
      </c>
      <c r="D24" s="208">
        <v>256384</v>
      </c>
      <c r="E24" s="208">
        <v>2269</v>
      </c>
      <c r="F24" s="292" t="s">
        <v>143</v>
      </c>
      <c r="G24" s="292" t="s">
        <v>154</v>
      </c>
      <c r="H24" s="293">
        <v>66</v>
      </c>
      <c r="I24" s="294">
        <f t="shared" si="0"/>
        <v>9.893</v>
      </c>
      <c r="J24" s="433">
        <v>41267.80972222222</v>
      </c>
      <c r="K24" s="434">
        <v>41267.85138888889</v>
      </c>
      <c r="L24" s="224">
        <f t="shared" si="1"/>
        <v>1.0000000001164153</v>
      </c>
      <c r="M24" s="295">
        <f t="shared" si="2"/>
        <v>60</v>
      </c>
      <c r="N24" s="226" t="s">
        <v>75</v>
      </c>
      <c r="O24" s="427" t="str">
        <f t="shared" si="3"/>
        <v>NO</v>
      </c>
      <c r="P24" s="296">
        <f t="shared" si="4"/>
        <v>50</v>
      </c>
      <c r="Q24" s="297" t="str">
        <f t="shared" si="5"/>
        <v>--</v>
      </c>
      <c r="R24" s="298">
        <f t="shared" si="6"/>
        <v>494.65000000000003</v>
      </c>
      <c r="S24" s="299">
        <f t="shared" si="7"/>
        <v>494.65000000000003</v>
      </c>
      <c r="T24" s="300" t="str">
        <f t="shared" si="8"/>
        <v>--</v>
      </c>
      <c r="U24" s="428" t="s">
        <v>76</v>
      </c>
      <c r="V24" s="304">
        <v>0</v>
      </c>
      <c r="W24" s="237"/>
    </row>
    <row r="25" spans="2:23" s="1" customFormat="1" ht="16.5" customHeight="1">
      <c r="B25" s="13"/>
      <c r="C25" s="209" t="s">
        <v>306</v>
      </c>
      <c r="D25" s="208">
        <v>256385</v>
      </c>
      <c r="E25" s="208">
        <v>4939</v>
      </c>
      <c r="F25" s="292" t="s">
        <v>195</v>
      </c>
      <c r="G25" s="292" t="s">
        <v>196</v>
      </c>
      <c r="H25" s="293">
        <v>132</v>
      </c>
      <c r="I25" s="294">
        <f t="shared" si="0"/>
        <v>9.893</v>
      </c>
      <c r="J25" s="433">
        <v>41267.864583333336</v>
      </c>
      <c r="K25" s="434">
        <v>41267.95486111111</v>
      </c>
      <c r="L25" s="224">
        <f t="shared" si="1"/>
        <v>2.166666666569654</v>
      </c>
      <c r="M25" s="295">
        <f t="shared" si="2"/>
        <v>130</v>
      </c>
      <c r="N25" s="226" t="s">
        <v>75</v>
      </c>
      <c r="O25" s="427" t="str">
        <f t="shared" si="3"/>
        <v>NO</v>
      </c>
      <c r="P25" s="296">
        <f t="shared" si="4"/>
        <v>50</v>
      </c>
      <c r="Q25" s="297" t="str">
        <f t="shared" si="5"/>
        <v>--</v>
      </c>
      <c r="R25" s="298">
        <f t="shared" si="6"/>
        <v>494.65000000000003</v>
      </c>
      <c r="S25" s="299">
        <f t="shared" si="7"/>
        <v>1073.3905</v>
      </c>
      <c r="T25" s="300" t="str">
        <f t="shared" si="8"/>
        <v>--</v>
      </c>
      <c r="U25" s="428" t="s">
        <v>76</v>
      </c>
      <c r="V25" s="304">
        <v>0</v>
      </c>
      <c r="W25" s="237"/>
    </row>
    <row r="26" spans="2:23" s="1" customFormat="1" ht="16.5" customHeight="1">
      <c r="B26" s="13"/>
      <c r="C26" s="209" t="s">
        <v>307</v>
      </c>
      <c r="D26" s="208">
        <v>256392</v>
      </c>
      <c r="E26" s="208">
        <v>2175</v>
      </c>
      <c r="F26" s="292" t="s">
        <v>209</v>
      </c>
      <c r="G26" s="292" t="s">
        <v>222</v>
      </c>
      <c r="H26" s="293">
        <v>66</v>
      </c>
      <c r="I26" s="294">
        <f t="shared" si="0"/>
        <v>9.893</v>
      </c>
      <c r="J26" s="433">
        <v>41268.28194444445</v>
      </c>
      <c r="K26" s="434">
        <v>41268.34722222222</v>
      </c>
      <c r="L26" s="224">
        <f t="shared" si="1"/>
        <v>1.5666666665347293</v>
      </c>
      <c r="M26" s="295">
        <f t="shared" si="2"/>
        <v>94</v>
      </c>
      <c r="N26" s="226" t="s">
        <v>75</v>
      </c>
      <c r="O26" s="427" t="str">
        <f t="shared" si="3"/>
        <v>NO</v>
      </c>
      <c r="P26" s="296">
        <f t="shared" si="4"/>
        <v>50</v>
      </c>
      <c r="Q26" s="297" t="str">
        <f t="shared" si="5"/>
        <v>--</v>
      </c>
      <c r="R26" s="298">
        <f t="shared" si="6"/>
        <v>494.65000000000003</v>
      </c>
      <c r="S26" s="299">
        <f t="shared" si="7"/>
        <v>776.6005000000001</v>
      </c>
      <c r="T26" s="300" t="str">
        <f t="shared" si="8"/>
        <v>--</v>
      </c>
      <c r="U26" s="428" t="s">
        <v>76</v>
      </c>
      <c r="V26" s="304">
        <v>0</v>
      </c>
      <c r="W26" s="237"/>
    </row>
    <row r="27" spans="2:23" s="1" customFormat="1" ht="16.5" customHeight="1">
      <c r="B27" s="13"/>
      <c r="C27" s="209" t="s">
        <v>308</v>
      </c>
      <c r="D27" s="208">
        <v>256393</v>
      </c>
      <c r="E27" s="208">
        <v>5051</v>
      </c>
      <c r="F27" s="292" t="s">
        <v>223</v>
      </c>
      <c r="G27" s="292" t="s">
        <v>224</v>
      </c>
      <c r="H27" s="293">
        <v>132</v>
      </c>
      <c r="I27" s="294">
        <f t="shared" si="0"/>
        <v>9.893</v>
      </c>
      <c r="J27" s="433">
        <v>41269.37986111111</v>
      </c>
      <c r="K27" s="434">
        <v>41269.60208333333</v>
      </c>
      <c r="L27" s="224">
        <f t="shared" si="1"/>
        <v>5.333333333255723</v>
      </c>
      <c r="M27" s="295">
        <f t="shared" si="2"/>
        <v>320</v>
      </c>
      <c r="N27" s="226" t="s">
        <v>79</v>
      </c>
      <c r="O27" s="427" t="str">
        <f t="shared" si="3"/>
        <v>--</v>
      </c>
      <c r="P27" s="296">
        <f t="shared" si="4"/>
        <v>50</v>
      </c>
      <c r="Q27" s="297">
        <f t="shared" si="5"/>
        <v>263.64845</v>
      </c>
      <c r="R27" s="298" t="str">
        <f t="shared" si="6"/>
        <v>--</v>
      </c>
      <c r="S27" s="299" t="str">
        <f t="shared" si="7"/>
        <v>--</v>
      </c>
      <c r="T27" s="300" t="str">
        <f t="shared" si="8"/>
        <v>--</v>
      </c>
      <c r="U27" s="428" t="s">
        <v>76</v>
      </c>
      <c r="V27" s="304">
        <v>0</v>
      </c>
      <c r="W27" s="237"/>
    </row>
    <row r="28" spans="2:23" s="1" customFormat="1" ht="16.5" customHeight="1">
      <c r="B28" s="13"/>
      <c r="C28" s="209">
        <v>173</v>
      </c>
      <c r="D28" s="208">
        <v>256397</v>
      </c>
      <c r="E28" s="208">
        <v>5050</v>
      </c>
      <c r="F28" s="292" t="s">
        <v>223</v>
      </c>
      <c r="G28" s="292" t="s">
        <v>235</v>
      </c>
      <c r="H28" s="293">
        <v>132</v>
      </c>
      <c r="I28" s="294">
        <f t="shared" si="0"/>
        <v>9.893</v>
      </c>
      <c r="J28" s="433">
        <v>41270.325694444444</v>
      </c>
      <c r="K28" s="434">
        <v>41270.53402777778</v>
      </c>
      <c r="L28" s="224">
        <f t="shared" si="1"/>
        <v>5.000000000058208</v>
      </c>
      <c r="M28" s="295">
        <f t="shared" si="2"/>
        <v>300</v>
      </c>
      <c r="N28" s="226" t="s">
        <v>79</v>
      </c>
      <c r="O28" s="427" t="str">
        <f t="shared" si="3"/>
        <v>--</v>
      </c>
      <c r="P28" s="296">
        <f t="shared" si="4"/>
        <v>50</v>
      </c>
      <c r="Q28" s="297">
        <f t="shared" si="5"/>
        <v>247.32500000000002</v>
      </c>
      <c r="R28" s="298" t="str">
        <f t="shared" si="6"/>
        <v>--</v>
      </c>
      <c r="S28" s="299" t="str">
        <f t="shared" si="7"/>
        <v>--</v>
      </c>
      <c r="T28" s="300" t="str">
        <f t="shared" si="8"/>
        <v>--</v>
      </c>
      <c r="U28" s="428" t="s">
        <v>76</v>
      </c>
      <c r="V28" s="304">
        <f>IF(F28="","",SUM(Q28:T28)*IF(U28="SI",1,2)*IF(H28="500/220",0,1))</f>
        <v>247.32500000000002</v>
      </c>
      <c r="W28" s="237"/>
    </row>
    <row r="29" spans="2:23" s="1" customFormat="1" ht="16.5" customHeight="1">
      <c r="B29" s="13"/>
      <c r="C29" s="209">
        <v>174</v>
      </c>
      <c r="D29" s="208">
        <v>256399</v>
      </c>
      <c r="E29" s="208">
        <v>5051</v>
      </c>
      <c r="F29" s="292" t="s">
        <v>223</v>
      </c>
      <c r="G29" s="292" t="s">
        <v>224</v>
      </c>
      <c r="H29" s="293">
        <v>132</v>
      </c>
      <c r="I29" s="294">
        <f t="shared" si="0"/>
        <v>9.893</v>
      </c>
      <c r="J29" s="433">
        <v>41270.37777777778</v>
      </c>
      <c r="K29" s="434">
        <v>41270.54722222222</v>
      </c>
      <c r="L29" s="224">
        <f t="shared" si="1"/>
        <v>4.066666666651145</v>
      </c>
      <c r="M29" s="295">
        <f t="shared" si="2"/>
        <v>244</v>
      </c>
      <c r="N29" s="226" t="s">
        <v>79</v>
      </c>
      <c r="O29" s="427" t="str">
        <f t="shared" si="3"/>
        <v>--</v>
      </c>
      <c r="P29" s="296">
        <f t="shared" si="4"/>
        <v>50</v>
      </c>
      <c r="Q29" s="297">
        <f t="shared" si="5"/>
        <v>201.32255000000004</v>
      </c>
      <c r="R29" s="298" t="str">
        <f t="shared" si="6"/>
        <v>--</v>
      </c>
      <c r="S29" s="299" t="str">
        <f t="shared" si="7"/>
        <v>--</v>
      </c>
      <c r="T29" s="300" t="str">
        <f t="shared" si="8"/>
        <v>--</v>
      </c>
      <c r="U29" s="428" t="s">
        <v>76</v>
      </c>
      <c r="V29" s="304">
        <f>IF(F29="","",SUM(Q29:T29)*IF(U29="SI",1,2)*IF(H29="500/220",0,1))</f>
        <v>201.32255000000004</v>
      </c>
      <c r="W29" s="237"/>
    </row>
    <row r="30" spans="2:23" s="1" customFormat="1" ht="16.5" customHeight="1">
      <c r="B30" s="13"/>
      <c r="C30" s="209">
        <v>175</v>
      </c>
      <c r="D30" s="208">
        <v>256401</v>
      </c>
      <c r="E30" s="208">
        <v>2403</v>
      </c>
      <c r="F30" s="292" t="s">
        <v>152</v>
      </c>
      <c r="G30" s="292" t="s">
        <v>225</v>
      </c>
      <c r="H30" s="293">
        <v>33</v>
      </c>
      <c r="I30" s="294">
        <f t="shared" si="0"/>
        <v>7.419</v>
      </c>
      <c r="J30" s="433">
        <v>41270.399305555555</v>
      </c>
      <c r="K30" s="434">
        <v>41270.61319444444</v>
      </c>
      <c r="L30" s="224">
        <f t="shared" si="1"/>
        <v>5.133333333302289</v>
      </c>
      <c r="M30" s="295">
        <f t="shared" si="2"/>
        <v>308</v>
      </c>
      <c r="N30" s="226" t="s">
        <v>79</v>
      </c>
      <c r="O30" s="427" t="str">
        <f t="shared" si="3"/>
        <v>--</v>
      </c>
      <c r="P30" s="296">
        <f t="shared" si="4"/>
        <v>50</v>
      </c>
      <c r="Q30" s="297">
        <f t="shared" si="5"/>
        <v>190.29735</v>
      </c>
      <c r="R30" s="298" t="str">
        <f t="shared" si="6"/>
        <v>--</v>
      </c>
      <c r="S30" s="299" t="str">
        <f t="shared" si="7"/>
        <v>--</v>
      </c>
      <c r="T30" s="300" t="str">
        <f t="shared" si="8"/>
        <v>--</v>
      </c>
      <c r="U30" s="428" t="s">
        <v>76</v>
      </c>
      <c r="V30" s="304">
        <f>IF(F30="","",SUM(Q30:T30)*IF(U30="SI",1,2)*IF(H30="500/220",0,1))</f>
        <v>190.29735</v>
      </c>
      <c r="W30" s="237"/>
    </row>
    <row r="31" spans="2:23" s="1" customFormat="1" ht="16.5" customHeight="1" thickBot="1">
      <c r="B31" s="13"/>
      <c r="C31" s="317"/>
      <c r="D31" s="317"/>
      <c r="E31" s="317"/>
      <c r="F31" s="317"/>
      <c r="G31" s="317"/>
      <c r="H31" s="317"/>
      <c r="I31" s="305"/>
      <c r="J31" s="407"/>
      <c r="K31" s="407"/>
      <c r="L31" s="238"/>
      <c r="M31" s="238"/>
      <c r="N31" s="317"/>
      <c r="O31" s="317"/>
      <c r="P31" s="327"/>
      <c r="Q31" s="328"/>
      <c r="R31" s="329"/>
      <c r="S31" s="330"/>
      <c r="T31" s="331"/>
      <c r="U31" s="317"/>
      <c r="V31" s="306"/>
      <c r="W31" s="237"/>
    </row>
    <row r="32" spans="2:23" s="1" customFormat="1" ht="16.5" customHeight="1" thickBot="1" thickTop="1">
      <c r="B32" s="13"/>
      <c r="C32" s="437" t="s">
        <v>237</v>
      </c>
      <c r="D32" s="436" t="s">
        <v>236</v>
      </c>
      <c r="E32" s="128"/>
      <c r="F32" s="113"/>
      <c r="G32" s="2"/>
      <c r="H32" s="2"/>
      <c r="I32" s="2"/>
      <c r="J32" s="2"/>
      <c r="K32" s="2"/>
      <c r="L32" s="2"/>
      <c r="M32" s="2"/>
      <c r="N32" s="2"/>
      <c r="O32" s="2"/>
      <c r="P32" s="2"/>
      <c r="Q32" s="307">
        <f>SUM(Q20:Q31)</f>
        <v>1167.8226000000002</v>
      </c>
      <c r="R32" s="308">
        <f>SUM(R20:R31)</f>
        <v>1483.95</v>
      </c>
      <c r="S32" s="308">
        <f>SUM(S20:S31)</f>
        <v>2344.641</v>
      </c>
      <c r="T32" s="309">
        <f>SUM(T20:T31)</f>
        <v>0</v>
      </c>
      <c r="U32" s="310"/>
      <c r="V32" s="418">
        <f>ROUND(SUM(V20:V31),2)</f>
        <v>17218.68</v>
      </c>
      <c r="W32" s="237"/>
    </row>
    <row r="33" spans="2:23" s="126" customFormat="1" ht="15" customHeight="1" thickTop="1">
      <c r="B33" s="127"/>
      <c r="C33" s="769" t="s">
        <v>309</v>
      </c>
      <c r="D33" s="436" t="s">
        <v>298</v>
      </c>
      <c r="E33" s="128"/>
      <c r="F33" s="129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1"/>
      <c r="V33" s="311"/>
      <c r="W33" s="253"/>
    </row>
    <row r="34" spans="2:23" s="1" customFormat="1" ht="16.5" customHeight="1" thickBot="1">
      <c r="B34" s="139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6"/>
    </row>
    <row r="35" spans="2:23" ht="16.5" customHeight="1" thickTop="1"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</row>
    <row r="36" spans="3:6" ht="16.5" customHeight="1">
      <c r="C36" s="312"/>
      <c r="D36" s="312"/>
      <c r="E36" s="312"/>
      <c r="F36" s="312"/>
    </row>
    <row r="37" ht="16.5" customHeight="1"/>
    <row r="38" ht="16.5" customHeight="1"/>
    <row r="39" ht="16.5" customHeight="1"/>
    <row r="40" ht="16.5" customHeight="1"/>
    <row r="41" ht="16.5" customHeight="1"/>
  </sheetData>
  <sheetProtection/>
  <printOptions/>
  <pageMargins left="0.22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zoomScale="70" zoomScaleNormal="70" zoomScalePageLayoutView="0" workbookViewId="0" topLeftCell="A1">
      <selection activeCell="L25" sqref="L25"/>
    </sheetView>
  </sheetViews>
  <sheetFormatPr defaultColWidth="11.421875" defaultRowHeight="12.75"/>
  <cols>
    <col min="1" max="1" width="18.8515625" style="5" customWidth="1"/>
    <col min="2" max="2" width="4.00390625" style="5" customWidth="1"/>
    <col min="3" max="3" width="5.57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9.140625" style="5" bestFit="1" customWidth="1"/>
    <col min="10" max="10" width="12.00390625" style="5" customWidth="1"/>
    <col min="11" max="11" width="6.8515625" style="5" hidden="1" customWidth="1"/>
    <col min="12" max="13" width="15.7109375" style="5" customWidth="1"/>
    <col min="14" max="16" width="9.7109375" style="5" customWidth="1"/>
    <col min="17" max="19" width="7.7109375" style="5" customWidth="1"/>
    <col min="20" max="20" width="13.28125" style="5" hidden="1" customWidth="1"/>
    <col min="21" max="22" width="14.57421875" style="5" hidden="1" customWidth="1"/>
    <col min="23" max="23" width="16.28125" style="5" hidden="1" customWidth="1"/>
    <col min="24" max="24" width="16.8515625" style="5" hidden="1" customWidth="1"/>
    <col min="25" max="25" width="16.28125" style="5" hidden="1" customWidth="1"/>
    <col min="26" max="28" width="16.8515625" style="5" hidden="1" customWidth="1"/>
    <col min="29" max="29" width="9.7109375" style="5" customWidth="1"/>
    <col min="30" max="30" width="15.7109375" style="5" customWidth="1"/>
    <col min="31" max="31" width="4.00390625" style="5" customWidth="1"/>
    <col min="32" max="32" width="13.00390625" style="5" customWidth="1"/>
    <col min="33" max="16384" width="11.421875" style="5" customWidth="1"/>
  </cols>
  <sheetData>
    <row r="1" spans="2:31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314"/>
    </row>
    <row r="2" spans="2:31" s="3" customFormat="1" ht="26.25">
      <c r="B2" s="16" t="str">
        <f>'TOT-1212'!B2</f>
        <v>ANEXO I al Memorándum  D.T.E.E.  N° 335 /2014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2:31" s="1" customFormat="1" ht="12" customHeight="1">
      <c r="B3" s="17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</row>
    <row r="5" spans="1:31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</row>
    <row r="6" spans="2:31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</row>
    <row r="7" spans="2:31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1"/>
    </row>
    <row r="8" spans="2:31" s="22" customFormat="1" ht="20.25">
      <c r="B8" s="152"/>
      <c r="C8" s="153"/>
      <c r="D8" s="153"/>
      <c r="E8" s="153"/>
      <c r="F8" s="154" t="s">
        <v>5</v>
      </c>
      <c r="H8" s="153"/>
      <c r="I8" s="153"/>
      <c r="J8" s="155"/>
      <c r="K8" s="155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6"/>
    </row>
    <row r="9" spans="2:31" s="1" customFormat="1" ht="16.5" customHeight="1">
      <c r="B9" s="157"/>
      <c r="C9" s="2"/>
      <c r="D9" s="2"/>
      <c r="E9" s="2"/>
      <c r="F9" s="2"/>
      <c r="G9" s="2"/>
      <c r="H9" s="2"/>
      <c r="I9" s="2"/>
      <c r="J9" s="14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58"/>
    </row>
    <row r="10" spans="2:31" s="22" customFormat="1" ht="20.25">
      <c r="B10" s="152"/>
      <c r="C10" s="153"/>
      <c r="D10" s="153"/>
      <c r="E10" s="153"/>
      <c r="F10" s="154" t="s">
        <v>65</v>
      </c>
      <c r="G10" s="153"/>
      <c r="H10" s="153"/>
      <c r="I10" s="153"/>
      <c r="J10" s="155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6"/>
    </row>
    <row r="11" spans="2:31" s="1" customFormat="1" ht="16.5" customHeight="1">
      <c r="B11" s="157"/>
      <c r="C11" s="2"/>
      <c r="D11" s="2"/>
      <c r="E11" s="2"/>
      <c r="F11" s="159"/>
      <c r="G11" s="2"/>
      <c r="H11" s="2"/>
      <c r="I11" s="2"/>
      <c r="J11" s="14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58"/>
    </row>
    <row r="12" spans="2:31" s="22" customFormat="1" ht="20.25">
      <c r="B12" s="152"/>
      <c r="C12" s="153"/>
      <c r="D12" s="153"/>
      <c r="E12" s="153"/>
      <c r="F12" s="410" t="s">
        <v>66</v>
      </c>
      <c r="G12" s="154"/>
      <c r="H12" s="155"/>
      <c r="I12" s="155"/>
      <c r="J12" s="155"/>
      <c r="K12" s="161"/>
      <c r="L12" s="153"/>
      <c r="M12" s="155"/>
      <c r="N12" s="155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6"/>
    </row>
    <row r="13" spans="2:31" s="1" customFormat="1" ht="16.5" customHeight="1">
      <c r="B13" s="157"/>
      <c r="C13" s="2"/>
      <c r="D13" s="2"/>
      <c r="E13" s="2"/>
      <c r="F13" s="162"/>
      <c r="G13" s="162"/>
      <c r="H13" s="162"/>
      <c r="I13" s="162"/>
      <c r="J13" s="163"/>
      <c r="K13" s="16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58"/>
    </row>
    <row r="14" spans="2:31" s="10" customFormat="1" ht="19.5">
      <c r="B14" s="165" t="str">
        <f>'TOT-1212'!B14</f>
        <v>Desde el 01 al 31 de diciembre de 2012</v>
      </c>
      <c r="C14" s="28"/>
      <c r="D14" s="28"/>
      <c r="E14" s="28"/>
      <c r="F14" s="166"/>
      <c r="G14" s="166"/>
      <c r="H14" s="166"/>
      <c r="I14" s="166"/>
      <c r="J14" s="166"/>
      <c r="K14" s="166"/>
      <c r="L14" s="29"/>
      <c r="M14" s="29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7"/>
    </row>
    <row r="15" spans="2:31" s="1" customFormat="1" ht="16.5" customHeight="1" thickBot="1">
      <c r="B15" s="157"/>
      <c r="C15" s="2"/>
      <c r="D15" s="2"/>
      <c r="E15" s="2"/>
      <c r="F15" s="2"/>
      <c r="G15" s="2"/>
      <c r="H15" s="2"/>
      <c r="I15" s="2"/>
      <c r="J15" s="168"/>
      <c r="K15" s="2"/>
      <c r="L15" s="16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58"/>
    </row>
    <row r="16" spans="2:31" s="1" customFormat="1" ht="16.5" customHeight="1" thickBot="1" thickTop="1">
      <c r="B16" s="157"/>
      <c r="C16" s="2"/>
      <c r="D16" s="2"/>
      <c r="E16" s="2"/>
      <c r="F16" s="173" t="s">
        <v>34</v>
      </c>
      <c r="G16" s="174"/>
      <c r="H16" s="174"/>
      <c r="I16" s="174"/>
      <c r="J16" s="175">
        <f>60*'TOT-1212'!B13</f>
        <v>60</v>
      </c>
      <c r="K16" s="176"/>
      <c r="L16" s="176" t="str">
        <f>IF(J16=60," ",IF(J16=120,"    Coeficiente duplicado por tasa de falla &gt;4 Sal. x año/100 km.","    REVISAR COEFICIENTE"))</f>
        <v> 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77"/>
      <c r="Y16" s="2"/>
      <c r="Z16" s="177"/>
      <c r="AA16" s="177"/>
      <c r="AB16" s="177"/>
      <c r="AC16" s="177"/>
      <c r="AD16" s="177"/>
      <c r="AE16" s="158"/>
    </row>
    <row r="17" spans="2:31" s="1" customFormat="1" ht="16.5" customHeight="1" thickBot="1" thickTop="1">
      <c r="B17" s="157"/>
      <c r="C17" s="422">
        <v>3</v>
      </c>
      <c r="D17" s="422">
        <v>4</v>
      </c>
      <c r="E17" s="422">
        <v>5</v>
      </c>
      <c r="F17" s="422">
        <v>6</v>
      </c>
      <c r="G17" s="422">
        <v>7</v>
      </c>
      <c r="H17" s="422">
        <v>8</v>
      </c>
      <c r="I17" s="422">
        <v>9</v>
      </c>
      <c r="J17" s="422">
        <v>10</v>
      </c>
      <c r="K17" s="422">
        <v>11</v>
      </c>
      <c r="L17" s="422">
        <v>12</v>
      </c>
      <c r="M17" s="422">
        <v>13</v>
      </c>
      <c r="N17" s="422">
        <v>14</v>
      </c>
      <c r="O17" s="422">
        <v>15</v>
      </c>
      <c r="P17" s="422">
        <v>16</v>
      </c>
      <c r="Q17" s="422">
        <v>17</v>
      </c>
      <c r="R17" s="422">
        <v>18</v>
      </c>
      <c r="S17" s="422">
        <v>19</v>
      </c>
      <c r="T17" s="422">
        <v>20</v>
      </c>
      <c r="U17" s="422">
        <v>21</v>
      </c>
      <c r="V17" s="422">
        <v>22</v>
      </c>
      <c r="W17" s="422">
        <v>23</v>
      </c>
      <c r="X17" s="422">
        <v>24</v>
      </c>
      <c r="Y17" s="422">
        <v>25</v>
      </c>
      <c r="Z17" s="422">
        <v>26</v>
      </c>
      <c r="AA17" s="422">
        <v>27</v>
      </c>
      <c r="AB17" s="422">
        <v>28</v>
      </c>
      <c r="AC17" s="422">
        <v>29</v>
      </c>
      <c r="AD17" s="422">
        <v>30</v>
      </c>
      <c r="AE17" s="158"/>
    </row>
    <row r="18" spans="2:31" s="178" customFormat="1" ht="34.5" customHeight="1" thickBot="1" thickTop="1">
      <c r="B18" s="179"/>
      <c r="C18" s="420" t="s">
        <v>13</v>
      </c>
      <c r="D18" s="420" t="s">
        <v>70</v>
      </c>
      <c r="E18" s="420" t="s">
        <v>71</v>
      </c>
      <c r="F18" s="180" t="s">
        <v>35</v>
      </c>
      <c r="G18" s="181" t="s">
        <v>36</v>
      </c>
      <c r="H18" s="182" t="s">
        <v>37</v>
      </c>
      <c r="I18" s="182" t="s">
        <v>67</v>
      </c>
      <c r="J18" s="183" t="s">
        <v>14</v>
      </c>
      <c r="K18" s="184" t="s">
        <v>16</v>
      </c>
      <c r="L18" s="181" t="s">
        <v>17</v>
      </c>
      <c r="M18" s="181" t="s">
        <v>18</v>
      </c>
      <c r="N18" s="180" t="s">
        <v>38</v>
      </c>
      <c r="O18" s="180" t="s">
        <v>39</v>
      </c>
      <c r="P18" s="48" t="s">
        <v>54</v>
      </c>
      <c r="Q18" s="181" t="s">
        <v>40</v>
      </c>
      <c r="R18" s="180" t="s">
        <v>21</v>
      </c>
      <c r="S18" s="181" t="s">
        <v>41</v>
      </c>
      <c r="T18" s="185" t="s">
        <v>42</v>
      </c>
      <c r="U18" s="186" t="s">
        <v>23</v>
      </c>
      <c r="V18" s="187" t="s">
        <v>24</v>
      </c>
      <c r="W18" s="188" t="s">
        <v>43</v>
      </c>
      <c r="X18" s="189"/>
      <c r="Y18" s="190" t="s">
        <v>44</v>
      </c>
      <c r="Z18" s="191"/>
      <c r="AA18" s="192" t="s">
        <v>27</v>
      </c>
      <c r="AB18" s="193" t="s">
        <v>28</v>
      </c>
      <c r="AC18" s="183" t="s">
        <v>45</v>
      </c>
      <c r="AD18" s="183" t="s">
        <v>30</v>
      </c>
      <c r="AE18" s="194"/>
    </row>
    <row r="19" spans="2:31" s="1" customFormat="1" ht="16.5" customHeight="1" thickTop="1">
      <c r="B19" s="157"/>
      <c r="C19" s="195"/>
      <c r="D19" s="195"/>
      <c r="E19" s="195"/>
      <c r="F19" s="196"/>
      <c r="G19" s="197"/>
      <c r="H19" s="197"/>
      <c r="I19" s="411"/>
      <c r="J19" s="197"/>
      <c r="K19" s="198"/>
      <c r="L19" s="405"/>
      <c r="M19" s="406"/>
      <c r="N19" s="199"/>
      <c r="O19" s="199"/>
      <c r="P19" s="197"/>
      <c r="Q19" s="197"/>
      <c r="R19" s="197"/>
      <c r="S19" s="197"/>
      <c r="T19" s="74"/>
      <c r="U19" s="72"/>
      <c r="V19" s="200"/>
      <c r="W19" s="201"/>
      <c r="X19" s="202"/>
      <c r="Y19" s="203"/>
      <c r="Z19" s="204"/>
      <c r="AA19" s="205"/>
      <c r="AB19" s="206"/>
      <c r="AC19" s="197"/>
      <c r="AD19" s="207"/>
      <c r="AE19" s="158"/>
    </row>
    <row r="20" spans="2:31" s="1" customFormat="1" ht="16.5" customHeight="1">
      <c r="B20" s="157"/>
      <c r="C20" s="208"/>
      <c r="D20" s="208"/>
      <c r="E20" s="208"/>
      <c r="F20" s="77"/>
      <c r="G20" s="79"/>
      <c r="H20" s="221"/>
      <c r="I20" s="412"/>
      <c r="J20" s="222"/>
      <c r="K20" s="223">
        <f aca="true" t="shared" si="0" ref="K20:K26">H20*I20</f>
        <v>0</v>
      </c>
      <c r="L20" s="431"/>
      <c r="M20" s="431"/>
      <c r="N20" s="224">
        <f aca="true" t="shared" si="1" ref="N20:N39">IF(F20="","",(M20-L20)*24)</f>
      </c>
      <c r="O20" s="225">
        <f aca="true" t="shared" si="2" ref="O20:O39">IF(F20="","",ROUND((M20-L20)*24*60,0))</f>
      </c>
      <c r="P20" s="226"/>
      <c r="Q20" s="226"/>
      <c r="R20" s="227"/>
      <c r="S20" s="226"/>
      <c r="T20" s="105">
        <f aca="true" t="shared" si="3" ref="T20:T39">$J$16*IF(OR(P20="P",P20="RP"),0.1,1)*IF(S20="SI",1,0.1)</f>
        <v>6</v>
      </c>
      <c r="U20" s="228" t="str">
        <f aca="true" t="shared" si="4" ref="U20:U39">IF(P20="P",K20*T20*ROUND(O20/60,2),"--")</f>
        <v>--</v>
      </c>
      <c r="V20" s="229" t="str">
        <f aca="true" t="shared" si="5" ref="V20:V39">IF(P20="RP",K20*T20*ROUND(O20/60,2)*R20/100,"--")</f>
        <v>--</v>
      </c>
      <c r="W20" s="230" t="str">
        <f aca="true" t="shared" si="6" ref="W20:W39">IF(AND(P20="F",Q20="NO"),K20*T20,"--")</f>
        <v>--</v>
      </c>
      <c r="X20" s="231" t="str">
        <f aca="true" t="shared" si="7" ref="X20:X39">IF(P20="F",K20*T20*ROUND(O20/60,2),"--")</f>
        <v>--</v>
      </c>
      <c r="Y20" s="232" t="str">
        <f aca="true" t="shared" si="8" ref="Y20:Y39">IF(AND(P20="R",Q20="NO"),K20*T20*R20/100,"--")</f>
        <v>--</v>
      </c>
      <c r="Z20" s="233" t="str">
        <f aca="true" t="shared" si="9" ref="Z20:Z39">IF(P20="R",K20*T20*ROUND(O20/60,2)*R20/100,"--")</f>
        <v>--</v>
      </c>
      <c r="AA20" s="234" t="str">
        <f aca="true" t="shared" si="10" ref="AA20:AA39">IF(P20="RF",K20*T20*ROUND(O20/60,2),"--")</f>
        <v>--</v>
      </c>
      <c r="AB20" s="235" t="str">
        <f aca="true" t="shared" si="11" ref="AB20:AB39">IF(P20="RR",K20*T20*ROUND(O20/60,2)*R20/100,"--")</f>
        <v>--</v>
      </c>
      <c r="AC20" s="226"/>
      <c r="AD20" s="236">
        <f aca="true" t="shared" si="12" ref="AD20:AD39">IF(F20="","",SUM(U20:AB20)*IF(AC20="SI",1,2))</f>
      </c>
      <c r="AE20" s="158"/>
    </row>
    <row r="21" spans="2:31" s="1" customFormat="1" ht="16.5" customHeight="1">
      <c r="B21" s="157"/>
      <c r="C21" s="208">
        <v>176</v>
      </c>
      <c r="D21" s="208">
        <v>255297</v>
      </c>
      <c r="E21" s="208">
        <v>4460</v>
      </c>
      <c r="F21" s="77" t="s">
        <v>226</v>
      </c>
      <c r="G21" s="79" t="s">
        <v>227</v>
      </c>
      <c r="H21" s="221">
        <v>1.5</v>
      </c>
      <c r="I21" s="412">
        <v>3.071814814814815</v>
      </c>
      <c r="J21" s="222">
        <v>13.199999809265137</v>
      </c>
      <c r="K21" s="223">
        <f t="shared" si="0"/>
        <v>4.607722222222223</v>
      </c>
      <c r="L21" s="431">
        <v>41246.49097222222</v>
      </c>
      <c r="M21" s="431">
        <v>41246.60625</v>
      </c>
      <c r="N21" s="224">
        <f t="shared" si="1"/>
        <v>2.7666666666045785</v>
      </c>
      <c r="O21" s="225">
        <f t="shared" si="2"/>
        <v>166</v>
      </c>
      <c r="P21" s="226" t="s">
        <v>79</v>
      </c>
      <c r="Q21" s="429" t="str">
        <f aca="true" t="shared" si="13" ref="Q21:Q39">IF(F21="","",IF(OR(P21="P",P21="RP"),"--","NO"))</f>
        <v>--</v>
      </c>
      <c r="R21" s="430" t="str">
        <f aca="true" t="shared" si="14" ref="R21:R39">IF(F21="","","--")</f>
        <v>--</v>
      </c>
      <c r="S21" s="423" t="str">
        <f aca="true" t="shared" si="15" ref="S21:S39">IF(F21="","","NO")</f>
        <v>NO</v>
      </c>
      <c r="T21" s="105">
        <f t="shared" si="3"/>
        <v>0.6000000000000001</v>
      </c>
      <c r="U21" s="228">
        <f t="shared" si="4"/>
        <v>7.658034333333336</v>
      </c>
      <c r="V21" s="229" t="str">
        <f t="shared" si="5"/>
        <v>--</v>
      </c>
      <c r="W21" s="230" t="str">
        <f t="shared" si="6"/>
        <v>--</v>
      </c>
      <c r="X21" s="231" t="str">
        <f t="shared" si="7"/>
        <v>--</v>
      </c>
      <c r="Y21" s="232" t="str">
        <f t="shared" si="8"/>
        <v>--</v>
      </c>
      <c r="Z21" s="233" t="str">
        <f t="shared" si="9"/>
        <v>--</v>
      </c>
      <c r="AA21" s="234" t="str">
        <f t="shared" si="10"/>
        <v>--</v>
      </c>
      <c r="AB21" s="235" t="str">
        <f t="shared" si="11"/>
        <v>--</v>
      </c>
      <c r="AC21" s="429" t="s">
        <v>76</v>
      </c>
      <c r="AD21" s="236">
        <f t="shared" si="12"/>
        <v>7.658034333333336</v>
      </c>
      <c r="AE21" s="158"/>
    </row>
    <row r="22" spans="2:31" s="1" customFormat="1" ht="16.5" customHeight="1">
      <c r="B22" s="157"/>
      <c r="C22" s="208">
        <v>177</v>
      </c>
      <c r="D22" s="208">
        <v>255358</v>
      </c>
      <c r="E22" s="208">
        <v>4457</v>
      </c>
      <c r="F22" s="77" t="s">
        <v>138</v>
      </c>
      <c r="G22" s="79" t="s">
        <v>228</v>
      </c>
      <c r="H22" s="221">
        <v>3</v>
      </c>
      <c r="I22" s="412">
        <v>3.962715277777778</v>
      </c>
      <c r="J22" s="222">
        <v>13.199999809265137</v>
      </c>
      <c r="K22" s="223">
        <f t="shared" si="0"/>
        <v>11.888145833333333</v>
      </c>
      <c r="L22" s="431">
        <v>41250.41875</v>
      </c>
      <c r="M22" s="431">
        <v>41250.61666666667</v>
      </c>
      <c r="N22" s="224">
        <f t="shared" si="1"/>
        <v>4.750000000116415</v>
      </c>
      <c r="O22" s="225">
        <f t="shared" si="2"/>
        <v>285</v>
      </c>
      <c r="P22" s="226" t="s">
        <v>79</v>
      </c>
      <c r="Q22" s="429" t="str">
        <f t="shared" si="13"/>
        <v>--</v>
      </c>
      <c r="R22" s="430" t="str">
        <f t="shared" si="14"/>
        <v>--</v>
      </c>
      <c r="S22" s="423" t="str">
        <f t="shared" si="15"/>
        <v>NO</v>
      </c>
      <c r="T22" s="105">
        <f t="shared" si="3"/>
        <v>0.6000000000000001</v>
      </c>
      <c r="U22" s="228">
        <f t="shared" si="4"/>
        <v>33.881215625</v>
      </c>
      <c r="V22" s="229" t="str">
        <f t="shared" si="5"/>
        <v>--</v>
      </c>
      <c r="W22" s="230" t="str">
        <f t="shared" si="6"/>
        <v>--</v>
      </c>
      <c r="X22" s="231" t="str">
        <f t="shared" si="7"/>
        <v>--</v>
      </c>
      <c r="Y22" s="232" t="str">
        <f t="shared" si="8"/>
        <v>--</v>
      </c>
      <c r="Z22" s="233" t="str">
        <f t="shared" si="9"/>
        <v>--</v>
      </c>
      <c r="AA22" s="234" t="str">
        <f t="shared" si="10"/>
        <v>--</v>
      </c>
      <c r="AB22" s="235" t="str">
        <f t="shared" si="11"/>
        <v>--</v>
      </c>
      <c r="AC22" s="429" t="s">
        <v>76</v>
      </c>
      <c r="AD22" s="236">
        <f t="shared" si="12"/>
        <v>33.881215625</v>
      </c>
      <c r="AE22" s="158"/>
    </row>
    <row r="23" spans="2:31" s="1" customFormat="1" ht="16.5" customHeight="1">
      <c r="B23" s="157"/>
      <c r="C23" s="208"/>
      <c r="D23" s="208"/>
      <c r="E23" s="208"/>
      <c r="F23" s="77"/>
      <c r="G23" s="79"/>
      <c r="H23" s="221"/>
      <c r="I23" s="412"/>
      <c r="J23" s="222"/>
      <c r="K23" s="223">
        <f t="shared" si="0"/>
        <v>0</v>
      </c>
      <c r="L23" s="431"/>
      <c r="M23" s="431"/>
      <c r="N23" s="224">
        <f t="shared" si="1"/>
      </c>
      <c r="O23" s="225">
        <f t="shared" si="2"/>
      </c>
      <c r="P23" s="226"/>
      <c r="Q23" s="429">
        <f t="shared" si="13"/>
      </c>
      <c r="R23" s="430">
        <f t="shared" si="14"/>
      </c>
      <c r="S23" s="423">
        <f t="shared" si="15"/>
      </c>
      <c r="T23" s="105">
        <f t="shared" si="3"/>
        <v>6</v>
      </c>
      <c r="U23" s="228" t="str">
        <f t="shared" si="4"/>
        <v>--</v>
      </c>
      <c r="V23" s="229" t="str">
        <f t="shared" si="5"/>
        <v>--</v>
      </c>
      <c r="W23" s="230" t="str">
        <f t="shared" si="6"/>
        <v>--</v>
      </c>
      <c r="X23" s="231" t="str">
        <f t="shared" si="7"/>
        <v>--</v>
      </c>
      <c r="Y23" s="232" t="str">
        <f t="shared" si="8"/>
        <v>--</v>
      </c>
      <c r="Z23" s="233" t="str">
        <f t="shared" si="9"/>
        <v>--</v>
      </c>
      <c r="AA23" s="234" t="str">
        <f t="shared" si="10"/>
        <v>--</v>
      </c>
      <c r="AB23" s="235" t="str">
        <f t="shared" si="11"/>
        <v>--</v>
      </c>
      <c r="AC23" s="429">
        <f aca="true" t="shared" si="16" ref="AC23:AC39">IF(F23="","","SI")</f>
      </c>
      <c r="AD23" s="236">
        <f t="shared" si="12"/>
      </c>
      <c r="AE23" s="158"/>
    </row>
    <row r="24" spans="2:31" s="1" customFormat="1" ht="16.5" customHeight="1">
      <c r="B24" s="157"/>
      <c r="C24" s="208"/>
      <c r="D24" s="208"/>
      <c r="E24" s="208"/>
      <c r="F24" s="77"/>
      <c r="G24" s="79"/>
      <c r="H24" s="221"/>
      <c r="I24" s="412"/>
      <c r="J24" s="222"/>
      <c r="K24" s="223">
        <f t="shared" si="0"/>
        <v>0</v>
      </c>
      <c r="L24" s="431"/>
      <c r="M24" s="431"/>
      <c r="N24" s="224">
        <f t="shared" si="1"/>
      </c>
      <c r="O24" s="225">
        <f t="shared" si="2"/>
      </c>
      <c r="P24" s="226"/>
      <c r="Q24" s="429">
        <f t="shared" si="13"/>
      </c>
      <c r="R24" s="430">
        <f t="shared" si="14"/>
      </c>
      <c r="S24" s="423">
        <f t="shared" si="15"/>
      </c>
      <c r="T24" s="105">
        <f t="shared" si="3"/>
        <v>6</v>
      </c>
      <c r="U24" s="228" t="str">
        <f t="shared" si="4"/>
        <v>--</v>
      </c>
      <c r="V24" s="229" t="str">
        <f t="shared" si="5"/>
        <v>--</v>
      </c>
      <c r="W24" s="230" t="str">
        <f t="shared" si="6"/>
        <v>--</v>
      </c>
      <c r="X24" s="231" t="str">
        <f t="shared" si="7"/>
        <v>--</v>
      </c>
      <c r="Y24" s="232" t="str">
        <f t="shared" si="8"/>
        <v>--</v>
      </c>
      <c r="Z24" s="233" t="str">
        <f t="shared" si="9"/>
        <v>--</v>
      </c>
      <c r="AA24" s="234" t="str">
        <f t="shared" si="10"/>
        <v>--</v>
      </c>
      <c r="AB24" s="235" t="str">
        <f t="shared" si="11"/>
        <v>--</v>
      </c>
      <c r="AC24" s="429">
        <f t="shared" si="16"/>
      </c>
      <c r="AD24" s="236">
        <f t="shared" si="12"/>
      </c>
      <c r="AE24" s="158"/>
    </row>
    <row r="25" spans="2:31" s="1" customFormat="1" ht="16.5" customHeight="1">
      <c r="B25" s="157"/>
      <c r="C25" s="208"/>
      <c r="D25" s="208"/>
      <c r="E25" s="208"/>
      <c r="F25" s="77"/>
      <c r="G25" s="79"/>
      <c r="H25" s="221"/>
      <c r="I25" s="412"/>
      <c r="J25" s="222"/>
      <c r="K25" s="223">
        <f t="shared" si="0"/>
        <v>0</v>
      </c>
      <c r="L25" s="431"/>
      <c r="M25" s="431"/>
      <c r="N25" s="224">
        <f t="shared" si="1"/>
      </c>
      <c r="O25" s="225">
        <f t="shared" si="2"/>
      </c>
      <c r="P25" s="226"/>
      <c r="Q25" s="429">
        <f t="shared" si="13"/>
      </c>
      <c r="R25" s="430">
        <f t="shared" si="14"/>
      </c>
      <c r="S25" s="423">
        <f t="shared" si="15"/>
      </c>
      <c r="T25" s="105">
        <f t="shared" si="3"/>
        <v>6</v>
      </c>
      <c r="U25" s="228" t="str">
        <f t="shared" si="4"/>
        <v>--</v>
      </c>
      <c r="V25" s="229" t="str">
        <f t="shared" si="5"/>
        <v>--</v>
      </c>
      <c r="W25" s="230" t="str">
        <f t="shared" si="6"/>
        <v>--</v>
      </c>
      <c r="X25" s="231" t="str">
        <f t="shared" si="7"/>
        <v>--</v>
      </c>
      <c r="Y25" s="232" t="str">
        <f t="shared" si="8"/>
        <v>--</v>
      </c>
      <c r="Z25" s="233" t="str">
        <f t="shared" si="9"/>
        <v>--</v>
      </c>
      <c r="AA25" s="234" t="str">
        <f t="shared" si="10"/>
        <v>--</v>
      </c>
      <c r="AB25" s="235" t="str">
        <f t="shared" si="11"/>
        <v>--</v>
      </c>
      <c r="AC25" s="429">
        <f t="shared" si="16"/>
      </c>
      <c r="AD25" s="236">
        <f t="shared" si="12"/>
      </c>
      <c r="AE25" s="158"/>
    </row>
    <row r="26" spans="2:31" s="1" customFormat="1" ht="16.5" customHeight="1">
      <c r="B26" s="157"/>
      <c r="C26" s="208"/>
      <c r="D26" s="208"/>
      <c r="E26" s="208"/>
      <c r="F26" s="77"/>
      <c r="G26" s="79"/>
      <c r="H26" s="221"/>
      <c r="I26" s="412"/>
      <c r="J26" s="222"/>
      <c r="K26" s="223">
        <f t="shared" si="0"/>
        <v>0</v>
      </c>
      <c r="L26" s="431"/>
      <c r="M26" s="431"/>
      <c r="N26" s="224">
        <f t="shared" si="1"/>
      </c>
      <c r="O26" s="225">
        <f t="shared" si="2"/>
      </c>
      <c r="P26" s="226"/>
      <c r="Q26" s="429">
        <f t="shared" si="13"/>
      </c>
      <c r="R26" s="430">
        <f t="shared" si="14"/>
      </c>
      <c r="S26" s="423">
        <f t="shared" si="15"/>
      </c>
      <c r="T26" s="105">
        <f t="shared" si="3"/>
        <v>6</v>
      </c>
      <c r="U26" s="228" t="str">
        <f t="shared" si="4"/>
        <v>--</v>
      </c>
      <c r="V26" s="229" t="str">
        <f t="shared" si="5"/>
        <v>--</v>
      </c>
      <c r="W26" s="230" t="str">
        <f t="shared" si="6"/>
        <v>--</v>
      </c>
      <c r="X26" s="231" t="str">
        <f t="shared" si="7"/>
        <v>--</v>
      </c>
      <c r="Y26" s="232" t="str">
        <f t="shared" si="8"/>
        <v>--</v>
      </c>
      <c r="Z26" s="233" t="str">
        <f t="shared" si="9"/>
        <v>--</v>
      </c>
      <c r="AA26" s="234" t="str">
        <f t="shared" si="10"/>
        <v>--</v>
      </c>
      <c r="AB26" s="235" t="str">
        <f t="shared" si="11"/>
        <v>--</v>
      </c>
      <c r="AC26" s="429">
        <f t="shared" si="16"/>
      </c>
      <c r="AD26" s="236">
        <f t="shared" si="12"/>
      </c>
      <c r="AE26" s="158"/>
    </row>
    <row r="27" spans="2:31" s="1" customFormat="1" ht="16.5" customHeight="1">
      <c r="B27" s="157"/>
      <c r="C27" s="208"/>
      <c r="D27" s="208"/>
      <c r="E27" s="208"/>
      <c r="F27" s="77"/>
      <c r="G27" s="79"/>
      <c r="H27" s="221"/>
      <c r="I27" s="412"/>
      <c r="J27" s="222"/>
      <c r="K27" s="223"/>
      <c r="L27" s="431"/>
      <c r="M27" s="431"/>
      <c r="N27" s="224">
        <f t="shared" si="1"/>
      </c>
      <c r="O27" s="225">
        <f t="shared" si="2"/>
      </c>
      <c r="P27" s="226"/>
      <c r="Q27" s="429">
        <f t="shared" si="13"/>
      </c>
      <c r="R27" s="430">
        <f t="shared" si="14"/>
      </c>
      <c r="S27" s="423">
        <f t="shared" si="15"/>
      </c>
      <c r="T27" s="105">
        <f t="shared" si="3"/>
        <v>6</v>
      </c>
      <c r="U27" s="228" t="str">
        <f t="shared" si="4"/>
        <v>--</v>
      </c>
      <c r="V27" s="229" t="str">
        <f t="shared" si="5"/>
        <v>--</v>
      </c>
      <c r="W27" s="230" t="str">
        <f t="shared" si="6"/>
        <v>--</v>
      </c>
      <c r="X27" s="231" t="str">
        <f t="shared" si="7"/>
        <v>--</v>
      </c>
      <c r="Y27" s="232" t="str">
        <f t="shared" si="8"/>
        <v>--</v>
      </c>
      <c r="Z27" s="233" t="str">
        <f t="shared" si="9"/>
        <v>--</v>
      </c>
      <c r="AA27" s="234" t="str">
        <f t="shared" si="10"/>
        <v>--</v>
      </c>
      <c r="AB27" s="235" t="str">
        <f t="shared" si="11"/>
        <v>--</v>
      </c>
      <c r="AC27" s="429">
        <f t="shared" si="16"/>
      </c>
      <c r="AD27" s="236">
        <f t="shared" si="12"/>
      </c>
      <c r="AE27" s="158"/>
    </row>
    <row r="28" spans="2:31" s="1" customFormat="1" ht="16.5" customHeight="1">
      <c r="B28" s="157"/>
      <c r="C28" s="414"/>
      <c r="D28" s="414"/>
      <c r="E28" s="414"/>
      <c r="F28" s="77"/>
      <c r="G28" s="79"/>
      <c r="H28" s="221"/>
      <c r="I28" s="412"/>
      <c r="J28" s="222"/>
      <c r="K28" s="415"/>
      <c r="L28" s="431"/>
      <c r="M28" s="431"/>
      <c r="N28" s="224">
        <f t="shared" si="1"/>
      </c>
      <c r="O28" s="225">
        <f t="shared" si="2"/>
      </c>
      <c r="P28" s="226"/>
      <c r="Q28" s="429">
        <f t="shared" si="13"/>
      </c>
      <c r="R28" s="430">
        <f t="shared" si="14"/>
      </c>
      <c r="S28" s="423">
        <f t="shared" si="15"/>
      </c>
      <c r="T28" s="105">
        <f t="shared" si="3"/>
        <v>6</v>
      </c>
      <c r="U28" s="228" t="str">
        <f t="shared" si="4"/>
        <v>--</v>
      </c>
      <c r="V28" s="229" t="str">
        <f t="shared" si="5"/>
        <v>--</v>
      </c>
      <c r="W28" s="230" t="str">
        <f t="shared" si="6"/>
        <v>--</v>
      </c>
      <c r="X28" s="231" t="str">
        <f t="shared" si="7"/>
        <v>--</v>
      </c>
      <c r="Y28" s="232" t="str">
        <f t="shared" si="8"/>
        <v>--</v>
      </c>
      <c r="Z28" s="233" t="str">
        <f t="shared" si="9"/>
        <v>--</v>
      </c>
      <c r="AA28" s="234" t="str">
        <f t="shared" si="10"/>
        <v>--</v>
      </c>
      <c r="AB28" s="235" t="str">
        <f t="shared" si="11"/>
        <v>--</v>
      </c>
      <c r="AC28" s="429">
        <f t="shared" si="16"/>
      </c>
      <c r="AD28" s="236">
        <f t="shared" si="12"/>
      </c>
      <c r="AE28" s="158"/>
    </row>
    <row r="29" spans="2:31" s="1" customFormat="1" ht="16.5" customHeight="1">
      <c r="B29" s="157"/>
      <c r="C29" s="414"/>
      <c r="D29" s="414"/>
      <c r="E29" s="414"/>
      <c r="F29" s="77"/>
      <c r="G29" s="79"/>
      <c r="H29" s="221"/>
      <c r="I29" s="412"/>
      <c r="J29" s="222"/>
      <c r="K29" s="415"/>
      <c r="L29" s="431"/>
      <c r="M29" s="431"/>
      <c r="N29" s="224">
        <f t="shared" si="1"/>
      </c>
      <c r="O29" s="225">
        <f t="shared" si="2"/>
      </c>
      <c r="P29" s="226"/>
      <c r="Q29" s="429">
        <f t="shared" si="13"/>
      </c>
      <c r="R29" s="430">
        <f t="shared" si="14"/>
      </c>
      <c r="S29" s="423">
        <f t="shared" si="15"/>
      </c>
      <c r="T29" s="105">
        <f t="shared" si="3"/>
        <v>6</v>
      </c>
      <c r="U29" s="228" t="str">
        <f t="shared" si="4"/>
        <v>--</v>
      </c>
      <c r="V29" s="229" t="str">
        <f t="shared" si="5"/>
        <v>--</v>
      </c>
      <c r="W29" s="230" t="str">
        <f t="shared" si="6"/>
        <v>--</v>
      </c>
      <c r="X29" s="231" t="str">
        <f t="shared" si="7"/>
        <v>--</v>
      </c>
      <c r="Y29" s="232" t="str">
        <f t="shared" si="8"/>
        <v>--</v>
      </c>
      <c r="Z29" s="233" t="str">
        <f t="shared" si="9"/>
        <v>--</v>
      </c>
      <c r="AA29" s="234" t="str">
        <f t="shared" si="10"/>
        <v>--</v>
      </c>
      <c r="AB29" s="235" t="str">
        <f t="shared" si="11"/>
        <v>--</v>
      </c>
      <c r="AC29" s="429">
        <f t="shared" si="16"/>
      </c>
      <c r="AD29" s="236">
        <f t="shared" si="12"/>
      </c>
      <c r="AE29" s="158"/>
    </row>
    <row r="30" spans="2:31" s="1" customFormat="1" ht="16.5" customHeight="1">
      <c r="B30" s="157"/>
      <c r="C30" s="414"/>
      <c r="D30" s="414"/>
      <c r="E30" s="414"/>
      <c r="F30" s="77"/>
      <c r="G30" s="79"/>
      <c r="H30" s="221"/>
      <c r="I30" s="412"/>
      <c r="J30" s="222"/>
      <c r="K30" s="415"/>
      <c r="L30" s="431"/>
      <c r="M30" s="431"/>
      <c r="N30" s="224">
        <f t="shared" si="1"/>
      </c>
      <c r="O30" s="225">
        <f t="shared" si="2"/>
      </c>
      <c r="P30" s="226"/>
      <c r="Q30" s="429">
        <f t="shared" si="13"/>
      </c>
      <c r="R30" s="430">
        <f t="shared" si="14"/>
      </c>
      <c r="S30" s="423">
        <f t="shared" si="15"/>
      </c>
      <c r="T30" s="105">
        <f t="shared" si="3"/>
        <v>6</v>
      </c>
      <c r="U30" s="228" t="str">
        <f t="shared" si="4"/>
        <v>--</v>
      </c>
      <c r="V30" s="229" t="str">
        <f t="shared" si="5"/>
        <v>--</v>
      </c>
      <c r="W30" s="230" t="str">
        <f t="shared" si="6"/>
        <v>--</v>
      </c>
      <c r="X30" s="231" t="str">
        <f t="shared" si="7"/>
        <v>--</v>
      </c>
      <c r="Y30" s="232" t="str">
        <f t="shared" si="8"/>
        <v>--</v>
      </c>
      <c r="Z30" s="233" t="str">
        <f t="shared" si="9"/>
        <v>--</v>
      </c>
      <c r="AA30" s="234" t="str">
        <f t="shared" si="10"/>
        <v>--</v>
      </c>
      <c r="AB30" s="235" t="str">
        <f t="shared" si="11"/>
        <v>--</v>
      </c>
      <c r="AC30" s="429">
        <f t="shared" si="16"/>
      </c>
      <c r="AD30" s="236">
        <f t="shared" si="12"/>
      </c>
      <c r="AE30" s="158"/>
    </row>
    <row r="31" spans="2:31" s="1" customFormat="1" ht="16.5" customHeight="1">
      <c r="B31" s="157"/>
      <c r="C31" s="414"/>
      <c r="D31" s="414"/>
      <c r="E31" s="414"/>
      <c r="F31" s="77"/>
      <c r="G31" s="79"/>
      <c r="H31" s="221"/>
      <c r="I31" s="412"/>
      <c r="J31" s="222"/>
      <c r="K31" s="415"/>
      <c r="L31" s="431"/>
      <c r="M31" s="431"/>
      <c r="N31" s="224">
        <f t="shared" si="1"/>
      </c>
      <c r="O31" s="225">
        <f t="shared" si="2"/>
      </c>
      <c r="P31" s="226"/>
      <c r="Q31" s="429">
        <f t="shared" si="13"/>
      </c>
      <c r="R31" s="430">
        <f t="shared" si="14"/>
      </c>
      <c r="S31" s="423">
        <f t="shared" si="15"/>
      </c>
      <c r="T31" s="105">
        <f t="shared" si="3"/>
        <v>6</v>
      </c>
      <c r="U31" s="228" t="str">
        <f t="shared" si="4"/>
        <v>--</v>
      </c>
      <c r="V31" s="229" t="str">
        <f t="shared" si="5"/>
        <v>--</v>
      </c>
      <c r="W31" s="230" t="str">
        <f t="shared" si="6"/>
        <v>--</v>
      </c>
      <c r="X31" s="231" t="str">
        <f t="shared" si="7"/>
        <v>--</v>
      </c>
      <c r="Y31" s="232" t="str">
        <f t="shared" si="8"/>
        <v>--</v>
      </c>
      <c r="Z31" s="233" t="str">
        <f t="shared" si="9"/>
        <v>--</v>
      </c>
      <c r="AA31" s="234" t="str">
        <f t="shared" si="10"/>
        <v>--</v>
      </c>
      <c r="AB31" s="235" t="str">
        <f t="shared" si="11"/>
        <v>--</v>
      </c>
      <c r="AC31" s="429">
        <f t="shared" si="16"/>
      </c>
      <c r="AD31" s="236">
        <f t="shared" si="12"/>
      </c>
      <c r="AE31" s="158"/>
    </row>
    <row r="32" spans="2:31" s="1" customFormat="1" ht="16.5" customHeight="1">
      <c r="B32" s="157"/>
      <c r="C32" s="414"/>
      <c r="D32" s="414"/>
      <c r="E32" s="414"/>
      <c r="F32" s="77"/>
      <c r="G32" s="79"/>
      <c r="H32" s="221"/>
      <c r="I32" s="412"/>
      <c r="J32" s="222"/>
      <c r="K32" s="415"/>
      <c r="L32" s="431"/>
      <c r="M32" s="431"/>
      <c r="N32" s="224">
        <f t="shared" si="1"/>
      </c>
      <c r="O32" s="225">
        <f t="shared" si="2"/>
      </c>
      <c r="P32" s="226"/>
      <c r="Q32" s="429">
        <f t="shared" si="13"/>
      </c>
      <c r="R32" s="430">
        <f t="shared" si="14"/>
      </c>
      <c r="S32" s="423">
        <f t="shared" si="15"/>
      </c>
      <c r="T32" s="105">
        <f t="shared" si="3"/>
        <v>6</v>
      </c>
      <c r="U32" s="228" t="str">
        <f t="shared" si="4"/>
        <v>--</v>
      </c>
      <c r="V32" s="229" t="str">
        <f t="shared" si="5"/>
        <v>--</v>
      </c>
      <c r="W32" s="230" t="str">
        <f t="shared" si="6"/>
        <v>--</v>
      </c>
      <c r="X32" s="231" t="str">
        <f t="shared" si="7"/>
        <v>--</v>
      </c>
      <c r="Y32" s="232" t="str">
        <f t="shared" si="8"/>
        <v>--</v>
      </c>
      <c r="Z32" s="233" t="str">
        <f t="shared" si="9"/>
        <v>--</v>
      </c>
      <c r="AA32" s="234" t="str">
        <f t="shared" si="10"/>
        <v>--</v>
      </c>
      <c r="AB32" s="235" t="str">
        <f t="shared" si="11"/>
        <v>--</v>
      </c>
      <c r="AC32" s="429">
        <f t="shared" si="16"/>
      </c>
      <c r="AD32" s="236">
        <f t="shared" si="12"/>
      </c>
      <c r="AE32" s="158"/>
    </row>
    <row r="33" spans="2:31" s="1" customFormat="1" ht="16.5" customHeight="1">
      <c r="B33" s="157"/>
      <c r="C33" s="414"/>
      <c r="D33" s="414"/>
      <c r="E33" s="414"/>
      <c r="F33" s="77"/>
      <c r="G33" s="79"/>
      <c r="H33" s="221"/>
      <c r="I33" s="412"/>
      <c r="J33" s="222"/>
      <c r="K33" s="415"/>
      <c r="L33" s="431"/>
      <c r="M33" s="431"/>
      <c r="N33" s="224">
        <f t="shared" si="1"/>
      </c>
      <c r="O33" s="225">
        <f t="shared" si="2"/>
      </c>
      <c r="P33" s="226"/>
      <c r="Q33" s="429">
        <f t="shared" si="13"/>
      </c>
      <c r="R33" s="430">
        <f t="shared" si="14"/>
      </c>
      <c r="S33" s="423">
        <f t="shared" si="15"/>
      </c>
      <c r="T33" s="105">
        <f t="shared" si="3"/>
        <v>6</v>
      </c>
      <c r="U33" s="228" t="str">
        <f t="shared" si="4"/>
        <v>--</v>
      </c>
      <c r="V33" s="229" t="str">
        <f t="shared" si="5"/>
        <v>--</v>
      </c>
      <c r="W33" s="230" t="str">
        <f t="shared" si="6"/>
        <v>--</v>
      </c>
      <c r="X33" s="231" t="str">
        <f t="shared" si="7"/>
        <v>--</v>
      </c>
      <c r="Y33" s="232" t="str">
        <f t="shared" si="8"/>
        <v>--</v>
      </c>
      <c r="Z33" s="233" t="str">
        <f t="shared" si="9"/>
        <v>--</v>
      </c>
      <c r="AA33" s="234" t="str">
        <f t="shared" si="10"/>
        <v>--</v>
      </c>
      <c r="AB33" s="235" t="str">
        <f t="shared" si="11"/>
        <v>--</v>
      </c>
      <c r="AC33" s="429">
        <f t="shared" si="16"/>
      </c>
      <c r="AD33" s="236">
        <f t="shared" si="12"/>
      </c>
      <c r="AE33" s="158"/>
    </row>
    <row r="34" spans="2:31" s="1" customFormat="1" ht="16.5" customHeight="1">
      <c r="B34" s="157"/>
      <c r="C34" s="414"/>
      <c r="D34" s="414"/>
      <c r="E34" s="414"/>
      <c r="F34" s="77"/>
      <c r="G34" s="79"/>
      <c r="H34" s="221"/>
      <c r="I34" s="412"/>
      <c r="J34" s="222"/>
      <c r="K34" s="415"/>
      <c r="L34" s="431"/>
      <c r="M34" s="431"/>
      <c r="N34" s="224">
        <f t="shared" si="1"/>
      </c>
      <c r="O34" s="225">
        <f t="shared" si="2"/>
      </c>
      <c r="P34" s="226"/>
      <c r="Q34" s="429">
        <f t="shared" si="13"/>
      </c>
      <c r="R34" s="430">
        <f t="shared" si="14"/>
      </c>
      <c r="S34" s="423">
        <f t="shared" si="15"/>
      </c>
      <c r="T34" s="105">
        <f t="shared" si="3"/>
        <v>6</v>
      </c>
      <c r="U34" s="228" t="str">
        <f t="shared" si="4"/>
        <v>--</v>
      </c>
      <c r="V34" s="229" t="str">
        <f t="shared" si="5"/>
        <v>--</v>
      </c>
      <c r="W34" s="230" t="str">
        <f t="shared" si="6"/>
        <v>--</v>
      </c>
      <c r="X34" s="231" t="str">
        <f t="shared" si="7"/>
        <v>--</v>
      </c>
      <c r="Y34" s="232" t="str">
        <f t="shared" si="8"/>
        <v>--</v>
      </c>
      <c r="Z34" s="233" t="str">
        <f t="shared" si="9"/>
        <v>--</v>
      </c>
      <c r="AA34" s="234" t="str">
        <f t="shared" si="10"/>
        <v>--</v>
      </c>
      <c r="AB34" s="235" t="str">
        <f t="shared" si="11"/>
        <v>--</v>
      </c>
      <c r="AC34" s="429">
        <f t="shared" si="16"/>
      </c>
      <c r="AD34" s="236">
        <f t="shared" si="12"/>
      </c>
      <c r="AE34" s="158"/>
    </row>
    <row r="35" spans="2:31" s="1" customFormat="1" ht="16.5" customHeight="1">
      <c r="B35" s="157"/>
      <c r="C35" s="414"/>
      <c r="D35" s="414"/>
      <c r="E35" s="414"/>
      <c r="F35" s="77"/>
      <c r="G35" s="79"/>
      <c r="H35" s="221"/>
      <c r="I35" s="412"/>
      <c r="J35" s="222"/>
      <c r="K35" s="415"/>
      <c r="L35" s="431"/>
      <c r="M35" s="431"/>
      <c r="N35" s="224">
        <f t="shared" si="1"/>
      </c>
      <c r="O35" s="225">
        <f t="shared" si="2"/>
      </c>
      <c r="P35" s="226"/>
      <c r="Q35" s="429">
        <f t="shared" si="13"/>
      </c>
      <c r="R35" s="430">
        <f t="shared" si="14"/>
      </c>
      <c r="S35" s="423">
        <f t="shared" si="15"/>
      </c>
      <c r="T35" s="105">
        <f t="shared" si="3"/>
        <v>6</v>
      </c>
      <c r="U35" s="228" t="str">
        <f t="shared" si="4"/>
        <v>--</v>
      </c>
      <c r="V35" s="229" t="str">
        <f t="shared" si="5"/>
        <v>--</v>
      </c>
      <c r="W35" s="230" t="str">
        <f t="shared" si="6"/>
        <v>--</v>
      </c>
      <c r="X35" s="231" t="str">
        <f t="shared" si="7"/>
        <v>--</v>
      </c>
      <c r="Y35" s="232" t="str">
        <f t="shared" si="8"/>
        <v>--</v>
      </c>
      <c r="Z35" s="233" t="str">
        <f t="shared" si="9"/>
        <v>--</v>
      </c>
      <c r="AA35" s="234" t="str">
        <f t="shared" si="10"/>
        <v>--</v>
      </c>
      <c r="AB35" s="235" t="str">
        <f t="shared" si="11"/>
        <v>--</v>
      </c>
      <c r="AC35" s="429">
        <f t="shared" si="16"/>
      </c>
      <c r="AD35" s="236">
        <f t="shared" si="12"/>
      </c>
      <c r="AE35" s="158"/>
    </row>
    <row r="36" spans="2:31" s="1" customFormat="1" ht="16.5" customHeight="1">
      <c r="B36" s="157"/>
      <c r="C36" s="414"/>
      <c r="D36" s="414"/>
      <c r="E36" s="414"/>
      <c r="F36" s="77"/>
      <c r="G36" s="79"/>
      <c r="H36" s="221"/>
      <c r="I36" s="412"/>
      <c r="J36" s="222"/>
      <c r="K36" s="415"/>
      <c r="L36" s="431"/>
      <c r="M36" s="431"/>
      <c r="N36" s="224">
        <f t="shared" si="1"/>
      </c>
      <c r="O36" s="225">
        <f t="shared" si="2"/>
      </c>
      <c r="P36" s="226"/>
      <c r="Q36" s="429">
        <f t="shared" si="13"/>
      </c>
      <c r="R36" s="430">
        <f t="shared" si="14"/>
      </c>
      <c r="S36" s="423">
        <f t="shared" si="15"/>
      </c>
      <c r="T36" s="105">
        <f t="shared" si="3"/>
        <v>6</v>
      </c>
      <c r="U36" s="228" t="str">
        <f t="shared" si="4"/>
        <v>--</v>
      </c>
      <c r="V36" s="229" t="str">
        <f t="shared" si="5"/>
        <v>--</v>
      </c>
      <c r="W36" s="230" t="str">
        <f t="shared" si="6"/>
        <v>--</v>
      </c>
      <c r="X36" s="231" t="str">
        <f t="shared" si="7"/>
        <v>--</v>
      </c>
      <c r="Y36" s="232" t="str">
        <f t="shared" si="8"/>
        <v>--</v>
      </c>
      <c r="Z36" s="233" t="str">
        <f t="shared" si="9"/>
        <v>--</v>
      </c>
      <c r="AA36" s="234" t="str">
        <f t="shared" si="10"/>
        <v>--</v>
      </c>
      <c r="AB36" s="235" t="str">
        <f t="shared" si="11"/>
        <v>--</v>
      </c>
      <c r="AC36" s="429">
        <f t="shared" si="16"/>
      </c>
      <c r="AD36" s="236">
        <f t="shared" si="12"/>
      </c>
      <c r="AE36" s="158"/>
    </row>
    <row r="37" spans="2:31" s="1" customFormat="1" ht="16.5" customHeight="1">
      <c r="B37" s="157"/>
      <c r="C37" s="414"/>
      <c r="D37" s="414"/>
      <c r="E37" s="414"/>
      <c r="F37" s="77"/>
      <c r="G37" s="79"/>
      <c r="H37" s="221"/>
      <c r="I37" s="412"/>
      <c r="J37" s="222"/>
      <c r="K37" s="415"/>
      <c r="L37" s="431"/>
      <c r="M37" s="431"/>
      <c r="N37" s="224">
        <f t="shared" si="1"/>
      </c>
      <c r="O37" s="225">
        <f t="shared" si="2"/>
      </c>
      <c r="P37" s="226"/>
      <c r="Q37" s="429">
        <f t="shared" si="13"/>
      </c>
      <c r="R37" s="430">
        <f t="shared" si="14"/>
      </c>
      <c r="S37" s="423">
        <f t="shared" si="15"/>
      </c>
      <c r="T37" s="105">
        <f t="shared" si="3"/>
        <v>6</v>
      </c>
      <c r="U37" s="228" t="str">
        <f t="shared" si="4"/>
        <v>--</v>
      </c>
      <c r="V37" s="229" t="str">
        <f t="shared" si="5"/>
        <v>--</v>
      </c>
      <c r="W37" s="230" t="str">
        <f t="shared" si="6"/>
        <v>--</v>
      </c>
      <c r="X37" s="231" t="str">
        <f t="shared" si="7"/>
        <v>--</v>
      </c>
      <c r="Y37" s="232" t="str">
        <f t="shared" si="8"/>
        <v>--</v>
      </c>
      <c r="Z37" s="233" t="str">
        <f t="shared" si="9"/>
        <v>--</v>
      </c>
      <c r="AA37" s="234" t="str">
        <f t="shared" si="10"/>
        <v>--</v>
      </c>
      <c r="AB37" s="235" t="str">
        <f t="shared" si="11"/>
        <v>--</v>
      </c>
      <c r="AC37" s="429">
        <f t="shared" si="16"/>
      </c>
      <c r="AD37" s="236">
        <f t="shared" si="12"/>
      </c>
      <c r="AE37" s="158"/>
    </row>
    <row r="38" spans="2:31" s="1" customFormat="1" ht="16.5" customHeight="1">
      <c r="B38" s="157"/>
      <c r="C38" s="414"/>
      <c r="D38" s="414"/>
      <c r="E38" s="414"/>
      <c r="F38" s="77"/>
      <c r="G38" s="79"/>
      <c r="H38" s="221"/>
      <c r="I38" s="412"/>
      <c r="J38" s="222"/>
      <c r="K38" s="415"/>
      <c r="L38" s="431"/>
      <c r="M38" s="431"/>
      <c r="N38" s="224">
        <f t="shared" si="1"/>
      </c>
      <c r="O38" s="225">
        <f t="shared" si="2"/>
      </c>
      <c r="P38" s="226"/>
      <c r="Q38" s="429">
        <f t="shared" si="13"/>
      </c>
      <c r="R38" s="430">
        <f t="shared" si="14"/>
      </c>
      <c r="S38" s="423">
        <f t="shared" si="15"/>
      </c>
      <c r="T38" s="105">
        <f t="shared" si="3"/>
        <v>6</v>
      </c>
      <c r="U38" s="228" t="str">
        <f t="shared" si="4"/>
        <v>--</v>
      </c>
      <c r="V38" s="229" t="str">
        <f t="shared" si="5"/>
        <v>--</v>
      </c>
      <c r="W38" s="230" t="str">
        <f t="shared" si="6"/>
        <v>--</v>
      </c>
      <c r="X38" s="231" t="str">
        <f t="shared" si="7"/>
        <v>--</v>
      </c>
      <c r="Y38" s="232" t="str">
        <f t="shared" si="8"/>
        <v>--</v>
      </c>
      <c r="Z38" s="233" t="str">
        <f t="shared" si="9"/>
        <v>--</v>
      </c>
      <c r="AA38" s="234" t="str">
        <f t="shared" si="10"/>
        <v>--</v>
      </c>
      <c r="AB38" s="235" t="str">
        <f t="shared" si="11"/>
        <v>--</v>
      </c>
      <c r="AC38" s="429">
        <f t="shared" si="16"/>
      </c>
      <c r="AD38" s="236">
        <f t="shared" si="12"/>
      </c>
      <c r="AE38" s="158"/>
    </row>
    <row r="39" spans="2:31" s="1" customFormat="1" ht="16.5" customHeight="1">
      <c r="B39" s="157"/>
      <c r="C39" s="414"/>
      <c r="D39" s="414"/>
      <c r="E39" s="414"/>
      <c r="F39" s="77"/>
      <c r="G39" s="79"/>
      <c r="H39" s="221"/>
      <c r="I39" s="412"/>
      <c r="J39" s="222"/>
      <c r="K39" s="415"/>
      <c r="L39" s="431"/>
      <c r="M39" s="431"/>
      <c r="N39" s="224">
        <f t="shared" si="1"/>
      </c>
      <c r="O39" s="225">
        <f t="shared" si="2"/>
      </c>
      <c r="P39" s="226"/>
      <c r="Q39" s="429">
        <f t="shared" si="13"/>
      </c>
      <c r="R39" s="430">
        <f t="shared" si="14"/>
      </c>
      <c r="S39" s="423">
        <f t="shared" si="15"/>
      </c>
      <c r="T39" s="105">
        <f t="shared" si="3"/>
        <v>6</v>
      </c>
      <c r="U39" s="228" t="str">
        <f t="shared" si="4"/>
        <v>--</v>
      </c>
      <c r="V39" s="229" t="str">
        <f t="shared" si="5"/>
        <v>--</v>
      </c>
      <c r="W39" s="230" t="str">
        <f t="shared" si="6"/>
        <v>--</v>
      </c>
      <c r="X39" s="231" t="str">
        <f t="shared" si="7"/>
        <v>--</v>
      </c>
      <c r="Y39" s="232" t="str">
        <f t="shared" si="8"/>
        <v>--</v>
      </c>
      <c r="Z39" s="233" t="str">
        <f t="shared" si="9"/>
        <v>--</v>
      </c>
      <c r="AA39" s="234" t="str">
        <f t="shared" si="10"/>
        <v>--</v>
      </c>
      <c r="AB39" s="235" t="str">
        <f t="shared" si="11"/>
        <v>--</v>
      </c>
      <c r="AC39" s="429">
        <f t="shared" si="16"/>
      </c>
      <c r="AD39" s="236">
        <f t="shared" si="12"/>
      </c>
      <c r="AE39" s="158"/>
    </row>
    <row r="40" spans="2:31" s="1" customFormat="1" ht="16.5" customHeight="1" thickBot="1">
      <c r="B40" s="157"/>
      <c r="C40" s="317"/>
      <c r="D40" s="317"/>
      <c r="E40" s="317"/>
      <c r="F40" s="317"/>
      <c r="G40" s="317"/>
      <c r="H40" s="317"/>
      <c r="I40" s="317"/>
      <c r="J40" s="317"/>
      <c r="K40" s="239"/>
      <c r="L40" s="407"/>
      <c r="M40" s="407"/>
      <c r="N40" s="238"/>
      <c r="O40" s="238"/>
      <c r="P40" s="317"/>
      <c r="Q40" s="317"/>
      <c r="R40" s="317"/>
      <c r="S40" s="317"/>
      <c r="T40" s="318"/>
      <c r="U40" s="319"/>
      <c r="V40" s="320"/>
      <c r="W40" s="321"/>
      <c r="X40" s="322"/>
      <c r="Y40" s="323"/>
      <c r="Z40" s="324"/>
      <c r="AA40" s="325"/>
      <c r="AB40" s="326"/>
      <c r="AC40" s="317"/>
      <c r="AD40" s="240"/>
      <c r="AE40" s="158"/>
    </row>
    <row r="41" spans="2:31" s="1" customFormat="1" ht="16.5" customHeight="1" thickBot="1" thickTop="1">
      <c r="B41" s="157"/>
      <c r="C41" s="437" t="s">
        <v>237</v>
      </c>
      <c r="D41" s="436" t="s">
        <v>240</v>
      </c>
      <c r="E41" s="128"/>
      <c r="F41" s="1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41">
        <f>SUM(U19:U40)</f>
        <v>41.539249958333336</v>
      </c>
      <c r="V41" s="242">
        <f>SUM(V19:V40)</f>
        <v>0</v>
      </c>
      <c r="W41" s="243">
        <f>SUM(W19:W40)</f>
        <v>0</v>
      </c>
      <c r="X41" s="244">
        <f>SUM(X21:X40)</f>
        <v>0</v>
      </c>
      <c r="Y41" s="245">
        <f>SUM(Y19:Y40)</f>
        <v>0</v>
      </c>
      <c r="Z41" s="245">
        <f>SUM(Z21:Z40)</f>
        <v>0</v>
      </c>
      <c r="AA41" s="246">
        <f>SUM(AA19:AA40)</f>
        <v>0</v>
      </c>
      <c r="AB41" s="247">
        <f>SUM(AB21:AB40)</f>
        <v>0</v>
      </c>
      <c r="AC41" s="248"/>
      <c r="AD41" s="413">
        <f>ROUND(SUM(AD19:AD40),2)</f>
        <v>41.54</v>
      </c>
      <c r="AE41" s="158"/>
    </row>
    <row r="42" spans="2:31" s="126" customFormat="1" ht="9.75" thickTop="1">
      <c r="B42" s="249"/>
      <c r="C42" s="128"/>
      <c r="D42" s="128"/>
      <c r="E42" s="128"/>
      <c r="F42" s="129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1"/>
      <c r="V42" s="251"/>
      <c r="W42" s="251"/>
      <c r="X42" s="251"/>
      <c r="Y42" s="251"/>
      <c r="Z42" s="251"/>
      <c r="AA42" s="251"/>
      <c r="AB42" s="251"/>
      <c r="AC42" s="250"/>
      <c r="AD42" s="252"/>
      <c r="AE42" s="253"/>
    </row>
    <row r="43" spans="2:31" s="1" customFormat="1" ht="16.5" customHeight="1" thickBot="1">
      <c r="B43" s="254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6"/>
    </row>
    <row r="44" spans="2:31" ht="16.5" customHeight="1" thickTop="1"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8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/>
  <printOptions/>
  <pageMargins left="0.24" right="0.1968503937007874" top="0.7874015748031497" bottom="0.7874015748031497" header="0.5118110236220472" footer="0.5118110236220472"/>
  <pageSetup fitToHeight="1" fitToWidth="1" horizontalDpi="300" verticalDpi="300" orientation="landscape" paperSize="9" scale="57" r:id="rId3"/>
  <headerFooter alignWithMargins="0">
    <oddFooter>&amp;L&amp;"Times New Roman,Normal"&amp;8&amp;Z&amp;F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9"/>
  <sheetViews>
    <sheetView zoomScale="60" zoomScaleNormal="60" zoomScalePageLayoutView="0" workbookViewId="0" topLeftCell="B1">
      <selection activeCell="B13" sqref="B13"/>
    </sheetView>
  </sheetViews>
  <sheetFormatPr defaultColWidth="11.421875" defaultRowHeight="12.75"/>
  <cols>
    <col min="1" max="1" width="14.57421875" style="438" customWidth="1"/>
    <col min="2" max="2" width="11.421875" style="438" customWidth="1"/>
    <col min="3" max="3" width="7.7109375" style="438" customWidth="1"/>
    <col min="4" max="4" width="17.140625" style="438" customWidth="1"/>
    <col min="5" max="5" width="65.00390625" style="438" customWidth="1"/>
    <col min="6" max="6" width="15.8515625" style="438" bestFit="1" customWidth="1"/>
    <col min="7" max="8" width="10.7109375" style="438" customWidth="1"/>
    <col min="9" max="22" width="12.7109375" style="438" customWidth="1"/>
    <col min="23" max="16384" width="11.421875" style="438" customWidth="1"/>
  </cols>
  <sheetData>
    <row r="1" ht="36" customHeight="1">
      <c r="V1" s="439"/>
    </row>
    <row r="2" spans="2:22" s="440" customFormat="1" ht="31.5" customHeight="1">
      <c r="B2" s="441" t="str">
        <f>'TOT-1212'!B2</f>
        <v>ANEXO I al Memorándum  D.T.E.E.  N° 335 /2014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</row>
    <row r="3" spans="1:22" s="444" customFormat="1" ht="11.25">
      <c r="A3" s="442" t="s">
        <v>3</v>
      </c>
      <c r="B3" s="443"/>
      <c r="V3" s="445"/>
    </row>
    <row r="4" spans="1:22" s="444" customFormat="1" ht="11.25">
      <c r="A4" s="442" t="s">
        <v>4</v>
      </c>
      <c r="B4" s="443"/>
      <c r="V4" s="445"/>
    </row>
    <row r="5" spans="2:179" s="446" customFormat="1" ht="20.25">
      <c r="B5" s="777" t="s">
        <v>244</v>
      </c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7"/>
      <c r="BF5" s="447"/>
      <c r="BG5" s="447"/>
      <c r="BH5" s="447"/>
      <c r="BI5" s="447"/>
      <c r="BJ5" s="447"/>
      <c r="BK5" s="447"/>
      <c r="BL5" s="447"/>
      <c r="BM5" s="447"/>
      <c r="BN5" s="447"/>
      <c r="BO5" s="447"/>
      <c r="BP5" s="447"/>
      <c r="BQ5" s="447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7"/>
      <c r="CM5" s="447"/>
      <c r="CN5" s="447"/>
      <c r="CO5" s="447"/>
      <c r="CP5" s="447"/>
      <c r="CQ5" s="447"/>
      <c r="CR5" s="447"/>
      <c r="CS5" s="447"/>
      <c r="CT5" s="447"/>
      <c r="CU5" s="447"/>
      <c r="CV5" s="447"/>
      <c r="CW5" s="447"/>
      <c r="CX5" s="447"/>
      <c r="CY5" s="447"/>
      <c r="CZ5" s="447"/>
      <c r="DA5" s="447"/>
      <c r="DB5" s="447"/>
      <c r="DC5" s="447"/>
      <c r="DD5" s="447"/>
      <c r="DE5" s="447"/>
      <c r="DF5" s="447"/>
      <c r="DG5" s="447"/>
      <c r="DH5" s="447"/>
      <c r="DI5" s="447"/>
      <c r="DJ5" s="447"/>
      <c r="DK5" s="447"/>
      <c r="DL5" s="447"/>
      <c r="DM5" s="447"/>
      <c r="DN5" s="447"/>
      <c r="DO5" s="447"/>
      <c r="DP5" s="447"/>
      <c r="DQ5" s="447"/>
      <c r="DR5" s="447"/>
      <c r="DS5" s="447"/>
      <c r="DT5" s="447"/>
      <c r="DU5" s="447"/>
      <c r="DV5" s="447"/>
      <c r="DW5" s="447"/>
      <c r="DX5" s="447"/>
      <c r="DY5" s="447"/>
      <c r="DZ5" s="447"/>
      <c r="EA5" s="447"/>
      <c r="EB5" s="447"/>
      <c r="EC5" s="447"/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7"/>
      <c r="EO5" s="447"/>
      <c r="EP5" s="447"/>
      <c r="EQ5" s="447"/>
      <c r="ER5" s="447"/>
      <c r="ES5" s="447"/>
      <c r="ET5" s="447"/>
      <c r="EU5" s="447"/>
      <c r="EV5" s="447"/>
      <c r="EW5" s="447"/>
      <c r="EX5" s="447"/>
      <c r="EY5" s="447"/>
      <c r="EZ5" s="447"/>
      <c r="FA5" s="447"/>
      <c r="FB5" s="447"/>
      <c r="FC5" s="447"/>
      <c r="FD5" s="447"/>
      <c r="FE5" s="447"/>
      <c r="FF5" s="447"/>
      <c r="FG5" s="447"/>
      <c r="FH5" s="447"/>
      <c r="FI5" s="447"/>
      <c r="FJ5" s="447"/>
      <c r="FK5" s="447"/>
      <c r="FL5" s="447"/>
      <c r="FM5" s="447"/>
      <c r="FN5" s="447"/>
      <c r="FO5" s="447"/>
      <c r="FP5" s="447"/>
      <c r="FQ5" s="447"/>
      <c r="FR5" s="447"/>
      <c r="FS5" s="447"/>
      <c r="FT5" s="447"/>
      <c r="FU5" s="447"/>
      <c r="FV5" s="447"/>
      <c r="FW5" s="447"/>
    </row>
    <row r="6" spans="2:179" s="446" customFormat="1" ht="14.25" customHeight="1"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8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447"/>
      <c r="BE6" s="447"/>
      <c r="BF6" s="447"/>
      <c r="BG6" s="447"/>
      <c r="BH6" s="447"/>
      <c r="BI6" s="447"/>
      <c r="BJ6" s="447"/>
      <c r="BK6" s="447"/>
      <c r="BL6" s="447"/>
      <c r="BM6" s="447"/>
      <c r="BN6" s="447"/>
      <c r="BO6" s="447"/>
      <c r="BP6" s="447"/>
      <c r="BQ6" s="447"/>
      <c r="BR6" s="447"/>
      <c r="BS6" s="447"/>
      <c r="BT6" s="447"/>
      <c r="BU6" s="447"/>
      <c r="BV6" s="447"/>
      <c r="BW6" s="447"/>
      <c r="BX6" s="447"/>
      <c r="BY6" s="447"/>
      <c r="BZ6" s="447"/>
      <c r="CA6" s="447"/>
      <c r="CB6" s="447"/>
      <c r="CC6" s="447"/>
      <c r="CD6" s="447"/>
      <c r="CE6" s="447"/>
      <c r="CF6" s="447"/>
      <c r="CG6" s="447"/>
      <c r="CH6" s="447"/>
      <c r="CI6" s="447"/>
      <c r="CJ6" s="447"/>
      <c r="CK6" s="447"/>
      <c r="CL6" s="447"/>
      <c r="CM6" s="447"/>
      <c r="CN6" s="447"/>
      <c r="CO6" s="447"/>
      <c r="CP6" s="447"/>
      <c r="CQ6" s="447"/>
      <c r="CR6" s="447"/>
      <c r="CS6" s="447"/>
      <c r="CT6" s="447"/>
      <c r="CU6" s="447"/>
      <c r="CV6" s="447"/>
      <c r="CW6" s="447"/>
      <c r="CX6" s="447"/>
      <c r="CY6" s="447"/>
      <c r="CZ6" s="447"/>
      <c r="DA6" s="447"/>
      <c r="DB6" s="447"/>
      <c r="DC6" s="447"/>
      <c r="DD6" s="447"/>
      <c r="DE6" s="447"/>
      <c r="DF6" s="447"/>
      <c r="DG6" s="447"/>
      <c r="DH6" s="447"/>
      <c r="DI6" s="447"/>
      <c r="DJ6" s="447"/>
      <c r="DK6" s="447"/>
      <c r="DL6" s="447"/>
      <c r="DM6" s="447"/>
      <c r="DN6" s="447"/>
      <c r="DO6" s="447"/>
      <c r="DP6" s="447"/>
      <c r="DQ6" s="447"/>
      <c r="DR6" s="447"/>
      <c r="DS6" s="447"/>
      <c r="DT6" s="447"/>
      <c r="DU6" s="447"/>
      <c r="DV6" s="447"/>
      <c r="DW6" s="447"/>
      <c r="DX6" s="447"/>
      <c r="DY6" s="447"/>
      <c r="DZ6" s="447"/>
      <c r="EA6" s="447"/>
      <c r="EB6" s="447"/>
      <c r="EC6" s="447"/>
      <c r="ED6" s="447"/>
      <c r="EE6" s="447"/>
      <c r="EF6" s="447"/>
      <c r="EG6" s="447"/>
      <c r="EH6" s="447"/>
      <c r="EI6" s="447"/>
      <c r="EJ6" s="447"/>
      <c r="EK6" s="447"/>
      <c r="EL6" s="447"/>
      <c r="EM6" s="447"/>
      <c r="EN6" s="447"/>
      <c r="EO6" s="447"/>
      <c r="EP6" s="447"/>
      <c r="EQ6" s="447"/>
      <c r="ER6" s="447"/>
      <c r="ES6" s="447"/>
      <c r="ET6" s="447"/>
      <c r="EU6" s="447"/>
      <c r="EV6" s="447"/>
      <c r="EW6" s="447"/>
      <c r="EX6" s="447"/>
      <c r="EY6" s="447"/>
      <c r="EZ6" s="447"/>
      <c r="FA6" s="447"/>
      <c r="FB6" s="447"/>
      <c r="FC6" s="447"/>
      <c r="FD6" s="447"/>
      <c r="FE6" s="447"/>
      <c r="FF6" s="447"/>
      <c r="FG6" s="447"/>
      <c r="FH6" s="447"/>
      <c r="FI6" s="447"/>
      <c r="FJ6" s="447"/>
      <c r="FK6" s="447"/>
      <c r="FL6" s="447"/>
      <c r="FM6" s="447"/>
      <c r="FN6" s="447"/>
      <c r="FO6" s="447"/>
      <c r="FP6" s="447"/>
      <c r="FQ6" s="447"/>
      <c r="FR6" s="447"/>
      <c r="FS6" s="447"/>
      <c r="FT6" s="447"/>
      <c r="FU6" s="447"/>
      <c r="FV6" s="447"/>
      <c r="FW6" s="447"/>
    </row>
    <row r="7" spans="2:179" s="449" customFormat="1" ht="18.75">
      <c r="B7" s="778" t="s">
        <v>0</v>
      </c>
      <c r="C7" s="778"/>
      <c r="D7" s="778"/>
      <c r="E7" s="778"/>
      <c r="F7" s="778"/>
      <c r="G7" s="778"/>
      <c r="H7" s="778"/>
      <c r="I7" s="778"/>
      <c r="J7" s="778"/>
      <c r="K7" s="778"/>
      <c r="L7" s="778"/>
      <c r="M7" s="778"/>
      <c r="N7" s="778"/>
      <c r="O7" s="778"/>
      <c r="P7" s="778"/>
      <c r="Q7" s="778"/>
      <c r="R7" s="778"/>
      <c r="S7" s="778"/>
      <c r="T7" s="778"/>
      <c r="U7" s="778"/>
      <c r="V7" s="778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  <c r="BN7" s="450"/>
      <c r="BO7" s="450"/>
      <c r="BP7" s="450"/>
      <c r="BQ7" s="450"/>
      <c r="BR7" s="450"/>
      <c r="BS7" s="450"/>
      <c r="BT7" s="450"/>
      <c r="BU7" s="450"/>
      <c r="BV7" s="450"/>
      <c r="BW7" s="450"/>
      <c r="BX7" s="450"/>
      <c r="BY7" s="450"/>
      <c r="BZ7" s="450"/>
      <c r="CA7" s="450"/>
      <c r="CB7" s="450"/>
      <c r="CC7" s="450"/>
      <c r="CD7" s="450"/>
      <c r="CE7" s="450"/>
      <c r="CF7" s="450"/>
      <c r="CG7" s="450"/>
      <c r="CH7" s="450"/>
      <c r="CI7" s="450"/>
      <c r="CJ7" s="450"/>
      <c r="CK7" s="450"/>
      <c r="CL7" s="450"/>
      <c r="CM7" s="450"/>
      <c r="CN7" s="450"/>
      <c r="CO7" s="450"/>
      <c r="CP7" s="450"/>
      <c r="CQ7" s="450"/>
      <c r="CR7" s="450"/>
      <c r="CS7" s="450"/>
      <c r="CT7" s="450"/>
      <c r="CU7" s="450"/>
      <c r="CV7" s="450"/>
      <c r="CW7" s="450"/>
      <c r="CX7" s="450"/>
      <c r="CY7" s="450"/>
      <c r="CZ7" s="450"/>
      <c r="DA7" s="450"/>
      <c r="DB7" s="450"/>
      <c r="DC7" s="450"/>
      <c r="DD7" s="450"/>
      <c r="DE7" s="450"/>
      <c r="DF7" s="450"/>
      <c r="DG7" s="450"/>
      <c r="DH7" s="450"/>
      <c r="DI7" s="450"/>
      <c r="DJ7" s="450"/>
      <c r="DK7" s="450"/>
      <c r="DL7" s="450"/>
      <c r="DM7" s="450"/>
      <c r="DN7" s="450"/>
      <c r="DO7" s="450"/>
      <c r="DP7" s="450"/>
      <c r="DQ7" s="450"/>
      <c r="DR7" s="450"/>
      <c r="DS7" s="450"/>
      <c r="DT7" s="450"/>
      <c r="DU7" s="450"/>
      <c r="DV7" s="450"/>
      <c r="DW7" s="450"/>
      <c r="DX7" s="450"/>
      <c r="DY7" s="450"/>
      <c r="DZ7" s="450"/>
      <c r="EA7" s="450"/>
      <c r="EB7" s="450"/>
      <c r="EC7" s="450"/>
      <c r="ED7" s="450"/>
      <c r="EE7" s="450"/>
      <c r="EF7" s="450"/>
      <c r="EG7" s="450"/>
      <c r="EH7" s="450"/>
      <c r="EI7" s="450"/>
      <c r="EJ7" s="450"/>
      <c r="EK7" s="450"/>
      <c r="EL7" s="450"/>
      <c r="EM7" s="450"/>
      <c r="EN7" s="450"/>
      <c r="EO7" s="450"/>
      <c r="EP7" s="450"/>
      <c r="EQ7" s="450"/>
      <c r="ER7" s="450"/>
      <c r="ES7" s="450"/>
      <c r="ET7" s="450"/>
      <c r="EU7" s="450"/>
      <c r="EV7" s="450"/>
      <c r="EW7" s="450"/>
      <c r="EX7" s="450"/>
      <c r="EY7" s="450"/>
      <c r="EZ7" s="450"/>
      <c r="FA7" s="450"/>
      <c r="FB7" s="450"/>
      <c r="FC7" s="450"/>
      <c r="FD7" s="450"/>
      <c r="FE7" s="450"/>
      <c r="FF7" s="450"/>
      <c r="FG7" s="450"/>
      <c r="FH7" s="450"/>
      <c r="FI7" s="450"/>
      <c r="FJ7" s="450"/>
      <c r="FK7" s="450"/>
      <c r="FL7" s="450"/>
      <c r="FM7" s="450"/>
      <c r="FN7" s="450"/>
      <c r="FO7" s="450"/>
      <c r="FP7" s="450"/>
      <c r="FQ7" s="450"/>
      <c r="FR7" s="450"/>
      <c r="FS7" s="450"/>
      <c r="FT7" s="450"/>
      <c r="FU7" s="450"/>
      <c r="FV7" s="450"/>
      <c r="FW7" s="450"/>
    </row>
    <row r="8" spans="2:179" ht="12.75"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2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1"/>
      <c r="BG8" s="451"/>
      <c r="BH8" s="451"/>
      <c r="BI8" s="451"/>
      <c r="BJ8" s="451"/>
      <c r="BK8" s="451"/>
      <c r="BL8" s="451"/>
      <c r="BM8" s="451"/>
      <c r="BN8" s="451"/>
      <c r="BO8" s="451"/>
      <c r="BP8" s="451"/>
      <c r="BQ8" s="451"/>
      <c r="BR8" s="451"/>
      <c r="BS8" s="451"/>
      <c r="BT8" s="451"/>
      <c r="BU8" s="451"/>
      <c r="BV8" s="451"/>
      <c r="BW8" s="451"/>
      <c r="BX8" s="451"/>
      <c r="BY8" s="451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1"/>
      <c r="CV8" s="451"/>
      <c r="CW8" s="451"/>
      <c r="CX8" s="451"/>
      <c r="CY8" s="451"/>
      <c r="CZ8" s="451"/>
      <c r="DA8" s="451"/>
      <c r="DB8" s="451"/>
      <c r="DC8" s="451"/>
      <c r="DD8" s="451"/>
      <c r="DE8" s="451"/>
      <c r="DF8" s="451"/>
      <c r="DG8" s="451"/>
      <c r="DH8" s="451"/>
      <c r="DI8" s="451"/>
      <c r="DJ8" s="451"/>
      <c r="DK8" s="451"/>
      <c r="DL8" s="451"/>
      <c r="DM8" s="451"/>
      <c r="DN8" s="451"/>
      <c r="DO8" s="451"/>
      <c r="DP8" s="451"/>
      <c r="DQ8" s="451"/>
      <c r="DR8" s="451"/>
      <c r="DS8" s="451"/>
      <c r="DT8" s="451"/>
      <c r="DU8" s="451"/>
      <c r="DV8" s="451"/>
      <c r="DW8" s="451"/>
      <c r="DX8" s="451"/>
      <c r="DY8" s="451"/>
      <c r="DZ8" s="451"/>
      <c r="EA8" s="451"/>
      <c r="EB8" s="451"/>
      <c r="EC8" s="451"/>
      <c r="ED8" s="451"/>
      <c r="EE8" s="451"/>
      <c r="EF8" s="451"/>
      <c r="EG8" s="451"/>
      <c r="EH8" s="451"/>
      <c r="EI8" s="451"/>
      <c r="EJ8" s="451"/>
      <c r="EK8" s="451"/>
      <c r="EL8" s="451"/>
      <c r="EM8" s="451"/>
      <c r="EN8" s="451"/>
      <c r="EO8" s="451"/>
      <c r="EP8" s="451"/>
      <c r="EQ8" s="451"/>
      <c r="ER8" s="451"/>
      <c r="ES8" s="451"/>
      <c r="ET8" s="451"/>
      <c r="EU8" s="451"/>
      <c r="EV8" s="451"/>
      <c r="EW8" s="451"/>
      <c r="EX8" s="451"/>
      <c r="EY8" s="451"/>
      <c r="EZ8" s="451"/>
      <c r="FA8" s="451"/>
      <c r="FB8" s="451"/>
      <c r="FC8" s="451"/>
      <c r="FD8" s="451"/>
      <c r="FE8" s="451"/>
      <c r="FF8" s="451"/>
      <c r="FG8" s="451"/>
      <c r="FH8" s="451"/>
      <c r="FI8" s="451"/>
      <c r="FJ8" s="451"/>
      <c r="FK8" s="451"/>
      <c r="FL8" s="451"/>
      <c r="FM8" s="451"/>
      <c r="FN8" s="451"/>
      <c r="FO8" s="451"/>
      <c r="FP8" s="451"/>
      <c r="FQ8" s="451"/>
      <c r="FR8" s="451"/>
      <c r="FS8" s="451"/>
      <c r="FT8" s="451"/>
      <c r="FU8" s="451"/>
      <c r="FV8" s="451"/>
      <c r="FW8" s="451"/>
    </row>
    <row r="9" spans="2:179" s="453" customFormat="1" ht="15.75">
      <c r="B9" s="779" t="s">
        <v>245</v>
      </c>
      <c r="C9" s="779"/>
      <c r="D9" s="779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779"/>
      <c r="Q9" s="779"/>
      <c r="R9" s="779"/>
      <c r="S9" s="779"/>
      <c r="T9" s="779"/>
      <c r="U9" s="779"/>
      <c r="V9" s="779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4"/>
      <c r="CC9" s="454"/>
      <c r="CD9" s="454"/>
      <c r="CE9" s="454"/>
      <c r="CF9" s="454"/>
      <c r="CG9" s="454"/>
      <c r="CH9" s="454"/>
      <c r="CI9" s="454"/>
      <c r="CJ9" s="454"/>
      <c r="CK9" s="454"/>
      <c r="CL9" s="454"/>
      <c r="CM9" s="454"/>
      <c r="CN9" s="454"/>
      <c r="CO9" s="454"/>
      <c r="CP9" s="454"/>
      <c r="CQ9" s="454"/>
      <c r="CR9" s="454"/>
      <c r="CS9" s="454"/>
      <c r="CT9" s="454"/>
      <c r="CU9" s="454"/>
      <c r="CV9" s="454"/>
      <c r="CW9" s="454"/>
      <c r="CX9" s="454"/>
      <c r="CY9" s="454"/>
      <c r="CZ9" s="454"/>
      <c r="DA9" s="454"/>
      <c r="DB9" s="454"/>
      <c r="DC9" s="454"/>
      <c r="DD9" s="454"/>
      <c r="DE9" s="454"/>
      <c r="DF9" s="454"/>
      <c r="DG9" s="454"/>
      <c r="DH9" s="454"/>
      <c r="DI9" s="454"/>
      <c r="DJ9" s="454"/>
      <c r="DK9" s="454"/>
      <c r="DL9" s="454"/>
      <c r="DM9" s="454"/>
      <c r="DN9" s="454"/>
      <c r="DO9" s="454"/>
      <c r="DP9" s="454"/>
      <c r="DQ9" s="454"/>
      <c r="DR9" s="454"/>
      <c r="DS9" s="454"/>
      <c r="DT9" s="454"/>
      <c r="DU9" s="454"/>
      <c r="DV9" s="454"/>
      <c r="DW9" s="454"/>
      <c r="DX9" s="454"/>
      <c r="DY9" s="454"/>
      <c r="DZ9" s="454"/>
      <c r="EA9" s="454"/>
      <c r="EB9" s="454"/>
      <c r="EC9" s="454"/>
      <c r="ED9" s="454"/>
      <c r="EE9" s="454"/>
      <c r="EF9" s="454"/>
      <c r="EG9" s="454"/>
      <c r="EH9" s="454"/>
      <c r="EI9" s="454"/>
      <c r="EJ9" s="454"/>
      <c r="EK9" s="454"/>
      <c r="EL9" s="454"/>
      <c r="EM9" s="454"/>
      <c r="EN9" s="454"/>
      <c r="EO9" s="454"/>
      <c r="EP9" s="454"/>
      <c r="EQ9" s="454"/>
      <c r="ER9" s="454"/>
      <c r="ES9" s="454"/>
      <c r="ET9" s="454"/>
      <c r="EU9" s="454"/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454"/>
      <c r="FK9" s="454"/>
      <c r="FL9" s="454"/>
      <c r="FM9" s="454"/>
      <c r="FN9" s="454"/>
      <c r="FO9" s="454"/>
      <c r="FP9" s="454"/>
      <c r="FQ9" s="454"/>
      <c r="FR9" s="454"/>
      <c r="FS9" s="454"/>
      <c r="FT9" s="454"/>
      <c r="FU9" s="454"/>
      <c r="FV9" s="454"/>
      <c r="FW9" s="454"/>
    </row>
    <row r="10" spans="2:179" ht="13.5" thickBot="1"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2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451"/>
      <c r="BM10" s="451"/>
      <c r="BN10" s="451"/>
      <c r="BO10" s="451"/>
      <c r="BP10" s="451"/>
      <c r="BQ10" s="451"/>
      <c r="BR10" s="451"/>
      <c r="BS10" s="451"/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/>
      <c r="CX10" s="451"/>
      <c r="CY10" s="451"/>
      <c r="CZ10" s="451"/>
      <c r="DA10" s="451"/>
      <c r="DB10" s="451"/>
      <c r="DC10" s="451"/>
      <c r="DD10" s="451"/>
      <c r="DE10" s="451"/>
      <c r="DF10" s="451"/>
      <c r="DG10" s="451"/>
      <c r="DH10" s="451"/>
      <c r="DI10" s="451"/>
      <c r="DJ10" s="451"/>
      <c r="DK10" s="451"/>
      <c r="DL10" s="451"/>
      <c r="DM10" s="451"/>
      <c r="DN10" s="451"/>
      <c r="DO10" s="451"/>
      <c r="DP10" s="451"/>
      <c r="DQ10" s="451"/>
      <c r="DR10" s="451"/>
      <c r="DS10" s="451"/>
      <c r="DT10" s="451"/>
      <c r="DU10" s="451"/>
      <c r="DV10" s="451"/>
      <c r="DW10" s="451"/>
      <c r="DX10" s="451"/>
      <c r="DY10" s="451"/>
      <c r="DZ10" s="451"/>
      <c r="EA10" s="451"/>
      <c r="EB10" s="451"/>
      <c r="EC10" s="451"/>
      <c r="ED10" s="451"/>
      <c r="EE10" s="451"/>
      <c r="EF10" s="451"/>
      <c r="EG10" s="451"/>
      <c r="EH10" s="451"/>
      <c r="EI10" s="451"/>
      <c r="EJ10" s="451"/>
      <c r="EK10" s="451"/>
      <c r="EL10" s="451"/>
      <c r="EM10" s="451"/>
      <c r="EN10" s="451"/>
      <c r="EO10" s="451"/>
      <c r="EP10" s="451"/>
      <c r="EQ10" s="451"/>
      <c r="ER10" s="451"/>
      <c r="ES10" s="451"/>
      <c r="ET10" s="451"/>
      <c r="EU10" s="451"/>
      <c r="EV10" s="451"/>
      <c r="EW10" s="451"/>
      <c r="EX10" s="451"/>
      <c r="EY10" s="451"/>
      <c r="EZ10" s="451"/>
      <c r="FA10" s="451"/>
      <c r="FB10" s="451"/>
      <c r="FC10" s="451"/>
      <c r="FD10" s="451"/>
      <c r="FE10" s="451"/>
      <c r="FF10" s="451"/>
      <c r="FG10" s="451"/>
      <c r="FH10" s="451"/>
      <c r="FI10" s="451"/>
      <c r="FJ10" s="451"/>
      <c r="FK10" s="451"/>
      <c r="FL10" s="451"/>
      <c r="FM10" s="451"/>
      <c r="FN10" s="451"/>
      <c r="FO10" s="451"/>
      <c r="FP10" s="451"/>
      <c r="FQ10" s="451"/>
      <c r="FR10" s="451"/>
      <c r="FS10" s="451"/>
      <c r="FT10" s="451"/>
      <c r="FU10" s="451"/>
      <c r="FV10" s="451"/>
      <c r="FW10" s="451"/>
    </row>
    <row r="11" spans="2:179" ht="13.5" thickTop="1">
      <c r="B11" s="455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7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51"/>
      <c r="BE11" s="451"/>
      <c r="BF11" s="451"/>
      <c r="BG11" s="451"/>
      <c r="BH11" s="451"/>
      <c r="BI11" s="451"/>
      <c r="BJ11" s="451"/>
      <c r="BK11" s="451"/>
      <c r="BL11" s="451"/>
      <c r="BM11" s="451"/>
      <c r="BN11" s="451"/>
      <c r="BO11" s="451"/>
      <c r="BP11" s="451"/>
      <c r="BQ11" s="451"/>
      <c r="BR11" s="451"/>
      <c r="BS11" s="451"/>
      <c r="BT11" s="451"/>
      <c r="BU11" s="451"/>
      <c r="BV11" s="451"/>
      <c r="BW11" s="451"/>
      <c r="BX11" s="451"/>
      <c r="BY11" s="451"/>
      <c r="BZ11" s="451"/>
      <c r="CA11" s="451"/>
      <c r="CB11" s="451"/>
      <c r="CC11" s="451"/>
      <c r="CD11" s="451"/>
      <c r="CE11" s="451"/>
      <c r="CF11" s="451"/>
      <c r="CG11" s="451"/>
      <c r="CH11" s="451"/>
      <c r="CI11" s="451"/>
      <c r="CJ11" s="451"/>
      <c r="CK11" s="451"/>
      <c r="CL11" s="451"/>
      <c r="CM11" s="451"/>
      <c r="CN11" s="451"/>
      <c r="CO11" s="451"/>
      <c r="CP11" s="451"/>
      <c r="CQ11" s="451"/>
      <c r="CR11" s="451"/>
      <c r="CS11" s="451"/>
      <c r="CT11" s="451"/>
      <c r="CU11" s="451"/>
      <c r="CV11" s="451"/>
      <c r="CW11" s="451"/>
      <c r="CX11" s="451"/>
      <c r="CY11" s="451"/>
      <c r="CZ11" s="451"/>
      <c r="DA11" s="451"/>
      <c r="DB11" s="451"/>
      <c r="DC11" s="451"/>
      <c r="DD11" s="451"/>
      <c r="DE11" s="451"/>
      <c r="DF11" s="451"/>
      <c r="DG11" s="451"/>
      <c r="DH11" s="451"/>
      <c r="DI11" s="451"/>
      <c r="DJ11" s="451"/>
      <c r="DK11" s="451"/>
      <c r="DL11" s="451"/>
      <c r="DM11" s="451"/>
      <c r="DN11" s="451"/>
      <c r="DO11" s="451"/>
      <c r="DP11" s="451"/>
      <c r="DQ11" s="451"/>
      <c r="DR11" s="451"/>
      <c r="DS11" s="451"/>
      <c r="DT11" s="451"/>
      <c r="DU11" s="451"/>
      <c r="DV11" s="451"/>
      <c r="DW11" s="451"/>
      <c r="DX11" s="451"/>
      <c r="DY11" s="451"/>
      <c r="DZ11" s="451"/>
      <c r="EA11" s="451"/>
      <c r="EB11" s="451"/>
      <c r="EC11" s="451"/>
      <c r="ED11" s="451"/>
      <c r="EE11" s="451"/>
      <c r="EF11" s="451"/>
      <c r="EG11" s="451"/>
      <c r="EH11" s="451"/>
      <c r="EI11" s="451"/>
      <c r="EJ11" s="451"/>
      <c r="EK11" s="451"/>
      <c r="EL11" s="451"/>
      <c r="EM11" s="451"/>
      <c r="EN11" s="451"/>
      <c r="EO11" s="451"/>
      <c r="EP11" s="451"/>
      <c r="EQ11" s="451"/>
      <c r="ER11" s="451"/>
      <c r="ES11" s="451"/>
      <c r="ET11" s="451"/>
      <c r="EU11" s="451"/>
      <c r="EV11" s="451"/>
      <c r="EW11" s="451"/>
      <c r="EX11" s="451"/>
      <c r="EY11" s="451"/>
      <c r="EZ11" s="451"/>
      <c r="FA11" s="451"/>
      <c r="FB11" s="451"/>
      <c r="FC11" s="451"/>
      <c r="FD11" s="451"/>
      <c r="FE11" s="451"/>
      <c r="FF11" s="451"/>
      <c r="FG11" s="451"/>
      <c r="FH11" s="451"/>
      <c r="FI11" s="451"/>
      <c r="FJ11" s="451"/>
      <c r="FK11" s="451"/>
      <c r="FL11" s="451"/>
      <c r="FM11" s="451"/>
      <c r="FN11" s="451"/>
      <c r="FO11" s="451"/>
      <c r="FP11" s="451"/>
      <c r="FQ11" s="451"/>
      <c r="FR11" s="451"/>
      <c r="FS11" s="451"/>
      <c r="FT11" s="451"/>
      <c r="FU11" s="451"/>
      <c r="FV11" s="451"/>
      <c r="FW11" s="451"/>
    </row>
    <row r="12" spans="2:179" s="453" customFormat="1" ht="15.75">
      <c r="B12" s="774" t="s">
        <v>310</v>
      </c>
      <c r="C12" s="775"/>
      <c r="D12" s="775"/>
      <c r="E12" s="775"/>
      <c r="F12" s="775"/>
      <c r="G12" s="775"/>
      <c r="H12" s="775"/>
      <c r="I12" s="775"/>
      <c r="J12" s="775"/>
      <c r="K12" s="775"/>
      <c r="L12" s="775"/>
      <c r="M12" s="775"/>
      <c r="N12" s="775"/>
      <c r="O12" s="775"/>
      <c r="P12" s="775"/>
      <c r="Q12" s="775"/>
      <c r="R12" s="775"/>
      <c r="S12" s="775"/>
      <c r="T12" s="775"/>
      <c r="U12" s="775"/>
      <c r="V12" s="776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  <c r="BJ12" s="454"/>
      <c r="BK12" s="454"/>
      <c r="BL12" s="454"/>
      <c r="BM12" s="454"/>
      <c r="BN12" s="454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4"/>
      <c r="CD12" s="454"/>
      <c r="CE12" s="454"/>
      <c r="CF12" s="454"/>
      <c r="CG12" s="454"/>
      <c r="CH12" s="454"/>
      <c r="CI12" s="454"/>
      <c r="CJ12" s="454"/>
      <c r="CK12" s="454"/>
      <c r="CL12" s="454"/>
      <c r="CM12" s="454"/>
      <c r="CN12" s="454"/>
      <c r="CO12" s="454"/>
      <c r="CP12" s="454"/>
      <c r="CQ12" s="454"/>
      <c r="CR12" s="454"/>
      <c r="CS12" s="454"/>
      <c r="CT12" s="454"/>
      <c r="CU12" s="454"/>
      <c r="CV12" s="454"/>
      <c r="CW12" s="454"/>
      <c r="CX12" s="454"/>
      <c r="CY12" s="454"/>
      <c r="CZ12" s="454"/>
      <c r="DA12" s="454"/>
      <c r="DB12" s="454"/>
      <c r="DC12" s="454"/>
      <c r="DD12" s="454"/>
      <c r="DE12" s="454"/>
      <c r="DF12" s="454"/>
      <c r="DG12" s="454"/>
      <c r="DH12" s="454"/>
      <c r="DI12" s="454"/>
      <c r="DJ12" s="454"/>
      <c r="DK12" s="454"/>
      <c r="DL12" s="454"/>
      <c r="DM12" s="454"/>
      <c r="DN12" s="454"/>
      <c r="DO12" s="454"/>
      <c r="DP12" s="454"/>
      <c r="DQ12" s="454"/>
      <c r="DR12" s="454"/>
      <c r="DS12" s="454"/>
      <c r="DT12" s="454"/>
      <c r="DU12" s="454"/>
      <c r="DV12" s="454"/>
      <c r="DW12" s="454"/>
      <c r="DX12" s="454"/>
      <c r="DY12" s="454"/>
      <c r="DZ12" s="454"/>
      <c r="EA12" s="454"/>
      <c r="EB12" s="454"/>
      <c r="EC12" s="454"/>
      <c r="ED12" s="454"/>
      <c r="EE12" s="454"/>
      <c r="EF12" s="454"/>
      <c r="EG12" s="454"/>
      <c r="EH12" s="454"/>
      <c r="EI12" s="454"/>
      <c r="EJ12" s="454"/>
      <c r="EK12" s="454"/>
      <c r="EL12" s="454"/>
      <c r="EM12" s="454"/>
      <c r="EN12" s="454"/>
      <c r="EO12" s="454"/>
      <c r="EP12" s="454"/>
      <c r="EQ12" s="454"/>
      <c r="ER12" s="454"/>
      <c r="ES12" s="454"/>
      <c r="ET12" s="454"/>
      <c r="EU12" s="454"/>
      <c r="EV12" s="454"/>
      <c r="EW12" s="454"/>
      <c r="EX12" s="454"/>
      <c r="EY12" s="454"/>
      <c r="EZ12" s="454"/>
      <c r="FA12" s="454"/>
      <c r="FB12" s="454"/>
      <c r="FC12" s="454"/>
      <c r="FD12" s="454"/>
      <c r="FE12" s="454"/>
      <c r="FF12" s="454"/>
      <c r="FG12" s="454"/>
      <c r="FH12" s="454"/>
      <c r="FI12" s="454"/>
      <c r="FJ12" s="454"/>
      <c r="FK12" s="454"/>
      <c r="FL12" s="454"/>
      <c r="FM12" s="454"/>
      <c r="FN12" s="454"/>
      <c r="FO12" s="454"/>
      <c r="FP12" s="454"/>
      <c r="FQ12" s="454"/>
      <c r="FR12" s="454"/>
      <c r="FS12" s="454"/>
      <c r="FT12" s="454"/>
      <c r="FU12" s="454"/>
      <c r="FV12" s="454"/>
      <c r="FW12" s="454"/>
    </row>
    <row r="13" spans="2:22" ht="13.5" thickBot="1">
      <c r="B13" s="458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60"/>
    </row>
    <row r="14" spans="2:22" s="461" customFormat="1" ht="33.75" customHeight="1" thickBot="1" thickTop="1">
      <c r="B14" s="462"/>
      <c r="C14" s="463"/>
      <c r="D14" s="420" t="s">
        <v>246</v>
      </c>
      <c r="E14" s="420" t="s">
        <v>1</v>
      </c>
      <c r="F14" s="464" t="s">
        <v>14</v>
      </c>
      <c r="G14" s="464" t="s">
        <v>15</v>
      </c>
      <c r="H14" s="465" t="s">
        <v>2</v>
      </c>
      <c r="I14" s="466">
        <v>40878</v>
      </c>
      <c r="J14" s="466">
        <v>40909</v>
      </c>
      <c r="K14" s="466">
        <v>40940</v>
      </c>
      <c r="L14" s="466">
        <v>40969</v>
      </c>
      <c r="M14" s="466">
        <v>41000</v>
      </c>
      <c r="N14" s="466">
        <v>41030</v>
      </c>
      <c r="O14" s="466">
        <v>41061</v>
      </c>
      <c r="P14" s="466">
        <v>41091</v>
      </c>
      <c r="Q14" s="466">
        <v>41122</v>
      </c>
      <c r="R14" s="466">
        <v>41153</v>
      </c>
      <c r="S14" s="466">
        <v>41183</v>
      </c>
      <c r="T14" s="466">
        <v>41214</v>
      </c>
      <c r="U14" s="466">
        <v>41244</v>
      </c>
      <c r="V14" s="467"/>
    </row>
    <row r="15" spans="2:22" s="468" customFormat="1" ht="19.5" customHeight="1" thickTop="1">
      <c r="B15" s="469"/>
      <c r="C15" s="470"/>
      <c r="D15" s="471"/>
      <c r="E15" s="471"/>
      <c r="F15" s="471"/>
      <c r="G15" s="471"/>
      <c r="H15" s="470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472"/>
      <c r="V15" s="473"/>
    </row>
    <row r="16" spans="2:22" s="468" customFormat="1" ht="18">
      <c r="B16" s="469"/>
      <c r="C16" s="518">
        <f>IF('[1]BASE'!C17="","",'[1]BASE'!C17)</f>
        <v>1</v>
      </c>
      <c r="D16" s="518">
        <f>IF('[1]BASE'!D17="","",'[1]BASE'!D17)</f>
        <v>1403</v>
      </c>
      <c r="E16" s="518" t="str">
        <f>IF('[1]BASE'!E17="","",'[1]BASE'!E17)</f>
        <v>BRAGADO - HENDERSON</v>
      </c>
      <c r="F16" s="518">
        <f>IF('[1]BASE'!F17="","",'[1]BASE'!F17)</f>
        <v>220</v>
      </c>
      <c r="G16" s="518">
        <f>IF('[1]BASE'!G17="","",'[1]BASE'!G17)</f>
        <v>177</v>
      </c>
      <c r="H16" s="518" t="str">
        <f>IF('[1]BASE'!H17="","",'[1]BASE'!H17)</f>
        <v>A</v>
      </c>
      <c r="I16" s="519">
        <f>IF('[1]BASE'!FV17="","",'[1]BASE'!FV17)</f>
      </c>
      <c r="J16" s="519">
        <f>IF('[1]BASE'!FW17="","",'[1]BASE'!FW17)</f>
      </c>
      <c r="K16" s="519">
        <f>IF('[1]BASE'!FX17="","",'[1]BASE'!FX17)</f>
      </c>
      <c r="L16" s="519">
        <f>IF('[1]BASE'!FY17="","",'[1]BASE'!FY17)</f>
      </c>
      <c r="M16" s="519">
        <f>IF('[1]BASE'!FZ17="","",'[1]BASE'!FZ17)</f>
      </c>
      <c r="N16" s="519">
        <f>IF('[1]BASE'!GA17="","",'[1]BASE'!GA17)</f>
      </c>
      <c r="O16" s="519">
        <f>IF('[1]BASE'!GB17="","",'[1]BASE'!GB17)</f>
      </c>
      <c r="P16" s="519">
        <f>IF('[1]BASE'!GC17="","",'[1]BASE'!GC17)</f>
      </c>
      <c r="Q16" s="519">
        <f>IF('[1]BASE'!GD17="","",'[1]BASE'!GD17)</f>
      </c>
      <c r="R16" s="519">
        <f>IF('[1]BASE'!GE17="","",'[1]BASE'!GE17)</f>
      </c>
      <c r="S16" s="519">
        <f>IF('[1]BASE'!GF17="","",'[1]BASE'!GF17)</f>
      </c>
      <c r="T16" s="519">
        <f>IF('[1]BASE'!GG17="","",'[1]BASE'!GG17)</f>
        <v>1</v>
      </c>
      <c r="U16" s="474"/>
      <c r="V16" s="473"/>
    </row>
    <row r="17" spans="2:22" s="468" customFormat="1" ht="18">
      <c r="B17" s="469"/>
      <c r="C17" s="514">
        <f>IF('[1]BASE'!C18="","",'[1]BASE'!C18)</f>
        <v>2</v>
      </c>
      <c r="D17" s="514" t="str">
        <f>IF('[1]BASE'!D18="","",'[1]BASE'!D18)</f>
        <v>CE-000</v>
      </c>
      <c r="E17" s="514" t="str">
        <f>IF('[1]BASE'!E18="","",'[1]BASE'!E18)</f>
        <v>AZUL - LAS FLORES</v>
      </c>
      <c r="F17" s="514">
        <f>IF('[1]BASE'!F18="","",'[1]BASE'!F18)</f>
        <v>132</v>
      </c>
      <c r="G17" s="514">
        <f>IF('[1]BASE'!G18="","",'[1]BASE'!G18)</f>
        <v>107</v>
      </c>
      <c r="H17" s="514" t="str">
        <f>IF('[1]BASE'!H18="","",'[1]BASE'!H18)</f>
        <v>C</v>
      </c>
      <c r="I17" s="515" t="str">
        <f>IF('[1]BASE'!FV18="","",'[1]BASE'!FV18)</f>
        <v>XXXX</v>
      </c>
      <c r="J17" s="515" t="str">
        <f>IF('[1]BASE'!FW18="","",'[1]BASE'!FW18)</f>
        <v>XXXX</v>
      </c>
      <c r="K17" s="515" t="str">
        <f>IF('[1]BASE'!FX18="","",'[1]BASE'!FX18)</f>
        <v>XXXX</v>
      </c>
      <c r="L17" s="515" t="str">
        <f>IF('[1]BASE'!FY18="","",'[1]BASE'!FY18)</f>
        <v>XXXX</v>
      </c>
      <c r="M17" s="515" t="str">
        <f>IF('[1]BASE'!FZ18="","",'[1]BASE'!FZ18)</f>
        <v>XXXX</v>
      </c>
      <c r="N17" s="515" t="str">
        <f>IF('[1]BASE'!GA18="","",'[1]BASE'!GA18)</f>
        <v>XXXX</v>
      </c>
      <c r="O17" s="515" t="str">
        <f>IF('[1]BASE'!GB18="","",'[1]BASE'!GB18)</f>
        <v>XXXX</v>
      </c>
      <c r="P17" s="515" t="str">
        <f>IF('[1]BASE'!GC18="","",'[1]BASE'!GC18)</f>
        <v>XXXX</v>
      </c>
      <c r="Q17" s="515" t="str">
        <f>IF('[1]BASE'!GD18="","",'[1]BASE'!GD18)</f>
        <v>XXXX</v>
      </c>
      <c r="R17" s="515" t="str">
        <f>IF('[1]BASE'!GE18="","",'[1]BASE'!GE18)</f>
        <v>XXXX</v>
      </c>
      <c r="S17" s="515" t="str">
        <f>IF('[1]BASE'!GF18="","",'[1]BASE'!GF18)</f>
        <v>XXXX</v>
      </c>
      <c r="T17" s="515" t="str">
        <f>IF('[1]BASE'!GG18="","",'[1]BASE'!GG18)</f>
        <v>XXXX</v>
      </c>
      <c r="U17" s="474"/>
      <c r="V17" s="473"/>
    </row>
    <row r="18" spans="2:22" s="468" customFormat="1" ht="19.5" customHeight="1">
      <c r="B18" s="469"/>
      <c r="C18" s="518">
        <f>IF('[1]BASE'!C19="","",'[1]BASE'!C19)</f>
        <v>3</v>
      </c>
      <c r="D18" s="518">
        <f>IF('[1]BASE'!D19="","",'[1]BASE'!D19)</f>
        <v>1534</v>
      </c>
      <c r="E18" s="518" t="str">
        <f>IF('[1]BASE'!E19="","",'[1]BASE'!E19)</f>
        <v>BAHIA BLANCA - NORTE II</v>
      </c>
      <c r="F18" s="518">
        <f>IF('[1]BASE'!F19="","",'[1]BASE'!F19)</f>
        <v>132</v>
      </c>
      <c r="G18" s="518">
        <f>IF('[1]BASE'!G19="","",'[1]BASE'!G19)</f>
        <v>19</v>
      </c>
      <c r="H18" s="518" t="str">
        <f>IF('[1]BASE'!H19="","",'[1]BASE'!H19)</f>
        <v>C</v>
      </c>
      <c r="I18" s="519">
        <f>IF('[1]BASE'!FV19="","",'[1]BASE'!FV19)</f>
      </c>
      <c r="J18" s="519">
        <f>IF('[1]BASE'!FW19="","",'[1]BASE'!FW19)</f>
      </c>
      <c r="K18" s="519">
        <f>IF('[1]BASE'!FX19="","",'[1]BASE'!FX19)</f>
      </c>
      <c r="L18" s="519">
        <f>IF('[1]BASE'!FY19="","",'[1]BASE'!FY19)</f>
      </c>
      <c r="M18" s="519">
        <f>IF('[1]BASE'!FZ19="","",'[1]BASE'!FZ19)</f>
      </c>
      <c r="N18" s="519">
        <f>IF('[1]BASE'!GA19="","",'[1]BASE'!GA19)</f>
      </c>
      <c r="O18" s="519">
        <f>IF('[1]BASE'!GB19="","",'[1]BASE'!GB19)</f>
      </c>
      <c r="P18" s="519">
        <f>IF('[1]BASE'!GC19="","",'[1]BASE'!GC19)</f>
      </c>
      <c r="Q18" s="519">
        <f>IF('[1]BASE'!GD19="","",'[1]BASE'!GD19)</f>
      </c>
      <c r="R18" s="519">
        <f>IF('[1]BASE'!GE19="","",'[1]BASE'!GE19)</f>
      </c>
      <c r="S18" s="519">
        <f>IF('[1]BASE'!GF19="","",'[1]BASE'!GF19)</f>
      </c>
      <c r="T18" s="519">
        <f>IF('[1]BASE'!GG19="","",'[1]BASE'!GG19)</f>
      </c>
      <c r="U18" s="474"/>
      <c r="V18" s="473"/>
    </row>
    <row r="19" spans="2:22" s="468" customFormat="1" ht="19.5" customHeight="1">
      <c r="B19" s="469"/>
      <c r="C19" s="514">
        <f>IF('[1]BASE'!C20="","",'[1]BASE'!C20)</f>
        <v>4</v>
      </c>
      <c r="D19" s="514">
        <f>IF('[1]BASE'!D20="","",'[1]BASE'!D20)</f>
        <v>1532</v>
      </c>
      <c r="E19" s="514" t="str">
        <f>IF('[1]BASE'!E20="","",'[1]BASE'!E20)</f>
        <v>BAHIA BLANCA - P. LURO</v>
      </c>
      <c r="F19" s="514">
        <f>IF('[1]BASE'!F20="","",'[1]BASE'!F20)</f>
        <v>132</v>
      </c>
      <c r="G19" s="514">
        <f>IF('[1]BASE'!G20="","",'[1]BASE'!G20)</f>
        <v>141</v>
      </c>
      <c r="H19" s="514" t="str">
        <f>IF('[1]BASE'!H20="","",'[1]BASE'!H20)</f>
        <v>B</v>
      </c>
      <c r="I19" s="515">
        <f>IF('[1]BASE'!FV20="","",'[1]BASE'!FV20)</f>
      </c>
      <c r="J19" s="515">
        <f>IF('[1]BASE'!FW20="","",'[1]BASE'!FW20)</f>
      </c>
      <c r="K19" s="515">
        <f>IF('[1]BASE'!FX20="","",'[1]BASE'!FX20)</f>
      </c>
      <c r="L19" s="515">
        <f>IF('[1]BASE'!FY20="","",'[1]BASE'!FY20)</f>
      </c>
      <c r="M19" s="515">
        <f>IF('[1]BASE'!FZ20="","",'[1]BASE'!FZ20)</f>
      </c>
      <c r="N19" s="515">
        <f>IF('[1]BASE'!GA20="","",'[1]BASE'!GA20)</f>
      </c>
      <c r="O19" s="515">
        <f>IF('[1]BASE'!GB20="","",'[1]BASE'!GB20)</f>
      </c>
      <c r="P19" s="515">
        <f>IF('[1]BASE'!GC20="","",'[1]BASE'!GC20)</f>
      </c>
      <c r="Q19" s="515">
        <f>IF('[1]BASE'!GD20="","",'[1]BASE'!GD20)</f>
        <v>1</v>
      </c>
      <c r="R19" s="515">
        <f>IF('[1]BASE'!GE20="","",'[1]BASE'!GE20)</f>
      </c>
      <c r="S19" s="515">
        <f>IF('[1]BASE'!GF20="","",'[1]BASE'!GF20)</f>
      </c>
      <c r="T19" s="515">
        <f>IF('[1]BASE'!GG20="","",'[1]BASE'!GG20)</f>
      </c>
      <c r="U19" s="474"/>
      <c r="V19" s="473"/>
    </row>
    <row r="20" spans="2:22" s="468" customFormat="1" ht="19.5" customHeight="1">
      <c r="B20" s="469"/>
      <c r="C20" s="518">
        <f>IF('[1]BASE'!C21="","",'[1]BASE'!C21)</f>
        <v>5</v>
      </c>
      <c r="D20" s="518">
        <f>IF('[1]BASE'!D21="","",'[1]BASE'!D21)</f>
        <v>1535</v>
      </c>
      <c r="E20" s="518" t="str">
        <f>IF('[1]BASE'!E21="","",'[1]BASE'!E21)</f>
        <v>BAHIA BLANCA - PETROQ. BAHIA BLANCA 1</v>
      </c>
      <c r="F20" s="518">
        <f>IF('[1]BASE'!F21="","",'[1]BASE'!F21)</f>
        <v>132</v>
      </c>
      <c r="G20" s="518">
        <f>IF('[1]BASE'!G21="","",'[1]BASE'!G21)</f>
        <v>29.8</v>
      </c>
      <c r="H20" s="518" t="str">
        <f>IF('[1]BASE'!H21="","",'[1]BASE'!H21)</f>
        <v>C</v>
      </c>
      <c r="I20" s="519">
        <f>IF('[1]BASE'!FV21="","",'[1]BASE'!FV21)</f>
      </c>
      <c r="J20" s="519">
        <f>IF('[1]BASE'!FW21="","",'[1]BASE'!FW21)</f>
      </c>
      <c r="K20" s="519">
        <f>IF('[1]BASE'!FX21="","",'[1]BASE'!FX21)</f>
      </c>
      <c r="L20" s="519">
        <f>IF('[1]BASE'!FY21="","",'[1]BASE'!FY21)</f>
      </c>
      <c r="M20" s="519">
        <f>IF('[1]BASE'!FZ21="","",'[1]BASE'!FZ21)</f>
      </c>
      <c r="N20" s="519">
        <f>IF('[1]BASE'!GA21="","",'[1]BASE'!GA21)</f>
      </c>
      <c r="O20" s="519">
        <f>IF('[1]BASE'!GB21="","",'[1]BASE'!GB21)</f>
      </c>
      <c r="P20" s="519">
        <f>IF('[1]BASE'!GC21="","",'[1]BASE'!GC21)</f>
      </c>
      <c r="Q20" s="519">
        <f>IF('[1]BASE'!GD21="","",'[1]BASE'!GD21)</f>
      </c>
      <c r="R20" s="519">
        <f>IF('[1]BASE'!GE21="","",'[1]BASE'!GE21)</f>
      </c>
      <c r="S20" s="519">
        <f>IF('[1]BASE'!GF21="","",'[1]BASE'!GF21)</f>
      </c>
      <c r="T20" s="519">
        <f>IF('[1]BASE'!GG21="","",'[1]BASE'!GG21)</f>
      </c>
      <c r="U20" s="474"/>
      <c r="V20" s="473"/>
    </row>
    <row r="21" spans="2:22" s="468" customFormat="1" ht="19.5" customHeight="1">
      <c r="B21" s="469"/>
      <c r="C21" s="514">
        <f>IF('[1]BASE'!C22="","",'[1]BASE'!C22)</f>
        <v>6</v>
      </c>
      <c r="D21" s="514">
        <f>IF('[1]BASE'!D22="","",'[1]BASE'!D22)</f>
        <v>1531</v>
      </c>
      <c r="E21" s="514" t="str">
        <f>IF('[1]BASE'!E22="","",'[1]BASE'!E22)</f>
        <v>BAHIA BLANCA - PRINGLES</v>
      </c>
      <c r="F21" s="514">
        <f>IF('[1]BASE'!F22="","",'[1]BASE'!F22)</f>
        <v>132</v>
      </c>
      <c r="G21" s="514">
        <f>IF('[1]BASE'!G22="","",'[1]BASE'!G22)</f>
        <v>102.09</v>
      </c>
      <c r="H21" s="514" t="str">
        <f>IF('[1]BASE'!H22="","",'[1]BASE'!H22)</f>
        <v>C</v>
      </c>
      <c r="I21" s="515">
        <f>IF('[1]BASE'!FV22="","",'[1]BASE'!FV22)</f>
      </c>
      <c r="J21" s="515">
        <f>IF('[1]BASE'!FW22="","",'[1]BASE'!FW22)</f>
        <v>1</v>
      </c>
      <c r="K21" s="515">
        <f>IF('[1]BASE'!FX22="","",'[1]BASE'!FX22)</f>
      </c>
      <c r="L21" s="515">
        <f>IF('[1]BASE'!FY22="","",'[1]BASE'!FY22)</f>
      </c>
      <c r="M21" s="515">
        <f>IF('[1]BASE'!FZ22="","",'[1]BASE'!FZ22)</f>
      </c>
      <c r="N21" s="515">
        <f>IF('[1]BASE'!GA22="","",'[1]BASE'!GA22)</f>
      </c>
      <c r="O21" s="515">
        <f>IF('[1]BASE'!GB22="","",'[1]BASE'!GB22)</f>
      </c>
      <c r="P21" s="515">
        <f>IF('[1]BASE'!GC22="","",'[1]BASE'!GC22)</f>
      </c>
      <c r="Q21" s="515">
        <f>IF('[1]BASE'!GD22="","",'[1]BASE'!GD22)</f>
      </c>
      <c r="R21" s="515">
        <f>IF('[1]BASE'!GE22="","",'[1]BASE'!GE22)</f>
      </c>
      <c r="S21" s="515">
        <f>IF('[1]BASE'!GF22="","",'[1]BASE'!GF22)</f>
      </c>
      <c r="T21" s="515">
        <f>IF('[1]BASE'!GG22="","",'[1]BASE'!GG22)</f>
      </c>
      <c r="U21" s="474"/>
      <c r="V21" s="473"/>
    </row>
    <row r="22" spans="2:22" s="468" customFormat="1" ht="19.5" customHeight="1">
      <c r="B22" s="469"/>
      <c r="C22" s="518">
        <f>IF('[1]BASE'!C23="","",'[1]BASE'!C23)</f>
        <v>7</v>
      </c>
      <c r="D22" s="518">
        <f>IF('[1]BASE'!D23="","",'[1]BASE'!D23)</f>
        <v>1522</v>
      </c>
      <c r="E22" s="518" t="str">
        <f>IF('[1]BASE'!E23="","",'[1]BASE'!E23)</f>
        <v>BALCARCE - MAR DEL PLATA</v>
      </c>
      <c r="F22" s="518">
        <f>IF('[1]BASE'!F23="","",'[1]BASE'!F23)</f>
        <v>132</v>
      </c>
      <c r="G22" s="518">
        <f>IF('[1]BASE'!G23="","",'[1]BASE'!G23)</f>
        <v>62.9</v>
      </c>
      <c r="H22" s="518" t="str">
        <f>IF('[1]BASE'!H23="","",'[1]BASE'!H23)</f>
        <v>C</v>
      </c>
      <c r="I22" s="519">
        <f>IF('[1]BASE'!FV23="","",'[1]BASE'!FV23)</f>
        <v>1</v>
      </c>
      <c r="J22" s="519">
        <f>IF('[1]BASE'!FW23="","",'[1]BASE'!FW23)</f>
      </c>
      <c r="K22" s="519">
        <f>IF('[1]BASE'!FX23="","",'[1]BASE'!FX23)</f>
      </c>
      <c r="L22" s="519">
        <f>IF('[1]BASE'!FY23="","",'[1]BASE'!FY23)</f>
      </c>
      <c r="M22" s="519">
        <f>IF('[1]BASE'!FZ23="","",'[1]BASE'!FZ23)</f>
      </c>
      <c r="N22" s="519">
        <f>IF('[1]BASE'!GA23="","",'[1]BASE'!GA23)</f>
      </c>
      <c r="O22" s="519">
        <f>IF('[1]BASE'!GB23="","",'[1]BASE'!GB23)</f>
        <v>1</v>
      </c>
      <c r="P22" s="519">
        <f>IF('[1]BASE'!GC23="","",'[1]BASE'!GC23)</f>
      </c>
      <c r="Q22" s="519">
        <f>IF('[1]BASE'!GD23="","",'[1]BASE'!GD23)</f>
      </c>
      <c r="R22" s="519">
        <f>IF('[1]BASE'!GE23="","",'[1]BASE'!GE23)</f>
      </c>
      <c r="S22" s="519">
        <f>IF('[1]BASE'!GF23="","",'[1]BASE'!GF23)</f>
      </c>
      <c r="T22" s="519">
        <f>IF('[1]BASE'!GG23="","",'[1]BASE'!GG23)</f>
      </c>
      <c r="U22" s="474"/>
      <c r="V22" s="473"/>
    </row>
    <row r="23" spans="2:22" s="468" customFormat="1" ht="19.5" customHeight="1">
      <c r="B23" s="469"/>
      <c r="C23" s="514">
        <f>IF('[1]BASE'!C24="","",'[1]BASE'!C24)</f>
        <v>8</v>
      </c>
      <c r="D23" s="514">
        <f>IF('[1]BASE'!D24="","",'[1]BASE'!D24)</f>
        <v>1406</v>
      </c>
      <c r="E23" s="514" t="str">
        <f>IF('[1]BASE'!E24="","",'[1]BASE'!E24)</f>
        <v>BRAGADO - CHACABUCO</v>
      </c>
      <c r="F23" s="514">
        <f>IF('[1]BASE'!F24="","",'[1]BASE'!F24)</f>
        <v>132</v>
      </c>
      <c r="G23" s="514">
        <f>IF('[1]BASE'!G24="","",'[1]BASE'!G24)</f>
        <v>60.6</v>
      </c>
      <c r="H23" s="514" t="str">
        <f>IF('[1]BASE'!H24="","",'[1]BASE'!H24)</f>
        <v>B</v>
      </c>
      <c r="I23" s="515">
        <f>IF('[1]BASE'!FV24="","",'[1]BASE'!FV24)</f>
      </c>
      <c r="J23" s="515">
        <f>IF('[1]BASE'!FW24="","",'[1]BASE'!FW24)</f>
      </c>
      <c r="K23" s="515">
        <f>IF('[1]BASE'!FX24="","",'[1]BASE'!FX24)</f>
      </c>
      <c r="L23" s="515">
        <f>IF('[1]BASE'!FY24="","",'[1]BASE'!FY24)</f>
      </c>
      <c r="M23" s="515">
        <f>IF('[1]BASE'!FZ24="","",'[1]BASE'!FZ24)</f>
      </c>
      <c r="N23" s="515">
        <f>IF('[1]BASE'!GA24="","",'[1]BASE'!GA24)</f>
      </c>
      <c r="O23" s="515">
        <f>IF('[1]BASE'!GB24="","",'[1]BASE'!GB24)</f>
      </c>
      <c r="P23" s="515">
        <f>IF('[1]BASE'!GC24="","",'[1]BASE'!GC24)</f>
        <v>2</v>
      </c>
      <c r="Q23" s="515">
        <f>IF('[1]BASE'!GD24="","",'[1]BASE'!GD24)</f>
      </c>
      <c r="R23" s="515">
        <f>IF('[1]BASE'!GE24="","",'[1]BASE'!GE24)</f>
      </c>
      <c r="S23" s="515">
        <f>IF('[1]BASE'!GF24="","",'[1]BASE'!GF24)</f>
      </c>
      <c r="T23" s="515">
        <f>IF('[1]BASE'!GG24="","",'[1]BASE'!GG24)</f>
      </c>
      <c r="U23" s="474"/>
      <c r="V23" s="473"/>
    </row>
    <row r="24" spans="2:22" s="468" customFormat="1" ht="19.5" customHeight="1">
      <c r="B24" s="469"/>
      <c r="C24" s="518">
        <f>IF('[1]BASE'!C25="","",'[1]BASE'!C25)</f>
        <v>9</v>
      </c>
      <c r="D24" s="518">
        <f>IF('[1]BASE'!D25="","",'[1]BASE'!D25)</f>
        <v>1404</v>
      </c>
      <c r="E24" s="518" t="str">
        <f>IF('[1]BASE'!E25="","",'[1]BASE'!E25)</f>
        <v>BRAGADO - CHIVILCOY</v>
      </c>
      <c r="F24" s="518">
        <f>IF('[1]BASE'!F25="","",'[1]BASE'!F25)</f>
        <v>132</v>
      </c>
      <c r="G24" s="518">
        <f>IF('[1]BASE'!G25="","",'[1]BASE'!G25)</f>
        <v>49</v>
      </c>
      <c r="H24" s="518" t="str">
        <f>IF('[1]BASE'!H25="","",'[1]BASE'!H25)</f>
        <v>B</v>
      </c>
      <c r="I24" s="519">
        <f>IF('[1]BASE'!FV25="","",'[1]BASE'!FV25)</f>
      </c>
      <c r="J24" s="519">
        <f>IF('[1]BASE'!FW25="","",'[1]BASE'!FW25)</f>
      </c>
      <c r="K24" s="519">
        <f>IF('[1]BASE'!FX25="","",'[1]BASE'!FX25)</f>
      </c>
      <c r="L24" s="519">
        <f>IF('[1]BASE'!FY25="","",'[1]BASE'!FY25)</f>
      </c>
      <c r="M24" s="519">
        <f>IF('[1]BASE'!FZ25="","",'[1]BASE'!FZ25)</f>
        <v>1</v>
      </c>
      <c r="N24" s="519">
        <f>IF('[1]BASE'!GA25="","",'[1]BASE'!GA25)</f>
      </c>
      <c r="O24" s="519">
        <f>IF('[1]BASE'!GB25="","",'[1]BASE'!GB25)</f>
        <v>1</v>
      </c>
      <c r="P24" s="519">
        <f>IF('[1]BASE'!GC25="","",'[1]BASE'!GC25)</f>
      </c>
      <c r="Q24" s="519">
        <f>IF('[1]BASE'!GD25="","",'[1]BASE'!GD25)</f>
        <v>1</v>
      </c>
      <c r="R24" s="519">
        <f>IF('[1]BASE'!GE25="","",'[1]BASE'!GE25)</f>
      </c>
      <c r="S24" s="519">
        <f>IF('[1]BASE'!GF25="","",'[1]BASE'!GF25)</f>
      </c>
      <c r="T24" s="519">
        <f>IF('[1]BASE'!GG25="","",'[1]BASE'!GG25)</f>
      </c>
      <c r="U24" s="474"/>
      <c r="V24" s="473"/>
    </row>
    <row r="25" spans="2:22" s="468" customFormat="1" ht="19.5" customHeight="1">
      <c r="B25" s="469"/>
      <c r="C25" s="514">
        <f>IF('[1]BASE'!C26="","",'[1]BASE'!C26)</f>
        <v>10</v>
      </c>
      <c r="D25" s="514">
        <f>IF('[1]BASE'!D26="","",'[1]BASE'!D26)</f>
        <v>1405</v>
      </c>
      <c r="E25" s="514" t="str">
        <f>IF('[1]BASE'!E26="","",'[1]BASE'!E26)</f>
        <v>BRAGADO - SALADILLO</v>
      </c>
      <c r="F25" s="514">
        <f>IF('[1]BASE'!F26="","",'[1]BASE'!F26)</f>
        <v>132</v>
      </c>
      <c r="G25" s="514">
        <f>IF('[1]BASE'!G26="","",'[1]BASE'!G26)</f>
        <v>83.8</v>
      </c>
      <c r="H25" s="514" t="str">
        <f>IF('[1]BASE'!H26="","",'[1]BASE'!H26)</f>
        <v>B</v>
      </c>
      <c r="I25" s="515">
        <f>IF('[1]BASE'!FV26="","",'[1]BASE'!FV26)</f>
      </c>
      <c r="J25" s="515">
        <f>IF('[1]BASE'!FW26="","",'[1]BASE'!FW26)</f>
      </c>
      <c r="K25" s="515">
        <f>IF('[1]BASE'!FX26="","",'[1]BASE'!FX26)</f>
      </c>
      <c r="L25" s="515">
        <f>IF('[1]BASE'!FY26="","",'[1]BASE'!FY26)</f>
      </c>
      <c r="M25" s="515">
        <f>IF('[1]BASE'!FZ26="","",'[1]BASE'!FZ26)</f>
      </c>
      <c r="N25" s="515">
        <f>IF('[1]BASE'!GA26="","",'[1]BASE'!GA26)</f>
      </c>
      <c r="O25" s="515">
        <f>IF('[1]BASE'!GB26="","",'[1]BASE'!GB26)</f>
      </c>
      <c r="P25" s="515">
        <f>IF('[1]BASE'!GC26="","",'[1]BASE'!GC26)</f>
      </c>
      <c r="Q25" s="515">
        <f>IF('[1]BASE'!GD26="","",'[1]BASE'!GD26)</f>
      </c>
      <c r="R25" s="515">
        <f>IF('[1]BASE'!GE26="","",'[1]BASE'!GE26)</f>
      </c>
      <c r="S25" s="515">
        <f>IF('[1]BASE'!GF26="","",'[1]BASE'!GF26)</f>
      </c>
      <c r="T25" s="515">
        <f>IF('[1]BASE'!GG26="","",'[1]BASE'!GG26)</f>
      </c>
      <c r="U25" s="474"/>
      <c r="V25" s="473"/>
    </row>
    <row r="26" spans="2:22" s="468" customFormat="1" ht="19.5" customHeight="1">
      <c r="B26" s="469"/>
      <c r="C26" s="518">
        <f>IF('[1]BASE'!C27="","",'[1]BASE'!C27)</f>
        <v>11</v>
      </c>
      <c r="D26" s="518">
        <f>IF('[1]BASE'!D27="","",'[1]BASE'!D27)</f>
        <v>1454</v>
      </c>
      <c r="E26" s="518" t="str">
        <f>IF('[1]BASE'!E27="","",'[1]BASE'!E27)</f>
        <v>C. AVELLANEDA - OLAVARRIA VIEJA</v>
      </c>
      <c r="F26" s="518">
        <f>IF('[1]BASE'!F27="","",'[1]BASE'!F27)</f>
        <v>132</v>
      </c>
      <c r="G26" s="518">
        <f>IF('[1]BASE'!G27="","",'[1]BASE'!G27)</f>
        <v>6.3</v>
      </c>
      <c r="H26" s="518" t="str">
        <f>IF('[1]BASE'!H27="","",'[1]BASE'!H27)</f>
        <v>C</v>
      </c>
      <c r="I26" s="519">
        <f>IF('[1]BASE'!FV27="","",'[1]BASE'!FV27)</f>
      </c>
      <c r="J26" s="519">
        <f>IF('[1]BASE'!FW27="","",'[1]BASE'!FW27)</f>
      </c>
      <c r="K26" s="519">
        <f>IF('[1]BASE'!FX27="","",'[1]BASE'!FX27)</f>
      </c>
      <c r="L26" s="519">
        <f>IF('[1]BASE'!FY27="","",'[1]BASE'!FY27)</f>
      </c>
      <c r="M26" s="519">
        <f>IF('[1]BASE'!FZ27="","",'[1]BASE'!FZ27)</f>
        <v>1</v>
      </c>
      <c r="N26" s="519">
        <f>IF('[1]BASE'!GA27="","",'[1]BASE'!GA27)</f>
      </c>
      <c r="O26" s="519">
        <f>IF('[1]BASE'!GB27="","",'[1]BASE'!GB27)</f>
      </c>
      <c r="P26" s="519">
        <f>IF('[1]BASE'!GC27="","",'[1]BASE'!GC27)</f>
      </c>
      <c r="Q26" s="519">
        <f>IF('[1]BASE'!GD27="","",'[1]BASE'!GD27)</f>
      </c>
      <c r="R26" s="519">
        <f>IF('[1]BASE'!GE27="","",'[1]BASE'!GE27)</f>
      </c>
      <c r="S26" s="519">
        <f>IF('[1]BASE'!GF27="","",'[1]BASE'!GF27)</f>
      </c>
      <c r="T26" s="519">
        <f>IF('[1]BASE'!GG27="","",'[1]BASE'!GG27)</f>
      </c>
      <c r="U26" s="474"/>
      <c r="V26" s="473"/>
    </row>
    <row r="27" spans="2:22" s="468" customFormat="1" ht="19.5" customHeight="1">
      <c r="B27" s="469"/>
      <c r="C27" s="514">
        <f>IF('[1]BASE'!C28="","",'[1]BASE'!C28)</f>
        <v>12</v>
      </c>
      <c r="D27" s="514">
        <f>IF('[1]BASE'!D28="","",'[1]BASE'!D28)</f>
        <v>2617</v>
      </c>
      <c r="E27" s="514" t="str">
        <f>IF('[1]BASE'!E28="","",'[1]BASE'!E28)</f>
        <v>C. PATAGONES - VIEDMA</v>
      </c>
      <c r="F27" s="514">
        <f>IF('[1]BASE'!F28="","",'[1]BASE'!F28)</f>
        <v>132</v>
      </c>
      <c r="G27" s="514">
        <f>IF('[1]BASE'!G28="","",'[1]BASE'!G28)</f>
        <v>2.7</v>
      </c>
      <c r="H27" s="514" t="str">
        <f>IF('[1]BASE'!H28="","",'[1]BASE'!H28)</f>
        <v>C</v>
      </c>
      <c r="I27" s="515">
        <f>IF('[1]BASE'!FV28="","",'[1]BASE'!FV28)</f>
      </c>
      <c r="J27" s="515">
        <f>IF('[1]BASE'!FW28="","",'[1]BASE'!FW28)</f>
      </c>
      <c r="K27" s="515">
        <f>IF('[1]BASE'!FX28="","",'[1]BASE'!FX28)</f>
      </c>
      <c r="L27" s="515">
        <f>IF('[1]BASE'!FY28="","",'[1]BASE'!FY28)</f>
      </c>
      <c r="M27" s="515">
        <f>IF('[1]BASE'!FZ28="","",'[1]BASE'!FZ28)</f>
        <v>1</v>
      </c>
      <c r="N27" s="515">
        <f>IF('[1]BASE'!GA28="","",'[1]BASE'!GA28)</f>
      </c>
      <c r="O27" s="515">
        <f>IF('[1]BASE'!GB28="","",'[1]BASE'!GB28)</f>
      </c>
      <c r="P27" s="515">
        <f>IF('[1]BASE'!GC28="","",'[1]BASE'!GC28)</f>
        <v>1</v>
      </c>
      <c r="Q27" s="515">
        <f>IF('[1]BASE'!GD28="","",'[1]BASE'!GD28)</f>
      </c>
      <c r="R27" s="515">
        <f>IF('[1]BASE'!GE28="","",'[1]BASE'!GE28)</f>
      </c>
      <c r="S27" s="515">
        <f>IF('[1]BASE'!GF28="","",'[1]BASE'!GF28)</f>
      </c>
      <c r="T27" s="515">
        <f>IF('[1]BASE'!GG28="","",'[1]BASE'!GG28)</f>
      </c>
      <c r="U27" s="474"/>
      <c r="V27" s="473"/>
    </row>
    <row r="28" spans="2:22" s="468" customFormat="1" ht="19.5" customHeight="1" hidden="1">
      <c r="B28" s="469"/>
      <c r="C28" s="518">
        <f>IF('[1]BASE'!C29="","",'[1]BASE'!C29)</f>
        <v>13</v>
      </c>
      <c r="D28" s="518" t="str">
        <f>IF('[1]BASE'!D29="","",'[1]BASE'!D29)</f>
        <v>CE-000</v>
      </c>
      <c r="E28" s="518" t="str">
        <f>IF('[1]BASE'!E29="","",'[1]BASE'!E29)</f>
        <v>CAMPANA - NUEVA CAMPANA</v>
      </c>
      <c r="F28" s="518">
        <f>IF('[1]BASE'!F29="","",'[1]BASE'!F29)</f>
        <v>132</v>
      </c>
      <c r="G28" s="518">
        <f>IF('[1]BASE'!G29="","",'[1]BASE'!G29)</f>
        <v>6.5</v>
      </c>
      <c r="H28" s="518" t="str">
        <f>IF('[1]BASE'!H29="","",'[1]BASE'!H29)</f>
        <v>C</v>
      </c>
      <c r="I28" s="519" t="str">
        <f>IF('[1]BASE'!FV29="","",'[1]BASE'!FV29)</f>
        <v>XXXX</v>
      </c>
      <c r="J28" s="519" t="str">
        <f>IF('[1]BASE'!FW29="","",'[1]BASE'!FW29)</f>
        <v>XXXX</v>
      </c>
      <c r="K28" s="519" t="str">
        <f>IF('[1]BASE'!FX29="","",'[1]BASE'!FX29)</f>
        <v>XXXX</v>
      </c>
      <c r="L28" s="519" t="str">
        <f>IF('[1]BASE'!FY29="","",'[1]BASE'!FY29)</f>
        <v>XXXX</v>
      </c>
      <c r="M28" s="519" t="str">
        <f>IF('[1]BASE'!FZ29="","",'[1]BASE'!FZ29)</f>
        <v>XXXX</v>
      </c>
      <c r="N28" s="519" t="str">
        <f>IF('[1]BASE'!GA29="","",'[1]BASE'!GA29)</f>
        <v>XXXX</v>
      </c>
      <c r="O28" s="519" t="str">
        <f>IF('[1]BASE'!GB29="","",'[1]BASE'!GB29)</f>
        <v>XXXX</v>
      </c>
      <c r="P28" s="519" t="str">
        <f>IF('[1]BASE'!GC29="","",'[1]BASE'!GC29)</f>
        <v>XXXX</v>
      </c>
      <c r="Q28" s="519" t="str">
        <f>IF('[1]BASE'!GD29="","",'[1]BASE'!GD29)</f>
        <v>XXXX</v>
      </c>
      <c r="R28" s="519" t="str">
        <f>IF('[1]BASE'!GE29="","",'[1]BASE'!GE29)</f>
        <v>XXXX</v>
      </c>
      <c r="S28" s="519" t="str">
        <f>IF('[1]BASE'!GF29="","",'[1]BASE'!GF29)</f>
        <v>XXXX</v>
      </c>
      <c r="T28" s="519" t="str">
        <f>IF('[1]BASE'!GG29="","",'[1]BASE'!GG29)</f>
        <v>XXXX</v>
      </c>
      <c r="U28" s="474"/>
      <c r="V28" s="473"/>
    </row>
    <row r="29" spans="2:22" s="468" customFormat="1" ht="19.5" customHeight="1">
      <c r="B29" s="469"/>
      <c r="C29" s="514">
        <f>IF('[1]BASE'!C30="","",'[1]BASE'!C30)</f>
        <v>14</v>
      </c>
      <c r="D29" s="514">
        <f>IF('[1]BASE'!D30="","",'[1]BASE'!D30)</f>
        <v>1432</v>
      </c>
      <c r="E29" s="514" t="str">
        <f>IF('[1]BASE'!E30="","",'[1]BASE'!E30)</f>
        <v>CAMPANA - SIDERCA</v>
      </c>
      <c r="F29" s="514">
        <f>IF('[1]BASE'!F30="","",'[1]BASE'!F30)</f>
        <v>132</v>
      </c>
      <c r="G29" s="514">
        <f>IF('[1]BASE'!G30="","",'[1]BASE'!G30)</f>
        <v>0.3</v>
      </c>
      <c r="H29" s="514" t="str">
        <f>IF('[1]BASE'!H30="","",'[1]BASE'!H30)</f>
        <v>C</v>
      </c>
      <c r="I29" s="515">
        <f>IF('[1]BASE'!FV30="","",'[1]BASE'!FV30)</f>
      </c>
      <c r="J29" s="515">
        <f>IF('[1]BASE'!FW30="","",'[1]BASE'!FW30)</f>
      </c>
      <c r="K29" s="515">
        <f>IF('[1]BASE'!FX30="","",'[1]BASE'!FX30)</f>
      </c>
      <c r="L29" s="515">
        <f>IF('[1]BASE'!FY30="","",'[1]BASE'!FY30)</f>
      </c>
      <c r="M29" s="515">
        <f>IF('[1]BASE'!FZ30="","",'[1]BASE'!FZ30)</f>
      </c>
      <c r="N29" s="515">
        <f>IF('[1]BASE'!GA30="","",'[1]BASE'!GA30)</f>
      </c>
      <c r="O29" s="515">
        <f>IF('[1]BASE'!GB30="","",'[1]BASE'!GB30)</f>
      </c>
      <c r="P29" s="515">
        <f>IF('[1]BASE'!GC30="","",'[1]BASE'!GC30)</f>
      </c>
      <c r="Q29" s="515">
        <f>IF('[1]BASE'!GD30="","",'[1]BASE'!GD30)</f>
      </c>
      <c r="R29" s="515">
        <f>IF('[1]BASE'!GE30="","",'[1]BASE'!GE30)</f>
      </c>
      <c r="S29" s="515">
        <f>IF('[1]BASE'!GF30="","",'[1]BASE'!GF30)</f>
      </c>
      <c r="T29" s="515">
        <f>IF('[1]BASE'!GG30="","",'[1]BASE'!GG30)</f>
      </c>
      <c r="U29" s="474"/>
      <c r="V29" s="473"/>
    </row>
    <row r="30" spans="2:22" s="468" customFormat="1" ht="19.5" customHeight="1">
      <c r="B30" s="469"/>
      <c r="C30" s="518">
        <f>IF('[1]BASE'!C31="","",'[1]BASE'!C31)</f>
        <v>15</v>
      </c>
      <c r="D30" s="518">
        <f>IF('[1]BASE'!D31="","",'[1]BASE'!D31)</f>
        <v>1428</v>
      </c>
      <c r="E30" s="518" t="str">
        <f>IF('[1]BASE'!E31="","",'[1]BASE'!E31)</f>
        <v>CAMPANA - ZARATE</v>
      </c>
      <c r="F30" s="518">
        <f>IF('[1]BASE'!F31="","",'[1]BASE'!F31)</f>
        <v>132</v>
      </c>
      <c r="G30" s="518">
        <f>IF('[1]BASE'!G31="","",'[1]BASE'!G31)</f>
        <v>9.4</v>
      </c>
      <c r="H30" s="518" t="str">
        <f>IF('[1]BASE'!H31="","",'[1]BASE'!H31)</f>
        <v>C</v>
      </c>
      <c r="I30" s="519">
        <f>IF('[1]BASE'!FV31="","",'[1]BASE'!FV31)</f>
      </c>
      <c r="J30" s="519">
        <f>IF('[1]BASE'!FW31="","",'[1]BASE'!FW31)</f>
      </c>
      <c r="K30" s="519">
        <f>IF('[1]BASE'!FX31="","",'[1]BASE'!FX31)</f>
      </c>
      <c r="L30" s="519">
        <f>IF('[1]BASE'!FY31="","",'[1]BASE'!FY31)</f>
      </c>
      <c r="M30" s="519">
        <f>IF('[1]BASE'!FZ31="","",'[1]BASE'!FZ31)</f>
      </c>
      <c r="N30" s="519">
        <f>IF('[1]BASE'!GA31="","",'[1]BASE'!GA31)</f>
      </c>
      <c r="O30" s="519">
        <f>IF('[1]BASE'!GB31="","",'[1]BASE'!GB31)</f>
      </c>
      <c r="P30" s="519">
        <f>IF('[1]BASE'!GC31="","",'[1]BASE'!GC31)</f>
      </c>
      <c r="Q30" s="519">
        <f>IF('[1]BASE'!GD31="","",'[1]BASE'!GD31)</f>
      </c>
      <c r="R30" s="519">
        <f>IF('[1]BASE'!GE31="","",'[1]BASE'!GE31)</f>
      </c>
      <c r="S30" s="519">
        <f>IF('[1]BASE'!GF31="","",'[1]BASE'!GF31)</f>
      </c>
      <c r="T30" s="519">
        <f>IF('[1]BASE'!GG31="","",'[1]BASE'!GG31)</f>
      </c>
      <c r="U30" s="474"/>
      <c r="V30" s="473"/>
    </row>
    <row r="31" spans="2:22" s="468" customFormat="1" ht="19.5" customHeight="1">
      <c r="B31" s="469"/>
      <c r="C31" s="514">
        <f>IF('[1]BASE'!C32="","",'[1]BASE'!C32)</f>
        <v>16</v>
      </c>
      <c r="D31" s="514">
        <f>IF('[1]BASE'!D32="","",'[1]BASE'!D32)</f>
        <v>1438</v>
      </c>
      <c r="E31" s="514" t="str">
        <f>IF('[1]BASE'!E32="","",'[1]BASE'!E32)</f>
        <v>CHASCOMUS - VERONICA</v>
      </c>
      <c r="F31" s="514">
        <f>IF('[1]BASE'!F32="","",'[1]BASE'!F32)</f>
        <v>132</v>
      </c>
      <c r="G31" s="514">
        <f>IF('[1]BASE'!G32="","",'[1]BASE'!G32)</f>
        <v>70.8</v>
      </c>
      <c r="H31" s="514" t="str">
        <f>IF('[1]BASE'!H32="","",'[1]BASE'!H32)</f>
        <v>B</v>
      </c>
      <c r="I31" s="515">
        <f>IF('[1]BASE'!FV32="","",'[1]BASE'!FV32)</f>
      </c>
      <c r="J31" s="515">
        <f>IF('[1]BASE'!FW32="","",'[1]BASE'!FW32)</f>
        <v>1</v>
      </c>
      <c r="K31" s="515">
        <f>IF('[1]BASE'!FX32="","",'[1]BASE'!FX32)</f>
      </c>
      <c r="L31" s="515">
        <f>IF('[1]BASE'!FY32="","",'[1]BASE'!FY32)</f>
      </c>
      <c r="M31" s="515">
        <f>IF('[1]BASE'!FZ32="","",'[1]BASE'!FZ32)</f>
      </c>
      <c r="N31" s="515">
        <f>IF('[1]BASE'!GA32="","",'[1]BASE'!GA32)</f>
      </c>
      <c r="O31" s="515">
        <f>IF('[1]BASE'!GB32="","",'[1]BASE'!GB32)</f>
      </c>
      <c r="P31" s="515">
        <f>IF('[1]BASE'!GC32="","",'[1]BASE'!GC32)</f>
      </c>
      <c r="Q31" s="515">
        <f>IF('[1]BASE'!GD32="","",'[1]BASE'!GD32)</f>
      </c>
      <c r="R31" s="515">
        <f>IF('[1]BASE'!GE32="","",'[1]BASE'!GE32)</f>
      </c>
      <c r="S31" s="515">
        <f>IF('[1]BASE'!GF32="","",'[1]BASE'!GF32)</f>
      </c>
      <c r="T31" s="515">
        <f>IF('[1]BASE'!GG32="","",'[1]BASE'!GG32)</f>
      </c>
      <c r="U31" s="474"/>
      <c r="V31" s="473"/>
    </row>
    <row r="32" spans="2:22" s="468" customFormat="1" ht="19.5" customHeight="1">
      <c r="B32" s="469"/>
      <c r="C32" s="518">
        <f>IF('[1]BASE'!C33="","",'[1]BASE'!C33)</f>
        <v>17</v>
      </c>
      <c r="D32" s="518">
        <f>IF('[1]BASE'!D33="","",'[1]BASE'!D33)</f>
        <v>1409</v>
      </c>
      <c r="E32" s="518" t="str">
        <f>IF('[1]BASE'!E33="","",'[1]BASE'!E33)</f>
        <v>CHIVILCOY - MERCEDES B.A.</v>
      </c>
      <c r="F32" s="518">
        <f>IF('[1]BASE'!F33="","",'[1]BASE'!F33)</f>
        <v>132</v>
      </c>
      <c r="G32" s="518">
        <f>IF('[1]BASE'!G33="","",'[1]BASE'!G33)</f>
        <v>69.1</v>
      </c>
      <c r="H32" s="518" t="str">
        <f>IF('[1]BASE'!H33="","",'[1]BASE'!H33)</f>
        <v>C</v>
      </c>
      <c r="I32" s="519">
        <f>IF('[1]BASE'!FV33="","",'[1]BASE'!FV33)</f>
        <v>1</v>
      </c>
      <c r="J32" s="519">
        <f>IF('[1]BASE'!FW33="","",'[1]BASE'!FW33)</f>
        <v>1</v>
      </c>
      <c r="K32" s="519">
        <f>IF('[1]BASE'!FX33="","",'[1]BASE'!FX33)</f>
      </c>
      <c r="L32" s="519">
        <f>IF('[1]BASE'!FY33="","",'[1]BASE'!FY33)</f>
      </c>
      <c r="M32" s="519">
        <f>IF('[1]BASE'!FZ33="","",'[1]BASE'!FZ33)</f>
      </c>
      <c r="N32" s="519">
        <f>IF('[1]BASE'!GA33="","",'[1]BASE'!GA33)</f>
      </c>
      <c r="O32" s="519">
        <f>IF('[1]BASE'!GB33="","",'[1]BASE'!GB33)</f>
        <v>1</v>
      </c>
      <c r="P32" s="519">
        <f>IF('[1]BASE'!GC33="","",'[1]BASE'!GC33)</f>
      </c>
      <c r="Q32" s="519">
        <f>IF('[1]BASE'!GD33="","",'[1]BASE'!GD33)</f>
      </c>
      <c r="R32" s="519">
        <f>IF('[1]BASE'!GE33="","",'[1]BASE'!GE33)</f>
      </c>
      <c r="S32" s="519">
        <f>IF('[1]BASE'!GF33="","",'[1]BASE'!GF33)</f>
      </c>
      <c r="T32" s="519">
        <f>IF('[1]BASE'!GG33="","",'[1]BASE'!GG33)</f>
      </c>
      <c r="U32" s="474"/>
      <c r="V32" s="473"/>
    </row>
    <row r="33" spans="2:22" s="468" customFormat="1" ht="19.5" customHeight="1">
      <c r="B33" s="469"/>
      <c r="C33" s="514">
        <f>IF('[1]BASE'!C34="","",'[1]BASE'!C34)</f>
        <v>18</v>
      </c>
      <c r="D33" s="514">
        <f>IF('[1]BASE'!D34="","",'[1]BASE'!D34)</f>
        <v>1539</v>
      </c>
      <c r="E33" s="514" t="str">
        <f>IF('[1]BASE'!E34="","",'[1]BASE'!E34)</f>
        <v>CNEL. DORREGO - BAHIA BLANCA</v>
      </c>
      <c r="F33" s="514">
        <f>IF('[1]BASE'!F34="","",'[1]BASE'!F34)</f>
        <v>132</v>
      </c>
      <c r="G33" s="514">
        <f>IF('[1]BASE'!G34="","",'[1]BASE'!G34)</f>
        <v>77.5</v>
      </c>
      <c r="H33" s="514" t="str">
        <f>IF('[1]BASE'!H34="","",'[1]BASE'!H34)</f>
        <v>C</v>
      </c>
      <c r="I33" s="515">
        <f>IF('[1]BASE'!FV34="","",'[1]BASE'!FV34)</f>
      </c>
      <c r="J33" s="515">
        <f>IF('[1]BASE'!FW34="","",'[1]BASE'!FW34)</f>
      </c>
      <c r="K33" s="515">
        <f>IF('[1]BASE'!FX34="","",'[1]BASE'!FX34)</f>
      </c>
      <c r="L33" s="515">
        <f>IF('[1]BASE'!FY34="","",'[1]BASE'!FY34)</f>
      </c>
      <c r="M33" s="515">
        <f>IF('[1]BASE'!FZ34="","",'[1]BASE'!FZ34)</f>
      </c>
      <c r="N33" s="515">
        <f>IF('[1]BASE'!GA34="","",'[1]BASE'!GA34)</f>
      </c>
      <c r="O33" s="515">
        <f>IF('[1]BASE'!GB34="","",'[1]BASE'!GB34)</f>
      </c>
      <c r="P33" s="515">
        <f>IF('[1]BASE'!GC34="","",'[1]BASE'!GC34)</f>
      </c>
      <c r="Q33" s="515">
        <f>IF('[1]BASE'!GD34="","",'[1]BASE'!GD34)</f>
        <v>1</v>
      </c>
      <c r="R33" s="515">
        <f>IF('[1]BASE'!GE34="","",'[1]BASE'!GE34)</f>
      </c>
      <c r="S33" s="515">
        <f>IF('[1]BASE'!GF34="","",'[1]BASE'!GF34)</f>
      </c>
      <c r="T33" s="515">
        <f>IF('[1]BASE'!GG34="","",'[1]BASE'!GG34)</f>
      </c>
      <c r="U33" s="474"/>
      <c r="V33" s="473"/>
    </row>
    <row r="34" spans="2:22" s="468" customFormat="1" ht="19.5" customHeight="1">
      <c r="B34" s="469"/>
      <c r="C34" s="518">
        <f>IF('[1]BASE'!C35="","",'[1]BASE'!C35)</f>
        <v>19</v>
      </c>
      <c r="D34" s="518">
        <f>IF('[1]BASE'!D35="","",'[1]BASE'!D35)</f>
        <v>1538</v>
      </c>
      <c r="E34" s="518" t="str">
        <f>IF('[1]BASE'!E35="","",'[1]BASE'!E35)</f>
        <v>CNEL. DORREGO - TRES ARROYOS</v>
      </c>
      <c r="F34" s="518">
        <f>IF('[1]BASE'!F35="","",'[1]BASE'!F35)</f>
        <v>132</v>
      </c>
      <c r="G34" s="518">
        <f>IF('[1]BASE'!G35="","",'[1]BASE'!G35)</f>
        <v>99</v>
      </c>
      <c r="H34" s="518" t="str">
        <f>IF('[1]BASE'!H35="","",'[1]BASE'!H35)</f>
        <v>C</v>
      </c>
      <c r="I34" s="519">
        <f>IF('[1]BASE'!FV35="","",'[1]BASE'!FV35)</f>
      </c>
      <c r="J34" s="519">
        <f>IF('[1]BASE'!FW35="","",'[1]BASE'!FW35)</f>
      </c>
      <c r="K34" s="519">
        <f>IF('[1]BASE'!FX35="","",'[1]BASE'!FX35)</f>
      </c>
      <c r="L34" s="519">
        <f>IF('[1]BASE'!FY35="","",'[1]BASE'!FY35)</f>
      </c>
      <c r="M34" s="519">
        <f>IF('[1]BASE'!FZ35="","",'[1]BASE'!FZ35)</f>
      </c>
      <c r="N34" s="519">
        <f>IF('[1]BASE'!GA35="","",'[1]BASE'!GA35)</f>
      </c>
      <c r="O34" s="519">
        <f>IF('[1]BASE'!GB35="","",'[1]BASE'!GB35)</f>
      </c>
      <c r="P34" s="519">
        <f>IF('[1]BASE'!GC35="","",'[1]BASE'!GC35)</f>
      </c>
      <c r="Q34" s="519">
        <f>IF('[1]BASE'!GD35="","",'[1]BASE'!GD35)</f>
      </c>
      <c r="R34" s="519">
        <f>IF('[1]BASE'!GE35="","",'[1]BASE'!GE35)</f>
      </c>
      <c r="S34" s="519">
        <f>IF('[1]BASE'!GF35="","",'[1]BASE'!GF35)</f>
      </c>
      <c r="T34" s="519">
        <f>IF('[1]BASE'!GG35="","",'[1]BASE'!GG35)</f>
      </c>
      <c r="U34" s="474"/>
      <c r="V34" s="473"/>
    </row>
    <row r="35" spans="2:22" s="468" customFormat="1" ht="19.5" customHeight="1">
      <c r="B35" s="469"/>
      <c r="C35" s="514">
        <f>IF('[1]BASE'!C36="","",'[1]BASE'!C36)</f>
        <v>20</v>
      </c>
      <c r="D35" s="514">
        <f>IF('[1]BASE'!D36="","",'[1]BASE'!D36)</f>
        <v>1537</v>
      </c>
      <c r="E35" s="514" t="str">
        <f>IF('[1]BASE'!E36="","",'[1]BASE'!E36)</f>
        <v>CNEL. SUAREZ - PIGUE</v>
      </c>
      <c r="F35" s="514">
        <f>IF('[1]BASE'!F36="","",'[1]BASE'!F36)</f>
        <v>132</v>
      </c>
      <c r="G35" s="514">
        <f>IF('[1]BASE'!G36="","",'[1]BASE'!G36)</f>
        <v>47.6</v>
      </c>
      <c r="H35" s="514" t="str">
        <f>IF('[1]BASE'!H36="","",'[1]BASE'!H36)</f>
        <v>C</v>
      </c>
      <c r="I35" s="515">
        <f>IF('[1]BASE'!FV36="","",'[1]BASE'!FV36)</f>
      </c>
      <c r="J35" s="515">
        <f>IF('[1]BASE'!FW36="","",'[1]BASE'!FW36)</f>
      </c>
      <c r="K35" s="515">
        <f>IF('[1]BASE'!FX36="","",'[1]BASE'!FX36)</f>
      </c>
      <c r="L35" s="515">
        <f>IF('[1]BASE'!FY36="","",'[1]BASE'!FY36)</f>
      </c>
      <c r="M35" s="515">
        <f>IF('[1]BASE'!FZ36="","",'[1]BASE'!FZ36)</f>
      </c>
      <c r="N35" s="515">
        <f>IF('[1]BASE'!GA36="","",'[1]BASE'!GA36)</f>
      </c>
      <c r="O35" s="515">
        <f>IF('[1]BASE'!GB36="","",'[1]BASE'!GB36)</f>
      </c>
      <c r="P35" s="515">
        <f>IF('[1]BASE'!GC36="","",'[1]BASE'!GC36)</f>
      </c>
      <c r="Q35" s="515">
        <f>IF('[1]BASE'!GD36="","",'[1]BASE'!GD36)</f>
        <v>1</v>
      </c>
      <c r="R35" s="515">
        <f>IF('[1]BASE'!GE36="","",'[1]BASE'!GE36)</f>
        <v>1</v>
      </c>
      <c r="S35" s="515">
        <f>IF('[1]BASE'!GF36="","",'[1]BASE'!GF36)</f>
      </c>
      <c r="T35" s="515">
        <f>IF('[1]BASE'!GG36="","",'[1]BASE'!GG36)</f>
      </c>
      <c r="U35" s="474"/>
      <c r="V35" s="473"/>
    </row>
    <row r="36" spans="2:22" s="468" customFormat="1" ht="19.5" customHeight="1">
      <c r="B36" s="469"/>
      <c r="C36" s="518">
        <f>IF('[1]BASE'!C37="","",'[1]BASE'!C37)</f>
        <v>21</v>
      </c>
      <c r="D36" s="518">
        <f>IF('[1]BASE'!D37="","",'[1]BASE'!D37)</f>
        <v>1437</v>
      </c>
      <c r="E36" s="518" t="str">
        <f>IF('[1]BASE'!E37="","",'[1]BASE'!E37)</f>
        <v>DOLORES - CHASCOMUS</v>
      </c>
      <c r="F36" s="518">
        <f>IF('[1]BASE'!F37="","",'[1]BASE'!F37)</f>
        <v>132</v>
      </c>
      <c r="G36" s="518">
        <f>IF('[1]BASE'!G37="","",'[1]BASE'!G37)</f>
        <v>90.23</v>
      </c>
      <c r="H36" s="518" t="str">
        <f>IF('[1]BASE'!H37="","",'[1]BASE'!H37)</f>
        <v>C</v>
      </c>
      <c r="I36" s="519">
        <f>IF('[1]BASE'!FV37="","",'[1]BASE'!FV37)</f>
      </c>
      <c r="J36" s="519">
        <f>IF('[1]BASE'!FW37="","",'[1]BASE'!FW37)</f>
      </c>
      <c r="K36" s="519">
        <f>IF('[1]BASE'!FX37="","",'[1]BASE'!FX37)</f>
      </c>
      <c r="L36" s="519">
        <f>IF('[1]BASE'!FY37="","",'[1]BASE'!FY37)</f>
      </c>
      <c r="M36" s="519">
        <f>IF('[1]BASE'!FZ37="","",'[1]BASE'!FZ37)</f>
      </c>
      <c r="N36" s="519">
        <f>IF('[1]BASE'!GA37="","",'[1]BASE'!GA37)</f>
      </c>
      <c r="O36" s="519">
        <f>IF('[1]BASE'!GB37="","",'[1]BASE'!GB37)</f>
      </c>
      <c r="P36" s="519">
        <f>IF('[1]BASE'!GC37="","",'[1]BASE'!GC37)</f>
      </c>
      <c r="Q36" s="519">
        <f>IF('[1]BASE'!GD37="","",'[1]BASE'!GD37)</f>
      </c>
      <c r="R36" s="519">
        <f>IF('[1]BASE'!GE37="","",'[1]BASE'!GE37)</f>
      </c>
      <c r="S36" s="519">
        <f>IF('[1]BASE'!GF37="","",'[1]BASE'!GF37)</f>
      </c>
      <c r="T36" s="519">
        <f>IF('[1]BASE'!GG37="","",'[1]BASE'!GG37)</f>
      </c>
      <c r="U36" s="474"/>
      <c r="V36" s="473"/>
    </row>
    <row r="37" spans="2:22" s="468" customFormat="1" ht="19.5" customHeight="1" hidden="1">
      <c r="B37" s="469"/>
      <c r="C37" s="514">
        <f>IF('[1]BASE'!C38="","",'[1]BASE'!C38)</f>
        <v>22</v>
      </c>
      <c r="D37" s="514" t="str">
        <f>IF('[1]BASE'!D38="","",'[1]BASE'!D38)</f>
        <v>CE-000</v>
      </c>
      <c r="E37" s="514" t="str">
        <f>IF('[1]BASE'!E38="","",'[1]BASE'!E38)</f>
        <v>EASTMAN T - EASTMAN</v>
      </c>
      <c r="F37" s="514">
        <f>IF('[1]BASE'!F38="","",'[1]BASE'!F38)</f>
        <v>132</v>
      </c>
      <c r="G37" s="514">
        <f>IF('[1]BASE'!G38="","",'[1]BASE'!G38)</f>
        <v>6.5</v>
      </c>
      <c r="H37" s="514" t="str">
        <f>IF('[1]BASE'!H38="","",'[1]BASE'!H38)</f>
        <v>C</v>
      </c>
      <c r="I37" s="515" t="str">
        <f>IF('[1]BASE'!FV38="","",'[1]BASE'!FV38)</f>
        <v>XXXX</v>
      </c>
      <c r="J37" s="515" t="str">
        <f>IF('[1]BASE'!FW38="","",'[1]BASE'!FW38)</f>
        <v>XXXX</v>
      </c>
      <c r="K37" s="515" t="str">
        <f>IF('[1]BASE'!FX38="","",'[1]BASE'!FX38)</f>
        <v>XXXX</v>
      </c>
      <c r="L37" s="515" t="str">
        <f>IF('[1]BASE'!FY38="","",'[1]BASE'!FY38)</f>
        <v>XXXX</v>
      </c>
      <c r="M37" s="515" t="str">
        <f>IF('[1]BASE'!FZ38="","",'[1]BASE'!FZ38)</f>
        <v>XXXX</v>
      </c>
      <c r="N37" s="515" t="str">
        <f>IF('[1]BASE'!GA38="","",'[1]BASE'!GA38)</f>
        <v>XXXX</v>
      </c>
      <c r="O37" s="515" t="str">
        <f>IF('[1]BASE'!GB38="","",'[1]BASE'!GB38)</f>
        <v>XXXX</v>
      </c>
      <c r="P37" s="515" t="str">
        <f>IF('[1]BASE'!GC38="","",'[1]BASE'!GC38)</f>
        <v>XXXX</v>
      </c>
      <c r="Q37" s="515" t="str">
        <f>IF('[1]BASE'!GD38="","",'[1]BASE'!GD38)</f>
        <v>XXXX</v>
      </c>
      <c r="R37" s="515" t="str">
        <f>IF('[1]BASE'!GE38="","",'[1]BASE'!GE38)</f>
        <v>XXXX</v>
      </c>
      <c r="S37" s="515" t="str">
        <f>IF('[1]BASE'!GF38="","",'[1]BASE'!GF38)</f>
        <v>XXXX</v>
      </c>
      <c r="T37" s="515" t="str">
        <f>IF('[1]BASE'!GG38="","",'[1]BASE'!GG38)</f>
        <v>XXXX</v>
      </c>
      <c r="U37" s="474"/>
      <c r="V37" s="473"/>
    </row>
    <row r="38" spans="2:22" s="468" customFormat="1" ht="19.5" customHeight="1">
      <c r="B38" s="469"/>
      <c r="C38" s="518">
        <f>IF('[1]BASE'!C39="","",'[1]BASE'!C39)</f>
        <v>23</v>
      </c>
      <c r="D38" s="518">
        <f>IF('[1]BASE'!D39="","",'[1]BASE'!D39)</f>
        <v>1516</v>
      </c>
      <c r="E38" s="518" t="str">
        <f>IF('[1]BASE'!E39="","",'[1]BASE'!E39)</f>
        <v>GONZALEZ CHAVEZ - NECOCHEA</v>
      </c>
      <c r="F38" s="518">
        <f>IF('[1]BASE'!F39="","",'[1]BASE'!F39)</f>
        <v>132</v>
      </c>
      <c r="G38" s="518">
        <f>IF('[1]BASE'!G39="","",'[1]BASE'!G39)</f>
        <v>138.86</v>
      </c>
      <c r="H38" s="518" t="str">
        <f>IF('[1]BASE'!H39="","",'[1]BASE'!H39)</f>
        <v>A</v>
      </c>
      <c r="I38" s="519">
        <f>IF('[1]BASE'!FV39="","",'[1]BASE'!FV39)</f>
      </c>
      <c r="J38" s="519">
        <f>IF('[1]BASE'!FW39="","",'[1]BASE'!FW39)</f>
        <v>1</v>
      </c>
      <c r="K38" s="519">
        <f>IF('[1]BASE'!FX39="","",'[1]BASE'!FX39)</f>
      </c>
      <c r="L38" s="519">
        <f>IF('[1]BASE'!FY39="","",'[1]BASE'!FY39)</f>
      </c>
      <c r="M38" s="519">
        <f>IF('[1]BASE'!FZ39="","",'[1]BASE'!FZ39)</f>
      </c>
      <c r="N38" s="519">
        <f>IF('[1]BASE'!GA39="","",'[1]BASE'!GA39)</f>
      </c>
      <c r="O38" s="519">
        <f>IF('[1]BASE'!GB39="","",'[1]BASE'!GB39)</f>
      </c>
      <c r="P38" s="519">
        <f>IF('[1]BASE'!GC39="","",'[1]BASE'!GC39)</f>
      </c>
      <c r="Q38" s="519">
        <f>IF('[1]BASE'!GD39="","",'[1]BASE'!GD39)</f>
      </c>
      <c r="R38" s="519">
        <f>IF('[1]BASE'!GE39="","",'[1]BASE'!GE39)</f>
      </c>
      <c r="S38" s="519">
        <f>IF('[1]BASE'!GF39="","",'[1]BASE'!GF39)</f>
      </c>
      <c r="T38" s="519">
        <f>IF('[1]BASE'!GG39="","",'[1]BASE'!GG39)</f>
      </c>
      <c r="U38" s="474"/>
      <c r="V38" s="473"/>
    </row>
    <row r="39" spans="2:22" s="468" customFormat="1" ht="19.5" customHeight="1">
      <c r="B39" s="469"/>
      <c r="C39" s="514">
        <f>IF('[1]BASE'!C40="","",'[1]BASE'!C40)</f>
        <v>24</v>
      </c>
      <c r="D39" s="514">
        <f>IF('[1]BASE'!D40="","",'[1]BASE'!D40)</f>
        <v>1515</v>
      </c>
      <c r="E39" s="514" t="str">
        <f>IF('[1]BASE'!E40="","",'[1]BASE'!E40)</f>
        <v>GONZALEZ CHAVEZ - TRES ARROYOS</v>
      </c>
      <c r="F39" s="514">
        <f>IF('[1]BASE'!F40="","",'[1]BASE'!F40)</f>
        <v>132</v>
      </c>
      <c r="G39" s="514">
        <f>IF('[1]BASE'!G40="","",'[1]BASE'!G40)</f>
        <v>40.22</v>
      </c>
      <c r="H39" s="514" t="str">
        <f>IF('[1]BASE'!H40="","",'[1]BASE'!H40)</f>
        <v>C</v>
      </c>
      <c r="I39" s="515">
        <f>IF('[1]BASE'!FV40="","",'[1]BASE'!FV40)</f>
      </c>
      <c r="J39" s="515">
        <f>IF('[1]BASE'!FW40="","",'[1]BASE'!FW40)</f>
      </c>
      <c r="K39" s="515">
        <f>IF('[1]BASE'!FX40="","",'[1]BASE'!FX40)</f>
      </c>
      <c r="L39" s="515">
        <f>IF('[1]BASE'!FY40="","",'[1]BASE'!FY40)</f>
      </c>
      <c r="M39" s="515">
        <f>IF('[1]BASE'!FZ40="","",'[1]BASE'!FZ40)</f>
        <v>1</v>
      </c>
      <c r="N39" s="515">
        <f>IF('[1]BASE'!GA40="","",'[1]BASE'!GA40)</f>
        <v>1</v>
      </c>
      <c r="O39" s="515">
        <f>IF('[1]BASE'!GB40="","",'[1]BASE'!GB40)</f>
      </c>
      <c r="P39" s="515">
        <f>IF('[1]BASE'!GC40="","",'[1]BASE'!GC40)</f>
      </c>
      <c r="Q39" s="515">
        <f>IF('[1]BASE'!GD40="","",'[1]BASE'!GD40)</f>
      </c>
      <c r="R39" s="515">
        <f>IF('[1]BASE'!GE40="","",'[1]BASE'!GE40)</f>
      </c>
      <c r="S39" s="515">
        <f>IF('[1]BASE'!GF40="","",'[1]BASE'!GF40)</f>
      </c>
      <c r="T39" s="515">
        <f>IF('[1]BASE'!GG40="","",'[1]BASE'!GG40)</f>
      </c>
      <c r="U39" s="474"/>
      <c r="V39" s="473"/>
    </row>
    <row r="40" spans="2:22" s="468" customFormat="1" ht="19.5" customHeight="1">
      <c r="B40" s="469"/>
      <c r="C40" s="518">
        <f>IF('[1]BASE'!C41="","",'[1]BASE'!C41)</f>
        <v>25</v>
      </c>
      <c r="D40" s="518">
        <f>IF('[1]BASE'!D41="","",'[1]BASE'!D41)</f>
        <v>1444</v>
      </c>
      <c r="E40" s="518" t="str">
        <f>IF('[1]BASE'!E41="","",'[1]BASE'!E41)</f>
        <v>GRAL. MADARIAGA - LAS ARMAS</v>
      </c>
      <c r="F40" s="518">
        <f>IF('[1]BASE'!F41="","",'[1]BASE'!F41)</f>
        <v>132</v>
      </c>
      <c r="G40" s="518">
        <f>IF('[1]BASE'!G41="","",'[1]BASE'!G41)</f>
        <v>64.4</v>
      </c>
      <c r="H40" s="518" t="str">
        <f>IF('[1]BASE'!H41="","",'[1]BASE'!H41)</f>
        <v>C</v>
      </c>
      <c r="I40" s="519">
        <f>IF('[1]BASE'!FV41="","",'[1]BASE'!FV41)</f>
      </c>
      <c r="J40" s="519">
        <f>IF('[1]BASE'!FW41="","",'[1]BASE'!FW41)</f>
      </c>
      <c r="K40" s="519">
        <f>IF('[1]BASE'!FX41="","",'[1]BASE'!FX41)</f>
      </c>
      <c r="L40" s="519">
        <f>IF('[1]BASE'!FY41="","",'[1]BASE'!FY41)</f>
      </c>
      <c r="M40" s="519">
        <f>IF('[1]BASE'!FZ41="","",'[1]BASE'!FZ41)</f>
      </c>
      <c r="N40" s="519">
        <f>IF('[1]BASE'!GA41="","",'[1]BASE'!GA41)</f>
      </c>
      <c r="O40" s="519">
        <f>IF('[1]BASE'!GB41="","",'[1]BASE'!GB41)</f>
      </c>
      <c r="P40" s="519">
        <f>IF('[1]BASE'!GC41="","",'[1]BASE'!GC41)</f>
      </c>
      <c r="Q40" s="519">
        <f>IF('[1]BASE'!GD41="","",'[1]BASE'!GD41)</f>
      </c>
      <c r="R40" s="519">
        <f>IF('[1]BASE'!GE41="","",'[1]BASE'!GE41)</f>
      </c>
      <c r="S40" s="519">
        <f>IF('[1]BASE'!GF41="","",'[1]BASE'!GF41)</f>
      </c>
      <c r="T40" s="519">
        <f>IF('[1]BASE'!GG41="","",'[1]BASE'!GG41)</f>
      </c>
      <c r="U40" s="474"/>
      <c r="V40" s="473"/>
    </row>
    <row r="41" spans="2:22" s="468" customFormat="1" ht="19.5" customHeight="1">
      <c r="B41" s="469"/>
      <c r="C41" s="514">
        <f>IF('[1]BASE'!C42="","",'[1]BASE'!C42)</f>
        <v>26</v>
      </c>
      <c r="D41" s="514">
        <f>IF('[1]BASE'!D42="","",'[1]BASE'!D42)</f>
        <v>1401</v>
      </c>
      <c r="E41" s="514" t="str">
        <f>IF('[1]BASE'!E42="","",'[1]BASE'!E42)</f>
        <v>HENDERSON - CNEL. SUAREZ</v>
      </c>
      <c r="F41" s="514">
        <f>IF('[1]BASE'!F42="","",'[1]BASE'!F42)</f>
        <v>132</v>
      </c>
      <c r="G41" s="514">
        <f>IF('[1]BASE'!G42="","",'[1]BASE'!G42)</f>
        <v>126.9</v>
      </c>
      <c r="H41" s="514" t="str">
        <f>IF('[1]BASE'!H42="","",'[1]BASE'!H42)</f>
        <v>C</v>
      </c>
      <c r="I41" s="515">
        <f>IF('[1]BASE'!FV42="","",'[1]BASE'!FV42)</f>
      </c>
      <c r="J41" s="515">
        <f>IF('[1]BASE'!FW42="","",'[1]BASE'!FW42)</f>
      </c>
      <c r="K41" s="515">
        <f>IF('[1]BASE'!FX42="","",'[1]BASE'!FX42)</f>
      </c>
      <c r="L41" s="515">
        <f>IF('[1]BASE'!FY42="","",'[1]BASE'!FY42)</f>
      </c>
      <c r="M41" s="515">
        <f>IF('[1]BASE'!FZ42="","",'[1]BASE'!FZ42)</f>
      </c>
      <c r="N41" s="515">
        <f>IF('[1]BASE'!GA42="","",'[1]BASE'!GA42)</f>
      </c>
      <c r="O41" s="515">
        <f>IF('[1]BASE'!GB42="","",'[1]BASE'!GB42)</f>
      </c>
      <c r="P41" s="515">
        <f>IF('[1]BASE'!GC42="","",'[1]BASE'!GC42)</f>
      </c>
      <c r="Q41" s="515">
        <f>IF('[1]BASE'!GD42="","",'[1]BASE'!GD42)</f>
      </c>
      <c r="R41" s="515">
        <f>IF('[1]BASE'!GE42="","",'[1]BASE'!GE42)</f>
      </c>
      <c r="S41" s="515">
        <f>IF('[1]BASE'!GF42="","",'[1]BASE'!GF42)</f>
      </c>
      <c r="T41" s="515">
        <f>IF('[1]BASE'!GG42="","",'[1]BASE'!GG42)</f>
      </c>
      <c r="U41" s="474"/>
      <c r="V41" s="473"/>
    </row>
    <row r="42" spans="2:22" s="468" customFormat="1" ht="19.5" customHeight="1">
      <c r="B42" s="469"/>
      <c r="C42" s="518">
        <f>IF('[1]BASE'!C43="","",'[1]BASE'!C43)</f>
        <v>27</v>
      </c>
      <c r="D42" s="518" t="str">
        <f>IF('[1]BASE'!D43="","",'[1]BASE'!D43)</f>
        <v>C-001</v>
      </c>
      <c r="E42" s="518" t="str">
        <f>IF('[1]BASE'!E43="","",'[1]BASE'!E43)</f>
        <v>JUNIN - IMSA - LINCOLN</v>
      </c>
      <c r="F42" s="518">
        <f>IF('[1]BASE'!F43="","",'[1]BASE'!F43)</f>
        <v>132</v>
      </c>
      <c r="G42" s="518">
        <f>IF('[1]BASE'!G43="","",'[1]BASE'!G43)</f>
        <v>70</v>
      </c>
      <c r="H42" s="518" t="str">
        <f>IF('[1]BASE'!H43="","",'[1]BASE'!H43)</f>
        <v>B</v>
      </c>
      <c r="I42" s="519">
        <f>IF('[1]BASE'!FV43="","",'[1]BASE'!FV43)</f>
        <v>1</v>
      </c>
      <c r="J42" s="519">
        <f>IF('[1]BASE'!FW43="","",'[1]BASE'!FW43)</f>
      </c>
      <c r="K42" s="519">
        <f>IF('[1]BASE'!FX43="","",'[1]BASE'!FX43)</f>
      </c>
      <c r="L42" s="519">
        <f>IF('[1]BASE'!FY43="","",'[1]BASE'!FY43)</f>
      </c>
      <c r="M42" s="519">
        <f>IF('[1]BASE'!FZ43="","",'[1]BASE'!FZ43)</f>
      </c>
      <c r="N42" s="519">
        <f>IF('[1]BASE'!GA43="","",'[1]BASE'!GA43)</f>
      </c>
      <c r="O42" s="519">
        <f>IF('[1]BASE'!GB43="","",'[1]BASE'!GB43)</f>
      </c>
      <c r="P42" s="519">
        <f>IF('[1]BASE'!GC43="","",'[1]BASE'!GC43)</f>
        <v>1</v>
      </c>
      <c r="Q42" s="519">
        <f>IF('[1]BASE'!GD43="","",'[1]BASE'!GD43)</f>
      </c>
      <c r="R42" s="519">
        <f>IF('[1]BASE'!GE43="","",'[1]BASE'!GE43)</f>
      </c>
      <c r="S42" s="519">
        <f>IF('[1]BASE'!GF43="","",'[1]BASE'!GF43)</f>
      </c>
      <c r="T42" s="519">
        <f>IF('[1]BASE'!GG43="","",'[1]BASE'!GG43)</f>
      </c>
      <c r="U42" s="474"/>
      <c r="V42" s="473"/>
    </row>
    <row r="43" spans="2:22" s="468" customFormat="1" ht="19.5" customHeight="1">
      <c r="B43" s="469"/>
      <c r="C43" s="514">
        <f>IF('[1]BASE'!C44="","",'[1]BASE'!C44)</f>
        <v>28</v>
      </c>
      <c r="D43" s="514">
        <f>IF('[1]BASE'!D44="","",'[1]BASE'!D44)</f>
        <v>1456</v>
      </c>
      <c r="E43" s="514" t="str">
        <f>IF('[1]BASE'!E44="","",'[1]BASE'!E44)</f>
        <v>LAPRIDA - PRINGLES</v>
      </c>
      <c r="F43" s="514">
        <f>IF('[1]BASE'!F44="","",'[1]BASE'!F44)</f>
        <v>132</v>
      </c>
      <c r="G43" s="514">
        <f>IF('[1]BASE'!G44="","",'[1]BASE'!G44)</f>
        <v>71.5</v>
      </c>
      <c r="H43" s="514" t="str">
        <f>IF('[1]BASE'!H44="","",'[1]BASE'!H44)</f>
        <v>C</v>
      </c>
      <c r="I43" s="515">
        <f>IF('[1]BASE'!FV44="","",'[1]BASE'!FV44)</f>
      </c>
      <c r="J43" s="515">
        <f>IF('[1]BASE'!FW44="","",'[1]BASE'!FW44)</f>
      </c>
      <c r="K43" s="515">
        <f>IF('[1]BASE'!FX44="","",'[1]BASE'!FX44)</f>
      </c>
      <c r="L43" s="515">
        <f>IF('[1]BASE'!FY44="","",'[1]BASE'!FY44)</f>
        <v>1</v>
      </c>
      <c r="M43" s="515">
        <f>IF('[1]BASE'!FZ44="","",'[1]BASE'!FZ44)</f>
      </c>
      <c r="N43" s="515">
        <f>IF('[1]BASE'!GA44="","",'[1]BASE'!GA44)</f>
      </c>
      <c r="O43" s="515">
        <f>IF('[1]BASE'!GB44="","",'[1]BASE'!GB44)</f>
        <v>1</v>
      </c>
      <c r="P43" s="515">
        <f>IF('[1]BASE'!GC44="","",'[1]BASE'!GC44)</f>
      </c>
      <c r="Q43" s="515">
        <f>IF('[1]BASE'!GD44="","",'[1]BASE'!GD44)</f>
      </c>
      <c r="R43" s="515">
        <f>IF('[1]BASE'!GE44="","",'[1]BASE'!GE44)</f>
      </c>
      <c r="S43" s="515">
        <f>IF('[1]BASE'!GF44="","",'[1]BASE'!GF44)</f>
      </c>
      <c r="T43" s="515">
        <f>IF('[1]BASE'!GG44="","",'[1]BASE'!GG44)</f>
      </c>
      <c r="U43" s="474"/>
      <c r="V43" s="473"/>
    </row>
    <row r="44" spans="2:22" s="468" customFormat="1" ht="19.5" customHeight="1">
      <c r="B44" s="469"/>
      <c r="C44" s="518">
        <f>IF('[1]BASE'!C45="","",'[1]BASE'!C45)</f>
        <v>29</v>
      </c>
      <c r="D44" s="518">
        <f>IF('[1]BASE'!D45="","",'[1]BASE'!D45)</f>
        <v>1520</v>
      </c>
      <c r="E44" s="518" t="str">
        <f>IF('[1]BASE'!E45="","",'[1]BASE'!E45)</f>
        <v>LAS ARMAS - DOLORES</v>
      </c>
      <c r="F44" s="518">
        <f>IF('[1]BASE'!F45="","",'[1]BASE'!F45)</f>
        <v>132</v>
      </c>
      <c r="G44" s="518">
        <f>IF('[1]BASE'!G45="","",'[1]BASE'!G45)</f>
        <v>88.2</v>
      </c>
      <c r="H44" s="518" t="str">
        <f>IF('[1]BASE'!H45="","",'[1]BASE'!H45)</f>
        <v>C</v>
      </c>
      <c r="I44" s="519">
        <f>IF('[1]BASE'!FV45="","",'[1]BASE'!FV45)</f>
      </c>
      <c r="J44" s="519">
        <f>IF('[1]BASE'!FW45="","",'[1]BASE'!FW45)</f>
      </c>
      <c r="K44" s="519">
        <f>IF('[1]BASE'!FX45="","",'[1]BASE'!FX45)</f>
      </c>
      <c r="L44" s="519">
        <f>IF('[1]BASE'!FY45="","",'[1]BASE'!FY45)</f>
      </c>
      <c r="M44" s="519">
        <f>IF('[1]BASE'!FZ45="","",'[1]BASE'!FZ45)</f>
      </c>
      <c r="N44" s="519">
        <f>IF('[1]BASE'!GA45="","",'[1]BASE'!GA45)</f>
      </c>
      <c r="O44" s="519">
        <f>IF('[1]BASE'!GB45="","",'[1]BASE'!GB45)</f>
      </c>
      <c r="P44" s="519">
        <f>IF('[1]BASE'!GC45="","",'[1]BASE'!GC45)</f>
      </c>
      <c r="Q44" s="519">
        <f>IF('[1]BASE'!GD45="","",'[1]BASE'!GD45)</f>
      </c>
      <c r="R44" s="519">
        <f>IF('[1]BASE'!GE45="","",'[1]BASE'!GE45)</f>
      </c>
      <c r="S44" s="519">
        <f>IF('[1]BASE'!GF45="","",'[1]BASE'!GF45)</f>
      </c>
      <c r="T44" s="519">
        <f>IF('[1]BASE'!GG45="","",'[1]BASE'!GG45)</f>
      </c>
      <c r="U44" s="474"/>
      <c r="V44" s="473"/>
    </row>
    <row r="45" spans="2:22" s="468" customFormat="1" ht="19.5" customHeight="1">
      <c r="B45" s="469"/>
      <c r="C45" s="514">
        <f>IF('[1]BASE'!C46="","",'[1]BASE'!C46)</f>
        <v>30</v>
      </c>
      <c r="D45" s="514">
        <f>IF('[1]BASE'!D46="","",'[1]BASE'!D46)</f>
        <v>1521</v>
      </c>
      <c r="E45" s="514" t="str">
        <f>IF('[1]BASE'!E46="","",'[1]BASE'!E46)</f>
        <v>LAS ARMAS - TANDIL</v>
      </c>
      <c r="F45" s="514">
        <f>IF('[1]BASE'!F46="","",'[1]BASE'!F46)</f>
        <v>132</v>
      </c>
      <c r="G45" s="514">
        <f>IF('[1]BASE'!G46="","",'[1]BASE'!G46)</f>
        <v>122.2</v>
      </c>
      <c r="H45" s="514" t="str">
        <f>IF('[1]BASE'!H46="","",'[1]BASE'!H46)</f>
        <v>C</v>
      </c>
      <c r="I45" s="515">
        <f>IF('[1]BASE'!FV46="","",'[1]BASE'!FV46)</f>
      </c>
      <c r="J45" s="515">
        <f>IF('[1]BASE'!FW46="","",'[1]BASE'!FW46)</f>
      </c>
      <c r="K45" s="515">
        <f>IF('[1]BASE'!FX46="","",'[1]BASE'!FX46)</f>
      </c>
      <c r="L45" s="515">
        <f>IF('[1]BASE'!FY46="","",'[1]BASE'!FY46)</f>
      </c>
      <c r="M45" s="515">
        <f>IF('[1]BASE'!FZ46="","",'[1]BASE'!FZ46)</f>
      </c>
      <c r="N45" s="515">
        <f>IF('[1]BASE'!GA46="","",'[1]BASE'!GA46)</f>
      </c>
      <c r="O45" s="515">
        <f>IF('[1]BASE'!GB46="","",'[1]BASE'!GB46)</f>
      </c>
      <c r="P45" s="515">
        <f>IF('[1]BASE'!GC46="","",'[1]BASE'!GC46)</f>
      </c>
      <c r="Q45" s="515">
        <f>IF('[1]BASE'!GD46="","",'[1]BASE'!GD46)</f>
      </c>
      <c r="R45" s="515">
        <f>IF('[1]BASE'!GE46="","",'[1]BASE'!GE46)</f>
      </c>
      <c r="S45" s="515">
        <f>IF('[1]BASE'!GF46="","",'[1]BASE'!GF46)</f>
      </c>
      <c r="T45" s="515">
        <f>IF('[1]BASE'!GG46="","",'[1]BASE'!GG46)</f>
      </c>
      <c r="U45" s="474"/>
      <c r="V45" s="473"/>
    </row>
    <row r="46" spans="2:22" s="468" customFormat="1" ht="19.5" customHeight="1" hidden="1">
      <c r="B46" s="469"/>
      <c r="C46" s="518">
        <f>IF('[1]BASE'!C47="","",'[1]BASE'!C47)</f>
        <v>31</v>
      </c>
      <c r="D46" s="518" t="str">
        <f>IF('[1]BASE'!D47="","",'[1]BASE'!D47)</f>
        <v>CE-000</v>
      </c>
      <c r="E46" s="518" t="str">
        <f>IF('[1]BASE'!E47="","",'[1]BASE'!E47)</f>
        <v>LAS FLORES - MONTE</v>
      </c>
      <c r="F46" s="518">
        <f>IF('[1]BASE'!F47="","",'[1]BASE'!F47)</f>
        <v>132</v>
      </c>
      <c r="G46" s="518">
        <f>IF('[1]BASE'!G47="","",'[1]BASE'!G47)</f>
        <v>86.8</v>
      </c>
      <c r="H46" s="518" t="str">
        <f>IF('[1]BASE'!H47="","",'[1]BASE'!H47)</f>
        <v>C</v>
      </c>
      <c r="I46" s="519" t="str">
        <f>IF('[1]BASE'!FV47="","",'[1]BASE'!FV47)</f>
        <v>XXXX</v>
      </c>
      <c r="J46" s="519" t="str">
        <f>IF('[1]BASE'!FW47="","",'[1]BASE'!FW47)</f>
        <v>XXXX</v>
      </c>
      <c r="K46" s="519" t="str">
        <f>IF('[1]BASE'!FX47="","",'[1]BASE'!FX47)</f>
        <v>XXXX</v>
      </c>
      <c r="L46" s="519" t="str">
        <f>IF('[1]BASE'!FY47="","",'[1]BASE'!FY47)</f>
        <v>XXXX</v>
      </c>
      <c r="M46" s="519" t="str">
        <f>IF('[1]BASE'!FZ47="","",'[1]BASE'!FZ47)</f>
        <v>XXXX</v>
      </c>
      <c r="N46" s="519" t="str">
        <f>IF('[1]BASE'!GA47="","",'[1]BASE'!GA47)</f>
        <v>XXXX</v>
      </c>
      <c r="O46" s="519" t="str">
        <f>IF('[1]BASE'!GB47="","",'[1]BASE'!GB47)</f>
        <v>XXXX</v>
      </c>
      <c r="P46" s="519" t="str">
        <f>IF('[1]BASE'!GC47="","",'[1]BASE'!GC47)</f>
        <v>XXXX</v>
      </c>
      <c r="Q46" s="519" t="str">
        <f>IF('[1]BASE'!GD47="","",'[1]BASE'!GD47)</f>
        <v>XXXX</v>
      </c>
      <c r="R46" s="519" t="str">
        <f>IF('[1]BASE'!GE47="","",'[1]BASE'!GE47)</f>
        <v>XXXX</v>
      </c>
      <c r="S46" s="519" t="str">
        <f>IF('[1]BASE'!GF47="","",'[1]BASE'!GF47)</f>
        <v>XXXX</v>
      </c>
      <c r="T46" s="519" t="str">
        <f>IF('[1]BASE'!GG47="","",'[1]BASE'!GG47)</f>
        <v>XXXX</v>
      </c>
      <c r="U46" s="474"/>
      <c r="V46" s="473"/>
    </row>
    <row r="47" spans="2:22" s="468" customFormat="1" ht="19.5" customHeight="1">
      <c r="B47" s="469"/>
      <c r="C47" s="514">
        <f>IF('[1]BASE'!C48="","",'[1]BASE'!C48)</f>
        <v>32</v>
      </c>
      <c r="D47" s="514">
        <f>IF('[1]BASE'!D48="","",'[1]BASE'!D48)</f>
        <v>1416</v>
      </c>
      <c r="E47" s="514" t="str">
        <f>IF('[1]BASE'!E48="","",'[1]BASE'!E48)</f>
        <v>LINCOLN - BRAGADO</v>
      </c>
      <c r="F47" s="514">
        <f>IF('[1]BASE'!F48="","",'[1]BASE'!F48)</f>
        <v>132</v>
      </c>
      <c r="G47" s="514">
        <f>IF('[1]BASE'!G48="","",'[1]BASE'!G48)</f>
        <v>109.4</v>
      </c>
      <c r="H47" s="514" t="str">
        <f>IF('[1]BASE'!H48="","",'[1]BASE'!H48)</f>
        <v>C</v>
      </c>
      <c r="I47" s="515">
        <f>IF('[1]BASE'!FV48="","",'[1]BASE'!FV48)</f>
      </c>
      <c r="J47" s="515">
        <f>IF('[1]BASE'!FW48="","",'[1]BASE'!FW48)</f>
      </c>
      <c r="K47" s="515">
        <f>IF('[1]BASE'!FX48="","",'[1]BASE'!FX48)</f>
      </c>
      <c r="L47" s="515">
        <f>IF('[1]BASE'!FY48="","",'[1]BASE'!FY48)</f>
        <v>1</v>
      </c>
      <c r="M47" s="515">
        <f>IF('[1]BASE'!FZ48="","",'[1]BASE'!FZ48)</f>
      </c>
      <c r="N47" s="515">
        <f>IF('[1]BASE'!GA48="","",'[1]BASE'!GA48)</f>
      </c>
      <c r="O47" s="515">
        <f>IF('[1]BASE'!GB48="","",'[1]BASE'!GB48)</f>
      </c>
      <c r="P47" s="515">
        <f>IF('[1]BASE'!GC48="","",'[1]BASE'!GC48)</f>
      </c>
      <c r="Q47" s="515">
        <f>IF('[1]BASE'!GD48="","",'[1]BASE'!GD48)</f>
        <v>1</v>
      </c>
      <c r="R47" s="515">
        <f>IF('[1]BASE'!GE48="","",'[1]BASE'!GE48)</f>
      </c>
      <c r="S47" s="515">
        <f>IF('[1]BASE'!GF48="","",'[1]BASE'!GF48)</f>
      </c>
      <c r="T47" s="515">
        <f>IF('[1]BASE'!GG48="","",'[1]BASE'!GG48)</f>
      </c>
      <c r="U47" s="474"/>
      <c r="V47" s="473"/>
    </row>
    <row r="48" spans="2:22" s="468" customFormat="1" ht="19.5" customHeight="1">
      <c r="B48" s="469"/>
      <c r="C48" s="518">
        <f>IF('[1]BASE'!C49="","",'[1]BASE'!C49)</f>
        <v>33</v>
      </c>
      <c r="D48" s="518">
        <f>IF('[1]BASE'!D49="","",'[1]BASE'!D49)</f>
        <v>1453</v>
      </c>
      <c r="E48" s="518" t="str">
        <f>IF('[1]BASE'!E49="","",'[1]BASE'!E49)</f>
        <v>LOMA NEGRA - C. AVELLANEDA</v>
      </c>
      <c r="F48" s="518">
        <f>IF('[1]BASE'!F49="","",'[1]BASE'!F49)</f>
        <v>132</v>
      </c>
      <c r="G48" s="518">
        <f>IF('[1]BASE'!G49="","",'[1]BASE'!G49)</f>
        <v>5.3</v>
      </c>
      <c r="H48" s="518" t="str">
        <f>IF('[1]BASE'!H49="","",'[1]BASE'!H49)</f>
        <v>C</v>
      </c>
      <c r="I48" s="519">
        <f>IF('[1]BASE'!FV49="","",'[1]BASE'!FV49)</f>
      </c>
      <c r="J48" s="519">
        <f>IF('[1]BASE'!FW49="","",'[1]BASE'!FW49)</f>
      </c>
      <c r="K48" s="519">
        <f>IF('[1]BASE'!FX49="","",'[1]BASE'!FX49)</f>
      </c>
      <c r="L48" s="519">
        <f>IF('[1]BASE'!FY49="","",'[1]BASE'!FY49)</f>
      </c>
      <c r="M48" s="519">
        <f>IF('[1]BASE'!FZ49="","",'[1]BASE'!FZ49)</f>
      </c>
      <c r="N48" s="519">
        <f>IF('[1]BASE'!GA49="","",'[1]BASE'!GA49)</f>
      </c>
      <c r="O48" s="519">
        <f>IF('[1]BASE'!GB49="","",'[1]BASE'!GB49)</f>
      </c>
      <c r="P48" s="519">
        <f>IF('[1]BASE'!GC49="","",'[1]BASE'!GC49)</f>
      </c>
      <c r="Q48" s="519">
        <f>IF('[1]BASE'!GD49="","",'[1]BASE'!GD49)</f>
      </c>
      <c r="R48" s="519">
        <f>IF('[1]BASE'!GE49="","",'[1]BASE'!GE49)</f>
      </c>
      <c r="S48" s="519">
        <f>IF('[1]BASE'!GF49="","",'[1]BASE'!GF49)</f>
      </c>
      <c r="T48" s="519">
        <f>IF('[1]BASE'!GG49="","",'[1]BASE'!GG49)</f>
      </c>
      <c r="U48" s="474"/>
      <c r="V48" s="473"/>
    </row>
    <row r="49" spans="2:22" s="468" customFormat="1" ht="19.5" customHeight="1">
      <c r="B49" s="469"/>
      <c r="C49" s="514">
        <f>IF('[1]BASE'!C50="","",'[1]BASE'!C50)</f>
        <v>34</v>
      </c>
      <c r="D49" s="514">
        <f>IF('[1]BASE'!D50="","",'[1]BASE'!D50)</f>
        <v>1452</v>
      </c>
      <c r="E49" s="514" t="str">
        <f>IF('[1]BASE'!E50="","",'[1]BASE'!E50)</f>
        <v>LOMA NEGRA - OLAVARRIA</v>
      </c>
      <c r="F49" s="514">
        <f>IF('[1]BASE'!F50="","",'[1]BASE'!F50)</f>
        <v>132</v>
      </c>
      <c r="G49" s="514">
        <f>IF('[1]BASE'!G50="","",'[1]BASE'!G50)</f>
        <v>51.51</v>
      </c>
      <c r="H49" s="514" t="str">
        <f>IF('[1]BASE'!H50="","",'[1]BASE'!H50)</f>
        <v>C</v>
      </c>
      <c r="I49" s="515">
        <f>IF('[1]BASE'!FV50="","",'[1]BASE'!FV50)</f>
      </c>
      <c r="J49" s="515">
        <f>IF('[1]BASE'!FW50="","",'[1]BASE'!FW50)</f>
        <v>1</v>
      </c>
      <c r="K49" s="515">
        <f>IF('[1]BASE'!FX50="","",'[1]BASE'!FX50)</f>
      </c>
      <c r="L49" s="515">
        <f>IF('[1]BASE'!FY50="","",'[1]BASE'!FY50)</f>
      </c>
      <c r="M49" s="515">
        <f>IF('[1]BASE'!FZ50="","",'[1]BASE'!FZ50)</f>
      </c>
      <c r="N49" s="515">
        <f>IF('[1]BASE'!GA50="","",'[1]BASE'!GA50)</f>
      </c>
      <c r="O49" s="515">
        <f>IF('[1]BASE'!GB50="","",'[1]BASE'!GB50)</f>
      </c>
      <c r="P49" s="515">
        <f>IF('[1]BASE'!GC50="","",'[1]BASE'!GC50)</f>
      </c>
      <c r="Q49" s="515">
        <f>IF('[1]BASE'!GD50="","",'[1]BASE'!GD50)</f>
      </c>
      <c r="R49" s="515">
        <f>IF('[1]BASE'!GE50="","",'[1]BASE'!GE50)</f>
      </c>
      <c r="S49" s="515">
        <f>IF('[1]BASE'!GF50="","",'[1]BASE'!GF50)</f>
      </c>
      <c r="T49" s="515">
        <f>IF('[1]BASE'!GG50="","",'[1]BASE'!GG50)</f>
      </c>
      <c r="U49" s="474"/>
      <c r="V49" s="473"/>
    </row>
    <row r="50" spans="2:22" s="468" customFormat="1" ht="18" hidden="1">
      <c r="B50" s="469"/>
      <c r="C50" s="518">
        <f>IF('[1]BASE'!C51="","",'[1]BASE'!C51)</f>
        <v>35</v>
      </c>
      <c r="D50" s="518">
        <f>IF('[1]BASE'!D51="","",'[1]BASE'!D51)</f>
        <v>2620</v>
      </c>
      <c r="E50" s="518" t="str">
        <f>IF('[1]BASE'!E51="","",'[1]BASE'!E51)</f>
        <v>LUJAN  - MALV.1 - CATONAS 1 - MORÓN 1</v>
      </c>
      <c r="F50" s="518">
        <f>IF('[1]BASE'!F51="","",'[1]BASE'!F51)</f>
        <v>132</v>
      </c>
      <c r="G50" s="518">
        <f>IF('[1]BASE'!G51="","",'[1]BASE'!G51)</f>
        <v>38.29</v>
      </c>
      <c r="H50" s="518" t="str">
        <f>IF('[1]BASE'!H51="","",'[1]BASE'!H51)</f>
        <v>A</v>
      </c>
      <c r="I50" s="519" t="str">
        <f>IF('[1]BASE'!FV51="","",'[1]BASE'!FV51)</f>
        <v>XXXX</v>
      </c>
      <c r="J50" s="519" t="str">
        <f>IF('[1]BASE'!FW51="","",'[1]BASE'!FW51)</f>
        <v>XXXX</v>
      </c>
      <c r="K50" s="519" t="str">
        <f>IF('[1]BASE'!FX51="","",'[1]BASE'!FX51)</f>
        <v>XXXX</v>
      </c>
      <c r="L50" s="519" t="str">
        <f>IF('[1]BASE'!FY51="","",'[1]BASE'!FY51)</f>
        <v>XXXX</v>
      </c>
      <c r="M50" s="519" t="str">
        <f>IF('[1]BASE'!FZ51="","",'[1]BASE'!FZ51)</f>
        <v>XXXX</v>
      </c>
      <c r="N50" s="519" t="str">
        <f>IF('[1]BASE'!GA51="","",'[1]BASE'!GA51)</f>
        <v>XXXX</v>
      </c>
      <c r="O50" s="519" t="str">
        <f>IF('[1]BASE'!GB51="","",'[1]BASE'!GB51)</f>
        <v>XXXX</v>
      </c>
      <c r="P50" s="519" t="str">
        <f>IF('[1]BASE'!GC51="","",'[1]BASE'!GC51)</f>
        <v>XXXX</v>
      </c>
      <c r="Q50" s="519" t="str">
        <f>IF('[1]BASE'!GD51="","",'[1]BASE'!GD51)</f>
        <v>XXXX</v>
      </c>
      <c r="R50" s="519" t="str">
        <f>IF('[1]BASE'!GE51="","",'[1]BASE'!GE51)</f>
        <v>XXXX</v>
      </c>
      <c r="S50" s="519" t="str">
        <f>IF('[1]BASE'!GF51="","",'[1]BASE'!GF51)</f>
        <v>XXXX</v>
      </c>
      <c r="T50" s="519" t="str">
        <f>IF('[1]BASE'!GG51="","",'[1]BASE'!GG51)</f>
        <v>XXXX</v>
      </c>
      <c r="U50" s="474"/>
      <c r="V50" s="473"/>
    </row>
    <row r="51" spans="2:22" s="468" customFormat="1" ht="19.5" customHeight="1">
      <c r="B51" s="469"/>
      <c r="C51" s="514">
        <f>IF('[1]BASE'!C52="","",'[1]BASE'!C52)</f>
        <v>36</v>
      </c>
      <c r="D51" s="514">
        <f>IF('[1]BASE'!D52="","",'[1]BASE'!D52)</f>
        <v>2621</v>
      </c>
      <c r="E51" s="514" t="str">
        <f>IF('[1]BASE'!E52="","",'[1]BASE'!E52)</f>
        <v>LUJAN - MALV.2 - CATONAS 2 - MORÓN 2</v>
      </c>
      <c r="F51" s="514">
        <f>IF('[1]BASE'!F52="","",'[1]BASE'!F52)</f>
        <v>132</v>
      </c>
      <c r="G51" s="514">
        <f>IF('[1]BASE'!G52="","",'[1]BASE'!G52)</f>
        <v>44.56</v>
      </c>
      <c r="H51" s="514" t="str">
        <f>IF('[1]BASE'!H52="","",'[1]BASE'!H52)</f>
        <v>A</v>
      </c>
      <c r="I51" s="515">
        <f>IF('[1]BASE'!FV52="","",'[1]BASE'!FV52)</f>
      </c>
      <c r="J51" s="515">
        <f>IF('[1]BASE'!FW52="","",'[1]BASE'!FW52)</f>
      </c>
      <c r="K51" s="515">
        <f>IF('[1]BASE'!FX52="","",'[1]BASE'!FX52)</f>
      </c>
      <c r="L51" s="515">
        <f>IF('[1]BASE'!FY52="","",'[1]BASE'!FY52)</f>
      </c>
      <c r="M51" s="515">
        <f>IF('[1]BASE'!FZ52="","",'[1]BASE'!FZ52)</f>
      </c>
      <c r="N51" s="515">
        <f>IF('[1]BASE'!GA52="","",'[1]BASE'!GA52)</f>
      </c>
      <c r="O51" s="515">
        <f>IF('[1]BASE'!GB52="","",'[1]BASE'!GB52)</f>
      </c>
      <c r="P51" s="515">
        <f>IF('[1]BASE'!GC52="","",'[1]BASE'!GC52)</f>
      </c>
      <c r="Q51" s="515">
        <f>IF('[1]BASE'!GD52="","",'[1]BASE'!GD52)</f>
      </c>
      <c r="R51" s="515">
        <f>IF('[1]BASE'!GE52="","",'[1]BASE'!GE52)</f>
      </c>
      <c r="S51" s="515">
        <f>IF('[1]BASE'!GF52="","",'[1]BASE'!GF52)</f>
      </c>
      <c r="T51" s="515">
        <f>IF('[1]BASE'!GG52="","",'[1]BASE'!GG52)</f>
      </c>
      <c r="U51" s="474"/>
      <c r="V51" s="473"/>
    </row>
    <row r="52" spans="2:22" s="468" customFormat="1" ht="19.5" customHeight="1">
      <c r="B52" s="469"/>
      <c r="C52" s="518">
        <f>IF('[1]BASE'!C53="","",'[1]BASE'!C53)</f>
        <v>37</v>
      </c>
      <c r="D52" s="518">
        <f>IF('[1]BASE'!D53="","",'[1]BASE'!D53)</f>
        <v>1442</v>
      </c>
      <c r="E52" s="518" t="str">
        <f>IF('[1]BASE'!E53="","",'[1]BASE'!E53)</f>
        <v>MAR DE AJO - PINAMAR</v>
      </c>
      <c r="F52" s="518">
        <f>IF('[1]BASE'!F53="","",'[1]BASE'!F53)</f>
        <v>132</v>
      </c>
      <c r="G52" s="518">
        <f>IF('[1]BASE'!G53="","",'[1]BASE'!G53)</f>
        <v>46.4</v>
      </c>
      <c r="H52" s="518" t="str">
        <f>IF('[1]BASE'!H53="","",'[1]BASE'!H53)</f>
        <v>C</v>
      </c>
      <c r="I52" s="519">
        <f>IF('[1]BASE'!FV53="","",'[1]BASE'!FV53)</f>
      </c>
      <c r="J52" s="519">
        <f>IF('[1]BASE'!FW53="","",'[1]BASE'!FW53)</f>
      </c>
      <c r="K52" s="519">
        <f>IF('[1]BASE'!FX53="","",'[1]BASE'!FX53)</f>
      </c>
      <c r="L52" s="519">
        <f>IF('[1]BASE'!FY53="","",'[1]BASE'!FY53)</f>
      </c>
      <c r="M52" s="519">
        <f>IF('[1]BASE'!FZ53="","",'[1]BASE'!FZ53)</f>
      </c>
      <c r="N52" s="519">
        <f>IF('[1]BASE'!GA53="","",'[1]BASE'!GA53)</f>
      </c>
      <c r="O52" s="519">
        <f>IF('[1]BASE'!GB53="","",'[1]BASE'!GB53)</f>
      </c>
      <c r="P52" s="519">
        <f>IF('[1]BASE'!GC53="","",'[1]BASE'!GC53)</f>
      </c>
      <c r="Q52" s="519">
        <f>IF('[1]BASE'!GD53="","",'[1]BASE'!GD53)</f>
      </c>
      <c r="R52" s="519">
        <f>IF('[1]BASE'!GE53="","",'[1]BASE'!GE53)</f>
      </c>
      <c r="S52" s="519">
        <f>IF('[1]BASE'!GF53="","",'[1]BASE'!GF53)</f>
      </c>
      <c r="T52" s="519">
        <f>IF('[1]BASE'!GG53="","",'[1]BASE'!GG53)</f>
      </c>
      <c r="U52" s="474"/>
      <c r="V52" s="473"/>
    </row>
    <row r="53" spans="2:22" s="468" customFormat="1" ht="19.5" customHeight="1">
      <c r="B53" s="469"/>
      <c r="C53" s="514">
        <f>IF('[1]BASE'!C54="","",'[1]BASE'!C54)</f>
        <v>38</v>
      </c>
      <c r="D53" s="514">
        <f>IF('[1]BASE'!D54="","",'[1]BASE'!D54)</f>
        <v>1525</v>
      </c>
      <c r="E53" s="514" t="str">
        <f>IF('[1]BASE'!E54="","",'[1]BASE'!E54)</f>
        <v>MAR DEL PLATA - MIRAMAR</v>
      </c>
      <c r="F53" s="514">
        <f>IF('[1]BASE'!F54="","",'[1]BASE'!F54)</f>
        <v>132</v>
      </c>
      <c r="G53" s="514">
        <f>IF('[1]BASE'!G54="","",'[1]BASE'!G54)</f>
        <v>39.29</v>
      </c>
      <c r="H53" s="514" t="str">
        <f>IF('[1]BASE'!H54="","",'[1]BASE'!H54)</f>
        <v>C</v>
      </c>
      <c r="I53" s="515">
        <f>IF('[1]BASE'!FV54="","",'[1]BASE'!FV54)</f>
      </c>
      <c r="J53" s="515">
        <f>IF('[1]BASE'!FW54="","",'[1]BASE'!FW54)</f>
      </c>
      <c r="K53" s="515">
        <f>IF('[1]BASE'!FX54="","",'[1]BASE'!FX54)</f>
      </c>
      <c r="L53" s="515">
        <f>IF('[1]BASE'!FY54="","",'[1]BASE'!FY54)</f>
      </c>
      <c r="M53" s="515">
        <f>IF('[1]BASE'!FZ54="","",'[1]BASE'!FZ54)</f>
      </c>
      <c r="N53" s="515">
        <f>IF('[1]BASE'!GA54="","",'[1]BASE'!GA54)</f>
      </c>
      <c r="O53" s="515">
        <f>IF('[1]BASE'!GB54="","",'[1]BASE'!GB54)</f>
      </c>
      <c r="P53" s="515">
        <f>IF('[1]BASE'!GC54="","",'[1]BASE'!GC54)</f>
      </c>
      <c r="Q53" s="515">
        <f>IF('[1]BASE'!GD54="","",'[1]BASE'!GD54)</f>
      </c>
      <c r="R53" s="515">
        <f>IF('[1]BASE'!GE54="","",'[1]BASE'!GE54)</f>
      </c>
      <c r="S53" s="515">
        <f>IF('[1]BASE'!GF54="","",'[1]BASE'!GF54)</f>
      </c>
      <c r="T53" s="515">
        <f>IF('[1]BASE'!GG54="","",'[1]BASE'!GG54)</f>
      </c>
      <c r="U53" s="474"/>
      <c r="V53" s="473"/>
    </row>
    <row r="54" spans="2:22" s="468" customFormat="1" ht="19.5" customHeight="1">
      <c r="B54" s="469"/>
      <c r="C54" s="518">
        <f>IF('[1]BASE'!C55="","",'[1]BASE'!C55)</f>
        <v>39</v>
      </c>
      <c r="D54" s="518" t="str">
        <f>IF('[1]BASE'!D55="","",'[1]BASE'!D55)</f>
        <v>CE-002</v>
      </c>
      <c r="E54" s="518" t="str">
        <f>IF('[1]BASE'!E55="","",'[1]BASE'!E55)</f>
        <v>MAR DEL PLATA - QUEQUEN -NECOCHEA</v>
      </c>
      <c r="F54" s="518">
        <f>IF('[1]BASE'!F55="","",'[1]BASE'!F55)</f>
        <v>132</v>
      </c>
      <c r="G54" s="518">
        <f>IF('[1]BASE'!G55="","",'[1]BASE'!G55)</f>
        <v>129</v>
      </c>
      <c r="H54" s="518" t="str">
        <f>IF('[1]BASE'!H55="","",'[1]BASE'!H55)</f>
        <v>B</v>
      </c>
      <c r="I54" s="519">
        <f>IF('[1]BASE'!FV55="","",'[1]BASE'!FV55)</f>
      </c>
      <c r="J54" s="519">
        <f>IF('[1]BASE'!FW55="","",'[1]BASE'!FW55)</f>
      </c>
      <c r="K54" s="519">
        <f>IF('[1]BASE'!FX55="","",'[1]BASE'!FX55)</f>
      </c>
      <c r="L54" s="519">
        <f>IF('[1]BASE'!FY55="","",'[1]BASE'!FY55)</f>
      </c>
      <c r="M54" s="519">
        <f>IF('[1]BASE'!FZ55="","",'[1]BASE'!FZ55)</f>
      </c>
      <c r="N54" s="519">
        <f>IF('[1]BASE'!GA55="","",'[1]BASE'!GA55)</f>
      </c>
      <c r="O54" s="519">
        <f>IF('[1]BASE'!GB55="","",'[1]BASE'!GB55)</f>
      </c>
      <c r="P54" s="519">
        <f>IF('[1]BASE'!GC55="","",'[1]BASE'!GC55)</f>
      </c>
      <c r="Q54" s="519">
        <f>IF('[1]BASE'!GD55="","",'[1]BASE'!GD55)</f>
      </c>
      <c r="R54" s="519">
        <f>IF('[1]BASE'!GE55="","",'[1]BASE'!GE55)</f>
      </c>
      <c r="S54" s="519">
        <f>IF('[1]BASE'!GF55="","",'[1]BASE'!GF55)</f>
      </c>
      <c r="T54" s="519">
        <f>IF('[1]BASE'!GG55="","",'[1]BASE'!GG55)</f>
      </c>
      <c r="U54" s="474"/>
      <c r="V54" s="473"/>
    </row>
    <row r="55" spans="2:22" s="468" customFormat="1" ht="19.5" customHeight="1">
      <c r="B55" s="469"/>
      <c r="C55" s="514">
        <f>IF('[1]BASE'!C56="","",'[1]BASE'!C56)</f>
        <v>40</v>
      </c>
      <c r="D55" s="514">
        <f>IF('[1]BASE'!D56="","",'[1]BASE'!D56)</f>
        <v>1410</v>
      </c>
      <c r="E55" s="514" t="str">
        <f>IF('[1]BASE'!E56="","",'[1]BASE'!E56)</f>
        <v>MERCEDES B.A. - LUJAN</v>
      </c>
      <c r="F55" s="514">
        <f>IF('[1]BASE'!F56="","",'[1]BASE'!F56)</f>
        <v>132</v>
      </c>
      <c r="G55" s="514">
        <f>IF('[1]BASE'!G56="","",'[1]BASE'!G56)</f>
        <v>41.3</v>
      </c>
      <c r="H55" s="514" t="str">
        <f>IF('[1]BASE'!H56="","",'[1]BASE'!H56)</f>
        <v>B</v>
      </c>
      <c r="I55" s="515">
        <f>IF('[1]BASE'!FV56="","",'[1]BASE'!FV56)</f>
      </c>
      <c r="J55" s="515">
        <f>IF('[1]BASE'!FW56="","",'[1]BASE'!FW56)</f>
      </c>
      <c r="K55" s="515">
        <f>IF('[1]BASE'!FX56="","",'[1]BASE'!FX56)</f>
      </c>
      <c r="L55" s="515">
        <f>IF('[1]BASE'!FY56="","",'[1]BASE'!FY56)</f>
      </c>
      <c r="M55" s="515">
        <f>IF('[1]BASE'!FZ56="","",'[1]BASE'!FZ56)</f>
      </c>
      <c r="N55" s="515">
        <f>IF('[1]BASE'!GA56="","",'[1]BASE'!GA56)</f>
      </c>
      <c r="O55" s="515">
        <f>IF('[1]BASE'!GB56="","",'[1]BASE'!GB56)</f>
      </c>
      <c r="P55" s="515">
        <f>IF('[1]BASE'!GC56="","",'[1]BASE'!GC56)</f>
      </c>
      <c r="Q55" s="515">
        <f>IF('[1]BASE'!GD56="","",'[1]BASE'!GD56)</f>
      </c>
      <c r="R55" s="515">
        <f>IF('[1]BASE'!GE56="","",'[1]BASE'!GE56)</f>
      </c>
      <c r="S55" s="515">
        <f>IF('[1]BASE'!GF56="","",'[1]BASE'!GF56)</f>
      </c>
      <c r="T55" s="515">
        <f>IF('[1]BASE'!GG56="","",'[1]BASE'!GG56)</f>
      </c>
      <c r="U55" s="474"/>
      <c r="V55" s="473"/>
    </row>
    <row r="56" spans="2:22" s="468" customFormat="1" ht="19.5" customHeight="1">
      <c r="B56" s="469"/>
      <c r="C56" s="518">
        <f>IF('[1]BASE'!C57="","",'[1]BASE'!C57)</f>
        <v>41</v>
      </c>
      <c r="D56" s="518">
        <f>IF('[1]BASE'!D57="","",'[1]BASE'!D57)</f>
        <v>1529</v>
      </c>
      <c r="E56" s="518" t="str">
        <f>IF('[1]BASE'!E57="","",'[1]BASE'!E57)</f>
        <v>MIRAMAR - NECOCHEA</v>
      </c>
      <c r="F56" s="518">
        <f>IF('[1]BASE'!F57="","",'[1]BASE'!F57)</f>
        <v>132</v>
      </c>
      <c r="G56" s="518">
        <f>IF('[1]BASE'!G57="","",'[1]BASE'!G57)</f>
        <v>103.29</v>
      </c>
      <c r="H56" s="518" t="str">
        <f>IF('[1]BASE'!H57="","",'[1]BASE'!H57)</f>
        <v>A</v>
      </c>
      <c r="I56" s="519">
        <f>IF('[1]BASE'!FV57="","",'[1]BASE'!FV57)</f>
      </c>
      <c r="J56" s="519">
        <f>IF('[1]BASE'!FW57="","",'[1]BASE'!FW57)</f>
      </c>
      <c r="K56" s="519">
        <f>IF('[1]BASE'!FX57="","",'[1]BASE'!FX57)</f>
      </c>
      <c r="L56" s="519">
        <f>IF('[1]BASE'!FY57="","",'[1]BASE'!FY57)</f>
      </c>
      <c r="M56" s="519">
        <f>IF('[1]BASE'!FZ57="","",'[1]BASE'!FZ57)</f>
      </c>
      <c r="N56" s="519">
        <f>IF('[1]BASE'!GA57="","",'[1]BASE'!GA57)</f>
      </c>
      <c r="O56" s="519">
        <f>IF('[1]BASE'!GB57="","",'[1]BASE'!GB57)</f>
      </c>
      <c r="P56" s="519">
        <f>IF('[1]BASE'!GC57="","",'[1]BASE'!GC57)</f>
      </c>
      <c r="Q56" s="519">
        <f>IF('[1]BASE'!GD57="","",'[1]BASE'!GD57)</f>
        <v>1</v>
      </c>
      <c r="R56" s="519">
        <f>IF('[1]BASE'!GE57="","",'[1]BASE'!GE57)</f>
      </c>
      <c r="S56" s="519">
        <f>IF('[1]BASE'!GF57="","",'[1]BASE'!GF57)</f>
      </c>
      <c r="T56" s="519">
        <f>IF('[1]BASE'!GG57="","",'[1]BASE'!GG57)</f>
      </c>
      <c r="U56" s="474"/>
      <c r="V56" s="473"/>
    </row>
    <row r="57" spans="2:22" s="468" customFormat="1" ht="19.5" customHeight="1">
      <c r="B57" s="469"/>
      <c r="C57" s="514">
        <f>IF('[1]BASE'!C58="","",'[1]BASE'!C58)</f>
        <v>42</v>
      </c>
      <c r="D57" s="514">
        <f>IF('[1]BASE'!D58="","",'[1]BASE'!D58)</f>
        <v>1417</v>
      </c>
      <c r="E57" s="514" t="str">
        <f>IF('[1]BASE'!E58="","",'[1]BASE'!E58)</f>
        <v>MONTE - CHASCOMUS</v>
      </c>
      <c r="F57" s="514">
        <f>IF('[1]BASE'!F58="","",'[1]BASE'!F58)</f>
        <v>132</v>
      </c>
      <c r="G57" s="514">
        <f>IF('[1]BASE'!G58="","",'[1]BASE'!G58)</f>
        <v>114</v>
      </c>
      <c r="H57" s="514" t="str">
        <f>IF('[1]BASE'!H58="","",'[1]BASE'!H58)</f>
        <v>C</v>
      </c>
      <c r="I57" s="515">
        <f>IF('[1]BASE'!FV58="","",'[1]BASE'!FV58)</f>
      </c>
      <c r="J57" s="515">
        <f>IF('[1]BASE'!FW58="","",'[1]BASE'!FW58)</f>
      </c>
      <c r="K57" s="515">
        <f>IF('[1]BASE'!FX58="","",'[1]BASE'!FX58)</f>
      </c>
      <c r="L57" s="515">
        <f>IF('[1]BASE'!FY58="","",'[1]BASE'!FY58)</f>
      </c>
      <c r="M57" s="515">
        <f>IF('[1]BASE'!FZ58="","",'[1]BASE'!FZ58)</f>
      </c>
      <c r="N57" s="515">
        <f>IF('[1]BASE'!GA58="","",'[1]BASE'!GA58)</f>
      </c>
      <c r="O57" s="515">
        <f>IF('[1]BASE'!GB58="","",'[1]BASE'!GB58)</f>
      </c>
      <c r="P57" s="515">
        <f>IF('[1]BASE'!GC58="","",'[1]BASE'!GC58)</f>
        <v>1</v>
      </c>
      <c r="Q57" s="515">
        <f>IF('[1]BASE'!GD58="","",'[1]BASE'!GD58)</f>
      </c>
      <c r="R57" s="515">
        <f>IF('[1]BASE'!GE58="","",'[1]BASE'!GE58)</f>
      </c>
      <c r="S57" s="515">
        <f>IF('[1]BASE'!GF58="","",'[1]BASE'!GF58)</f>
      </c>
      <c r="T57" s="515">
        <f>IF('[1]BASE'!GG58="","",'[1]BASE'!GG58)</f>
      </c>
      <c r="U57" s="474"/>
      <c r="V57" s="473"/>
    </row>
    <row r="58" spans="2:22" s="468" customFormat="1" ht="19.5" customHeight="1" hidden="1">
      <c r="B58" s="469"/>
      <c r="C58" s="518">
        <f>IF('[1]BASE'!C59="","",'[1]BASE'!C59)</f>
        <v>43</v>
      </c>
      <c r="D58" s="518">
        <f>IF('[1]BASE'!D59="","",'[1]BASE'!D59)</f>
        <v>1545</v>
      </c>
      <c r="E58" s="518" t="str">
        <f>IF('[1]BASE'!E59="","",'[1]BASE'!E59)</f>
        <v>NORTE II - PETROQ. BAHIA BLANCA</v>
      </c>
      <c r="F58" s="518">
        <f>IF('[1]BASE'!F59="","",'[1]BASE'!F59)</f>
        <v>132</v>
      </c>
      <c r="G58" s="518">
        <f>IF('[1]BASE'!G59="","",'[1]BASE'!G59)</f>
        <v>30</v>
      </c>
      <c r="H58" s="518" t="str">
        <f>IF('[1]BASE'!H59="","",'[1]BASE'!H59)</f>
        <v>C</v>
      </c>
      <c r="I58" s="519" t="str">
        <f>IF('[1]BASE'!FV59="","",'[1]BASE'!FV59)</f>
        <v>XXXX</v>
      </c>
      <c r="J58" s="519" t="str">
        <f>IF('[1]BASE'!FW59="","",'[1]BASE'!FW59)</f>
        <v>XXXX</v>
      </c>
      <c r="K58" s="519" t="str">
        <f>IF('[1]BASE'!FX59="","",'[1]BASE'!FX59)</f>
        <v>XXXX</v>
      </c>
      <c r="L58" s="519" t="str">
        <f>IF('[1]BASE'!FY59="","",'[1]BASE'!FY59)</f>
        <v>XXXX</v>
      </c>
      <c r="M58" s="519" t="str">
        <f>IF('[1]BASE'!FZ59="","",'[1]BASE'!FZ59)</f>
        <v>XXXX</v>
      </c>
      <c r="N58" s="519" t="str">
        <f>IF('[1]BASE'!GA59="","",'[1]BASE'!GA59)</f>
        <v>XXXX</v>
      </c>
      <c r="O58" s="519" t="str">
        <f>IF('[1]BASE'!GB59="","",'[1]BASE'!GB59)</f>
        <v>XXXX</v>
      </c>
      <c r="P58" s="519" t="str">
        <f>IF('[1]BASE'!GC59="","",'[1]BASE'!GC59)</f>
        <v>XXXX</v>
      </c>
      <c r="Q58" s="519" t="str">
        <f>IF('[1]BASE'!GD59="","",'[1]BASE'!GD59)</f>
        <v>XXXX</v>
      </c>
      <c r="R58" s="519" t="str">
        <f>IF('[1]BASE'!GE59="","",'[1]BASE'!GE59)</f>
        <v>XXXX</v>
      </c>
      <c r="S58" s="519" t="str">
        <f>IF('[1]BASE'!GF59="","",'[1]BASE'!GF59)</f>
        <v>XXXX</v>
      </c>
      <c r="T58" s="519" t="str">
        <f>IF('[1]BASE'!GG59="","",'[1]BASE'!GG59)</f>
        <v>XXXX</v>
      </c>
      <c r="U58" s="474"/>
      <c r="V58" s="473"/>
    </row>
    <row r="59" spans="2:22" s="468" customFormat="1" ht="19.5" customHeight="1">
      <c r="B59" s="469"/>
      <c r="C59" s="514">
        <f>IF('[1]BASE'!C60="","",'[1]BASE'!C60)</f>
        <v>44</v>
      </c>
      <c r="D59" s="514">
        <f>IF('[1]BASE'!D60="","",'[1]BASE'!D60)</f>
        <v>2648</v>
      </c>
      <c r="E59" s="514" t="str">
        <f>IF('[1]BASE'!E60="","",'[1]BASE'!E60)</f>
        <v>NUEVA CAMPANA - SIDERCA 1</v>
      </c>
      <c r="F59" s="514">
        <f>IF('[1]BASE'!F60="","",'[1]BASE'!F60)</f>
        <v>132</v>
      </c>
      <c r="G59" s="514">
        <f>IF('[1]BASE'!G60="","",'[1]BASE'!G60)</f>
        <v>3.2</v>
      </c>
      <c r="H59" s="514" t="str">
        <f>IF('[1]BASE'!H60="","",'[1]BASE'!H60)</f>
        <v>C</v>
      </c>
      <c r="I59" s="515">
        <f>IF('[1]BASE'!FV60="","",'[1]BASE'!FV60)</f>
      </c>
      <c r="J59" s="515">
        <f>IF('[1]BASE'!FW60="","",'[1]BASE'!FW60)</f>
      </c>
      <c r="K59" s="515">
        <f>IF('[1]BASE'!FX60="","",'[1]BASE'!FX60)</f>
      </c>
      <c r="L59" s="515">
        <f>IF('[1]BASE'!FY60="","",'[1]BASE'!FY60)</f>
      </c>
      <c r="M59" s="515">
        <f>IF('[1]BASE'!FZ60="","",'[1]BASE'!FZ60)</f>
      </c>
      <c r="N59" s="515">
        <f>IF('[1]BASE'!GA60="","",'[1]BASE'!GA60)</f>
      </c>
      <c r="O59" s="515">
        <f>IF('[1]BASE'!GB60="","",'[1]BASE'!GB60)</f>
      </c>
      <c r="P59" s="515">
        <f>IF('[1]BASE'!GC60="","",'[1]BASE'!GC60)</f>
      </c>
      <c r="Q59" s="515">
        <f>IF('[1]BASE'!GD60="","",'[1]BASE'!GD60)</f>
      </c>
      <c r="R59" s="515">
        <f>IF('[1]BASE'!GE60="","",'[1]BASE'!GE60)</f>
      </c>
      <c r="S59" s="515">
        <f>IF('[1]BASE'!GF60="","",'[1]BASE'!GF60)</f>
      </c>
      <c r="T59" s="515">
        <f>IF('[1]BASE'!GG60="","",'[1]BASE'!GG60)</f>
      </c>
      <c r="U59" s="474"/>
      <c r="V59" s="473"/>
    </row>
    <row r="60" spans="2:22" s="468" customFormat="1" ht="19.5" customHeight="1" hidden="1">
      <c r="B60" s="469"/>
      <c r="C60" s="518">
        <f>IF('[1]BASE'!C61="","",'[1]BASE'!C61)</f>
        <v>45</v>
      </c>
      <c r="D60" s="518" t="str">
        <f>IF('[1]BASE'!D61="","",'[1]BASE'!D61)</f>
        <v>CE-000</v>
      </c>
      <c r="E60" s="518" t="str">
        <f>IF('[1]BASE'!E61="","",'[1]BASE'!E61)</f>
        <v>NUEVA CAMPANA - ZARATE</v>
      </c>
      <c r="F60" s="518">
        <f>IF('[1]BASE'!F61="","",'[1]BASE'!F61)</f>
        <v>132</v>
      </c>
      <c r="G60" s="518">
        <f>IF('[1]BASE'!G61="","",'[1]BASE'!G61)</f>
        <v>10.6</v>
      </c>
      <c r="H60" s="518" t="str">
        <f>IF('[1]BASE'!H61="","",'[1]BASE'!H61)</f>
        <v>C</v>
      </c>
      <c r="I60" s="519" t="str">
        <f>IF('[1]BASE'!FV61="","",'[1]BASE'!FV61)</f>
        <v>XXXX</v>
      </c>
      <c r="J60" s="519" t="str">
        <f>IF('[1]BASE'!FW61="","",'[1]BASE'!FW61)</f>
        <v>XXXX</v>
      </c>
      <c r="K60" s="519" t="str">
        <f>IF('[1]BASE'!FX61="","",'[1]BASE'!FX61)</f>
        <v>XXXX</v>
      </c>
      <c r="L60" s="519" t="str">
        <f>IF('[1]BASE'!FY61="","",'[1]BASE'!FY61)</f>
        <v>XXXX</v>
      </c>
      <c r="M60" s="519" t="str">
        <f>IF('[1]BASE'!FZ61="","",'[1]BASE'!FZ61)</f>
        <v>XXXX</v>
      </c>
      <c r="N60" s="519" t="str">
        <f>IF('[1]BASE'!GA61="","",'[1]BASE'!GA61)</f>
        <v>XXXX</v>
      </c>
      <c r="O60" s="519" t="str">
        <f>IF('[1]BASE'!GB61="","",'[1]BASE'!GB61)</f>
        <v>XXXX</v>
      </c>
      <c r="P60" s="519" t="str">
        <f>IF('[1]BASE'!GC61="","",'[1]BASE'!GC61)</f>
        <v>XXXX</v>
      </c>
      <c r="Q60" s="519" t="str">
        <f>IF('[1]BASE'!GD61="","",'[1]BASE'!GD61)</f>
        <v>XXXX</v>
      </c>
      <c r="R60" s="519" t="str">
        <f>IF('[1]BASE'!GE61="","",'[1]BASE'!GE61)</f>
        <v>XXXX</v>
      </c>
      <c r="S60" s="519" t="str">
        <f>IF('[1]BASE'!GF61="","",'[1]BASE'!GF61)</f>
        <v>XXXX</v>
      </c>
      <c r="T60" s="519" t="str">
        <f>IF('[1]BASE'!GG61="","",'[1]BASE'!GG61)</f>
        <v>XXXX</v>
      </c>
      <c r="U60" s="474"/>
      <c r="V60" s="473"/>
    </row>
    <row r="61" spans="2:22" s="468" customFormat="1" ht="19.5" customHeight="1">
      <c r="B61" s="469"/>
      <c r="C61" s="514">
        <f>IF('[1]BASE'!C62="","",'[1]BASE'!C62)</f>
        <v>46</v>
      </c>
      <c r="D61" s="514">
        <f>IF('[1]BASE'!D62="","",'[1]BASE'!D62)</f>
        <v>1433</v>
      </c>
      <c r="E61" s="514" t="str">
        <f>IF('[1]BASE'!E62="","",'[1]BASE'!E62)</f>
        <v>NUEVA CAMPANA - SIDERCA "0"</v>
      </c>
      <c r="F61" s="514">
        <f>IF('[1]BASE'!F62="","",'[1]BASE'!F62)</f>
        <v>132</v>
      </c>
      <c r="G61" s="514">
        <f>IF('[1]BASE'!G62="","",'[1]BASE'!G62)</f>
        <v>2.2</v>
      </c>
      <c r="H61" s="514" t="str">
        <f>IF('[1]BASE'!H62="","",'[1]BASE'!H62)</f>
        <v>C</v>
      </c>
      <c r="I61" s="515">
        <f>IF('[1]BASE'!FV62="","",'[1]BASE'!FV62)</f>
      </c>
      <c r="J61" s="515">
        <f>IF('[1]BASE'!FW62="","",'[1]BASE'!FW62)</f>
      </c>
      <c r="K61" s="515">
        <f>IF('[1]BASE'!FX62="","",'[1]BASE'!FX62)</f>
      </c>
      <c r="L61" s="515">
        <f>IF('[1]BASE'!FY62="","",'[1]BASE'!FY62)</f>
      </c>
      <c r="M61" s="515">
        <f>IF('[1]BASE'!FZ62="","",'[1]BASE'!FZ62)</f>
      </c>
      <c r="N61" s="515">
        <f>IF('[1]BASE'!GA62="","",'[1]BASE'!GA62)</f>
      </c>
      <c r="O61" s="515">
        <f>IF('[1]BASE'!GB62="","",'[1]BASE'!GB62)</f>
      </c>
      <c r="P61" s="515">
        <f>IF('[1]BASE'!GC62="","",'[1]BASE'!GC62)</f>
      </c>
      <c r="Q61" s="515">
        <f>IF('[1]BASE'!GD62="","",'[1]BASE'!GD62)</f>
      </c>
      <c r="R61" s="515">
        <f>IF('[1]BASE'!GE62="","",'[1]BASE'!GE62)</f>
      </c>
      <c r="S61" s="515">
        <f>IF('[1]BASE'!GF62="","",'[1]BASE'!GF62)</f>
      </c>
      <c r="T61" s="515">
        <f>IF('[1]BASE'!GG62="","",'[1]BASE'!GG62)</f>
      </c>
      <c r="U61" s="474"/>
      <c r="V61" s="473"/>
    </row>
    <row r="62" spans="2:22" s="468" customFormat="1" ht="19.5" customHeight="1">
      <c r="B62" s="469"/>
      <c r="C62" s="518">
        <f>IF('[1]BASE'!C63="","",'[1]BASE'!C63)</f>
        <v>47</v>
      </c>
      <c r="D62" s="518">
        <f>IF('[1]BASE'!D63="","",'[1]BASE'!D63)</f>
        <v>1450</v>
      </c>
      <c r="E62" s="518" t="str">
        <f>IF('[1]BASE'!E63="","",'[1]BASE'!E63)</f>
        <v>OLAVARRIA - AZUL</v>
      </c>
      <c r="F62" s="518">
        <f>IF('[1]BASE'!F63="","",'[1]BASE'!F63)</f>
        <v>132</v>
      </c>
      <c r="G62" s="518">
        <f>IF('[1]BASE'!G63="","",'[1]BASE'!G63)</f>
        <v>51.4</v>
      </c>
      <c r="H62" s="518" t="str">
        <f>IF('[1]BASE'!H63="","",'[1]BASE'!H63)</f>
        <v>C</v>
      </c>
      <c r="I62" s="519">
        <f>IF('[1]BASE'!FV63="","",'[1]BASE'!FV63)</f>
      </c>
      <c r="J62" s="519">
        <f>IF('[1]BASE'!FW63="","",'[1]BASE'!FW63)</f>
      </c>
      <c r="K62" s="519">
        <f>IF('[1]BASE'!FX63="","",'[1]BASE'!FX63)</f>
      </c>
      <c r="L62" s="519">
        <f>IF('[1]BASE'!FY63="","",'[1]BASE'!FY63)</f>
      </c>
      <c r="M62" s="519">
        <f>IF('[1]BASE'!FZ63="","",'[1]BASE'!FZ63)</f>
      </c>
      <c r="N62" s="519">
        <f>IF('[1]BASE'!GA63="","",'[1]BASE'!GA63)</f>
        <v>1</v>
      </c>
      <c r="O62" s="519">
        <f>IF('[1]BASE'!GB63="","",'[1]BASE'!GB63)</f>
      </c>
      <c r="P62" s="519">
        <f>IF('[1]BASE'!GC63="","",'[1]BASE'!GC63)</f>
      </c>
      <c r="Q62" s="519">
        <f>IF('[1]BASE'!GD63="","",'[1]BASE'!GD63)</f>
      </c>
      <c r="R62" s="519">
        <f>IF('[1]BASE'!GE63="","",'[1]BASE'!GE63)</f>
      </c>
      <c r="S62" s="519">
        <f>IF('[1]BASE'!GF63="","",'[1]BASE'!GF63)</f>
      </c>
      <c r="T62" s="519">
        <f>IF('[1]BASE'!GG63="","",'[1]BASE'!GG63)</f>
      </c>
      <c r="U62" s="474"/>
      <c r="V62" s="473"/>
    </row>
    <row r="63" spans="2:22" s="468" customFormat="1" ht="19.5" customHeight="1" hidden="1">
      <c r="B63" s="469"/>
      <c r="C63" s="514">
        <f>IF('[1]BASE'!C64="","",'[1]BASE'!C64)</f>
        <v>48</v>
      </c>
      <c r="D63" s="514" t="str">
        <f>IF('[1]BASE'!D64="","",'[1]BASE'!D64)</f>
        <v>CE-000</v>
      </c>
      <c r="E63" s="514" t="str">
        <f>IF('[1]BASE'!E64="","",'[1]BASE'!E64)</f>
        <v>OLAVARRIA - GONZALEZ CHAVEZ</v>
      </c>
      <c r="F63" s="514">
        <f>IF('[1]BASE'!F64="","",'[1]BASE'!F64)</f>
        <v>132</v>
      </c>
      <c r="G63" s="514">
        <f>IF('[1]BASE'!G64="","",'[1]BASE'!G64)</f>
        <v>152</v>
      </c>
      <c r="H63" s="514" t="str">
        <f>IF('[1]BASE'!H64="","",'[1]BASE'!H64)</f>
        <v>C</v>
      </c>
      <c r="I63" s="515" t="str">
        <f>IF('[1]BASE'!FV64="","",'[1]BASE'!FV64)</f>
        <v>XXXX</v>
      </c>
      <c r="J63" s="515" t="str">
        <f>IF('[1]BASE'!FW64="","",'[1]BASE'!FW64)</f>
        <v>XXXX</v>
      </c>
      <c r="K63" s="515" t="str">
        <f>IF('[1]BASE'!FX64="","",'[1]BASE'!FX64)</f>
        <v>XXXX</v>
      </c>
      <c r="L63" s="515" t="str">
        <f>IF('[1]BASE'!FY64="","",'[1]BASE'!FY64)</f>
        <v>XXXX</v>
      </c>
      <c r="M63" s="515" t="str">
        <f>IF('[1]BASE'!FZ64="","",'[1]BASE'!FZ64)</f>
        <v>XXXX</v>
      </c>
      <c r="N63" s="515" t="str">
        <f>IF('[1]BASE'!GA64="","",'[1]BASE'!GA64)</f>
        <v>XXXX</v>
      </c>
      <c r="O63" s="515" t="str">
        <f>IF('[1]BASE'!GB64="","",'[1]BASE'!GB64)</f>
        <v>XXXX</v>
      </c>
      <c r="P63" s="515" t="str">
        <f>IF('[1]BASE'!GC64="","",'[1]BASE'!GC64)</f>
        <v>XXXX</v>
      </c>
      <c r="Q63" s="515" t="str">
        <f>IF('[1]BASE'!GD64="","",'[1]BASE'!GD64)</f>
        <v>XXXX</v>
      </c>
      <c r="R63" s="515" t="str">
        <f>IF('[1]BASE'!GE64="","",'[1]BASE'!GE64)</f>
        <v>XXXX</v>
      </c>
      <c r="S63" s="515" t="str">
        <f>IF('[1]BASE'!GF64="","",'[1]BASE'!GF64)</f>
        <v>XXXX</v>
      </c>
      <c r="T63" s="515" t="str">
        <f>IF('[1]BASE'!GG64="","",'[1]BASE'!GG64)</f>
        <v>XXXX</v>
      </c>
      <c r="U63" s="474"/>
      <c r="V63" s="473"/>
    </row>
    <row r="64" spans="2:22" s="468" customFormat="1" ht="19.5" customHeight="1">
      <c r="B64" s="469"/>
      <c r="C64" s="518">
        <f>IF('[1]BASE'!C65="","",'[1]BASE'!C65)</f>
        <v>49</v>
      </c>
      <c r="D64" s="518">
        <f>IF('[1]BASE'!D65="","",'[1]BASE'!D65)</f>
        <v>1446</v>
      </c>
      <c r="E64" s="518" t="str">
        <f>IF('[1]BASE'!E65="","",'[1]BASE'!E65)</f>
        <v>OLAVARRIA - HENDERSON</v>
      </c>
      <c r="F64" s="518">
        <f>IF('[1]BASE'!F65="","",'[1]BASE'!F65)</f>
        <v>132</v>
      </c>
      <c r="G64" s="518">
        <f>IF('[1]BASE'!G65="","",'[1]BASE'!G65)</f>
        <v>139.9</v>
      </c>
      <c r="H64" s="518" t="str">
        <f>IF('[1]BASE'!H65="","",'[1]BASE'!H65)</f>
        <v>C</v>
      </c>
      <c r="I64" s="519">
        <f>IF('[1]BASE'!FV65="","",'[1]BASE'!FV65)</f>
      </c>
      <c r="J64" s="519">
        <f>IF('[1]BASE'!FW65="","",'[1]BASE'!FW65)</f>
      </c>
      <c r="K64" s="519">
        <f>IF('[1]BASE'!FX65="","",'[1]BASE'!FX65)</f>
      </c>
      <c r="L64" s="519">
        <f>IF('[1]BASE'!FY65="","",'[1]BASE'!FY65)</f>
      </c>
      <c r="M64" s="519">
        <f>IF('[1]BASE'!FZ65="","",'[1]BASE'!FZ65)</f>
      </c>
      <c r="N64" s="519">
        <f>IF('[1]BASE'!GA65="","",'[1]BASE'!GA65)</f>
      </c>
      <c r="O64" s="519">
        <f>IF('[1]BASE'!GB65="","",'[1]BASE'!GB65)</f>
      </c>
      <c r="P64" s="519">
        <f>IF('[1]BASE'!GC65="","",'[1]BASE'!GC65)</f>
      </c>
      <c r="Q64" s="519">
        <f>IF('[1]BASE'!GD65="","",'[1]BASE'!GD65)</f>
      </c>
      <c r="R64" s="519">
        <f>IF('[1]BASE'!GE65="","",'[1]BASE'!GE65)</f>
      </c>
      <c r="S64" s="519">
        <f>IF('[1]BASE'!GF65="","",'[1]BASE'!GF65)</f>
      </c>
      <c r="T64" s="519">
        <f>IF('[1]BASE'!GG65="","",'[1]BASE'!GG65)</f>
      </c>
      <c r="U64" s="474"/>
      <c r="V64" s="473"/>
    </row>
    <row r="65" spans="2:22" s="468" customFormat="1" ht="19.5" customHeight="1">
      <c r="B65" s="469"/>
      <c r="C65" s="514">
        <f>IF('[1]BASE'!C66="","",'[1]BASE'!C66)</f>
        <v>50</v>
      </c>
      <c r="D65" s="514" t="str">
        <f>IF('[1]BASE'!D66="","",'[1]BASE'!D66)</f>
        <v>CE-000</v>
      </c>
      <c r="E65" s="514" t="str">
        <f>IF('[1]BASE'!E66="","",'[1]BASE'!E66)</f>
        <v>OLAVARRIA - LAPRIDA</v>
      </c>
      <c r="F65" s="514">
        <f>IF('[1]BASE'!F66="","",'[1]BASE'!F66)</f>
        <v>132</v>
      </c>
      <c r="G65" s="514">
        <f>IF('[1]BASE'!G66="","",'[1]BASE'!G66)</f>
        <v>99.7</v>
      </c>
      <c r="H65" s="514" t="str">
        <f>IF('[1]BASE'!H66="","",'[1]BASE'!H66)</f>
        <v>C</v>
      </c>
      <c r="I65" s="515" t="str">
        <f>IF('[1]BASE'!FV66="","",'[1]BASE'!FV66)</f>
        <v>XXXX</v>
      </c>
      <c r="J65" s="515" t="str">
        <f>IF('[1]BASE'!FW66="","",'[1]BASE'!FW66)</f>
        <v>XXXX</v>
      </c>
      <c r="K65" s="515" t="str">
        <f>IF('[1]BASE'!FX66="","",'[1]BASE'!FX66)</f>
        <v>XXXX</v>
      </c>
      <c r="L65" s="515" t="str">
        <f>IF('[1]BASE'!FY66="","",'[1]BASE'!FY66)</f>
        <v>XXXX</v>
      </c>
      <c r="M65" s="515" t="str">
        <f>IF('[1]BASE'!FZ66="","",'[1]BASE'!FZ66)</f>
        <v>XXXX</v>
      </c>
      <c r="N65" s="515" t="str">
        <f>IF('[1]BASE'!GA66="","",'[1]BASE'!GA66)</f>
        <v>XXXX</v>
      </c>
      <c r="O65" s="515" t="str">
        <f>IF('[1]BASE'!GB66="","",'[1]BASE'!GB66)</f>
        <v>XXXX</v>
      </c>
      <c r="P65" s="515" t="str">
        <f>IF('[1]BASE'!GC66="","",'[1]BASE'!GC66)</f>
        <v>XXXX</v>
      </c>
      <c r="Q65" s="515" t="str">
        <f>IF('[1]BASE'!GD66="","",'[1]BASE'!GD66)</f>
        <v>XXXX</v>
      </c>
      <c r="R65" s="515" t="str">
        <f>IF('[1]BASE'!GE66="","",'[1]BASE'!GE66)</f>
        <v>XXXX</v>
      </c>
      <c r="S65" s="515" t="str">
        <f>IF('[1]BASE'!GF66="","",'[1]BASE'!GF66)</f>
        <v>XXXX</v>
      </c>
      <c r="T65" s="515" t="str">
        <f>IF('[1]BASE'!GG66="","",'[1]BASE'!GG66)</f>
        <v>XXXX</v>
      </c>
      <c r="U65" s="474"/>
      <c r="V65" s="473"/>
    </row>
    <row r="66" spans="2:22" s="468" customFormat="1" ht="19.5" customHeight="1">
      <c r="B66" s="469"/>
      <c r="C66" s="518">
        <f>IF('[1]BASE'!C67="","",'[1]BASE'!C67)</f>
        <v>51</v>
      </c>
      <c r="D66" s="518">
        <f>IF('[1]BASE'!D67="","",'[1]BASE'!D67)</f>
        <v>1449</v>
      </c>
      <c r="E66" s="518" t="str">
        <f>IF('[1]BASE'!E67="","",'[1]BASE'!E67)</f>
        <v>OLAVARRIA - TANDIL</v>
      </c>
      <c r="F66" s="518">
        <f>IF('[1]BASE'!F67="","",'[1]BASE'!F67)</f>
        <v>132</v>
      </c>
      <c r="G66" s="518">
        <f>IF('[1]BASE'!G67="","",'[1]BASE'!G67)</f>
        <v>133.2</v>
      </c>
      <c r="H66" s="518" t="str">
        <f>IF('[1]BASE'!H67="","",'[1]BASE'!H67)</f>
        <v>A</v>
      </c>
      <c r="I66" s="519">
        <f>IF('[1]BASE'!FV67="","",'[1]BASE'!FV67)</f>
      </c>
      <c r="J66" s="519">
        <f>IF('[1]BASE'!FW67="","",'[1]BASE'!FW67)</f>
      </c>
      <c r="K66" s="519">
        <f>IF('[1]BASE'!FX67="","",'[1]BASE'!FX67)</f>
      </c>
      <c r="L66" s="519">
        <f>IF('[1]BASE'!FY67="","",'[1]BASE'!FY67)</f>
      </c>
      <c r="M66" s="519">
        <f>IF('[1]BASE'!FZ67="","",'[1]BASE'!FZ67)</f>
      </c>
      <c r="N66" s="519">
        <f>IF('[1]BASE'!GA67="","",'[1]BASE'!GA67)</f>
      </c>
      <c r="O66" s="519">
        <f>IF('[1]BASE'!GB67="","",'[1]BASE'!GB67)</f>
      </c>
      <c r="P66" s="519">
        <f>IF('[1]BASE'!GC67="","",'[1]BASE'!GC67)</f>
      </c>
      <c r="Q66" s="519">
        <f>IF('[1]BASE'!GD67="","",'[1]BASE'!GD67)</f>
      </c>
      <c r="R66" s="519">
        <f>IF('[1]BASE'!GE67="","",'[1]BASE'!GE67)</f>
      </c>
      <c r="S66" s="519">
        <f>IF('[1]BASE'!GF67="","",'[1]BASE'!GF67)</f>
      </c>
      <c r="T66" s="519">
        <f>IF('[1]BASE'!GG67="","",'[1]BASE'!GG67)</f>
      </c>
      <c r="U66" s="474"/>
      <c r="V66" s="473"/>
    </row>
    <row r="67" spans="2:22" s="468" customFormat="1" ht="19.5" customHeight="1">
      <c r="B67" s="469"/>
      <c r="C67" s="514">
        <f>IF('[1]BASE'!C68="","",'[1]BASE'!C68)</f>
        <v>52</v>
      </c>
      <c r="D67" s="514">
        <f>IF('[1]BASE'!D68="","",'[1]BASE'!D68)</f>
        <v>1451</v>
      </c>
      <c r="E67" s="514" t="str">
        <f>IF('[1]BASE'!E68="","",'[1]BASE'!E68)</f>
        <v>OLAVARRIA VIEJA - OLAVARRIA</v>
      </c>
      <c r="F67" s="514">
        <f>IF('[1]BASE'!F68="","",'[1]BASE'!F68)</f>
        <v>132</v>
      </c>
      <c r="G67" s="514">
        <f>IF('[1]BASE'!G68="","",'[1]BASE'!G68)</f>
        <v>35.59</v>
      </c>
      <c r="H67" s="514" t="str">
        <f>IF('[1]BASE'!H68="","",'[1]BASE'!H68)</f>
        <v>C</v>
      </c>
      <c r="I67" s="515">
        <f>IF('[1]BASE'!FV68="","",'[1]BASE'!FV68)</f>
      </c>
      <c r="J67" s="515">
        <f>IF('[1]BASE'!FW68="","",'[1]BASE'!FW68)</f>
      </c>
      <c r="K67" s="515">
        <f>IF('[1]BASE'!FX68="","",'[1]BASE'!FX68)</f>
      </c>
      <c r="L67" s="515">
        <f>IF('[1]BASE'!FY68="","",'[1]BASE'!FY68)</f>
      </c>
      <c r="M67" s="515">
        <f>IF('[1]BASE'!FZ68="","",'[1]BASE'!FZ68)</f>
      </c>
      <c r="N67" s="515">
        <f>IF('[1]BASE'!GA68="","",'[1]BASE'!GA68)</f>
      </c>
      <c r="O67" s="515">
        <f>IF('[1]BASE'!GB68="","",'[1]BASE'!GB68)</f>
      </c>
      <c r="P67" s="515">
        <f>IF('[1]BASE'!GC68="","",'[1]BASE'!GC68)</f>
      </c>
      <c r="Q67" s="515">
        <f>IF('[1]BASE'!GD68="","",'[1]BASE'!GD68)</f>
      </c>
      <c r="R67" s="515">
        <f>IF('[1]BASE'!GE68="","",'[1]BASE'!GE68)</f>
      </c>
      <c r="S67" s="515">
        <f>IF('[1]BASE'!GF68="","",'[1]BASE'!GF68)</f>
      </c>
      <c r="T67" s="515">
        <f>IF('[1]BASE'!GG68="","",'[1]BASE'!GG68)</f>
      </c>
      <c r="U67" s="474"/>
      <c r="V67" s="473"/>
    </row>
    <row r="68" spans="2:22" s="468" customFormat="1" ht="19.5" customHeight="1">
      <c r="B68" s="469"/>
      <c r="C68" s="518">
        <f>IF('[1]BASE'!C69="","",'[1]BASE'!C69)</f>
        <v>53</v>
      </c>
      <c r="D68" s="518">
        <f>IF('[1]BASE'!D69="","",'[1]BASE'!D69)</f>
        <v>1533</v>
      </c>
      <c r="E68" s="518" t="str">
        <f>IF('[1]BASE'!E69="","",'[1]BASE'!E69)</f>
        <v>P. LURO - C. PATAGONES</v>
      </c>
      <c r="F68" s="518">
        <f>IF('[1]BASE'!F69="","",'[1]BASE'!F69)</f>
        <v>132</v>
      </c>
      <c r="G68" s="518">
        <f>IF('[1]BASE'!G69="","",'[1]BASE'!G69)</f>
        <v>151</v>
      </c>
      <c r="H68" s="518" t="str">
        <f>IF('[1]BASE'!H69="","",'[1]BASE'!H69)</f>
        <v>C</v>
      </c>
      <c r="I68" s="519">
        <f>IF('[1]BASE'!FV69="","",'[1]BASE'!FV69)</f>
      </c>
      <c r="J68" s="519">
        <f>IF('[1]BASE'!FW69="","",'[1]BASE'!FW69)</f>
      </c>
      <c r="K68" s="519">
        <f>IF('[1]BASE'!FX69="","",'[1]BASE'!FX69)</f>
      </c>
      <c r="L68" s="519">
        <f>IF('[1]BASE'!FY69="","",'[1]BASE'!FY69)</f>
      </c>
      <c r="M68" s="519">
        <f>IF('[1]BASE'!FZ69="","",'[1]BASE'!FZ69)</f>
        <v>1</v>
      </c>
      <c r="N68" s="519">
        <f>IF('[1]BASE'!GA69="","",'[1]BASE'!GA69)</f>
      </c>
      <c r="O68" s="519">
        <f>IF('[1]BASE'!GB69="","",'[1]BASE'!GB69)</f>
      </c>
      <c r="P68" s="519">
        <f>IF('[1]BASE'!GC69="","",'[1]BASE'!GC69)</f>
      </c>
      <c r="Q68" s="519">
        <f>IF('[1]BASE'!GD69="","",'[1]BASE'!GD69)</f>
      </c>
      <c r="R68" s="519">
        <f>IF('[1]BASE'!GE69="","",'[1]BASE'!GE69)</f>
        <v>1</v>
      </c>
      <c r="S68" s="519">
        <f>IF('[1]BASE'!GF69="","",'[1]BASE'!GF69)</f>
      </c>
      <c r="T68" s="519">
        <f>IF('[1]BASE'!GG69="","",'[1]BASE'!GG69)</f>
      </c>
      <c r="U68" s="474"/>
      <c r="V68" s="473"/>
    </row>
    <row r="69" spans="2:22" s="468" customFormat="1" ht="19.5" customHeight="1">
      <c r="B69" s="469"/>
      <c r="C69" s="514">
        <f>IF('[1]BASE'!C70="","",'[1]BASE'!C70)</f>
        <v>54</v>
      </c>
      <c r="D69" s="514">
        <f>IF('[1]BASE'!D70="","",'[1]BASE'!D70)</f>
        <v>2740</v>
      </c>
      <c r="E69" s="514" t="str">
        <f>IF('[1]BASE'!E70="","",'[1]BASE'!E70)</f>
        <v>PERGAMINO - RAMALLO</v>
      </c>
      <c r="F69" s="514">
        <f>IF('[1]BASE'!F70="","",'[1]BASE'!F70)</f>
        <v>132</v>
      </c>
      <c r="G69" s="514">
        <f>IF('[1]BASE'!G70="","",'[1]BASE'!G70)</f>
        <v>66.8</v>
      </c>
      <c r="H69" s="514" t="str">
        <f>IF('[1]BASE'!H70="","",'[1]BASE'!H70)</f>
        <v>C</v>
      </c>
      <c r="I69" s="515">
        <f>IF('[1]BASE'!FV70="","",'[1]BASE'!FV70)</f>
      </c>
      <c r="J69" s="515">
        <f>IF('[1]BASE'!FW70="","",'[1]BASE'!FW70)</f>
      </c>
      <c r="K69" s="515">
        <f>IF('[1]BASE'!FX70="","",'[1]BASE'!FX70)</f>
      </c>
      <c r="L69" s="515">
        <f>IF('[1]BASE'!FY70="","",'[1]BASE'!FY70)</f>
      </c>
      <c r="M69" s="515">
        <f>IF('[1]BASE'!FZ70="","",'[1]BASE'!FZ70)</f>
      </c>
      <c r="N69" s="515">
        <f>IF('[1]BASE'!GA70="","",'[1]BASE'!GA70)</f>
      </c>
      <c r="O69" s="515">
        <f>IF('[1]BASE'!GB70="","",'[1]BASE'!GB70)</f>
      </c>
      <c r="P69" s="515">
        <f>IF('[1]BASE'!GC70="","",'[1]BASE'!GC70)</f>
      </c>
      <c r="Q69" s="515">
        <f>IF('[1]BASE'!GD70="","",'[1]BASE'!GD70)</f>
      </c>
      <c r="R69" s="515">
        <f>IF('[1]BASE'!GE70="","",'[1]BASE'!GE70)</f>
      </c>
      <c r="S69" s="515">
        <f>IF('[1]BASE'!GF70="","",'[1]BASE'!GF70)</f>
      </c>
      <c r="T69" s="515">
        <f>IF('[1]BASE'!GG70="","",'[1]BASE'!GG70)</f>
      </c>
      <c r="U69" s="474"/>
      <c r="V69" s="473"/>
    </row>
    <row r="70" spans="2:22" s="468" customFormat="1" ht="19.5" customHeight="1">
      <c r="B70" s="469"/>
      <c r="C70" s="518">
        <f>IF('[1]BASE'!C71="","",'[1]BASE'!C71)</f>
        <v>55</v>
      </c>
      <c r="D70" s="518">
        <f>IF('[1]BASE'!D71="","",'[1]BASE'!D71)</f>
        <v>1420</v>
      </c>
      <c r="E70" s="518" t="str">
        <f>IF('[1]BASE'!E71="","",'[1]BASE'!E71)</f>
        <v>PERGAMINO - ROJAS</v>
      </c>
      <c r="F70" s="518">
        <f>IF('[1]BASE'!F71="","",'[1]BASE'!F71)</f>
        <v>132</v>
      </c>
      <c r="G70" s="518">
        <f>IF('[1]BASE'!G71="","",'[1]BASE'!G71)</f>
        <v>36</v>
      </c>
      <c r="H70" s="518" t="str">
        <f>IF('[1]BASE'!H71="","",'[1]BASE'!H71)</f>
        <v>C</v>
      </c>
      <c r="I70" s="519">
        <f>IF('[1]BASE'!FV71="","",'[1]BASE'!FV71)</f>
      </c>
      <c r="J70" s="519">
        <f>IF('[1]BASE'!FW71="","",'[1]BASE'!FW71)</f>
      </c>
      <c r="K70" s="519">
        <f>IF('[1]BASE'!FX71="","",'[1]BASE'!FX71)</f>
      </c>
      <c r="L70" s="519">
        <f>IF('[1]BASE'!FY71="","",'[1]BASE'!FY71)</f>
      </c>
      <c r="M70" s="519">
        <f>IF('[1]BASE'!FZ71="","",'[1]BASE'!FZ71)</f>
      </c>
      <c r="N70" s="519">
        <f>IF('[1]BASE'!GA71="","",'[1]BASE'!GA71)</f>
      </c>
      <c r="O70" s="519">
        <f>IF('[1]BASE'!GB71="","",'[1]BASE'!GB71)</f>
      </c>
      <c r="P70" s="519">
        <f>IF('[1]BASE'!GC71="","",'[1]BASE'!GC71)</f>
      </c>
      <c r="Q70" s="519">
        <f>IF('[1]BASE'!GD71="","",'[1]BASE'!GD71)</f>
      </c>
      <c r="R70" s="519">
        <f>IF('[1]BASE'!GE71="","",'[1]BASE'!GE71)</f>
      </c>
      <c r="S70" s="519">
        <f>IF('[1]BASE'!GF71="","",'[1]BASE'!GF71)</f>
      </c>
      <c r="T70" s="519">
        <f>IF('[1]BASE'!GG71="","",'[1]BASE'!GG71)</f>
      </c>
      <c r="U70" s="474"/>
      <c r="V70" s="473"/>
    </row>
    <row r="71" spans="2:22" s="468" customFormat="1" ht="19.5" customHeight="1">
      <c r="B71" s="469"/>
      <c r="C71" s="514">
        <f>IF('[1]BASE'!C72="","",'[1]BASE'!C72)</f>
        <v>56</v>
      </c>
      <c r="D71" s="514">
        <f>IF('[1]BASE'!D72="","",'[1]BASE'!D72)</f>
        <v>1419</v>
      </c>
      <c r="E71" s="514" t="str">
        <f>IF('[1]BASE'!E72="","",'[1]BASE'!E72)</f>
        <v>PERGAMINO - SAN NICOLAS</v>
      </c>
      <c r="F71" s="514">
        <f>IF('[1]BASE'!F72="","",'[1]BASE'!F72)</f>
        <v>132</v>
      </c>
      <c r="G71" s="514">
        <f>IF('[1]BASE'!G72="","",'[1]BASE'!G72)</f>
        <v>70.8</v>
      </c>
      <c r="H71" s="514" t="str">
        <f>IF('[1]BASE'!H72="","",'[1]BASE'!H72)</f>
        <v>C</v>
      </c>
      <c r="I71" s="515">
        <f>IF('[1]BASE'!FV72="","",'[1]BASE'!FV72)</f>
      </c>
      <c r="J71" s="515">
        <f>IF('[1]BASE'!FW72="","",'[1]BASE'!FW72)</f>
      </c>
      <c r="K71" s="515">
        <f>IF('[1]BASE'!FX72="","",'[1]BASE'!FX72)</f>
      </c>
      <c r="L71" s="515">
        <f>IF('[1]BASE'!FY72="","",'[1]BASE'!FY72)</f>
      </c>
      <c r="M71" s="515">
        <f>IF('[1]BASE'!FZ72="","",'[1]BASE'!FZ72)</f>
      </c>
      <c r="N71" s="515">
        <f>IF('[1]BASE'!GA72="","",'[1]BASE'!GA72)</f>
      </c>
      <c r="O71" s="515">
        <f>IF('[1]BASE'!GB72="","",'[1]BASE'!GB72)</f>
      </c>
      <c r="P71" s="515">
        <f>IF('[1]BASE'!GC72="","",'[1]BASE'!GC72)</f>
      </c>
      <c r="Q71" s="515">
        <f>IF('[1]BASE'!GD72="","",'[1]BASE'!GD72)</f>
      </c>
      <c r="R71" s="515">
        <f>IF('[1]BASE'!GE72="","",'[1]BASE'!GE72)</f>
      </c>
      <c r="S71" s="515">
        <f>IF('[1]BASE'!GF72="","",'[1]BASE'!GF72)</f>
      </c>
      <c r="T71" s="515">
        <f>IF('[1]BASE'!GG72="","",'[1]BASE'!GG72)</f>
        <v>1</v>
      </c>
      <c r="U71" s="474"/>
      <c r="V71" s="473"/>
    </row>
    <row r="72" spans="2:22" s="468" customFormat="1" ht="19.5" customHeight="1">
      <c r="B72" s="469"/>
      <c r="C72" s="518">
        <f>IF('[1]BASE'!C73="","",'[1]BASE'!C73)</f>
        <v>57</v>
      </c>
      <c r="D72" s="518">
        <f>IF('[1]BASE'!D73="","",'[1]BASE'!D73)</f>
        <v>1546</v>
      </c>
      <c r="E72" s="518" t="str">
        <f>IF('[1]BASE'!E73="","",'[1]BASE'!E73)</f>
        <v>PETROQ. BAHIA BLANCA - URBANA BB</v>
      </c>
      <c r="F72" s="518">
        <f>IF('[1]BASE'!F73="","",'[1]BASE'!F73)</f>
        <v>132</v>
      </c>
      <c r="G72" s="518">
        <f>IF('[1]BASE'!G73="","",'[1]BASE'!G73)</f>
        <v>3.2</v>
      </c>
      <c r="H72" s="518" t="str">
        <f>IF('[1]BASE'!H73="","",'[1]BASE'!H73)</f>
        <v>C</v>
      </c>
      <c r="I72" s="519">
        <f>IF('[1]BASE'!FV73="","",'[1]BASE'!FV73)</f>
      </c>
      <c r="J72" s="519">
        <f>IF('[1]BASE'!FW73="","",'[1]BASE'!FW73)</f>
      </c>
      <c r="K72" s="519">
        <f>IF('[1]BASE'!FX73="","",'[1]BASE'!FX73)</f>
      </c>
      <c r="L72" s="519">
        <f>IF('[1]BASE'!FY73="","",'[1]BASE'!FY73)</f>
      </c>
      <c r="M72" s="519">
        <f>IF('[1]BASE'!FZ73="","",'[1]BASE'!FZ73)</f>
      </c>
      <c r="N72" s="519">
        <f>IF('[1]BASE'!GA73="","",'[1]BASE'!GA73)</f>
      </c>
      <c r="O72" s="519">
        <f>IF('[1]BASE'!GB73="","",'[1]BASE'!GB73)</f>
      </c>
      <c r="P72" s="519">
        <f>IF('[1]BASE'!GC73="","",'[1]BASE'!GC73)</f>
      </c>
      <c r="Q72" s="519">
        <f>IF('[1]BASE'!GD73="","",'[1]BASE'!GD73)</f>
      </c>
      <c r="R72" s="519">
        <f>IF('[1]BASE'!GE73="","",'[1]BASE'!GE73)</f>
      </c>
      <c r="S72" s="519">
        <f>IF('[1]BASE'!GF73="","",'[1]BASE'!GF73)</f>
      </c>
      <c r="T72" s="519">
        <f>IF('[1]BASE'!GG73="","",'[1]BASE'!GG73)</f>
      </c>
      <c r="U72" s="474"/>
      <c r="V72" s="473"/>
    </row>
    <row r="73" spans="2:22" s="468" customFormat="1" ht="19.5" customHeight="1">
      <c r="B73" s="469"/>
      <c r="C73" s="514">
        <f>IF('[1]BASE'!C74="","",'[1]BASE'!C74)</f>
        <v>58</v>
      </c>
      <c r="D73" s="514">
        <f>IF('[1]BASE'!D74="","",'[1]BASE'!D74)</f>
      </c>
      <c r="E73" s="514" t="str">
        <f>IF('[1]BASE'!E74="","",'[1]BASE'!E74)</f>
        <v>C. PIEDRABUENA - ING. WHITE</v>
      </c>
      <c r="F73" s="514">
        <f>IF('[1]BASE'!F74="","",'[1]BASE'!F74)</f>
        <v>132</v>
      </c>
      <c r="G73" s="514">
        <f>IF('[1]BASE'!G74="","",'[1]BASE'!G74)</f>
        <v>1.1</v>
      </c>
      <c r="H73" s="514" t="str">
        <f>IF('[1]BASE'!H74="","",'[1]BASE'!H74)</f>
        <v>C</v>
      </c>
      <c r="I73" s="515">
        <f>IF('[1]BASE'!FV74="","",'[1]BASE'!FV74)</f>
      </c>
      <c r="J73" s="515">
        <f>IF('[1]BASE'!FW74="","",'[1]BASE'!FW74)</f>
      </c>
      <c r="K73" s="515">
        <f>IF('[1]BASE'!FX74="","",'[1]BASE'!FX74)</f>
      </c>
      <c r="L73" s="515">
        <f>IF('[1]BASE'!FY74="","",'[1]BASE'!FY74)</f>
      </c>
      <c r="M73" s="515">
        <f>IF('[1]BASE'!FZ74="","",'[1]BASE'!FZ74)</f>
      </c>
      <c r="N73" s="515">
        <f>IF('[1]BASE'!GA74="","",'[1]BASE'!GA74)</f>
      </c>
      <c r="O73" s="515">
        <f>IF('[1]BASE'!GB74="","",'[1]BASE'!GB74)</f>
      </c>
      <c r="P73" s="515">
        <f>IF('[1]BASE'!GC74="","",'[1]BASE'!GC74)</f>
      </c>
      <c r="Q73" s="515">
        <f>IF('[1]BASE'!GD74="","",'[1]BASE'!GD74)</f>
      </c>
      <c r="R73" s="515">
        <f>IF('[1]BASE'!GE74="","",'[1]BASE'!GE74)</f>
      </c>
      <c r="S73" s="515">
        <f>IF('[1]BASE'!GF74="","",'[1]BASE'!GF74)</f>
      </c>
      <c r="T73" s="515">
        <f>IF('[1]BASE'!GG74="","",'[1]BASE'!GG74)</f>
      </c>
      <c r="U73" s="474"/>
      <c r="V73" s="473"/>
    </row>
    <row r="74" spans="2:22" s="468" customFormat="1" ht="19.5" customHeight="1">
      <c r="B74" s="469"/>
      <c r="C74" s="518">
        <f>IF('[1]BASE'!C75="","",'[1]BASE'!C75)</f>
        <v>59</v>
      </c>
      <c r="D74" s="518">
        <f>IF('[1]BASE'!D75="","",'[1]BASE'!D75)</f>
        <v>2616</v>
      </c>
      <c r="E74" s="518" t="str">
        <f>IF('[1]BASE'!E75="","",'[1]BASE'!E75)</f>
        <v>PIGUE - GUATRACHE</v>
      </c>
      <c r="F74" s="518">
        <f>IF('[1]BASE'!F75="","",'[1]BASE'!F75)</f>
        <v>132</v>
      </c>
      <c r="G74" s="518">
        <f>IF('[1]BASE'!G75="","",'[1]BASE'!G75)</f>
        <v>102</v>
      </c>
      <c r="H74" s="518" t="str">
        <f>IF('[1]BASE'!H75="","",'[1]BASE'!H75)</f>
        <v>C</v>
      </c>
      <c r="I74" s="519">
        <f>IF('[1]BASE'!FV75="","",'[1]BASE'!FV75)</f>
      </c>
      <c r="J74" s="519">
        <f>IF('[1]BASE'!FW75="","",'[1]BASE'!FW75)</f>
      </c>
      <c r="K74" s="519">
        <f>IF('[1]BASE'!FX75="","",'[1]BASE'!FX75)</f>
      </c>
      <c r="L74" s="519">
        <f>IF('[1]BASE'!FY75="","",'[1]BASE'!FY75)</f>
      </c>
      <c r="M74" s="519">
        <f>IF('[1]BASE'!FZ75="","",'[1]BASE'!FZ75)</f>
      </c>
      <c r="N74" s="519">
        <f>IF('[1]BASE'!GA75="","",'[1]BASE'!GA75)</f>
      </c>
      <c r="O74" s="519">
        <f>IF('[1]BASE'!GB75="","",'[1]BASE'!GB75)</f>
      </c>
      <c r="P74" s="519">
        <f>IF('[1]BASE'!GC75="","",'[1]BASE'!GC75)</f>
        <v>1</v>
      </c>
      <c r="Q74" s="519">
        <f>IF('[1]BASE'!GD75="","",'[1]BASE'!GD75)</f>
      </c>
      <c r="R74" s="519">
        <f>IF('[1]BASE'!GE75="","",'[1]BASE'!GE75)</f>
      </c>
      <c r="S74" s="519">
        <f>IF('[1]BASE'!GF75="","",'[1]BASE'!GF75)</f>
      </c>
      <c r="T74" s="519">
        <f>IF('[1]BASE'!GG75="","",'[1]BASE'!GG75)</f>
        <v>1</v>
      </c>
      <c r="U74" s="474"/>
      <c r="V74" s="473"/>
    </row>
    <row r="75" spans="2:22" s="468" customFormat="1" ht="19.5" customHeight="1">
      <c r="B75" s="469"/>
      <c r="C75" s="514">
        <f>IF('[1]BASE'!C76="","",'[1]BASE'!C76)</f>
        <v>60</v>
      </c>
      <c r="D75" s="514" t="str">
        <f>IF('[1]BASE'!D76="","",'[1]BASE'!D76)</f>
        <v>CE-004</v>
      </c>
      <c r="E75" s="514" t="str">
        <f>IF('[1]BASE'!E76="","",'[1]BASE'!E76)</f>
        <v>PIGÜE - TORNQUIST - BAHIA BLANCA</v>
      </c>
      <c r="F75" s="514">
        <f>IF('[1]BASE'!F76="","",'[1]BASE'!F76)</f>
        <v>132</v>
      </c>
      <c r="G75" s="514">
        <f>IF('[1]BASE'!G76="","",'[1]BASE'!G76)</f>
        <v>132.3</v>
      </c>
      <c r="H75" s="514" t="str">
        <f>IF('[1]BASE'!H76="","",'[1]BASE'!H76)</f>
        <v>C</v>
      </c>
      <c r="I75" s="515">
        <f>IF('[1]BASE'!FV76="","",'[1]BASE'!FV76)</f>
      </c>
      <c r="J75" s="515">
        <f>IF('[1]BASE'!FW76="","",'[1]BASE'!FW76)</f>
      </c>
      <c r="K75" s="515">
        <f>IF('[1]BASE'!FX76="","",'[1]BASE'!FX76)</f>
      </c>
      <c r="L75" s="515">
        <f>IF('[1]BASE'!FY76="","",'[1]BASE'!FY76)</f>
      </c>
      <c r="M75" s="515">
        <f>IF('[1]BASE'!FZ76="","",'[1]BASE'!FZ76)</f>
      </c>
      <c r="N75" s="515">
        <f>IF('[1]BASE'!GA76="","",'[1]BASE'!GA76)</f>
      </c>
      <c r="O75" s="515">
        <f>IF('[1]BASE'!GB76="","",'[1]BASE'!GB76)</f>
      </c>
      <c r="P75" s="515">
        <f>IF('[1]BASE'!GC76="","",'[1]BASE'!GC76)</f>
      </c>
      <c r="Q75" s="515">
        <f>IF('[1]BASE'!GD76="","",'[1]BASE'!GD76)</f>
      </c>
      <c r="R75" s="515">
        <f>IF('[1]BASE'!GE76="","",'[1]BASE'!GE76)</f>
      </c>
      <c r="S75" s="515">
        <f>IF('[1]BASE'!GF76="","",'[1]BASE'!GF76)</f>
      </c>
      <c r="T75" s="515">
        <f>IF('[1]BASE'!GG76="","",'[1]BASE'!GG76)</f>
      </c>
      <c r="U75" s="474"/>
      <c r="V75" s="473"/>
    </row>
    <row r="76" spans="2:22" s="468" customFormat="1" ht="19.5" customHeight="1">
      <c r="B76" s="469"/>
      <c r="C76" s="518">
        <f>IF('[1]BASE'!C77="","",'[1]BASE'!C77)</f>
        <v>61</v>
      </c>
      <c r="D76" s="518">
        <f>IF('[1]BASE'!D77="","",'[1]BASE'!D77)</f>
        <v>1443</v>
      </c>
      <c r="E76" s="518" t="str">
        <f>IF('[1]BASE'!E77="","",'[1]BASE'!E77)</f>
        <v>PINAMAR - VILLA GESELL</v>
      </c>
      <c r="F76" s="518">
        <f>IF('[1]BASE'!F77="","",'[1]BASE'!F77)</f>
        <v>132</v>
      </c>
      <c r="G76" s="518">
        <f>IF('[1]BASE'!G77="","",'[1]BASE'!G77)</f>
        <v>20.28</v>
      </c>
      <c r="H76" s="518" t="str">
        <f>IF('[1]BASE'!H77="","",'[1]BASE'!H77)</f>
        <v>C</v>
      </c>
      <c r="I76" s="519" t="str">
        <f>IF('[1]BASE'!FV77="","",'[1]BASE'!FV77)</f>
        <v>XXXX</v>
      </c>
      <c r="J76" s="519" t="str">
        <f>IF('[1]BASE'!FW77="","",'[1]BASE'!FW77)</f>
        <v>XXXX</v>
      </c>
      <c r="K76" s="519" t="str">
        <f>IF('[1]BASE'!FX77="","",'[1]BASE'!FX77)</f>
        <v>XXXX</v>
      </c>
      <c r="L76" s="519" t="str">
        <f>IF('[1]BASE'!FY77="","",'[1]BASE'!FY77)</f>
        <v>XXXX</v>
      </c>
      <c r="M76" s="519" t="str">
        <f>IF('[1]BASE'!FZ77="","",'[1]BASE'!FZ77)</f>
        <v>XXXX</v>
      </c>
      <c r="N76" s="519" t="str">
        <f>IF('[1]BASE'!GA77="","",'[1]BASE'!GA77)</f>
        <v>XXXX</v>
      </c>
      <c r="O76" s="519" t="str">
        <f>IF('[1]BASE'!GB77="","",'[1]BASE'!GB77)</f>
        <v>XXXX</v>
      </c>
      <c r="P76" s="519" t="str">
        <f>IF('[1]BASE'!GC77="","",'[1]BASE'!GC77)</f>
        <v>XXXX</v>
      </c>
      <c r="Q76" s="519" t="str">
        <f>IF('[1]BASE'!GD77="","",'[1]BASE'!GD77)</f>
        <v>XXXX</v>
      </c>
      <c r="R76" s="519" t="str">
        <f>IF('[1]BASE'!GE77="","",'[1]BASE'!GE77)</f>
        <v>XXXX</v>
      </c>
      <c r="S76" s="519" t="str">
        <f>IF('[1]BASE'!GF77="","",'[1]BASE'!GF77)</f>
        <v>XXXX</v>
      </c>
      <c r="T76" s="519" t="str">
        <f>IF('[1]BASE'!GG77="","",'[1]BASE'!GG77)</f>
        <v>XXXX</v>
      </c>
      <c r="U76" s="474"/>
      <c r="V76" s="473"/>
    </row>
    <row r="77" spans="2:22" s="468" customFormat="1" ht="19.5" customHeight="1">
      <c r="B77" s="469"/>
      <c r="C77" s="514">
        <f>IF('[1]BASE'!C78="","",'[1]BASE'!C78)</f>
        <v>62</v>
      </c>
      <c r="D77" s="514">
        <f>IF('[1]BASE'!D78="","",'[1]BASE'!D78)</f>
        <v>1543</v>
      </c>
      <c r="E77" s="514" t="str">
        <f>IF('[1]BASE'!E78="","",'[1]BASE'!E78)</f>
        <v>PUNTA ALTA - BAHIA BLANCA</v>
      </c>
      <c r="F77" s="514">
        <f>IF('[1]BASE'!F78="","",'[1]BASE'!F78)</f>
        <v>132</v>
      </c>
      <c r="G77" s="514">
        <f>IF('[1]BASE'!G78="","",'[1]BASE'!G78)</f>
        <v>24.1</v>
      </c>
      <c r="H77" s="514" t="str">
        <f>IF('[1]BASE'!H78="","",'[1]BASE'!H78)</f>
        <v>C</v>
      </c>
      <c r="I77" s="515">
        <f>IF('[1]BASE'!FV78="","",'[1]BASE'!FV78)</f>
      </c>
      <c r="J77" s="515">
        <f>IF('[1]BASE'!FW78="","",'[1]BASE'!FW78)</f>
      </c>
      <c r="K77" s="515">
        <f>IF('[1]BASE'!FX78="","",'[1]BASE'!FX78)</f>
      </c>
      <c r="L77" s="515">
        <f>IF('[1]BASE'!FY78="","",'[1]BASE'!FY78)</f>
      </c>
      <c r="M77" s="515">
        <f>IF('[1]BASE'!FZ78="","",'[1]BASE'!FZ78)</f>
      </c>
      <c r="N77" s="515">
        <f>IF('[1]BASE'!GA78="","",'[1]BASE'!GA78)</f>
      </c>
      <c r="O77" s="515">
        <f>IF('[1]BASE'!GB78="","",'[1]BASE'!GB78)</f>
      </c>
      <c r="P77" s="515">
        <f>IF('[1]BASE'!GC78="","",'[1]BASE'!GC78)</f>
      </c>
      <c r="Q77" s="515">
        <f>IF('[1]BASE'!GD78="","",'[1]BASE'!GD78)</f>
      </c>
      <c r="R77" s="515">
        <f>IF('[1]BASE'!GE78="","",'[1]BASE'!GE78)</f>
      </c>
      <c r="S77" s="515">
        <f>IF('[1]BASE'!GF78="","",'[1]BASE'!GF78)</f>
      </c>
      <c r="T77" s="515">
        <f>IF('[1]BASE'!GG78="","",'[1]BASE'!GG78)</f>
      </c>
      <c r="U77" s="474"/>
      <c r="V77" s="473"/>
    </row>
    <row r="78" spans="2:22" s="468" customFormat="1" ht="19.5" customHeight="1">
      <c r="B78" s="469"/>
      <c r="C78" s="518">
        <f>IF('[1]BASE'!C79="","",'[1]BASE'!C79)</f>
        <v>63</v>
      </c>
      <c r="D78" s="518">
        <f>IF('[1]BASE'!D79="","",'[1]BASE'!D79)</f>
        <v>1544</v>
      </c>
      <c r="E78" s="518" t="str">
        <f>IF('[1]BASE'!E79="","",'[1]BASE'!E79)</f>
        <v>PUNTA ALTA - C. PIEDRABUENA</v>
      </c>
      <c r="F78" s="518">
        <f>IF('[1]BASE'!F79="","",'[1]BASE'!F79)</f>
        <v>132</v>
      </c>
      <c r="G78" s="518">
        <f>IF('[1]BASE'!G79="","",'[1]BASE'!G79)</f>
        <v>25</v>
      </c>
      <c r="H78" s="518" t="str">
        <f>IF('[1]BASE'!H79="","",'[1]BASE'!H79)</f>
        <v>C</v>
      </c>
      <c r="I78" s="519">
        <f>IF('[1]BASE'!FV79="","",'[1]BASE'!FV79)</f>
      </c>
      <c r="J78" s="519">
        <f>IF('[1]BASE'!FW79="","",'[1]BASE'!FW79)</f>
      </c>
      <c r="K78" s="519">
        <f>IF('[1]BASE'!FX79="","",'[1]BASE'!FX79)</f>
      </c>
      <c r="L78" s="519">
        <f>IF('[1]BASE'!FY79="","",'[1]BASE'!FY79)</f>
      </c>
      <c r="M78" s="519">
        <f>IF('[1]BASE'!FZ79="","",'[1]BASE'!FZ79)</f>
        <v>1</v>
      </c>
      <c r="N78" s="519">
        <f>IF('[1]BASE'!GA79="","",'[1]BASE'!GA79)</f>
      </c>
      <c r="O78" s="519">
        <f>IF('[1]BASE'!GB79="","",'[1]BASE'!GB79)</f>
      </c>
      <c r="P78" s="519">
        <f>IF('[1]BASE'!GC79="","",'[1]BASE'!GC79)</f>
      </c>
      <c r="Q78" s="519">
        <f>IF('[1]BASE'!GD79="","",'[1]BASE'!GD79)</f>
      </c>
      <c r="R78" s="519">
        <f>IF('[1]BASE'!GE79="","",'[1]BASE'!GE79)</f>
      </c>
      <c r="S78" s="519">
        <f>IF('[1]BASE'!GF79="","",'[1]BASE'!GF79)</f>
      </c>
      <c r="T78" s="519">
        <f>IF('[1]BASE'!GG79="","",'[1]BASE'!GG79)</f>
      </c>
      <c r="U78" s="474"/>
      <c r="V78" s="473"/>
    </row>
    <row r="79" spans="2:22" s="468" customFormat="1" ht="19.5" customHeight="1">
      <c r="B79" s="469"/>
      <c r="C79" s="514">
        <f>IF('[1]BASE'!C80="","",'[1]BASE'!C80)</f>
        <v>64</v>
      </c>
      <c r="D79" s="514">
        <f>IF('[1]BASE'!D80="","",'[1]BASE'!D80)</f>
        <v>2741</v>
      </c>
      <c r="E79" s="514" t="str">
        <f>IF('[1]BASE'!E80="","",'[1]BASE'!E80)</f>
        <v>RAMALLO - URBANA SAN NICOLAS</v>
      </c>
      <c r="F79" s="514">
        <f>IF('[1]BASE'!F80="","",'[1]BASE'!F80)</f>
        <v>132</v>
      </c>
      <c r="G79" s="514">
        <f>IF('[1]BASE'!G80="","",'[1]BASE'!G80)</f>
        <v>12.86</v>
      </c>
      <c r="H79" s="514" t="str">
        <f>IF('[1]BASE'!H80="","",'[1]BASE'!H80)</f>
        <v>C</v>
      </c>
      <c r="I79" s="515">
        <f>IF('[1]BASE'!FV80="","",'[1]BASE'!FV80)</f>
      </c>
      <c r="J79" s="515">
        <f>IF('[1]BASE'!FW80="","",'[1]BASE'!FW80)</f>
      </c>
      <c r="K79" s="515">
        <f>IF('[1]BASE'!FX80="","",'[1]BASE'!FX80)</f>
      </c>
      <c r="L79" s="515">
        <f>IF('[1]BASE'!FY80="","",'[1]BASE'!FY80)</f>
      </c>
      <c r="M79" s="515">
        <f>IF('[1]BASE'!FZ80="","",'[1]BASE'!FZ80)</f>
      </c>
      <c r="N79" s="515">
        <f>IF('[1]BASE'!GA80="","",'[1]BASE'!GA80)</f>
      </c>
      <c r="O79" s="515">
        <f>IF('[1]BASE'!GB80="","",'[1]BASE'!GB80)</f>
      </c>
      <c r="P79" s="515">
        <f>IF('[1]BASE'!GC80="","",'[1]BASE'!GC80)</f>
      </c>
      <c r="Q79" s="515">
        <f>IF('[1]BASE'!GD80="","",'[1]BASE'!GD80)</f>
      </c>
      <c r="R79" s="515">
        <f>IF('[1]BASE'!GE80="","",'[1]BASE'!GE80)</f>
      </c>
      <c r="S79" s="515">
        <f>IF('[1]BASE'!GF80="","",'[1]BASE'!GF80)</f>
      </c>
      <c r="T79" s="515">
        <f>IF('[1]BASE'!GG80="","",'[1]BASE'!GG80)</f>
      </c>
      <c r="U79" s="474"/>
      <c r="V79" s="473"/>
    </row>
    <row r="80" spans="2:22" s="468" customFormat="1" ht="19.5" customHeight="1">
      <c r="B80" s="469"/>
      <c r="C80" s="518">
        <f>IF('[1]BASE'!C81="","",'[1]BASE'!C81)</f>
        <v>65</v>
      </c>
      <c r="D80" s="518">
        <f>IF('[1]BASE'!D81="","",'[1]BASE'!D81)</f>
        <v>1418</v>
      </c>
      <c r="E80" s="518" t="str">
        <f>IF('[1]BASE'!E81="","",'[1]BASE'!E81)</f>
        <v>ROJAS - JUNIN</v>
      </c>
      <c r="F80" s="518">
        <f>IF('[1]BASE'!F81="","",'[1]BASE'!F81)</f>
        <v>132</v>
      </c>
      <c r="G80" s="518">
        <f>IF('[1]BASE'!G81="","",'[1]BASE'!G81)</f>
        <v>47.7</v>
      </c>
      <c r="H80" s="518" t="str">
        <f>IF('[1]BASE'!H81="","",'[1]BASE'!H81)</f>
        <v>C</v>
      </c>
      <c r="I80" s="519">
        <f>IF('[1]BASE'!FV81="","",'[1]BASE'!FV81)</f>
        <v>1</v>
      </c>
      <c r="J80" s="519">
        <f>IF('[1]BASE'!FW81="","",'[1]BASE'!FW81)</f>
      </c>
      <c r="K80" s="519">
        <f>IF('[1]BASE'!FX81="","",'[1]BASE'!FX81)</f>
      </c>
      <c r="L80" s="519">
        <f>IF('[1]BASE'!FY81="","",'[1]BASE'!FY81)</f>
      </c>
      <c r="M80" s="519">
        <f>IF('[1]BASE'!FZ81="","",'[1]BASE'!FZ81)</f>
      </c>
      <c r="N80" s="519">
        <f>IF('[1]BASE'!GA81="","",'[1]BASE'!GA81)</f>
      </c>
      <c r="O80" s="519">
        <f>IF('[1]BASE'!GB81="","",'[1]BASE'!GB81)</f>
      </c>
      <c r="P80" s="519">
        <f>IF('[1]BASE'!GC81="","",'[1]BASE'!GC81)</f>
      </c>
      <c r="Q80" s="519">
        <f>IF('[1]BASE'!GD81="","",'[1]BASE'!GD81)</f>
      </c>
      <c r="R80" s="519">
        <f>IF('[1]BASE'!GE81="","",'[1]BASE'!GE81)</f>
      </c>
      <c r="S80" s="519">
        <f>IF('[1]BASE'!GF81="","",'[1]BASE'!GF81)</f>
      </c>
      <c r="T80" s="519">
        <f>IF('[1]BASE'!GG81="","",'[1]BASE'!GG81)</f>
      </c>
      <c r="U80" s="474"/>
      <c r="V80" s="473"/>
    </row>
    <row r="81" spans="2:22" s="468" customFormat="1" ht="19.5" customHeight="1">
      <c r="B81" s="469"/>
      <c r="C81" s="514">
        <f>IF('[1]BASE'!C82="","",'[1]BASE'!C82)</f>
        <v>66</v>
      </c>
      <c r="D81" s="514">
        <f>IF('[1]BASE'!D82="","",'[1]BASE'!D82)</f>
        <v>1407</v>
      </c>
      <c r="E81" s="514" t="str">
        <f>IF('[1]BASE'!E82="","",'[1]BASE'!E82)</f>
        <v>SALADILLO - LAS FLORES</v>
      </c>
      <c r="F81" s="514">
        <f>IF('[1]BASE'!F82="","",'[1]BASE'!F82)</f>
        <v>132</v>
      </c>
      <c r="G81" s="514">
        <f>IF('[1]BASE'!G82="","",'[1]BASE'!G82)</f>
        <v>76.3</v>
      </c>
      <c r="H81" s="514" t="str">
        <f>IF('[1]BASE'!H82="","",'[1]BASE'!H82)</f>
        <v>C</v>
      </c>
      <c r="I81" s="515">
        <f>IF('[1]BASE'!FV82="","",'[1]BASE'!FV82)</f>
      </c>
      <c r="J81" s="515">
        <f>IF('[1]BASE'!FW82="","",'[1]BASE'!FW82)</f>
      </c>
      <c r="K81" s="515">
        <f>IF('[1]BASE'!FX82="","",'[1]BASE'!FX82)</f>
      </c>
      <c r="L81" s="515">
        <f>IF('[1]BASE'!FY82="","",'[1]BASE'!FY82)</f>
      </c>
      <c r="M81" s="515">
        <f>IF('[1]BASE'!FZ82="","",'[1]BASE'!FZ82)</f>
      </c>
      <c r="N81" s="515">
        <f>IF('[1]BASE'!GA82="","",'[1]BASE'!GA82)</f>
      </c>
      <c r="O81" s="515">
        <f>IF('[1]BASE'!GB82="","",'[1]BASE'!GB82)</f>
      </c>
      <c r="P81" s="515">
        <f>IF('[1]BASE'!GC82="","",'[1]BASE'!GC82)</f>
      </c>
      <c r="Q81" s="515">
        <f>IF('[1]BASE'!GD82="","",'[1]BASE'!GD82)</f>
      </c>
      <c r="R81" s="515">
        <f>IF('[1]BASE'!GE82="","",'[1]BASE'!GE82)</f>
      </c>
      <c r="S81" s="515">
        <f>IF('[1]BASE'!GF82="","",'[1]BASE'!GF82)</f>
      </c>
      <c r="T81" s="515">
        <f>IF('[1]BASE'!GG82="","",'[1]BASE'!GG82)</f>
      </c>
      <c r="U81" s="474"/>
      <c r="V81" s="473"/>
    </row>
    <row r="82" spans="2:22" s="468" customFormat="1" ht="19.5" customHeight="1">
      <c r="B82" s="469"/>
      <c r="C82" s="518">
        <f>IF('[1]BASE'!C83="","",'[1]BASE'!C83)</f>
        <v>67</v>
      </c>
      <c r="D82" s="518">
        <f>IF('[1]BASE'!D83="","",'[1]BASE'!D83)</f>
        <v>1439</v>
      </c>
      <c r="E82" s="518" t="str">
        <f>IF('[1]BASE'!E83="","",'[1]BASE'!E83)</f>
        <v>SAN CLEMENTE - DOLORES</v>
      </c>
      <c r="F82" s="518">
        <f>IF('[1]BASE'!F83="","",'[1]BASE'!F83)</f>
        <v>132</v>
      </c>
      <c r="G82" s="518">
        <f>IF('[1]BASE'!G83="","",'[1]BASE'!G83)</f>
        <v>102.6</v>
      </c>
      <c r="H82" s="518" t="str">
        <f>IF('[1]BASE'!H83="","",'[1]BASE'!H83)</f>
        <v>C</v>
      </c>
      <c r="I82" s="519">
        <f>IF('[1]BASE'!FV83="","",'[1]BASE'!FV83)</f>
      </c>
      <c r="J82" s="519">
        <f>IF('[1]BASE'!FW83="","",'[1]BASE'!FW83)</f>
      </c>
      <c r="K82" s="519">
        <f>IF('[1]BASE'!FX83="","",'[1]BASE'!FX83)</f>
      </c>
      <c r="L82" s="519">
        <f>IF('[1]BASE'!FY83="","",'[1]BASE'!FY83)</f>
        <v>1</v>
      </c>
      <c r="M82" s="519">
        <f>IF('[1]BASE'!FZ83="","",'[1]BASE'!FZ83)</f>
      </c>
      <c r="N82" s="519">
        <f>IF('[1]BASE'!GA83="","",'[1]BASE'!GA83)</f>
      </c>
      <c r="O82" s="519">
        <f>IF('[1]BASE'!GB83="","",'[1]BASE'!GB83)</f>
      </c>
      <c r="P82" s="519">
        <f>IF('[1]BASE'!GC83="","",'[1]BASE'!GC83)</f>
      </c>
      <c r="Q82" s="519">
        <f>IF('[1]BASE'!GD83="","",'[1]BASE'!GD83)</f>
      </c>
      <c r="R82" s="519">
        <f>IF('[1]BASE'!GE83="","",'[1]BASE'!GE83)</f>
        <v>1</v>
      </c>
      <c r="S82" s="519">
        <f>IF('[1]BASE'!GF83="","",'[1]BASE'!GF83)</f>
      </c>
      <c r="T82" s="519">
        <f>IF('[1]BASE'!GG83="","",'[1]BASE'!GG83)</f>
      </c>
      <c r="U82" s="474"/>
      <c r="V82" s="473"/>
    </row>
    <row r="83" spans="2:22" s="468" customFormat="1" ht="19.5" customHeight="1" hidden="1">
      <c r="B83" s="469"/>
      <c r="C83" s="514">
        <f>IF('[1]BASE'!C84="","",'[1]BASE'!C84)</f>
        <v>68</v>
      </c>
      <c r="D83" s="514" t="str">
        <f>IF('[1]BASE'!D84="","",'[1]BASE'!D84)</f>
        <v>C-000</v>
      </c>
      <c r="E83" s="514" t="str">
        <f>IF('[1]BASE'!E84="","",'[1]BASE'!E84)</f>
        <v>SAN CLEMENTE - MAR DEL TUYÚ - MAR DE AJÓ</v>
      </c>
      <c r="F83" s="514">
        <f>IF('[1]BASE'!F84="","",'[1]BASE'!F84)</f>
        <v>132</v>
      </c>
      <c r="G83" s="514">
        <f>IF('[1]BASE'!G84="","",'[1]BASE'!G84)</f>
        <v>39</v>
      </c>
      <c r="H83" s="514" t="str">
        <f>IF('[1]BASE'!H84="","",'[1]BASE'!H84)</f>
        <v>B</v>
      </c>
      <c r="I83" s="515" t="str">
        <f>IF('[1]BASE'!FV84="","",'[1]BASE'!FV84)</f>
        <v>XXXX</v>
      </c>
      <c r="J83" s="515" t="str">
        <f>IF('[1]BASE'!FW84="","",'[1]BASE'!FW84)</f>
        <v>XXXX</v>
      </c>
      <c r="K83" s="515" t="str">
        <f>IF('[1]BASE'!FX84="","",'[1]BASE'!FX84)</f>
        <v>XXXX</v>
      </c>
      <c r="L83" s="515" t="str">
        <f>IF('[1]BASE'!FY84="","",'[1]BASE'!FY84)</f>
        <v>XXXX</v>
      </c>
      <c r="M83" s="515" t="str">
        <f>IF('[1]BASE'!FZ84="","",'[1]BASE'!FZ84)</f>
        <v>XXXX</v>
      </c>
      <c r="N83" s="515" t="str">
        <f>IF('[1]BASE'!GA84="","",'[1]BASE'!GA84)</f>
        <v>XXXX</v>
      </c>
      <c r="O83" s="515" t="str">
        <f>IF('[1]BASE'!GB84="","",'[1]BASE'!GB84)</f>
        <v>XXXX</v>
      </c>
      <c r="P83" s="515" t="str">
        <f>IF('[1]BASE'!GC84="","",'[1]BASE'!GC84)</f>
        <v>XXXX</v>
      </c>
      <c r="Q83" s="515" t="str">
        <f>IF('[1]BASE'!GD84="","",'[1]BASE'!GD84)</f>
        <v>XXXX</v>
      </c>
      <c r="R83" s="515" t="str">
        <f>IF('[1]BASE'!GE84="","",'[1]BASE'!GE84)</f>
        <v>XXXX</v>
      </c>
      <c r="S83" s="515" t="str">
        <f>IF('[1]BASE'!GF84="","",'[1]BASE'!GF84)</f>
        <v>XXXX</v>
      </c>
      <c r="T83" s="515" t="str">
        <f>IF('[1]BASE'!GG84="","",'[1]BASE'!GG84)</f>
        <v>XXXX</v>
      </c>
      <c r="U83" s="474"/>
      <c r="V83" s="473"/>
    </row>
    <row r="84" spans="2:22" s="468" customFormat="1" ht="19.5" customHeight="1">
      <c r="B84" s="469"/>
      <c r="C84" s="518">
        <f>IF('[1]BASE'!C85="","",'[1]BASE'!C85)</f>
        <v>69</v>
      </c>
      <c r="D84" s="518">
        <f>IF('[1]BASE'!D85="","",'[1]BASE'!D85)</f>
        <v>4293</v>
      </c>
      <c r="E84" s="518" t="str">
        <f>IF('[1]BASE'!E85="","",'[1]BASE'!E85)</f>
        <v>SAN CLEMENTE - LAS TONINAS</v>
      </c>
      <c r="F84" s="518">
        <f>IF('[1]BASE'!F85="","",'[1]BASE'!F85)</f>
        <v>132</v>
      </c>
      <c r="G84" s="518">
        <f>IF('[1]BASE'!G85="","",'[1]BASE'!G85)</f>
        <v>14.6</v>
      </c>
      <c r="H84" s="518" t="str">
        <f>IF('[1]BASE'!H85="","",'[1]BASE'!H85)</f>
        <v>B</v>
      </c>
      <c r="I84" s="519">
        <f>IF('[1]BASE'!FV85="","",'[1]BASE'!FV85)</f>
      </c>
      <c r="J84" s="519">
        <f>IF('[1]BASE'!FW85="","",'[1]BASE'!FW85)</f>
      </c>
      <c r="K84" s="519">
        <f>IF('[1]BASE'!FX85="","",'[1]BASE'!FX85)</f>
      </c>
      <c r="L84" s="519">
        <f>IF('[1]BASE'!FY85="","",'[1]BASE'!FY85)</f>
        <v>1</v>
      </c>
      <c r="M84" s="519">
        <f>IF('[1]BASE'!FZ85="","",'[1]BASE'!FZ85)</f>
      </c>
      <c r="N84" s="519">
        <f>IF('[1]BASE'!GA85="","",'[1]BASE'!GA85)</f>
      </c>
      <c r="O84" s="519">
        <f>IF('[1]BASE'!GB85="","",'[1]BASE'!GB85)</f>
      </c>
      <c r="P84" s="519">
        <f>IF('[1]BASE'!GC85="","",'[1]BASE'!GC85)</f>
      </c>
      <c r="Q84" s="519">
        <f>IF('[1]BASE'!GD85="","",'[1]BASE'!GD85)</f>
      </c>
      <c r="R84" s="519">
        <f>IF('[1]BASE'!GE85="","",'[1]BASE'!GE85)</f>
      </c>
      <c r="S84" s="519">
        <f>IF('[1]BASE'!GF85="","",'[1]BASE'!GF85)</f>
      </c>
      <c r="T84" s="519">
        <f>IF('[1]BASE'!GG85="","",'[1]BASE'!GG85)</f>
      </c>
      <c r="U84" s="474"/>
      <c r="V84" s="473"/>
    </row>
    <row r="85" spans="2:22" s="468" customFormat="1" ht="19.5" customHeight="1">
      <c r="B85" s="469"/>
      <c r="C85" s="514">
        <f>IF('[1]BASE'!C86="","",'[1]BASE'!C86)</f>
        <v>70</v>
      </c>
      <c r="D85" s="514" t="str">
        <f>IF('[1]BASE'!D86="","",'[1]BASE'!D86)</f>
        <v>CE-003</v>
      </c>
      <c r="E85" s="514" t="str">
        <f>IF('[1]BASE'!E86="","",'[1]BASE'!E86)</f>
        <v>LAS TONINAS-MAR DEL TUYU-MAR DE AJO</v>
      </c>
      <c r="F85" s="514">
        <f>IF('[1]BASE'!F86="","",'[1]BASE'!F86)</f>
        <v>132</v>
      </c>
      <c r="G85" s="514">
        <f>IF('[1]BASE'!G86="","",'[1]BASE'!G86)</f>
        <v>29.57</v>
      </c>
      <c r="H85" s="514" t="str">
        <f>IF('[1]BASE'!H86="","",'[1]BASE'!H86)</f>
        <v>B</v>
      </c>
      <c r="I85" s="515">
        <f>IF('[1]BASE'!FV86="","",'[1]BASE'!FV86)</f>
      </c>
      <c r="J85" s="515">
        <f>IF('[1]BASE'!FW86="","",'[1]BASE'!FW86)</f>
      </c>
      <c r="K85" s="515">
        <f>IF('[1]BASE'!FX86="","",'[1]BASE'!FX86)</f>
      </c>
      <c r="L85" s="515">
        <f>IF('[1]BASE'!FY86="","",'[1]BASE'!FY86)</f>
      </c>
      <c r="M85" s="515">
        <f>IF('[1]BASE'!FZ86="","",'[1]BASE'!FZ86)</f>
      </c>
      <c r="N85" s="515">
        <f>IF('[1]BASE'!GA86="","",'[1]BASE'!GA86)</f>
      </c>
      <c r="O85" s="515">
        <f>IF('[1]BASE'!GB86="","",'[1]BASE'!GB86)</f>
      </c>
      <c r="P85" s="515">
        <f>IF('[1]BASE'!GC86="","",'[1]BASE'!GC86)</f>
      </c>
      <c r="Q85" s="515">
        <f>IF('[1]BASE'!GD86="","",'[1]BASE'!GD86)</f>
      </c>
      <c r="R85" s="515">
        <f>IF('[1]BASE'!GE86="","",'[1]BASE'!GE86)</f>
      </c>
      <c r="S85" s="515">
        <f>IF('[1]BASE'!GF86="","",'[1]BASE'!GF86)</f>
      </c>
      <c r="T85" s="515">
        <f>IF('[1]BASE'!GG86="","",'[1]BASE'!GG86)</f>
        <v>2</v>
      </c>
      <c r="U85" s="474"/>
      <c r="V85" s="473"/>
    </row>
    <row r="86" spans="2:22" s="468" customFormat="1" ht="19.5" customHeight="1">
      <c r="B86" s="469"/>
      <c r="C86" s="518">
        <f>IF('[1]BASE'!C87="","",'[1]BASE'!C87)</f>
        <v>71</v>
      </c>
      <c r="D86" s="518">
        <f>IF('[1]BASE'!D87="","",'[1]BASE'!D87)</f>
        <v>1999</v>
      </c>
      <c r="E86" s="518" t="str">
        <f>IF('[1]BASE'!E87="","",'[1]BASE'!E87)</f>
        <v>SAN NICOLÁS - VILLA CONSTITUCIÓN IND.</v>
      </c>
      <c r="F86" s="518">
        <f>IF('[1]BASE'!F87="","",'[1]BASE'!F87)</f>
        <v>132</v>
      </c>
      <c r="G86" s="518">
        <f>IF('[1]BASE'!G87="","",'[1]BASE'!G87)</f>
        <v>14.7</v>
      </c>
      <c r="H86" s="518" t="str">
        <f>IF('[1]BASE'!H87="","",'[1]BASE'!H87)</f>
        <v>C</v>
      </c>
      <c r="I86" s="519">
        <f>IF('[1]BASE'!FV87="","",'[1]BASE'!FV87)</f>
      </c>
      <c r="J86" s="519">
        <f>IF('[1]BASE'!FW87="","",'[1]BASE'!FW87)</f>
      </c>
      <c r="K86" s="519">
        <f>IF('[1]BASE'!FX87="","",'[1]BASE'!FX87)</f>
        <v>1</v>
      </c>
      <c r="L86" s="519">
        <f>IF('[1]BASE'!FY87="","",'[1]BASE'!FY87)</f>
      </c>
      <c r="M86" s="519">
        <f>IF('[1]BASE'!FZ87="","",'[1]BASE'!FZ87)</f>
      </c>
      <c r="N86" s="519">
        <f>IF('[1]BASE'!GA87="","",'[1]BASE'!GA87)</f>
      </c>
      <c r="O86" s="519">
        <f>IF('[1]BASE'!GB87="","",'[1]BASE'!GB87)</f>
      </c>
      <c r="P86" s="519">
        <f>IF('[1]BASE'!GC87="","",'[1]BASE'!GC87)</f>
      </c>
      <c r="Q86" s="519">
        <f>IF('[1]BASE'!GD87="","",'[1]BASE'!GD87)</f>
      </c>
      <c r="R86" s="519">
        <f>IF('[1]BASE'!GE87="","",'[1]BASE'!GE87)</f>
      </c>
      <c r="S86" s="519">
        <f>IF('[1]BASE'!GF87="","",'[1]BASE'!GF87)</f>
      </c>
      <c r="T86" s="519">
        <f>IF('[1]BASE'!GG87="","",'[1]BASE'!GG87)</f>
      </c>
      <c r="U86" s="474"/>
      <c r="V86" s="473"/>
    </row>
    <row r="87" spans="2:22" s="468" customFormat="1" ht="19.5" customHeight="1">
      <c r="B87" s="469"/>
      <c r="C87" s="514">
        <f>IF('[1]BASE'!C88="","",'[1]BASE'!C88)</f>
        <v>72</v>
      </c>
      <c r="D87" s="514">
        <f>IF('[1]BASE'!D88="","",'[1]BASE'!D88)</f>
        <v>1997</v>
      </c>
      <c r="E87" s="514" t="str">
        <f>IF('[1]BASE'!E88="","",'[1]BASE'!E88)</f>
        <v>SAN NICOLÁS - VILLA CONSTITUCIÓN RES.</v>
      </c>
      <c r="F87" s="514">
        <f>IF('[1]BASE'!F88="","",'[1]BASE'!F88)</f>
        <v>132</v>
      </c>
      <c r="G87" s="514">
        <f>IF('[1]BASE'!G88="","",'[1]BASE'!G88)</f>
        <v>13.6</v>
      </c>
      <c r="H87" s="514" t="str">
        <f>IF('[1]BASE'!H88="","",'[1]BASE'!H88)</f>
        <v>B</v>
      </c>
      <c r="I87" s="515">
        <f>IF('[1]BASE'!FV88="","",'[1]BASE'!FV88)</f>
      </c>
      <c r="J87" s="515">
        <f>IF('[1]BASE'!FW88="","",'[1]BASE'!FW88)</f>
      </c>
      <c r="K87" s="515">
        <f>IF('[1]BASE'!FX88="","",'[1]BASE'!FX88)</f>
      </c>
      <c r="L87" s="515">
        <f>IF('[1]BASE'!FY88="","",'[1]BASE'!FY88)</f>
      </c>
      <c r="M87" s="515">
        <f>IF('[1]BASE'!FZ88="","",'[1]BASE'!FZ88)</f>
      </c>
      <c r="N87" s="515">
        <f>IF('[1]BASE'!GA88="","",'[1]BASE'!GA88)</f>
      </c>
      <c r="O87" s="515">
        <f>IF('[1]BASE'!GB88="","",'[1]BASE'!GB88)</f>
      </c>
      <c r="P87" s="515">
        <f>IF('[1]BASE'!GC88="","",'[1]BASE'!GC88)</f>
      </c>
      <c r="Q87" s="515">
        <f>IF('[1]BASE'!GD88="","",'[1]BASE'!GD88)</f>
      </c>
      <c r="R87" s="515">
        <f>IF('[1]BASE'!GE88="","",'[1]BASE'!GE88)</f>
      </c>
      <c r="S87" s="515">
        <f>IF('[1]BASE'!GF88="","",'[1]BASE'!GF88)</f>
      </c>
      <c r="T87" s="515">
        <f>IF('[1]BASE'!GG88="","",'[1]BASE'!GG88)</f>
      </c>
      <c r="U87" s="474"/>
      <c r="V87" s="473"/>
    </row>
    <row r="88" spans="2:22" s="468" customFormat="1" ht="19.5" customHeight="1" hidden="1">
      <c r="B88" s="469"/>
      <c r="C88" s="518">
        <f>IF('[1]BASE'!C89="","",'[1]BASE'!C89)</f>
        <v>73</v>
      </c>
      <c r="D88" s="518" t="str">
        <f>IF('[1]BASE'!D89="","",'[1]BASE'!D89)</f>
        <v>CE-000</v>
      </c>
      <c r="E88" s="518" t="str">
        <f>IF('[1]BASE'!E89="","",'[1]BASE'!E89)</f>
        <v>SAN NICOLAS EXTG - SAN NICOLAS</v>
      </c>
      <c r="F88" s="518">
        <f>IF('[1]BASE'!F89="","",'[1]BASE'!F89)</f>
        <v>132</v>
      </c>
      <c r="G88" s="518">
        <f>IF('[1]BASE'!G89="","",'[1]BASE'!G89)</f>
        <v>0.4</v>
      </c>
      <c r="H88" s="518" t="str">
        <f>IF('[1]BASE'!H89="","",'[1]BASE'!H89)</f>
        <v>C</v>
      </c>
      <c r="I88" s="519" t="str">
        <f>IF('[1]BASE'!FV89="","",'[1]BASE'!FV89)</f>
        <v>XXXX</v>
      </c>
      <c r="J88" s="519" t="str">
        <f>IF('[1]BASE'!FW89="","",'[1]BASE'!FW89)</f>
        <v>XXXX</v>
      </c>
      <c r="K88" s="519" t="str">
        <f>IF('[1]BASE'!FX89="","",'[1]BASE'!FX89)</f>
        <v>XXXX</v>
      </c>
      <c r="L88" s="519" t="str">
        <f>IF('[1]BASE'!FY89="","",'[1]BASE'!FY89)</f>
        <v>XXXX</v>
      </c>
      <c r="M88" s="519" t="str">
        <f>IF('[1]BASE'!FZ89="","",'[1]BASE'!FZ89)</f>
        <v>XXXX</v>
      </c>
      <c r="N88" s="519" t="str">
        <f>IF('[1]BASE'!GA89="","",'[1]BASE'!GA89)</f>
        <v>XXXX</v>
      </c>
      <c r="O88" s="519" t="str">
        <f>IF('[1]BASE'!GB89="","",'[1]BASE'!GB89)</f>
        <v>XXXX</v>
      </c>
      <c r="P88" s="519" t="str">
        <f>IF('[1]BASE'!GC89="","",'[1]BASE'!GC89)</f>
        <v>XXXX</v>
      </c>
      <c r="Q88" s="519" t="str">
        <f>IF('[1]BASE'!GD89="","",'[1]BASE'!GD89)</f>
        <v>XXXX</v>
      </c>
      <c r="R88" s="519" t="str">
        <f>IF('[1]BASE'!GE89="","",'[1]BASE'!GE89)</f>
        <v>XXXX</v>
      </c>
      <c r="S88" s="519" t="str">
        <f>IF('[1]BASE'!GF89="","",'[1]BASE'!GF89)</f>
        <v>XXXX</v>
      </c>
      <c r="T88" s="519" t="str">
        <f>IF('[1]BASE'!GG89="","",'[1]BASE'!GG89)</f>
        <v>XXXX</v>
      </c>
      <c r="U88" s="474"/>
      <c r="V88" s="473"/>
    </row>
    <row r="89" spans="2:22" s="468" customFormat="1" ht="19.5" customHeight="1" hidden="1">
      <c r="B89" s="469"/>
      <c r="C89" s="514">
        <f>IF('[1]BASE'!C90="","",'[1]BASE'!C90)</f>
        <v>74</v>
      </c>
      <c r="D89" s="514">
        <f>IF('[1]BASE'!D90="","",'[1]BASE'!D90)</f>
        <v>2957</v>
      </c>
      <c r="E89" s="514" t="str">
        <f>IF('[1]BASE'!E90="","",'[1]BASE'!E90)</f>
        <v>SAN PEDRO - EASTMAN T</v>
      </c>
      <c r="F89" s="514">
        <f>IF('[1]BASE'!F90="","",'[1]BASE'!F90)</f>
        <v>132</v>
      </c>
      <c r="G89" s="514">
        <f>IF('[1]BASE'!G90="","",'[1]BASE'!G90)</f>
        <v>63.1</v>
      </c>
      <c r="H89" s="514" t="str">
        <f>IF('[1]BASE'!H90="","",'[1]BASE'!H90)</f>
        <v>C</v>
      </c>
      <c r="I89" s="515" t="str">
        <f>IF('[1]BASE'!FV90="","",'[1]BASE'!FV90)</f>
        <v>XXXX</v>
      </c>
      <c r="J89" s="515" t="str">
        <f>IF('[1]BASE'!FW90="","",'[1]BASE'!FW90)</f>
        <v>XXXX</v>
      </c>
      <c r="K89" s="515" t="str">
        <f>IF('[1]BASE'!FX90="","",'[1]BASE'!FX90)</f>
        <v>XXXX</v>
      </c>
      <c r="L89" s="515" t="str">
        <f>IF('[1]BASE'!FY90="","",'[1]BASE'!FY90)</f>
        <v>XXXX</v>
      </c>
      <c r="M89" s="515" t="str">
        <f>IF('[1]BASE'!FZ90="","",'[1]BASE'!FZ90)</f>
        <v>XXXX</v>
      </c>
      <c r="N89" s="515" t="str">
        <f>IF('[1]BASE'!GA90="","",'[1]BASE'!GA90)</f>
        <v>XXXX</v>
      </c>
      <c r="O89" s="515" t="str">
        <f>IF('[1]BASE'!GB90="","",'[1]BASE'!GB90)</f>
        <v>XXXX</v>
      </c>
      <c r="P89" s="515" t="str">
        <f>IF('[1]BASE'!GC90="","",'[1]BASE'!GC90)</f>
        <v>XXXX</v>
      </c>
      <c r="Q89" s="515" t="str">
        <f>IF('[1]BASE'!GD90="","",'[1]BASE'!GD90)</f>
        <v>XXXX</v>
      </c>
      <c r="R89" s="515" t="str">
        <f>IF('[1]BASE'!GE90="","",'[1]BASE'!GE90)</f>
        <v>XXXX</v>
      </c>
      <c r="S89" s="515" t="str">
        <f>IF('[1]BASE'!GF90="","",'[1]BASE'!GF90)</f>
        <v>XXXX</v>
      </c>
      <c r="T89" s="515" t="str">
        <f>IF('[1]BASE'!GG90="","",'[1]BASE'!GG90)</f>
        <v>XXXX</v>
      </c>
      <c r="U89" s="474"/>
      <c r="V89" s="473"/>
    </row>
    <row r="90" spans="2:22" s="468" customFormat="1" ht="19.5" customHeight="1">
      <c r="B90" s="469"/>
      <c r="C90" s="518">
        <f>IF('[1]BASE'!C91="","",'[1]BASE'!C91)</f>
        <v>75</v>
      </c>
      <c r="D90" s="518">
        <f>IF('[1]BASE'!D91="","",'[1]BASE'!D91)</f>
        <v>1427</v>
      </c>
      <c r="E90" s="518" t="str">
        <f>IF('[1]BASE'!E91="","",'[1]BASE'!E91)</f>
        <v>SAN PEDRO - PAPEL PRENSA</v>
      </c>
      <c r="F90" s="518">
        <f>IF('[1]BASE'!F91="","",'[1]BASE'!F91)</f>
        <v>132</v>
      </c>
      <c r="G90" s="518">
        <f>IF('[1]BASE'!G91="","",'[1]BASE'!G91)</f>
        <v>10.9</v>
      </c>
      <c r="H90" s="518" t="str">
        <f>IF('[1]BASE'!H91="","",'[1]BASE'!H91)</f>
        <v>B</v>
      </c>
      <c r="I90" s="519">
        <f>IF('[1]BASE'!FV91="","",'[1]BASE'!FV91)</f>
      </c>
      <c r="J90" s="519">
        <f>IF('[1]BASE'!FW91="","",'[1]BASE'!FW91)</f>
      </c>
      <c r="K90" s="519">
        <f>IF('[1]BASE'!FX91="","",'[1]BASE'!FX91)</f>
      </c>
      <c r="L90" s="519">
        <f>IF('[1]BASE'!FY91="","",'[1]BASE'!FY91)</f>
      </c>
      <c r="M90" s="519">
        <f>IF('[1]BASE'!FZ91="","",'[1]BASE'!FZ91)</f>
      </c>
      <c r="N90" s="519">
        <f>IF('[1]BASE'!GA91="","",'[1]BASE'!GA91)</f>
      </c>
      <c r="O90" s="519">
        <f>IF('[1]BASE'!GB91="","",'[1]BASE'!GB91)</f>
      </c>
      <c r="P90" s="519">
        <f>IF('[1]BASE'!GC91="","",'[1]BASE'!GC91)</f>
      </c>
      <c r="Q90" s="519">
        <f>IF('[1]BASE'!GD91="","",'[1]BASE'!GD91)</f>
      </c>
      <c r="R90" s="519">
        <f>IF('[1]BASE'!GE91="","",'[1]BASE'!GE91)</f>
      </c>
      <c r="S90" s="519">
        <f>IF('[1]BASE'!GF91="","",'[1]BASE'!GF91)</f>
      </c>
      <c r="T90" s="519">
        <f>IF('[1]BASE'!GG91="","",'[1]BASE'!GG91)</f>
      </c>
      <c r="U90" s="474"/>
      <c r="V90" s="473"/>
    </row>
    <row r="91" spans="2:22" s="468" customFormat="1" ht="19.5" customHeight="1" hidden="1">
      <c r="B91" s="469"/>
      <c r="C91" s="514">
        <f>IF('[1]BASE'!C92="","",'[1]BASE'!C92)</f>
        <v>76</v>
      </c>
      <c r="D91" s="514" t="str">
        <f>IF('[1]BASE'!D92="","",'[1]BASE'!D92)</f>
        <v>CE-000</v>
      </c>
      <c r="E91" s="514" t="str">
        <f>IF('[1]BASE'!E92="","",'[1]BASE'!E92)</f>
        <v>SAN PEDRO - SAN NICOLÁS</v>
      </c>
      <c r="F91" s="514">
        <f>IF('[1]BASE'!F92="","",'[1]BASE'!F92)</f>
        <v>132</v>
      </c>
      <c r="G91" s="514">
        <f>IF('[1]BASE'!G92="","",'[1]BASE'!G92)</f>
        <v>65</v>
      </c>
      <c r="H91" s="514" t="str">
        <f>IF('[1]BASE'!H92="","",'[1]BASE'!H92)</f>
        <v>C</v>
      </c>
      <c r="I91" s="515" t="str">
        <f>IF('[1]BASE'!FV92="","",'[1]BASE'!FV92)</f>
        <v>XXXX</v>
      </c>
      <c r="J91" s="515" t="str">
        <f>IF('[1]BASE'!FW92="","",'[1]BASE'!FW92)</f>
        <v>XXXX</v>
      </c>
      <c r="K91" s="515" t="str">
        <f>IF('[1]BASE'!FX92="","",'[1]BASE'!FX92)</f>
        <v>XXXX</v>
      </c>
      <c r="L91" s="515" t="str">
        <f>IF('[1]BASE'!FY92="","",'[1]BASE'!FY92)</f>
        <v>XXXX</v>
      </c>
      <c r="M91" s="515" t="str">
        <f>IF('[1]BASE'!FZ92="","",'[1]BASE'!FZ92)</f>
        <v>XXXX</v>
      </c>
      <c r="N91" s="515" t="str">
        <f>IF('[1]BASE'!GA92="","",'[1]BASE'!GA92)</f>
        <v>XXXX</v>
      </c>
      <c r="O91" s="515" t="str">
        <f>IF('[1]BASE'!GB92="","",'[1]BASE'!GB92)</f>
        <v>XXXX</v>
      </c>
      <c r="P91" s="515" t="str">
        <f>IF('[1]BASE'!GC92="","",'[1]BASE'!GC92)</f>
        <v>XXXX</v>
      </c>
      <c r="Q91" s="515" t="str">
        <f>IF('[1]BASE'!GD92="","",'[1]BASE'!GD92)</f>
        <v>XXXX</v>
      </c>
      <c r="R91" s="515" t="str">
        <f>IF('[1]BASE'!GE92="","",'[1]BASE'!GE92)</f>
        <v>XXXX</v>
      </c>
      <c r="S91" s="515" t="str">
        <f>IF('[1]BASE'!GF92="","",'[1]BASE'!GF92)</f>
        <v>XXXX</v>
      </c>
      <c r="T91" s="515" t="str">
        <f>IF('[1]BASE'!GG92="","",'[1]BASE'!GG92)</f>
        <v>XXXX</v>
      </c>
      <c r="U91" s="474"/>
      <c r="V91" s="473"/>
    </row>
    <row r="92" spans="2:22" s="468" customFormat="1" ht="19.5" customHeight="1">
      <c r="B92" s="469"/>
      <c r="C92" s="518">
        <f>IF('[1]BASE'!C93="","",'[1]BASE'!C93)</f>
        <v>77</v>
      </c>
      <c r="D92" s="518">
        <f>IF('[1]BASE'!D93="","",'[1]BASE'!D93)</f>
        <v>4277</v>
      </c>
      <c r="E92" s="518" t="str">
        <f>IF('[1]BASE'!E93="","",'[1]BASE'!E93)</f>
        <v>SAN PEDRO - RAMALLO INDUSTRIAL</v>
      </c>
      <c r="F92" s="518">
        <f>IF('[1]BASE'!F93="","",'[1]BASE'!F93)</f>
        <v>132</v>
      </c>
      <c r="G92" s="518">
        <f>IF('[1]BASE'!G93="","",'[1]BASE'!G93)</f>
        <v>58</v>
      </c>
      <c r="H92" s="518" t="str">
        <f>IF('[1]BASE'!H93="","",'[1]BASE'!H93)</f>
        <v>C</v>
      </c>
      <c r="I92" s="519">
        <f>IF('[1]BASE'!FV93="","",'[1]BASE'!FV93)</f>
      </c>
      <c r="J92" s="519">
        <f>IF('[1]BASE'!FW93="","",'[1]BASE'!FW93)</f>
      </c>
      <c r="K92" s="519">
        <f>IF('[1]BASE'!FX93="","",'[1]BASE'!FX93)</f>
      </c>
      <c r="L92" s="519">
        <f>IF('[1]BASE'!FY93="","",'[1]BASE'!FY93)</f>
      </c>
      <c r="M92" s="519">
        <f>IF('[1]BASE'!FZ93="","",'[1]BASE'!FZ93)</f>
      </c>
      <c r="N92" s="519">
        <f>IF('[1]BASE'!GA93="","",'[1]BASE'!GA93)</f>
      </c>
      <c r="O92" s="519">
        <f>IF('[1]BASE'!GB93="","",'[1]BASE'!GB93)</f>
      </c>
      <c r="P92" s="519">
        <f>IF('[1]BASE'!GC93="","",'[1]BASE'!GC93)</f>
      </c>
      <c r="Q92" s="519">
        <f>IF('[1]BASE'!GD93="","",'[1]BASE'!GD93)</f>
      </c>
      <c r="R92" s="519">
        <f>IF('[1]BASE'!GE93="","",'[1]BASE'!GE93)</f>
      </c>
      <c r="S92" s="519">
        <f>IF('[1]BASE'!GF93="","",'[1]BASE'!GF93)</f>
      </c>
      <c r="T92" s="519">
        <f>IF('[1]BASE'!GG93="","",'[1]BASE'!GG93)</f>
      </c>
      <c r="U92" s="474"/>
      <c r="V92" s="473"/>
    </row>
    <row r="93" spans="2:22" s="468" customFormat="1" ht="19.5" customHeight="1" hidden="1">
      <c r="B93" s="469"/>
      <c r="C93" s="514">
        <f>IF('[1]BASE'!C94="","",'[1]BASE'!C94)</f>
        <v>78</v>
      </c>
      <c r="D93" s="514">
        <f>IF('[1]BASE'!D94="","",'[1]BASE'!D94)</f>
        <v>4278</v>
      </c>
      <c r="E93" s="514" t="str">
        <f>IF('[1]BASE'!E94="","",'[1]BASE'!E94)</f>
        <v>SAN NICOLÁS - RAMALLO INDUSTRIAL</v>
      </c>
      <c r="F93" s="514">
        <f>IF('[1]BASE'!F94="","",'[1]BASE'!F94)</f>
        <v>132</v>
      </c>
      <c r="G93" s="514">
        <f>IF('[1]BASE'!G94="","",'[1]BASE'!G94)</f>
        <v>23.52</v>
      </c>
      <c r="H93" s="514" t="str">
        <f>IF('[1]BASE'!H94="","",'[1]BASE'!H94)</f>
        <v>C</v>
      </c>
      <c r="I93" s="515" t="str">
        <f>IF('[1]BASE'!FV94="","",'[1]BASE'!FV94)</f>
        <v>XXXX</v>
      </c>
      <c r="J93" s="515" t="str">
        <f>IF('[1]BASE'!FW94="","",'[1]BASE'!FW94)</f>
        <v>XXXX</v>
      </c>
      <c r="K93" s="515" t="str">
        <f>IF('[1]BASE'!FX94="","",'[1]BASE'!FX94)</f>
        <v>XXXX</v>
      </c>
      <c r="L93" s="515" t="str">
        <f>IF('[1]BASE'!FY94="","",'[1]BASE'!FY94)</f>
        <v>XXXX</v>
      </c>
      <c r="M93" s="515" t="str">
        <f>IF('[1]BASE'!FZ94="","",'[1]BASE'!FZ94)</f>
        <v>XXXX</v>
      </c>
      <c r="N93" s="515" t="str">
        <f>IF('[1]BASE'!GA94="","",'[1]BASE'!GA94)</f>
        <v>XXXX</v>
      </c>
      <c r="O93" s="515" t="str">
        <f>IF('[1]BASE'!GB94="","",'[1]BASE'!GB94)</f>
        <v>XXXX</v>
      </c>
      <c r="P93" s="515" t="str">
        <f>IF('[1]BASE'!GC94="","",'[1]BASE'!GC94)</f>
        <v>XXXX</v>
      </c>
      <c r="Q93" s="515" t="str">
        <f>IF('[1]BASE'!GD94="","",'[1]BASE'!GD94)</f>
        <v>XXXX</v>
      </c>
      <c r="R93" s="515" t="str">
        <f>IF('[1]BASE'!GE94="","",'[1]BASE'!GE94)</f>
        <v>XXXX</v>
      </c>
      <c r="S93" s="515" t="str">
        <f>IF('[1]BASE'!GF94="","",'[1]BASE'!GF94)</f>
        <v>XXXX</v>
      </c>
      <c r="T93" s="515" t="str">
        <f>IF('[1]BASE'!GG94="","",'[1]BASE'!GG94)</f>
        <v>XXXX</v>
      </c>
      <c r="U93" s="474"/>
      <c r="V93" s="473"/>
    </row>
    <row r="94" spans="2:22" s="468" customFormat="1" ht="19.5" customHeight="1">
      <c r="B94" s="469"/>
      <c r="C94" s="518">
        <f>IF('[1]BASE'!C95="","",'[1]BASE'!C95)</f>
        <v>79</v>
      </c>
      <c r="D94" s="518">
        <f>IF('[1]BASE'!D95="","",'[1]BASE'!D95)</f>
        <v>1517</v>
      </c>
      <c r="E94" s="518" t="str">
        <f>IF('[1]BASE'!E95="","",'[1]BASE'!E95)</f>
        <v>TANDIL - BALCARCE</v>
      </c>
      <c r="F94" s="518">
        <f>IF('[1]BASE'!F95="","",'[1]BASE'!F95)</f>
        <v>132</v>
      </c>
      <c r="G94" s="518">
        <f>IF('[1]BASE'!G95="","",'[1]BASE'!G95)</f>
        <v>103.6</v>
      </c>
      <c r="H94" s="518" t="str">
        <f>IF('[1]BASE'!H95="","",'[1]BASE'!H95)</f>
        <v>C</v>
      </c>
      <c r="I94" s="519">
        <f>IF('[1]BASE'!FV95="","",'[1]BASE'!FV95)</f>
      </c>
      <c r="J94" s="519">
        <f>IF('[1]BASE'!FW95="","",'[1]BASE'!FW95)</f>
      </c>
      <c r="K94" s="519">
        <f>IF('[1]BASE'!FX95="","",'[1]BASE'!FX95)</f>
      </c>
      <c r="L94" s="519">
        <f>IF('[1]BASE'!FY95="","",'[1]BASE'!FY95)</f>
      </c>
      <c r="M94" s="519">
        <f>IF('[1]BASE'!FZ95="","",'[1]BASE'!FZ95)</f>
      </c>
      <c r="N94" s="519">
        <f>IF('[1]BASE'!GA95="","",'[1]BASE'!GA95)</f>
      </c>
      <c r="O94" s="519">
        <f>IF('[1]BASE'!GB95="","",'[1]BASE'!GB95)</f>
      </c>
      <c r="P94" s="519">
        <f>IF('[1]BASE'!GC95="","",'[1]BASE'!GC95)</f>
      </c>
      <c r="Q94" s="519">
        <f>IF('[1]BASE'!GD95="","",'[1]BASE'!GD95)</f>
      </c>
      <c r="R94" s="519">
        <f>IF('[1]BASE'!GE95="","",'[1]BASE'!GE95)</f>
      </c>
      <c r="S94" s="519">
        <f>IF('[1]BASE'!GF95="","",'[1]BASE'!GF95)</f>
      </c>
      <c r="T94" s="519">
        <f>IF('[1]BASE'!GG95="","",'[1]BASE'!GG95)</f>
      </c>
      <c r="U94" s="474"/>
      <c r="V94" s="473"/>
    </row>
    <row r="95" spans="2:22" s="468" customFormat="1" ht="19.5" customHeight="1">
      <c r="B95" s="469"/>
      <c r="C95" s="514">
        <f>IF('[1]BASE'!C96="","",'[1]BASE'!C96)</f>
        <v>80</v>
      </c>
      <c r="D95" s="514">
        <f>IF('[1]BASE'!D96="","",'[1]BASE'!D96)</f>
        <v>1519</v>
      </c>
      <c r="E95" s="514" t="str">
        <f>IF('[1]BASE'!E96="","",'[1]BASE'!E96)</f>
        <v>TANDIL - NECOCHEA</v>
      </c>
      <c r="F95" s="514">
        <f>IF('[1]BASE'!F96="","",'[1]BASE'!F96)</f>
        <v>132</v>
      </c>
      <c r="G95" s="514">
        <f>IF('[1]BASE'!G96="","",'[1]BASE'!G96)</f>
        <v>149.2</v>
      </c>
      <c r="H95" s="514" t="str">
        <f>IF('[1]BASE'!H96="","",'[1]BASE'!H96)</f>
        <v>C</v>
      </c>
      <c r="I95" s="515">
        <f>IF('[1]BASE'!FV96="","",'[1]BASE'!FV96)</f>
      </c>
      <c r="J95" s="515">
        <f>IF('[1]BASE'!FW96="","",'[1]BASE'!FW96)</f>
      </c>
      <c r="K95" s="515">
        <f>IF('[1]BASE'!FX96="","",'[1]BASE'!FX96)</f>
      </c>
      <c r="L95" s="515">
        <f>IF('[1]BASE'!FY96="","",'[1]BASE'!FY96)</f>
        <v>1</v>
      </c>
      <c r="M95" s="515">
        <f>IF('[1]BASE'!FZ96="","",'[1]BASE'!FZ96)</f>
        <v>1</v>
      </c>
      <c r="N95" s="515">
        <f>IF('[1]BASE'!GA96="","",'[1]BASE'!GA96)</f>
      </c>
      <c r="O95" s="515">
        <f>IF('[1]BASE'!GB96="","",'[1]BASE'!GB96)</f>
      </c>
      <c r="P95" s="515">
        <f>IF('[1]BASE'!GC96="","",'[1]BASE'!GC96)</f>
      </c>
      <c r="Q95" s="515">
        <f>IF('[1]BASE'!GD96="","",'[1]BASE'!GD96)</f>
        <v>1</v>
      </c>
      <c r="R95" s="515">
        <f>IF('[1]BASE'!GE96="","",'[1]BASE'!GE96)</f>
      </c>
      <c r="S95" s="515">
        <f>IF('[1]BASE'!GF96="","",'[1]BASE'!GF96)</f>
      </c>
      <c r="T95" s="515">
        <f>IF('[1]BASE'!GG96="","",'[1]BASE'!GG96)</f>
      </c>
      <c r="U95" s="474"/>
      <c r="V95" s="473"/>
    </row>
    <row r="96" spans="2:22" s="468" customFormat="1" ht="19.5" customHeight="1">
      <c r="B96" s="469"/>
      <c r="C96" s="518">
        <f>IF('[1]BASE'!C97="","",'[1]BASE'!C97)</f>
        <v>81</v>
      </c>
      <c r="D96" s="518">
        <f>IF('[1]BASE'!D97="","",'[1]BASE'!D97)</f>
        <v>1518</v>
      </c>
      <c r="E96" s="518" t="str">
        <f>IF('[1]BASE'!E97="","",'[1]BASE'!E97)</f>
        <v>TANDIL - BARKER</v>
      </c>
      <c r="F96" s="518">
        <f>IF('[1]BASE'!F97="","",'[1]BASE'!F97)</f>
        <v>132</v>
      </c>
      <c r="G96" s="518">
        <f>IF('[1]BASE'!G97="","",'[1]BASE'!G97)</f>
        <v>47.7</v>
      </c>
      <c r="H96" s="518" t="str">
        <f>IF('[1]BASE'!H97="","",'[1]BASE'!H97)</f>
        <v>C</v>
      </c>
      <c r="I96" s="519">
        <f>IF('[1]BASE'!FV97="","",'[1]BASE'!FV97)</f>
      </c>
      <c r="J96" s="519">
        <f>IF('[1]BASE'!FW97="","",'[1]BASE'!FW97)</f>
      </c>
      <c r="K96" s="519">
        <f>IF('[1]BASE'!FX97="","",'[1]BASE'!FX97)</f>
      </c>
      <c r="L96" s="519">
        <f>IF('[1]BASE'!FY97="","",'[1]BASE'!FY97)</f>
        <v>1</v>
      </c>
      <c r="M96" s="519">
        <f>IF('[1]BASE'!FZ97="","",'[1]BASE'!FZ97)</f>
      </c>
      <c r="N96" s="519">
        <f>IF('[1]BASE'!GA97="","",'[1]BASE'!GA97)</f>
      </c>
      <c r="O96" s="519">
        <f>IF('[1]BASE'!GB97="","",'[1]BASE'!GB97)</f>
      </c>
      <c r="P96" s="519">
        <f>IF('[1]BASE'!GC97="","",'[1]BASE'!GC97)</f>
      </c>
      <c r="Q96" s="519">
        <f>IF('[1]BASE'!GD97="","",'[1]BASE'!GD97)</f>
      </c>
      <c r="R96" s="519">
        <f>IF('[1]BASE'!GE97="","",'[1]BASE'!GE97)</f>
      </c>
      <c r="S96" s="519">
        <f>IF('[1]BASE'!GF97="","",'[1]BASE'!GF97)</f>
      </c>
      <c r="T96" s="519">
        <f>IF('[1]BASE'!GG97="","",'[1]BASE'!GG97)</f>
      </c>
      <c r="U96" s="474"/>
      <c r="V96" s="473"/>
    </row>
    <row r="97" spans="2:22" s="468" customFormat="1" ht="19.5" customHeight="1">
      <c r="B97" s="469"/>
      <c r="C97" s="514">
        <f>IF('[1]BASE'!C98="","",'[1]BASE'!C98)</f>
        <v>82</v>
      </c>
      <c r="D97" s="514">
        <f>IF('[1]BASE'!D98="","",'[1]BASE'!D98)</f>
        <v>2712</v>
      </c>
      <c r="E97" s="514" t="str">
        <f>IF('[1]BASE'!E98="","",'[1]BASE'!E98)</f>
        <v>TRENQUE LAUQUEN - GRAL. PICO</v>
      </c>
      <c r="F97" s="514">
        <f>IF('[1]BASE'!F98="","",'[1]BASE'!F98)</f>
        <v>132</v>
      </c>
      <c r="G97" s="514">
        <f>IF('[1]BASE'!G98="","",'[1]BASE'!G98)</f>
        <v>77</v>
      </c>
      <c r="H97" s="514" t="str">
        <f>IF('[1]BASE'!H98="","",'[1]BASE'!H98)</f>
        <v>C</v>
      </c>
      <c r="I97" s="515">
        <f>IF('[1]BASE'!FV98="","",'[1]BASE'!FV98)</f>
      </c>
      <c r="J97" s="515">
        <f>IF('[1]BASE'!FW98="","",'[1]BASE'!FW98)</f>
      </c>
      <c r="K97" s="515">
        <f>IF('[1]BASE'!FX98="","",'[1]BASE'!FX98)</f>
      </c>
      <c r="L97" s="515">
        <f>IF('[1]BASE'!FY98="","",'[1]BASE'!FY98)</f>
      </c>
      <c r="M97" s="515">
        <f>IF('[1]BASE'!FZ98="","",'[1]BASE'!FZ98)</f>
      </c>
      <c r="N97" s="515">
        <f>IF('[1]BASE'!GA98="","",'[1]BASE'!GA98)</f>
      </c>
      <c r="O97" s="515">
        <f>IF('[1]BASE'!GB98="","",'[1]BASE'!GB98)</f>
      </c>
      <c r="P97" s="515">
        <f>IF('[1]BASE'!GC98="","",'[1]BASE'!GC98)</f>
      </c>
      <c r="Q97" s="515">
        <f>IF('[1]BASE'!GD98="","",'[1]BASE'!GD98)</f>
      </c>
      <c r="R97" s="515">
        <f>IF('[1]BASE'!GE98="","",'[1]BASE'!GE98)</f>
      </c>
      <c r="S97" s="515">
        <f>IF('[1]BASE'!GF98="","",'[1]BASE'!GF98)</f>
      </c>
      <c r="T97" s="515">
        <f>IF('[1]BASE'!GG98="","",'[1]BASE'!GG98)</f>
      </c>
      <c r="U97" s="474"/>
      <c r="V97" s="473"/>
    </row>
    <row r="98" spans="2:22" s="468" customFormat="1" ht="19.5" customHeight="1">
      <c r="B98" s="469"/>
      <c r="C98" s="518">
        <f>IF('[1]BASE'!C99="","",'[1]BASE'!C99)</f>
        <v>83</v>
      </c>
      <c r="D98" s="518">
        <f>IF('[1]BASE'!D99="","",'[1]BASE'!D99)</f>
        <v>1402</v>
      </c>
      <c r="E98" s="518" t="str">
        <f>IF('[1]BASE'!E99="","",'[1]BASE'!E99)</f>
        <v>TRENQUE LAUQUEN - HENDERSON</v>
      </c>
      <c r="F98" s="518">
        <f>IF('[1]BASE'!F99="","",'[1]BASE'!F99)</f>
        <v>132</v>
      </c>
      <c r="G98" s="518">
        <f>IF('[1]BASE'!G99="","",'[1]BASE'!G99)</f>
        <v>105.4</v>
      </c>
      <c r="H98" s="518" t="str">
        <f>IF('[1]BASE'!H99="","",'[1]BASE'!H99)</f>
        <v>A</v>
      </c>
      <c r="I98" s="519">
        <f>IF('[1]BASE'!FV99="","",'[1]BASE'!FV99)</f>
      </c>
      <c r="J98" s="519">
        <f>IF('[1]BASE'!FW99="","",'[1]BASE'!FW99)</f>
      </c>
      <c r="K98" s="519">
        <f>IF('[1]BASE'!FX99="","",'[1]BASE'!FX99)</f>
      </c>
      <c r="L98" s="519">
        <f>IF('[1]BASE'!FY99="","",'[1]BASE'!FY99)</f>
      </c>
      <c r="M98" s="519">
        <f>IF('[1]BASE'!FZ99="","",'[1]BASE'!FZ99)</f>
        <v>1</v>
      </c>
      <c r="N98" s="519">
        <f>IF('[1]BASE'!GA99="","",'[1]BASE'!GA99)</f>
      </c>
      <c r="O98" s="519">
        <f>IF('[1]BASE'!GB99="","",'[1]BASE'!GB99)</f>
      </c>
      <c r="P98" s="519">
        <f>IF('[1]BASE'!GC99="","",'[1]BASE'!GC99)</f>
      </c>
      <c r="Q98" s="519">
        <f>IF('[1]BASE'!GD99="","",'[1]BASE'!GD99)</f>
      </c>
      <c r="R98" s="519">
        <f>IF('[1]BASE'!GE99="","",'[1]BASE'!GE99)</f>
      </c>
      <c r="S98" s="519">
        <f>IF('[1]BASE'!GF99="","",'[1]BASE'!GF99)</f>
      </c>
      <c r="T98" s="519">
        <f>IF('[1]BASE'!GG99="","",'[1]BASE'!GG99)</f>
      </c>
      <c r="U98" s="474"/>
      <c r="V98" s="473"/>
    </row>
    <row r="99" spans="2:22" s="468" customFormat="1" ht="19.5" customHeight="1">
      <c r="B99" s="469"/>
      <c r="C99" s="514">
        <f>IF('[1]BASE'!C100="","",'[1]BASE'!C100)</f>
        <v>84</v>
      </c>
      <c r="D99" s="514">
        <f>IF('[1]BASE'!D100="","",'[1]BASE'!D100)</f>
        <v>1382</v>
      </c>
      <c r="E99" s="514" t="str">
        <f>IF('[1]BASE'!E100="","",'[1]BASE'!E100)</f>
        <v>URBANA SAN NICOLÁS - SAN NICOLAS</v>
      </c>
      <c r="F99" s="514">
        <f>IF('[1]BASE'!F100="","",'[1]BASE'!F100)</f>
        <v>132</v>
      </c>
      <c r="G99" s="514">
        <f>IF('[1]BASE'!G100="","",'[1]BASE'!G100)</f>
        <v>6.5</v>
      </c>
      <c r="H99" s="514" t="str">
        <f>IF('[1]BASE'!H100="","",'[1]BASE'!H100)</f>
        <v>C</v>
      </c>
      <c r="I99" s="515">
        <f>IF('[1]BASE'!FV100="","",'[1]BASE'!FV100)</f>
      </c>
      <c r="J99" s="515">
        <f>IF('[1]BASE'!FW100="","",'[1]BASE'!FW100)</f>
      </c>
      <c r="K99" s="515">
        <f>IF('[1]BASE'!FX100="","",'[1]BASE'!FX100)</f>
      </c>
      <c r="L99" s="515">
        <f>IF('[1]BASE'!FY100="","",'[1]BASE'!FY100)</f>
      </c>
      <c r="M99" s="515">
        <f>IF('[1]BASE'!FZ100="","",'[1]BASE'!FZ100)</f>
      </c>
      <c r="N99" s="515">
        <f>IF('[1]BASE'!GA100="","",'[1]BASE'!GA100)</f>
      </c>
      <c r="O99" s="515">
        <f>IF('[1]BASE'!GB100="","",'[1]BASE'!GB100)</f>
      </c>
      <c r="P99" s="515">
        <f>IF('[1]BASE'!GC100="","",'[1]BASE'!GC100)</f>
      </c>
      <c r="Q99" s="515">
        <f>IF('[1]BASE'!GD100="","",'[1]BASE'!GD100)</f>
      </c>
      <c r="R99" s="515">
        <f>IF('[1]BASE'!GE100="","",'[1]BASE'!GE100)</f>
      </c>
      <c r="S99" s="515">
        <f>IF('[1]BASE'!GF100="","",'[1]BASE'!GF100)</f>
      </c>
      <c r="T99" s="515">
        <f>IF('[1]BASE'!GG100="","",'[1]BASE'!GG100)</f>
      </c>
      <c r="U99" s="474"/>
      <c r="V99" s="473"/>
    </row>
    <row r="100" spans="2:22" s="468" customFormat="1" ht="19.5" customHeight="1">
      <c r="B100" s="469"/>
      <c r="C100" s="518">
        <f>IF('[1]BASE'!C101="","",'[1]BASE'!C101)</f>
        <v>85</v>
      </c>
      <c r="D100" s="518">
        <f>IF('[1]BASE'!D101="","",'[1]BASE'!D101)</f>
        <v>1547</v>
      </c>
      <c r="E100" s="518" t="str">
        <f>IF('[1]BASE'!E101="","",'[1]BASE'!E101)</f>
        <v>URBANA BB - C. PIEDRABUENA</v>
      </c>
      <c r="F100" s="518">
        <f>IF('[1]BASE'!F101="","",'[1]BASE'!F101)</f>
        <v>132</v>
      </c>
      <c r="G100" s="518">
        <f>IF('[1]BASE'!G101="","",'[1]BASE'!G101)</f>
        <v>1.9</v>
      </c>
      <c r="H100" s="518" t="str">
        <f>IF('[1]BASE'!H101="","",'[1]BASE'!H101)</f>
        <v>C</v>
      </c>
      <c r="I100" s="519">
        <f>IF('[1]BASE'!FV101="","",'[1]BASE'!FV101)</f>
      </c>
      <c r="J100" s="519">
        <f>IF('[1]BASE'!FW101="","",'[1]BASE'!FW101)</f>
      </c>
      <c r="K100" s="519">
        <f>IF('[1]BASE'!FX101="","",'[1]BASE'!FX101)</f>
      </c>
      <c r="L100" s="519">
        <f>IF('[1]BASE'!FY101="","",'[1]BASE'!FY101)</f>
      </c>
      <c r="M100" s="519">
        <f>IF('[1]BASE'!FZ101="","",'[1]BASE'!FZ101)</f>
      </c>
      <c r="N100" s="519">
        <f>IF('[1]BASE'!GA101="","",'[1]BASE'!GA101)</f>
      </c>
      <c r="O100" s="519">
        <f>IF('[1]BASE'!GB101="","",'[1]BASE'!GB101)</f>
      </c>
      <c r="P100" s="519">
        <f>IF('[1]BASE'!GC101="","",'[1]BASE'!GC101)</f>
      </c>
      <c r="Q100" s="519">
        <f>IF('[1]BASE'!GD101="","",'[1]BASE'!GD101)</f>
      </c>
      <c r="R100" s="519">
        <f>IF('[1]BASE'!GE101="","",'[1]BASE'!GE101)</f>
      </c>
      <c r="S100" s="519">
        <f>IF('[1]BASE'!GF101="","",'[1]BASE'!GF101)</f>
      </c>
      <c r="T100" s="519">
        <f>IF('[1]BASE'!GG101="","",'[1]BASE'!GG101)</f>
      </c>
      <c r="U100" s="474"/>
      <c r="V100" s="473"/>
    </row>
    <row r="101" spans="2:22" s="468" customFormat="1" ht="19.5" customHeight="1">
      <c r="B101" s="469"/>
      <c r="C101" s="514">
        <f>IF('[1]BASE'!C102="","",'[1]BASE'!C102)</f>
        <v>86</v>
      </c>
      <c r="D101" s="514">
        <f>IF('[1]BASE'!D102="","",'[1]BASE'!D102)</f>
        <v>1445</v>
      </c>
      <c r="E101" s="514" t="str">
        <f>IF('[1]BASE'!E102="","",'[1]BASE'!E102)</f>
        <v>VILLA GESELL - GRAL. MADARIAGA</v>
      </c>
      <c r="F101" s="514">
        <f>IF('[1]BASE'!F102="","",'[1]BASE'!F102)</f>
        <v>132</v>
      </c>
      <c r="G101" s="514">
        <f>IF('[1]BASE'!G102="","",'[1]BASE'!G102)</f>
        <v>35</v>
      </c>
      <c r="H101" s="514" t="str">
        <f>IF('[1]BASE'!H102="","",'[1]BASE'!H102)</f>
        <v>C</v>
      </c>
      <c r="I101" s="515">
        <f>IF('[1]BASE'!FV102="","",'[1]BASE'!FV102)</f>
      </c>
      <c r="J101" s="515">
        <f>IF('[1]BASE'!FW102="","",'[1]BASE'!FW102)</f>
      </c>
      <c r="K101" s="515">
        <f>IF('[1]BASE'!FX102="","",'[1]BASE'!FX102)</f>
      </c>
      <c r="L101" s="515">
        <f>IF('[1]BASE'!FY102="","",'[1]BASE'!FY102)</f>
      </c>
      <c r="M101" s="515">
        <f>IF('[1]BASE'!FZ102="","",'[1]BASE'!FZ102)</f>
      </c>
      <c r="N101" s="515">
        <f>IF('[1]BASE'!GA102="","",'[1]BASE'!GA102)</f>
      </c>
      <c r="O101" s="515">
        <f>IF('[1]BASE'!GB102="","",'[1]BASE'!GB102)</f>
      </c>
      <c r="P101" s="515">
        <f>IF('[1]BASE'!GC102="","",'[1]BASE'!GC102)</f>
      </c>
      <c r="Q101" s="515">
        <f>IF('[1]BASE'!GD102="","",'[1]BASE'!GD102)</f>
        <v>1</v>
      </c>
      <c r="R101" s="515">
        <f>IF('[1]BASE'!GE102="","",'[1]BASE'!GE102)</f>
      </c>
      <c r="S101" s="515">
        <f>IF('[1]BASE'!GF102="","",'[1]BASE'!GF102)</f>
      </c>
      <c r="T101" s="515">
        <f>IF('[1]BASE'!GG102="","",'[1]BASE'!GG102)</f>
        <v>1</v>
      </c>
      <c r="U101" s="474"/>
      <c r="V101" s="473"/>
    </row>
    <row r="102" spans="2:22" s="468" customFormat="1" ht="19.5" customHeight="1">
      <c r="B102" s="469"/>
      <c r="C102" s="518">
        <f>IF('[1]BASE'!C103="","",'[1]BASE'!C103)</f>
        <v>87</v>
      </c>
      <c r="D102" s="518">
        <f>IF('[1]BASE'!D103="","",'[1]BASE'!D103)</f>
        <v>2715</v>
      </c>
      <c r="E102" s="518" t="str">
        <f>IF('[1]BASE'!E103="","",'[1]BASE'!E103)</f>
        <v>VILLA LIA "T" - ANTONIO DE ARECO</v>
      </c>
      <c r="F102" s="518">
        <f>IF('[1]BASE'!F103="","",'[1]BASE'!F103)</f>
        <v>132</v>
      </c>
      <c r="G102" s="518">
        <f>IF('[1]BASE'!G103="","",'[1]BASE'!G103)</f>
        <v>18.4</v>
      </c>
      <c r="H102" s="518" t="str">
        <f>IF('[1]BASE'!H103="","",'[1]BASE'!H103)</f>
        <v>C</v>
      </c>
      <c r="I102" s="519">
        <f>IF('[1]BASE'!FV103="","",'[1]BASE'!FV103)</f>
      </c>
      <c r="J102" s="519">
        <f>IF('[1]BASE'!FW103="","",'[1]BASE'!FW103)</f>
      </c>
      <c r="K102" s="519">
        <f>IF('[1]BASE'!FX103="","",'[1]BASE'!FX103)</f>
      </c>
      <c r="L102" s="519">
        <f>IF('[1]BASE'!FY103="","",'[1]BASE'!FY103)</f>
      </c>
      <c r="M102" s="519">
        <f>IF('[1]BASE'!FZ103="","",'[1]BASE'!FZ103)</f>
      </c>
      <c r="N102" s="519">
        <f>IF('[1]BASE'!GA103="","",'[1]BASE'!GA103)</f>
      </c>
      <c r="O102" s="519">
        <f>IF('[1]BASE'!GB103="","",'[1]BASE'!GB103)</f>
      </c>
      <c r="P102" s="519">
        <f>IF('[1]BASE'!GC103="","",'[1]BASE'!GC103)</f>
      </c>
      <c r="Q102" s="519">
        <f>IF('[1]BASE'!GD103="","",'[1]BASE'!GD103)</f>
      </c>
      <c r="R102" s="519">
        <f>IF('[1]BASE'!GE103="","",'[1]BASE'!GE103)</f>
      </c>
      <c r="S102" s="519">
        <f>IF('[1]BASE'!GF103="","",'[1]BASE'!GF103)</f>
      </c>
      <c r="T102" s="519">
        <f>IF('[1]BASE'!GG103="","",'[1]BASE'!GG103)</f>
      </c>
      <c r="U102" s="474"/>
      <c r="V102" s="473"/>
    </row>
    <row r="103" spans="2:22" s="468" customFormat="1" ht="19.5" customHeight="1">
      <c r="B103" s="469"/>
      <c r="C103" s="514">
        <f>IF('[1]BASE'!C104="","",'[1]BASE'!C104)</f>
        <v>88</v>
      </c>
      <c r="D103" s="514">
        <f>IF('[1]BASE'!D104="","",'[1]BASE'!D104)</f>
        <v>2714</v>
      </c>
      <c r="E103" s="514" t="str">
        <f>IF('[1]BASE'!E104="","",'[1]BASE'!E104)</f>
        <v>VILLA LIA "T" - NUEVA CAMPANA</v>
      </c>
      <c r="F103" s="514">
        <f>IF('[1]BASE'!F104="","",'[1]BASE'!F104)</f>
        <v>132</v>
      </c>
      <c r="G103" s="514">
        <f>IF('[1]BASE'!G104="","",'[1]BASE'!G104)</f>
        <v>35</v>
      </c>
      <c r="H103" s="514" t="str">
        <f>IF('[1]BASE'!H104="","",'[1]BASE'!H104)</f>
        <v>C</v>
      </c>
      <c r="I103" s="515">
        <f>IF('[1]BASE'!FV104="","",'[1]BASE'!FV104)</f>
      </c>
      <c r="J103" s="515">
        <f>IF('[1]BASE'!FW104="","",'[1]BASE'!FW104)</f>
      </c>
      <c r="K103" s="515">
        <f>IF('[1]BASE'!FX104="","",'[1]BASE'!FX104)</f>
      </c>
      <c r="L103" s="515">
        <f>IF('[1]BASE'!FY104="","",'[1]BASE'!FY104)</f>
      </c>
      <c r="M103" s="515">
        <f>IF('[1]BASE'!FZ104="","",'[1]BASE'!FZ104)</f>
      </c>
      <c r="N103" s="515">
        <f>IF('[1]BASE'!GA104="","",'[1]BASE'!GA104)</f>
      </c>
      <c r="O103" s="515">
        <f>IF('[1]BASE'!GB104="","",'[1]BASE'!GB104)</f>
      </c>
      <c r="P103" s="515">
        <f>IF('[1]BASE'!GC104="","",'[1]BASE'!GC104)</f>
      </c>
      <c r="Q103" s="515">
        <f>IF('[1]BASE'!GD104="","",'[1]BASE'!GD104)</f>
      </c>
      <c r="R103" s="515">
        <f>IF('[1]BASE'!GE104="","",'[1]BASE'!GE104)</f>
      </c>
      <c r="S103" s="515">
        <f>IF('[1]BASE'!GF104="","",'[1]BASE'!GF104)</f>
      </c>
      <c r="T103" s="515">
        <f>IF('[1]BASE'!GG104="","",'[1]BASE'!GG104)</f>
      </c>
      <c r="U103" s="474"/>
      <c r="V103" s="473"/>
    </row>
    <row r="104" spans="2:22" s="468" customFormat="1" ht="19.5" customHeight="1">
      <c r="B104" s="469"/>
      <c r="C104" s="518">
        <f>IF('[1]BASE'!C105="","",'[1]BASE'!C105)</f>
        <v>89</v>
      </c>
      <c r="D104" s="518">
        <f>IF('[1]BASE'!D105="","",'[1]BASE'!D105)</f>
        <v>2713</v>
      </c>
      <c r="E104" s="518" t="str">
        <f>IF('[1]BASE'!E105="","",'[1]BASE'!E105)</f>
        <v>VILLA LIA "T" - VILLA LIA</v>
      </c>
      <c r="F104" s="518">
        <f>IF('[1]BASE'!F105="","",'[1]BASE'!F105)</f>
        <v>132</v>
      </c>
      <c r="G104" s="518">
        <f>IF('[1]BASE'!G105="","",'[1]BASE'!G105)</f>
        <v>8</v>
      </c>
      <c r="H104" s="518" t="str">
        <f>IF('[1]BASE'!H105="","",'[1]BASE'!H105)</f>
        <v>C</v>
      </c>
      <c r="I104" s="519">
        <f>IF('[1]BASE'!FV105="","",'[1]BASE'!FV105)</f>
      </c>
      <c r="J104" s="519">
        <f>IF('[1]BASE'!FW105="","",'[1]BASE'!FW105)</f>
      </c>
      <c r="K104" s="519">
        <f>IF('[1]BASE'!FX105="","",'[1]BASE'!FX105)</f>
      </c>
      <c r="L104" s="519">
        <f>IF('[1]BASE'!FY105="","",'[1]BASE'!FY105)</f>
      </c>
      <c r="M104" s="519">
        <f>IF('[1]BASE'!FZ105="","",'[1]BASE'!FZ105)</f>
      </c>
      <c r="N104" s="519">
        <f>IF('[1]BASE'!GA105="","",'[1]BASE'!GA105)</f>
      </c>
      <c r="O104" s="519">
        <f>IF('[1]BASE'!GB105="","",'[1]BASE'!GB105)</f>
      </c>
      <c r="P104" s="519">
        <f>IF('[1]BASE'!GC105="","",'[1]BASE'!GC105)</f>
      </c>
      <c r="Q104" s="519">
        <f>IF('[1]BASE'!GD105="","",'[1]BASE'!GD105)</f>
      </c>
      <c r="R104" s="519">
        <f>IF('[1]BASE'!GE105="","",'[1]BASE'!GE105)</f>
      </c>
      <c r="S104" s="519">
        <f>IF('[1]BASE'!GF105="","",'[1]BASE'!GF105)</f>
      </c>
      <c r="T104" s="519">
        <f>IF('[1]BASE'!GG105="","",'[1]BASE'!GG105)</f>
      </c>
      <c r="U104" s="474"/>
      <c r="V104" s="473"/>
    </row>
    <row r="105" spans="2:22" s="468" customFormat="1" ht="19.5" customHeight="1">
      <c r="B105" s="469"/>
      <c r="C105" s="514">
        <f>IF('[1]BASE'!C106="","",'[1]BASE'!C106)</f>
        <v>90</v>
      </c>
      <c r="D105" s="514">
        <f>IF('[1]BASE'!D106="","",'[1]BASE'!D106)</f>
        <v>1424</v>
      </c>
      <c r="E105" s="514" t="str">
        <f>IF('[1]BASE'!E106="","",'[1]BASE'!E106)</f>
        <v>ZARATE - ATUCHA I</v>
      </c>
      <c r="F105" s="514">
        <f>IF('[1]BASE'!F106="","",'[1]BASE'!F106)</f>
        <v>132</v>
      </c>
      <c r="G105" s="514">
        <f>IF('[1]BASE'!G106="","",'[1]BASE'!G106)</f>
        <v>22.1</v>
      </c>
      <c r="H105" s="514" t="str">
        <f>IF('[1]BASE'!H106="","",'[1]BASE'!H106)</f>
        <v>C</v>
      </c>
      <c r="I105" s="515">
        <f>IF('[1]BASE'!FV106="","",'[1]BASE'!FV106)</f>
      </c>
      <c r="J105" s="515">
        <f>IF('[1]BASE'!FW106="","",'[1]BASE'!FW106)</f>
      </c>
      <c r="K105" s="515">
        <f>IF('[1]BASE'!FX106="","",'[1]BASE'!FX106)</f>
      </c>
      <c r="L105" s="515">
        <f>IF('[1]BASE'!FY106="","",'[1]BASE'!FY106)</f>
      </c>
      <c r="M105" s="515">
        <f>IF('[1]BASE'!FZ106="","",'[1]BASE'!FZ106)</f>
      </c>
      <c r="N105" s="515">
        <f>IF('[1]BASE'!GA106="","",'[1]BASE'!GA106)</f>
      </c>
      <c r="O105" s="515">
        <f>IF('[1]BASE'!GB106="","",'[1]BASE'!GB106)</f>
      </c>
      <c r="P105" s="515">
        <f>IF('[1]BASE'!GC106="","",'[1]BASE'!GC106)</f>
      </c>
      <c r="Q105" s="515">
        <f>IF('[1]BASE'!GD106="","",'[1]BASE'!GD106)</f>
      </c>
      <c r="R105" s="515">
        <f>IF('[1]BASE'!GE106="","",'[1]BASE'!GE106)</f>
      </c>
      <c r="S105" s="515">
        <f>IF('[1]BASE'!GF106="","",'[1]BASE'!GF106)</f>
      </c>
      <c r="T105" s="515">
        <f>IF('[1]BASE'!GG106="","",'[1]BASE'!GG106)</f>
      </c>
      <c r="U105" s="474"/>
      <c r="V105" s="473"/>
    </row>
    <row r="106" spans="2:22" s="468" customFormat="1" ht="19.5" customHeight="1" hidden="1">
      <c r="B106" s="469"/>
      <c r="C106" s="518">
        <f>IF('[1]BASE'!C107="","",'[1]BASE'!C107)</f>
        <v>91</v>
      </c>
      <c r="D106" s="518">
        <f>IF('[1]BASE'!D107="","",'[1]BASE'!D107)</f>
        <v>2955</v>
      </c>
      <c r="E106" s="518" t="str">
        <f>IF('[1]BASE'!E107="","",'[1]BASE'!E107)</f>
        <v>ZARATE - EASTMAN T</v>
      </c>
      <c r="F106" s="518">
        <f>IF('[1]BASE'!F107="","",'[1]BASE'!F107)</f>
        <v>132</v>
      </c>
      <c r="G106" s="518">
        <f>IF('[1]BASE'!G107="","",'[1]BASE'!G107)</f>
        <v>11</v>
      </c>
      <c r="H106" s="518" t="str">
        <f>IF('[1]BASE'!H107="","",'[1]BASE'!H107)</f>
        <v>C</v>
      </c>
      <c r="I106" s="519" t="str">
        <f>IF('[1]BASE'!FV107="","",'[1]BASE'!FV107)</f>
        <v>XXXX</v>
      </c>
      <c r="J106" s="519" t="str">
        <f>IF('[1]BASE'!FW107="","",'[1]BASE'!FW107)</f>
        <v>XXXX</v>
      </c>
      <c r="K106" s="519" t="str">
        <f>IF('[1]BASE'!FX107="","",'[1]BASE'!FX107)</f>
        <v>XXXX</v>
      </c>
      <c r="L106" s="519" t="str">
        <f>IF('[1]BASE'!FY107="","",'[1]BASE'!FY107)</f>
        <v>XXXX</v>
      </c>
      <c r="M106" s="519" t="str">
        <f>IF('[1]BASE'!FZ107="","",'[1]BASE'!FZ107)</f>
        <v>XXXX</v>
      </c>
      <c r="N106" s="519" t="str">
        <f>IF('[1]BASE'!GA107="","",'[1]BASE'!GA107)</f>
        <v>XXXX</v>
      </c>
      <c r="O106" s="519" t="str">
        <f>IF('[1]BASE'!GB107="","",'[1]BASE'!GB107)</f>
        <v>XXXX</v>
      </c>
      <c r="P106" s="519" t="str">
        <f>IF('[1]BASE'!GC107="","",'[1]BASE'!GC107)</f>
        <v>XXXX</v>
      </c>
      <c r="Q106" s="519" t="str">
        <f>IF('[1]BASE'!GD107="","",'[1]BASE'!GD107)</f>
        <v>XXXX</v>
      </c>
      <c r="R106" s="519" t="str">
        <f>IF('[1]BASE'!GE107="","",'[1]BASE'!GE107)</f>
        <v>XXXX</v>
      </c>
      <c r="S106" s="519" t="str">
        <f>IF('[1]BASE'!GF107="","",'[1]BASE'!GF107)</f>
        <v>XXXX</v>
      </c>
      <c r="T106" s="519" t="str">
        <f>IF('[1]BASE'!GG107="","",'[1]BASE'!GG107)</f>
        <v>XXXX</v>
      </c>
      <c r="U106" s="474"/>
      <c r="V106" s="473"/>
    </row>
    <row r="107" spans="2:22" s="468" customFormat="1" ht="19.5" customHeight="1" hidden="1">
      <c r="B107" s="469"/>
      <c r="C107" s="514">
        <f>IF('[1]BASE'!C108="","",'[1]BASE'!C108)</f>
        <v>92</v>
      </c>
      <c r="D107" s="514">
        <f>IF('[1]BASE'!D108="","",'[1]BASE'!D108)</f>
        <v>1423</v>
      </c>
      <c r="E107" s="514" t="str">
        <f>IF('[1]BASE'!E108="","",'[1]BASE'!E108)</f>
        <v>ZARATE - MATHEU</v>
      </c>
      <c r="F107" s="514">
        <f>IF('[1]BASE'!F108="","",'[1]BASE'!F108)</f>
        <v>132</v>
      </c>
      <c r="G107" s="514">
        <f>IF('[1]BASE'!G108="","",'[1]BASE'!G108)</f>
        <v>37.7</v>
      </c>
      <c r="H107" s="514" t="str">
        <f>IF('[1]BASE'!H108="","",'[1]BASE'!H108)</f>
        <v>C</v>
      </c>
      <c r="I107" s="515" t="str">
        <f>IF('[1]BASE'!FV108="","",'[1]BASE'!FV108)</f>
        <v>XXXX</v>
      </c>
      <c r="J107" s="515" t="str">
        <f>IF('[1]BASE'!FW108="","",'[1]BASE'!FW108)</f>
        <v>XXXX</v>
      </c>
      <c r="K107" s="515" t="str">
        <f>IF('[1]BASE'!FX108="","",'[1]BASE'!FX108)</f>
        <v>XXXX</v>
      </c>
      <c r="L107" s="515" t="str">
        <f>IF('[1]BASE'!FY108="","",'[1]BASE'!FY108)</f>
        <v>XXXX</v>
      </c>
      <c r="M107" s="515" t="str">
        <f>IF('[1]BASE'!FZ108="","",'[1]BASE'!FZ108)</f>
        <v>XXXX</v>
      </c>
      <c r="N107" s="515" t="str">
        <f>IF('[1]BASE'!GA108="","",'[1]BASE'!GA108)</f>
        <v>XXXX</v>
      </c>
      <c r="O107" s="515" t="str">
        <f>IF('[1]BASE'!GB108="","",'[1]BASE'!GB108)</f>
        <v>XXXX</v>
      </c>
      <c r="P107" s="515" t="str">
        <f>IF('[1]BASE'!GC108="","",'[1]BASE'!GC108)</f>
        <v>XXXX</v>
      </c>
      <c r="Q107" s="515" t="str">
        <f>IF('[1]BASE'!GD108="","",'[1]BASE'!GD108)</f>
        <v>XXXX</v>
      </c>
      <c r="R107" s="515" t="str">
        <f>IF('[1]BASE'!GE108="","",'[1]BASE'!GE108)</f>
        <v>XXXX</v>
      </c>
      <c r="S107" s="515" t="str">
        <f>IF('[1]BASE'!GF108="","",'[1]BASE'!GF108)</f>
        <v>XXXX</v>
      </c>
      <c r="T107" s="515" t="str">
        <f>IF('[1]BASE'!GG108="","",'[1]BASE'!GG108)</f>
        <v>XXXX</v>
      </c>
      <c r="U107" s="474"/>
      <c r="V107" s="473"/>
    </row>
    <row r="108" spans="2:22" s="468" customFormat="1" ht="19.5" customHeight="1" hidden="1">
      <c r="B108" s="469"/>
      <c r="C108" s="518">
        <f>IF('[1]BASE'!C109="","",'[1]BASE'!C109)</f>
        <v>93</v>
      </c>
      <c r="D108" s="518">
        <f>IF('[1]BASE'!D109="","",'[1]BASE'!D109)</f>
        <v>1434</v>
      </c>
      <c r="E108" s="518" t="str">
        <f>IF('[1]BASE'!E109="","",'[1]BASE'!E109)</f>
        <v>9 DE JULIO 66 - BRAGADO</v>
      </c>
      <c r="F108" s="518">
        <f>IF('[1]BASE'!F109="","",'[1]BASE'!F109)</f>
        <v>66</v>
      </c>
      <c r="G108" s="518">
        <f>IF('[1]BASE'!G109="","",'[1]BASE'!G109)</f>
        <v>60.94</v>
      </c>
      <c r="H108" s="518" t="str">
        <f>IF('[1]BASE'!H109="","",'[1]BASE'!H109)</f>
        <v>C</v>
      </c>
      <c r="I108" s="519" t="str">
        <f>IF('[1]BASE'!FV109="","",'[1]BASE'!FV109)</f>
        <v>XXXX</v>
      </c>
      <c r="J108" s="519" t="str">
        <f>IF('[1]BASE'!FW109="","",'[1]BASE'!FW109)</f>
        <v>XXXX</v>
      </c>
      <c r="K108" s="519" t="str">
        <f>IF('[1]BASE'!FX109="","",'[1]BASE'!FX109)</f>
        <v>XXXX</v>
      </c>
      <c r="L108" s="519" t="str">
        <f>IF('[1]BASE'!FY109="","",'[1]BASE'!FY109)</f>
        <v>XXXX</v>
      </c>
      <c r="M108" s="519" t="str">
        <f>IF('[1]BASE'!FZ109="","",'[1]BASE'!FZ109)</f>
        <v>XXXX</v>
      </c>
      <c r="N108" s="519" t="str">
        <f>IF('[1]BASE'!GA109="","",'[1]BASE'!GA109)</f>
        <v>XXXX</v>
      </c>
      <c r="O108" s="519" t="str">
        <f>IF('[1]BASE'!GB109="","",'[1]BASE'!GB109)</f>
        <v>XXXX</v>
      </c>
      <c r="P108" s="519" t="str">
        <f>IF('[1]BASE'!GC109="","",'[1]BASE'!GC109)</f>
        <v>XXXX</v>
      </c>
      <c r="Q108" s="519" t="str">
        <f>IF('[1]BASE'!GD109="","",'[1]BASE'!GD109)</f>
        <v>XXXX</v>
      </c>
      <c r="R108" s="519" t="str">
        <f>IF('[1]BASE'!GE109="","",'[1]BASE'!GE109)</f>
        <v>XXXX</v>
      </c>
      <c r="S108" s="519" t="str">
        <f>IF('[1]BASE'!GF109="","",'[1]BASE'!GF109)</f>
        <v>XXXX</v>
      </c>
      <c r="T108" s="519" t="str">
        <f>IF('[1]BASE'!GG109="","",'[1]BASE'!GG109)</f>
        <v>XXXX</v>
      </c>
      <c r="U108" s="474"/>
      <c r="V108" s="473"/>
    </row>
    <row r="109" spans="2:22" s="468" customFormat="1" ht="19.5" customHeight="1" hidden="1">
      <c r="B109" s="469"/>
      <c r="C109" s="514">
        <f>IF('[1]BASE'!C110="","",'[1]BASE'!C110)</f>
        <v>94</v>
      </c>
      <c r="D109" s="514" t="str">
        <f>IF('[1]BASE'!D110="","",'[1]BASE'!D110)</f>
        <v>CE-000</v>
      </c>
      <c r="E109" s="514" t="str">
        <f>IF('[1]BASE'!E110="","",'[1]BASE'!E110)</f>
        <v>CAP. SARMIENTO - ANTONIO DE ARECO - LUJAN</v>
      </c>
      <c r="F109" s="514">
        <f>IF('[1]BASE'!F110="","",'[1]BASE'!F110)</f>
        <v>66</v>
      </c>
      <c r="G109" s="514">
        <f>IF('[1]BASE'!G110="","",'[1]BASE'!G110)</f>
        <v>81.3</v>
      </c>
      <c r="H109" s="514" t="str">
        <f>IF('[1]BASE'!H110="","",'[1]BASE'!H110)</f>
        <v>C</v>
      </c>
      <c r="I109" s="515" t="str">
        <f>IF('[1]BASE'!FV110="","",'[1]BASE'!FV110)</f>
        <v>XXXX</v>
      </c>
      <c r="J109" s="515" t="str">
        <f>IF('[1]BASE'!FW110="","",'[1]BASE'!FW110)</f>
        <v>XXXX</v>
      </c>
      <c r="K109" s="515" t="str">
        <f>IF('[1]BASE'!FX110="","",'[1]BASE'!FX110)</f>
        <v>XXXX</v>
      </c>
      <c r="L109" s="515" t="str">
        <f>IF('[1]BASE'!FY110="","",'[1]BASE'!FY110)</f>
        <v>XXXX</v>
      </c>
      <c r="M109" s="515" t="str">
        <f>IF('[1]BASE'!FZ110="","",'[1]BASE'!FZ110)</f>
        <v>XXXX</v>
      </c>
      <c r="N109" s="515" t="str">
        <f>IF('[1]BASE'!GA110="","",'[1]BASE'!GA110)</f>
        <v>XXXX</v>
      </c>
      <c r="O109" s="515" t="str">
        <f>IF('[1]BASE'!GB110="","",'[1]BASE'!GB110)</f>
        <v>XXXX</v>
      </c>
      <c r="P109" s="515" t="str">
        <f>IF('[1]BASE'!GC110="","",'[1]BASE'!GC110)</f>
        <v>XXXX</v>
      </c>
      <c r="Q109" s="515" t="str">
        <f>IF('[1]BASE'!GD110="","",'[1]BASE'!GD110)</f>
        <v>XXXX</v>
      </c>
      <c r="R109" s="515" t="str">
        <f>IF('[1]BASE'!GE110="","",'[1]BASE'!GE110)</f>
        <v>XXXX</v>
      </c>
      <c r="S109" s="515" t="str">
        <f>IF('[1]BASE'!GF110="","",'[1]BASE'!GF110)</f>
        <v>XXXX</v>
      </c>
      <c r="T109" s="515" t="str">
        <f>IF('[1]BASE'!GG110="","",'[1]BASE'!GG110)</f>
        <v>XXXX</v>
      </c>
      <c r="U109" s="474"/>
      <c r="V109" s="473"/>
    </row>
    <row r="110" spans="2:22" s="468" customFormat="1" ht="19.5" customHeight="1">
      <c r="B110" s="469"/>
      <c r="C110" s="518">
        <f>IF('[1]BASE'!C111="","",'[1]BASE'!C111)</f>
        <v>95</v>
      </c>
      <c r="D110" s="518">
        <f>IF('[1]BASE'!D111="","",'[1]BASE'!D111)</f>
        <v>1421</v>
      </c>
      <c r="E110" s="518" t="str">
        <f>IF('[1]BASE'!E111="","",'[1]BASE'!E111)</f>
        <v>ARRECIFES - CAP. SARMIENTO</v>
      </c>
      <c r="F110" s="518">
        <f>IF('[1]BASE'!F111="","",'[1]BASE'!F111)</f>
        <v>66</v>
      </c>
      <c r="G110" s="518">
        <f>IF('[1]BASE'!G111="","",'[1]BASE'!G111)</f>
        <v>31.9</v>
      </c>
      <c r="H110" s="518" t="str">
        <f>IF('[1]BASE'!H111="","",'[1]BASE'!H111)</f>
        <v>C</v>
      </c>
      <c r="I110" s="519">
        <f>IF('[1]BASE'!FV111="","",'[1]BASE'!FV111)</f>
        <v>1</v>
      </c>
      <c r="J110" s="519">
        <f>IF('[1]BASE'!FW111="","",'[1]BASE'!FW111)</f>
      </c>
      <c r="K110" s="519">
        <f>IF('[1]BASE'!FX111="","",'[1]BASE'!FX111)</f>
      </c>
      <c r="L110" s="519">
        <f>IF('[1]BASE'!FY111="","",'[1]BASE'!FY111)</f>
      </c>
      <c r="M110" s="519">
        <f>IF('[1]BASE'!FZ111="","",'[1]BASE'!FZ111)</f>
      </c>
      <c r="N110" s="519">
        <f>IF('[1]BASE'!GA111="","",'[1]BASE'!GA111)</f>
        <v>1</v>
      </c>
      <c r="O110" s="519">
        <f>IF('[1]BASE'!GB111="","",'[1]BASE'!GB111)</f>
      </c>
      <c r="P110" s="519">
        <f>IF('[1]BASE'!GC111="","",'[1]BASE'!GC111)</f>
      </c>
      <c r="Q110" s="519">
        <f>IF('[1]BASE'!GD111="","",'[1]BASE'!GD111)</f>
      </c>
      <c r="R110" s="519">
        <f>IF('[1]BASE'!GE111="","",'[1]BASE'!GE111)</f>
      </c>
      <c r="S110" s="519">
        <f>IF('[1]BASE'!GF111="","",'[1]BASE'!GF111)</f>
      </c>
      <c r="T110" s="519">
        <f>IF('[1]BASE'!GG111="","",'[1]BASE'!GG111)</f>
      </c>
      <c r="U110" s="474"/>
      <c r="V110" s="473"/>
    </row>
    <row r="111" spans="2:22" s="468" customFormat="1" ht="19.5" customHeight="1">
      <c r="B111" s="469"/>
      <c r="C111" s="514">
        <f>IF('[1]BASE'!C112="","",'[1]BASE'!C112)</f>
        <v>96</v>
      </c>
      <c r="D111" s="514">
        <f>IF('[1]BASE'!D112="","",'[1]BASE'!D112)</f>
        <v>1536</v>
      </c>
      <c r="E111" s="514" t="str">
        <f>IF('[1]BASE'!E112="","",'[1]BASE'!E112)</f>
        <v>CARLOS CASARES - 9 DE JULIO 66</v>
      </c>
      <c r="F111" s="514">
        <f>IF('[1]BASE'!F112="","",'[1]BASE'!F112)</f>
        <v>66</v>
      </c>
      <c r="G111" s="514">
        <f>IF('[1]BASE'!G112="","",'[1]BASE'!G112)</f>
        <v>46.8</v>
      </c>
      <c r="H111" s="514" t="str">
        <f>IF('[1]BASE'!H112="","",'[1]BASE'!H112)</f>
        <v>C</v>
      </c>
      <c r="I111" s="515">
        <f>IF('[1]BASE'!FV112="","",'[1]BASE'!FV112)</f>
        <v>1</v>
      </c>
      <c r="J111" s="515">
        <f>IF('[1]BASE'!FW112="","",'[1]BASE'!FW112)</f>
        <v>1</v>
      </c>
      <c r="K111" s="515">
        <f>IF('[1]BASE'!FX112="","",'[1]BASE'!FX112)</f>
      </c>
      <c r="L111" s="515">
        <f>IF('[1]BASE'!FY112="","",'[1]BASE'!FY112)</f>
      </c>
      <c r="M111" s="515">
        <f>IF('[1]BASE'!FZ112="","",'[1]BASE'!FZ112)</f>
      </c>
      <c r="N111" s="515">
        <f>IF('[1]BASE'!GA112="","",'[1]BASE'!GA112)</f>
      </c>
      <c r="O111" s="515">
        <f>IF('[1]BASE'!GB112="","",'[1]BASE'!GB112)</f>
      </c>
      <c r="P111" s="515">
        <f>IF('[1]BASE'!GC112="","",'[1]BASE'!GC112)</f>
      </c>
      <c r="Q111" s="515">
        <f>IF('[1]BASE'!GD112="","",'[1]BASE'!GD112)</f>
      </c>
      <c r="R111" s="515">
        <f>IF('[1]BASE'!GE112="","",'[1]BASE'!GE112)</f>
      </c>
      <c r="S111" s="515">
        <f>IF('[1]BASE'!GF112="","",'[1]BASE'!GF112)</f>
        <v>1</v>
      </c>
      <c r="T111" s="515">
        <f>IF('[1]BASE'!GG112="","",'[1]BASE'!GG112)</f>
      </c>
      <c r="U111" s="474"/>
      <c r="V111" s="473"/>
    </row>
    <row r="112" spans="2:22" s="468" customFormat="1" ht="19.5" customHeight="1">
      <c r="B112" s="469"/>
      <c r="C112" s="518">
        <f>IF('[1]BASE'!C113="","",'[1]BASE'!C113)</f>
        <v>97</v>
      </c>
      <c r="D112" s="518">
        <f>IF('[1]BASE'!D113="","",'[1]BASE'!D113)</f>
        <v>1530</v>
      </c>
      <c r="E112" s="518" t="str">
        <f>IF('[1]BASE'!E113="","",'[1]BASE'!E113)</f>
        <v>PEHUAJO - CARLOS CASARES</v>
      </c>
      <c r="F112" s="518">
        <f>IF('[1]BASE'!F113="","",'[1]BASE'!F113)</f>
        <v>66</v>
      </c>
      <c r="G112" s="518">
        <f>IF('[1]BASE'!G113="","",'[1]BASE'!G113)</f>
        <v>53.1</v>
      </c>
      <c r="H112" s="518" t="str">
        <f>IF('[1]BASE'!H113="","",'[1]BASE'!H113)</f>
        <v>C</v>
      </c>
      <c r="I112" s="519">
        <f>IF('[1]BASE'!FV113="","",'[1]BASE'!FV113)</f>
      </c>
      <c r="J112" s="519">
        <f>IF('[1]BASE'!FW113="","",'[1]BASE'!FW113)</f>
        <v>1</v>
      </c>
      <c r="K112" s="519">
        <f>IF('[1]BASE'!FX113="","",'[1]BASE'!FX113)</f>
      </c>
      <c r="L112" s="519">
        <f>IF('[1]BASE'!FY113="","",'[1]BASE'!FY113)</f>
      </c>
      <c r="M112" s="519">
        <f>IF('[1]BASE'!FZ113="","",'[1]BASE'!FZ113)</f>
      </c>
      <c r="N112" s="519">
        <f>IF('[1]BASE'!GA113="","",'[1]BASE'!GA113)</f>
      </c>
      <c r="O112" s="519">
        <f>IF('[1]BASE'!GB113="","",'[1]BASE'!GB113)</f>
      </c>
      <c r="P112" s="519">
        <f>IF('[1]BASE'!GC113="","",'[1]BASE'!GC113)</f>
      </c>
      <c r="Q112" s="519">
        <f>IF('[1]BASE'!GD113="","",'[1]BASE'!GD113)</f>
      </c>
      <c r="R112" s="519">
        <f>IF('[1]BASE'!GE113="","",'[1]BASE'!GE113)</f>
        <v>2</v>
      </c>
      <c r="S112" s="519">
        <f>IF('[1]BASE'!GF113="","",'[1]BASE'!GF113)</f>
      </c>
      <c r="T112" s="519">
        <f>IF('[1]BASE'!GG113="","",'[1]BASE'!GG113)</f>
      </c>
      <c r="U112" s="474"/>
      <c r="V112" s="473"/>
    </row>
    <row r="113" spans="2:22" s="468" customFormat="1" ht="19.5" customHeight="1">
      <c r="B113" s="469"/>
      <c r="C113" s="514">
        <f>IF('[1]BASE'!C114="","",'[1]BASE'!C114)</f>
        <v>98</v>
      </c>
      <c r="D113" s="514">
        <f>IF('[1]BASE'!D114="","",'[1]BASE'!D114)</f>
        <v>1441</v>
      </c>
      <c r="E113" s="514" t="str">
        <f>IF('[1]BASE'!E114="","",'[1]BASE'!E114)</f>
        <v>PERGAMINO - ARRECIFES</v>
      </c>
      <c r="F113" s="514">
        <f>IF('[1]BASE'!F114="","",'[1]BASE'!F114)</f>
        <v>66</v>
      </c>
      <c r="G113" s="514">
        <f>IF('[1]BASE'!G114="","",'[1]BASE'!G114)</f>
        <v>43.8</v>
      </c>
      <c r="H113" s="514" t="str">
        <f>IF('[1]BASE'!H114="","",'[1]BASE'!H114)</f>
        <v>B</v>
      </c>
      <c r="I113" s="515">
        <f>IF('[1]BASE'!FV114="","",'[1]BASE'!FV114)</f>
      </c>
      <c r="J113" s="515">
        <f>IF('[1]BASE'!FW114="","",'[1]BASE'!FW114)</f>
      </c>
      <c r="K113" s="515">
        <f>IF('[1]BASE'!FX114="","",'[1]BASE'!FX114)</f>
        <v>1</v>
      </c>
      <c r="L113" s="515">
        <f>IF('[1]BASE'!FY114="","",'[1]BASE'!FY114)</f>
        <v>1</v>
      </c>
      <c r="M113" s="515">
        <f>IF('[1]BASE'!FZ114="","",'[1]BASE'!FZ114)</f>
      </c>
      <c r="N113" s="515">
        <f>IF('[1]BASE'!GA114="","",'[1]BASE'!GA114)</f>
      </c>
      <c r="O113" s="515">
        <f>IF('[1]BASE'!GB114="","",'[1]BASE'!GB114)</f>
      </c>
      <c r="P113" s="515">
        <f>IF('[1]BASE'!GC114="","",'[1]BASE'!GC114)</f>
        <v>1</v>
      </c>
      <c r="Q113" s="515">
        <f>IF('[1]BASE'!GD114="","",'[1]BASE'!GD114)</f>
      </c>
      <c r="R113" s="515">
        <f>IF('[1]BASE'!GE114="","",'[1]BASE'!GE114)</f>
      </c>
      <c r="S113" s="515">
        <f>IF('[1]BASE'!GF114="","",'[1]BASE'!GF114)</f>
      </c>
      <c r="T113" s="515">
        <f>IF('[1]BASE'!GG114="","",'[1]BASE'!GG114)</f>
      </c>
      <c r="U113" s="474"/>
      <c r="V113" s="473"/>
    </row>
    <row r="114" spans="2:22" s="468" customFormat="1" ht="19.5" customHeight="1">
      <c r="B114" s="469"/>
      <c r="C114" s="518">
        <f>IF('[1]BASE'!C115="","",'[1]BASE'!C115)</f>
        <v>99</v>
      </c>
      <c r="D114" s="518">
        <f>IF('[1]BASE'!D115="","",'[1]BASE'!D115)</f>
        <v>1436</v>
      </c>
      <c r="E114" s="518" t="str">
        <f>IF('[1]BASE'!E115="","",'[1]BASE'!E115)</f>
        <v>TRENQUE LAUQUEN - PEHUAJO</v>
      </c>
      <c r="F114" s="518">
        <f>IF('[1]BASE'!F115="","",'[1]BASE'!F115)</f>
        <v>66</v>
      </c>
      <c r="G114" s="518">
        <f>IF('[1]BASE'!G115="","",'[1]BASE'!G115)</f>
        <v>80.1</v>
      </c>
      <c r="H114" s="518" t="str">
        <f>IF('[1]BASE'!H115="","",'[1]BASE'!H115)</f>
        <v>B</v>
      </c>
      <c r="I114" s="519">
        <f>IF('[1]BASE'!FV115="","",'[1]BASE'!FV115)</f>
      </c>
      <c r="J114" s="519">
        <f>IF('[1]BASE'!FW115="","",'[1]BASE'!FW115)</f>
        <v>1</v>
      </c>
      <c r="K114" s="519">
        <f>IF('[1]BASE'!FX115="","",'[1]BASE'!FX115)</f>
        <v>1</v>
      </c>
      <c r="L114" s="519">
        <f>IF('[1]BASE'!FY115="","",'[1]BASE'!FY115)</f>
        <v>1</v>
      </c>
      <c r="M114" s="519">
        <f>IF('[1]BASE'!FZ115="","",'[1]BASE'!FZ115)</f>
      </c>
      <c r="N114" s="519">
        <f>IF('[1]BASE'!GA115="","",'[1]BASE'!GA115)</f>
      </c>
      <c r="O114" s="519">
        <f>IF('[1]BASE'!GB115="","",'[1]BASE'!GB115)</f>
      </c>
      <c r="P114" s="519">
        <f>IF('[1]BASE'!GC115="","",'[1]BASE'!GC115)</f>
      </c>
      <c r="Q114" s="519">
        <f>IF('[1]BASE'!GD115="","",'[1]BASE'!GD115)</f>
      </c>
      <c r="R114" s="519">
        <f>IF('[1]BASE'!GE115="","",'[1]BASE'!GE115)</f>
      </c>
      <c r="S114" s="519">
        <f>IF('[1]BASE'!GF115="","",'[1]BASE'!GF115)</f>
      </c>
      <c r="T114" s="519">
        <f>IF('[1]BASE'!GG115="","",'[1]BASE'!GG115)</f>
      </c>
      <c r="U114" s="474"/>
      <c r="V114" s="473"/>
    </row>
    <row r="115" spans="2:22" s="468" customFormat="1" ht="19.5" customHeight="1">
      <c r="B115" s="469"/>
      <c r="C115" s="514">
        <f>IF('[1]BASE'!C116="","",'[1]BASE'!C116)</f>
        <v>100</v>
      </c>
      <c r="D115" s="514">
        <f>IF('[1]BASE'!D116="","",'[1]BASE'!D116)</f>
        <v>3556</v>
      </c>
      <c r="E115" s="514" t="str">
        <f>IF('[1]BASE'!E116="","",'[1]BASE'!E116)</f>
        <v>NUEVA CAMPANA - MINETTI (CORCEMAR)</v>
      </c>
      <c r="F115" s="514">
        <f>IF('[1]BASE'!F116="","",'[1]BASE'!F116)</f>
        <v>132</v>
      </c>
      <c r="G115" s="514">
        <f>IF('[1]BASE'!G116="","",'[1]BASE'!G116)</f>
        <v>5</v>
      </c>
      <c r="H115" s="514" t="str">
        <f>IF('[1]BASE'!H116="","",'[1]BASE'!H116)</f>
        <v>C</v>
      </c>
      <c r="I115" s="515">
        <f>IF('[1]BASE'!FV116="","",'[1]BASE'!FV116)</f>
      </c>
      <c r="J115" s="515">
        <f>IF('[1]BASE'!FW116="","",'[1]BASE'!FW116)</f>
      </c>
      <c r="K115" s="515">
        <f>IF('[1]BASE'!FX116="","",'[1]BASE'!FX116)</f>
      </c>
      <c r="L115" s="515">
        <f>IF('[1]BASE'!FY116="","",'[1]BASE'!FY116)</f>
      </c>
      <c r="M115" s="515">
        <f>IF('[1]BASE'!FZ116="","",'[1]BASE'!FZ116)</f>
      </c>
      <c r="N115" s="515">
        <f>IF('[1]BASE'!GA116="","",'[1]BASE'!GA116)</f>
      </c>
      <c r="O115" s="515">
        <f>IF('[1]BASE'!GB116="","",'[1]BASE'!GB116)</f>
      </c>
      <c r="P115" s="515">
        <f>IF('[1]BASE'!GC116="","",'[1]BASE'!GC116)</f>
      </c>
      <c r="Q115" s="515">
        <f>IF('[1]BASE'!GD116="","",'[1]BASE'!GD116)</f>
      </c>
      <c r="R115" s="515">
        <f>IF('[1]BASE'!GE116="","",'[1]BASE'!GE116)</f>
      </c>
      <c r="S115" s="515">
        <f>IF('[1]BASE'!GF116="","",'[1]BASE'!GF116)</f>
      </c>
      <c r="T115" s="515">
        <f>IF('[1]BASE'!GG116="","",'[1]BASE'!GG116)</f>
      </c>
      <c r="U115" s="474"/>
      <c r="V115" s="473"/>
    </row>
    <row r="116" spans="2:22" s="468" customFormat="1" ht="19.5" customHeight="1">
      <c r="B116" s="469"/>
      <c r="C116" s="518">
        <f>IF('[1]BASE'!C117="","",'[1]BASE'!C117)</f>
        <v>101</v>
      </c>
      <c r="D116" s="518">
        <f>IF('[1]BASE'!D117="","",'[1]BASE'!D117)</f>
        <v>3557</v>
      </c>
      <c r="E116" s="518" t="str">
        <f>IF('[1]BASE'!E117="","",'[1]BASE'!E117)</f>
        <v>(CORCEMAR) MINETTI - ZARATE</v>
      </c>
      <c r="F116" s="518">
        <f>IF('[1]BASE'!F117="","",'[1]BASE'!F117)</f>
        <v>132</v>
      </c>
      <c r="G116" s="518">
        <f>IF('[1]BASE'!G117="","",'[1]BASE'!G117)</f>
        <v>7</v>
      </c>
      <c r="H116" s="518" t="str">
        <f>IF('[1]BASE'!H117="","",'[1]BASE'!H117)</f>
        <v>C</v>
      </c>
      <c r="I116" s="519">
        <f>IF('[1]BASE'!FV117="","",'[1]BASE'!FV117)</f>
      </c>
      <c r="J116" s="519">
        <f>IF('[1]BASE'!FW117="","",'[1]BASE'!FW117)</f>
      </c>
      <c r="K116" s="519">
        <f>IF('[1]BASE'!FX117="","",'[1]BASE'!FX117)</f>
      </c>
      <c r="L116" s="519">
        <f>IF('[1]BASE'!FY117="","",'[1]BASE'!FY117)</f>
      </c>
      <c r="M116" s="519">
        <f>IF('[1]BASE'!FZ117="","",'[1]BASE'!FZ117)</f>
      </c>
      <c r="N116" s="519">
        <f>IF('[1]BASE'!GA117="","",'[1]BASE'!GA117)</f>
      </c>
      <c r="O116" s="519">
        <f>IF('[1]BASE'!GB117="","",'[1]BASE'!GB117)</f>
      </c>
      <c r="P116" s="519">
        <f>IF('[1]BASE'!GC117="","",'[1]BASE'!GC117)</f>
      </c>
      <c r="Q116" s="519">
        <f>IF('[1]BASE'!GD117="","",'[1]BASE'!GD117)</f>
      </c>
      <c r="R116" s="519">
        <f>IF('[1]BASE'!GE117="","",'[1]BASE'!GE117)</f>
      </c>
      <c r="S116" s="519">
        <f>IF('[1]BASE'!GF117="","",'[1]BASE'!GF117)</f>
      </c>
      <c r="T116" s="519">
        <f>IF('[1]BASE'!GG117="","",'[1]BASE'!GG117)</f>
      </c>
      <c r="U116" s="474"/>
      <c r="V116" s="473"/>
    </row>
    <row r="117" spans="2:22" s="468" customFormat="1" ht="19.5" customHeight="1" hidden="1">
      <c r="B117" s="469"/>
      <c r="C117" s="514">
        <f>IF('[1]BASE'!C118="","",'[1]BASE'!C118)</f>
        <v>102</v>
      </c>
      <c r="D117" s="514">
        <f>IF('[1]BASE'!D118="","",'[1]BASE'!D118)</f>
        <v>3285</v>
      </c>
      <c r="E117" s="514" t="str">
        <f>IF('[1]BASE'!E118="","",'[1]BASE'!E118)</f>
        <v>EASTMAN T - PROTISA</v>
      </c>
      <c r="F117" s="514">
        <f>IF('[1]BASE'!F118="","",'[1]BASE'!F118)</f>
        <v>132</v>
      </c>
      <c r="G117" s="514">
        <f>IF('[1]BASE'!G118="","",'[1]BASE'!G118)</f>
        <v>5.5</v>
      </c>
      <c r="H117" s="514" t="str">
        <f>IF('[1]BASE'!H118="","",'[1]BASE'!H118)</f>
        <v>C</v>
      </c>
      <c r="I117" s="515" t="str">
        <f>IF('[1]BASE'!FV118="","",'[1]BASE'!FV118)</f>
        <v>XXXX</v>
      </c>
      <c r="J117" s="515" t="str">
        <f>IF('[1]BASE'!FW118="","",'[1]BASE'!FW118)</f>
        <v>XXXX</v>
      </c>
      <c r="K117" s="515" t="str">
        <f>IF('[1]BASE'!FX118="","",'[1]BASE'!FX118)</f>
        <v>XXXX</v>
      </c>
      <c r="L117" s="515" t="str">
        <f>IF('[1]BASE'!FY118="","",'[1]BASE'!FY118)</f>
        <v>XXXX</v>
      </c>
      <c r="M117" s="515" t="str">
        <f>IF('[1]BASE'!FZ118="","",'[1]BASE'!FZ118)</f>
        <v>XXXX</v>
      </c>
      <c r="N117" s="515" t="str">
        <f>IF('[1]BASE'!GA118="","",'[1]BASE'!GA118)</f>
        <v>XXXX</v>
      </c>
      <c r="O117" s="515" t="str">
        <f>IF('[1]BASE'!GB118="","",'[1]BASE'!GB118)</f>
        <v>XXXX</v>
      </c>
      <c r="P117" s="515" t="str">
        <f>IF('[1]BASE'!GC118="","",'[1]BASE'!GC118)</f>
        <v>XXXX</v>
      </c>
      <c r="Q117" s="515" t="str">
        <f>IF('[1]BASE'!GD118="","",'[1]BASE'!GD118)</f>
        <v>XXXX</v>
      </c>
      <c r="R117" s="515" t="str">
        <f>IF('[1]BASE'!GE118="","",'[1]BASE'!GE118)</f>
        <v>XXXX</v>
      </c>
      <c r="S117" s="515" t="str">
        <f>IF('[1]BASE'!GF118="","",'[1]BASE'!GF118)</f>
        <v>XXXX</v>
      </c>
      <c r="T117" s="515" t="str">
        <f>IF('[1]BASE'!GG118="","",'[1]BASE'!GG118)</f>
        <v>XXXX</v>
      </c>
      <c r="U117" s="474"/>
      <c r="V117" s="473"/>
    </row>
    <row r="118" spans="2:22" s="468" customFormat="1" ht="19.5" customHeight="1">
      <c r="B118" s="469"/>
      <c r="C118" s="518">
        <f>IF('[1]BASE'!C119="","",'[1]BASE'!C119)</f>
        <v>103</v>
      </c>
      <c r="D118" s="518">
        <f>IF('[1]BASE'!D119="","",'[1]BASE'!D119)</f>
        <v>3286</v>
      </c>
      <c r="E118" s="518" t="str">
        <f>IF('[1]BASE'!E119="","",'[1]BASE'!E119)</f>
        <v>PROTISA - EASTMAN</v>
      </c>
      <c r="F118" s="518">
        <f>IF('[1]BASE'!F119="","",'[1]BASE'!F119)</f>
        <v>132</v>
      </c>
      <c r="G118" s="518">
        <f>IF('[1]BASE'!G119="","",'[1]BASE'!G119)</f>
        <v>1</v>
      </c>
      <c r="H118" s="518" t="str">
        <f>IF('[1]BASE'!H119="","",'[1]BASE'!H119)</f>
        <v>C</v>
      </c>
      <c r="I118" s="519">
        <f>IF('[1]BASE'!FV119="","",'[1]BASE'!FV119)</f>
      </c>
      <c r="J118" s="519">
        <f>IF('[1]BASE'!FW119="","",'[1]BASE'!FW119)</f>
      </c>
      <c r="K118" s="519">
        <f>IF('[1]BASE'!FX119="","",'[1]BASE'!FX119)</f>
      </c>
      <c r="L118" s="519">
        <f>IF('[1]BASE'!FY119="","",'[1]BASE'!FY119)</f>
      </c>
      <c r="M118" s="519">
        <f>IF('[1]BASE'!FZ119="","",'[1]BASE'!FZ119)</f>
      </c>
      <c r="N118" s="519">
        <f>IF('[1]BASE'!GA119="","",'[1]BASE'!GA119)</f>
      </c>
      <c r="O118" s="519">
        <f>IF('[1]BASE'!GB119="","",'[1]BASE'!GB119)</f>
      </c>
      <c r="P118" s="519">
        <f>IF('[1]BASE'!GC119="","",'[1]BASE'!GC119)</f>
      </c>
      <c r="Q118" s="519">
        <f>IF('[1]BASE'!GD119="","",'[1]BASE'!GD119)</f>
      </c>
      <c r="R118" s="519">
        <f>IF('[1]BASE'!GE119="","",'[1]BASE'!GE119)</f>
      </c>
      <c r="S118" s="519">
        <f>IF('[1]BASE'!GF119="","",'[1]BASE'!GF119)</f>
      </c>
      <c r="T118" s="519">
        <f>IF('[1]BASE'!GG119="","",'[1]BASE'!GG119)</f>
      </c>
      <c r="U118" s="474"/>
      <c r="V118" s="473"/>
    </row>
    <row r="119" spans="2:22" s="468" customFormat="1" ht="19.5" customHeight="1">
      <c r="B119" s="469"/>
      <c r="C119" s="514">
        <f>IF('[1]BASE'!C120="","",'[1]BASE'!C120)</f>
        <v>104</v>
      </c>
      <c r="D119" s="514">
        <f>IF('[1]BASE'!D120="","",'[1]BASE'!D120)</f>
        <v>3482</v>
      </c>
      <c r="E119" s="514" t="str">
        <f>IF('[1]BASE'!E120="","",'[1]BASE'!E120)</f>
        <v>BAHIA BLANCA - PETROQ. BAHIA BLANCA 2</v>
      </c>
      <c r="F119" s="514">
        <f>IF('[1]BASE'!F120="","",'[1]BASE'!F120)</f>
        <v>132</v>
      </c>
      <c r="G119" s="514">
        <f>IF('[1]BASE'!G120="","",'[1]BASE'!G120)</f>
        <v>29.8</v>
      </c>
      <c r="H119" s="514" t="str">
        <f>IF('[1]BASE'!H120="","",'[1]BASE'!H120)</f>
        <v>C</v>
      </c>
      <c r="I119" s="515">
        <f>IF('[1]BASE'!FV120="","",'[1]BASE'!FV120)</f>
      </c>
      <c r="J119" s="515">
        <f>IF('[1]BASE'!FW120="","",'[1]BASE'!FW120)</f>
      </c>
      <c r="K119" s="515">
        <f>IF('[1]BASE'!FX120="","",'[1]BASE'!FX120)</f>
      </c>
      <c r="L119" s="515">
        <f>IF('[1]BASE'!FY120="","",'[1]BASE'!FY120)</f>
      </c>
      <c r="M119" s="515">
        <f>IF('[1]BASE'!FZ120="","",'[1]BASE'!FZ120)</f>
      </c>
      <c r="N119" s="515">
        <f>IF('[1]BASE'!GA120="","",'[1]BASE'!GA120)</f>
      </c>
      <c r="O119" s="515">
        <f>IF('[1]BASE'!GB120="","",'[1]BASE'!GB120)</f>
      </c>
      <c r="P119" s="515">
        <f>IF('[1]BASE'!GC120="","",'[1]BASE'!GC120)</f>
      </c>
      <c r="Q119" s="515">
        <f>IF('[1]BASE'!GD120="","",'[1]BASE'!GD120)</f>
      </c>
      <c r="R119" s="515">
        <f>IF('[1]BASE'!GE120="","",'[1]BASE'!GE120)</f>
      </c>
      <c r="S119" s="515">
        <f>IF('[1]BASE'!GF120="","",'[1]BASE'!GF120)</f>
      </c>
      <c r="T119" s="515">
        <f>IF('[1]BASE'!GG120="","",'[1]BASE'!GG120)</f>
      </c>
      <c r="U119" s="474"/>
      <c r="V119" s="473"/>
    </row>
    <row r="120" spans="2:22" s="468" customFormat="1" ht="19.5" customHeight="1">
      <c r="B120" s="469"/>
      <c r="C120" s="518">
        <f>IF('[1]BASE'!C121="","",'[1]BASE'!C121)</f>
        <v>105</v>
      </c>
      <c r="D120" s="518">
        <f>IF('[1]BASE'!D121="","",'[1]BASE'!D121)</f>
        <v>3483</v>
      </c>
      <c r="E120" s="518" t="str">
        <f>IF('[1]BASE'!E121="","",'[1]BASE'!E121)</f>
        <v>BAHIA BLANCA - PETROQ. BAHIA BLANCA 3</v>
      </c>
      <c r="F120" s="518">
        <f>IF('[1]BASE'!F121="","",'[1]BASE'!F121)</f>
        <v>132</v>
      </c>
      <c r="G120" s="518">
        <f>IF('[1]BASE'!G121="","",'[1]BASE'!G121)</f>
        <v>29.8</v>
      </c>
      <c r="H120" s="518" t="str">
        <f>IF('[1]BASE'!H121="","",'[1]BASE'!H121)</f>
        <v>C</v>
      </c>
      <c r="I120" s="519">
        <f>IF('[1]BASE'!FV121="","",'[1]BASE'!FV121)</f>
      </c>
      <c r="J120" s="519">
        <f>IF('[1]BASE'!FW121="","",'[1]BASE'!FW121)</f>
      </c>
      <c r="K120" s="519">
        <f>IF('[1]BASE'!FX121="","",'[1]BASE'!FX121)</f>
      </c>
      <c r="L120" s="519">
        <f>IF('[1]BASE'!FY121="","",'[1]BASE'!FY121)</f>
      </c>
      <c r="M120" s="519">
        <f>IF('[1]BASE'!FZ121="","",'[1]BASE'!FZ121)</f>
      </c>
      <c r="N120" s="519">
        <f>IF('[1]BASE'!GA121="","",'[1]BASE'!GA121)</f>
        <v>1</v>
      </c>
      <c r="O120" s="519">
        <f>IF('[1]BASE'!GB121="","",'[1]BASE'!GB121)</f>
      </c>
      <c r="P120" s="519">
        <f>IF('[1]BASE'!GC121="","",'[1]BASE'!GC121)</f>
      </c>
      <c r="Q120" s="519">
        <f>IF('[1]BASE'!GD121="","",'[1]BASE'!GD121)</f>
      </c>
      <c r="R120" s="519">
        <f>IF('[1]BASE'!GE121="","",'[1]BASE'!GE121)</f>
      </c>
      <c r="S120" s="519">
        <f>IF('[1]BASE'!GF121="","",'[1]BASE'!GF121)</f>
      </c>
      <c r="T120" s="519">
        <f>IF('[1]BASE'!GG121="","",'[1]BASE'!GG121)</f>
      </c>
      <c r="U120" s="474"/>
      <c r="V120" s="473"/>
    </row>
    <row r="121" spans="2:22" s="468" customFormat="1" ht="19.5" customHeight="1">
      <c r="B121" s="469"/>
      <c r="C121" s="514">
        <f>IF('[1]BASE'!C122="","",'[1]BASE'!C122)</f>
        <v>106</v>
      </c>
      <c r="D121" s="514">
        <f>IF('[1]BASE'!D122="","",'[1]BASE'!D122)</f>
        <v>3541</v>
      </c>
      <c r="E121" s="514" t="str">
        <f>IF('[1]BASE'!E122="","",'[1]BASE'!E122)</f>
        <v>PETROQ. BAHIA BLANCA - PROFERTIL</v>
      </c>
      <c r="F121" s="514">
        <f>IF('[1]BASE'!F122="","",'[1]BASE'!F122)</f>
        <v>132</v>
      </c>
      <c r="G121" s="514">
        <f>IF('[1]BASE'!G122="","",'[1]BASE'!G122)</f>
        <v>1.8</v>
      </c>
      <c r="H121" s="514" t="str">
        <f>IF('[1]BASE'!H122="","",'[1]BASE'!H122)</f>
        <v>C</v>
      </c>
      <c r="I121" s="515">
        <f>IF('[1]BASE'!FV122="","",'[1]BASE'!FV122)</f>
      </c>
      <c r="J121" s="515">
        <f>IF('[1]BASE'!FW122="","",'[1]BASE'!FW122)</f>
      </c>
      <c r="K121" s="515">
        <f>IF('[1]BASE'!FX122="","",'[1]BASE'!FX122)</f>
      </c>
      <c r="L121" s="515">
        <f>IF('[1]BASE'!FY122="","",'[1]BASE'!FY122)</f>
      </c>
      <c r="M121" s="515">
        <f>IF('[1]BASE'!FZ122="","",'[1]BASE'!FZ122)</f>
      </c>
      <c r="N121" s="515">
        <f>IF('[1]BASE'!GA122="","",'[1]BASE'!GA122)</f>
      </c>
      <c r="O121" s="515">
        <f>IF('[1]BASE'!GB122="","",'[1]BASE'!GB122)</f>
      </c>
      <c r="P121" s="515">
        <f>IF('[1]BASE'!GC122="","",'[1]BASE'!GC122)</f>
      </c>
      <c r="Q121" s="515">
        <f>IF('[1]BASE'!GD122="","",'[1]BASE'!GD122)</f>
      </c>
      <c r="R121" s="515">
        <f>IF('[1]BASE'!GE122="","",'[1]BASE'!GE122)</f>
      </c>
      <c r="S121" s="515">
        <f>IF('[1]BASE'!GF122="","",'[1]BASE'!GF122)</f>
      </c>
      <c r="T121" s="515">
        <f>IF('[1]BASE'!GG122="","",'[1]BASE'!GG122)</f>
      </c>
      <c r="U121" s="474"/>
      <c r="V121" s="473"/>
    </row>
    <row r="122" spans="2:22" s="468" customFormat="1" ht="19.5" customHeight="1">
      <c r="B122" s="469"/>
      <c r="C122" s="518">
        <f>IF('[1]BASE'!C123="","",'[1]BASE'!C123)</f>
        <v>107</v>
      </c>
      <c r="D122" s="518">
        <f>IF('[1]BASE'!D123="","",'[1]BASE'!D123)</f>
        <v>3575</v>
      </c>
      <c r="E122" s="518" t="str">
        <f>IF('[1]BASE'!E123="","",'[1]BASE'!E123)</f>
        <v>NUEVA CAMPANA - PRAXAIR</v>
      </c>
      <c r="F122" s="518">
        <f>IF('[1]BASE'!F123="","",'[1]BASE'!F123)</f>
        <v>132</v>
      </c>
      <c r="G122" s="518">
        <f>IF('[1]BASE'!G123="","",'[1]BASE'!G123)</f>
        <v>6.1</v>
      </c>
      <c r="H122" s="518" t="str">
        <f>IF('[1]BASE'!H123="","",'[1]BASE'!H123)</f>
        <v>C</v>
      </c>
      <c r="I122" s="519">
        <f>IF('[1]BASE'!FV123="","",'[1]BASE'!FV123)</f>
      </c>
      <c r="J122" s="519">
        <f>IF('[1]BASE'!FW123="","",'[1]BASE'!FW123)</f>
      </c>
      <c r="K122" s="519">
        <f>IF('[1]BASE'!FX123="","",'[1]BASE'!FX123)</f>
      </c>
      <c r="L122" s="519">
        <f>IF('[1]BASE'!FY123="","",'[1]BASE'!FY123)</f>
      </c>
      <c r="M122" s="519">
        <f>IF('[1]BASE'!FZ123="","",'[1]BASE'!FZ123)</f>
      </c>
      <c r="N122" s="519">
        <f>IF('[1]BASE'!GA123="","",'[1]BASE'!GA123)</f>
      </c>
      <c r="O122" s="519">
        <f>IF('[1]BASE'!GB123="","",'[1]BASE'!GB123)</f>
      </c>
      <c r="P122" s="519">
        <f>IF('[1]BASE'!GC123="","",'[1]BASE'!GC123)</f>
      </c>
      <c r="Q122" s="519">
        <f>IF('[1]BASE'!GD123="","",'[1]BASE'!GD123)</f>
      </c>
      <c r="R122" s="519">
        <f>IF('[1]BASE'!GE123="","",'[1]BASE'!GE123)</f>
      </c>
      <c r="S122" s="519">
        <f>IF('[1]BASE'!GF123="","",'[1]BASE'!GF123)</f>
      </c>
      <c r="T122" s="519">
        <f>IF('[1]BASE'!GG123="","",'[1]BASE'!GG123)</f>
      </c>
      <c r="U122" s="474"/>
      <c r="V122" s="473"/>
    </row>
    <row r="123" spans="2:22" s="468" customFormat="1" ht="19.5" customHeight="1">
      <c r="B123" s="469"/>
      <c r="C123" s="514">
        <f>IF('[1]BASE'!C124="","",'[1]BASE'!C124)</f>
        <v>108</v>
      </c>
      <c r="D123" s="514">
        <f>IF('[1]BASE'!D124="","",'[1]BASE'!D124)</f>
        <v>3576</v>
      </c>
      <c r="E123" s="514" t="str">
        <f>IF('[1]BASE'!E124="","",'[1]BASE'!E124)</f>
        <v>PRAXAIR - CAMPANA</v>
      </c>
      <c r="F123" s="514">
        <f>IF('[1]BASE'!F124="","",'[1]BASE'!F124)</f>
        <v>132</v>
      </c>
      <c r="G123" s="514">
        <f>IF('[1]BASE'!G124="","",'[1]BASE'!G124)</f>
        <v>1.1</v>
      </c>
      <c r="H123" s="514" t="str">
        <f>IF('[1]BASE'!H124="","",'[1]BASE'!H124)</f>
        <v>C</v>
      </c>
      <c r="I123" s="515">
        <f>IF('[1]BASE'!FV124="","",'[1]BASE'!FV124)</f>
      </c>
      <c r="J123" s="515">
        <f>IF('[1]BASE'!FW124="","",'[1]BASE'!FW124)</f>
      </c>
      <c r="K123" s="515">
        <f>IF('[1]BASE'!FX124="","",'[1]BASE'!FX124)</f>
      </c>
      <c r="L123" s="515">
        <f>IF('[1]BASE'!FY124="","",'[1]BASE'!FY124)</f>
      </c>
      <c r="M123" s="515">
        <f>IF('[1]BASE'!FZ124="","",'[1]BASE'!FZ124)</f>
      </c>
      <c r="N123" s="515">
        <f>IF('[1]BASE'!GA124="","",'[1]BASE'!GA124)</f>
      </c>
      <c r="O123" s="515">
        <f>IF('[1]BASE'!GB124="","",'[1]BASE'!GB124)</f>
      </c>
      <c r="P123" s="515">
        <f>IF('[1]BASE'!GC124="","",'[1]BASE'!GC124)</f>
      </c>
      <c r="Q123" s="515">
        <f>IF('[1]BASE'!GD124="","",'[1]BASE'!GD124)</f>
      </c>
      <c r="R123" s="515">
        <f>IF('[1]BASE'!GE124="","",'[1]BASE'!GE124)</f>
      </c>
      <c r="S123" s="515">
        <f>IF('[1]BASE'!GF124="","",'[1]BASE'!GF124)</f>
      </c>
      <c r="T123" s="515">
        <f>IF('[1]BASE'!GG124="","",'[1]BASE'!GG124)</f>
      </c>
      <c r="U123" s="474"/>
      <c r="V123" s="473"/>
    </row>
    <row r="124" spans="2:22" s="468" customFormat="1" ht="19.5" customHeight="1">
      <c r="B124" s="469"/>
      <c r="C124" s="518">
        <f>IF('[1]BASE'!C125="","",'[1]BASE'!C125)</f>
        <v>109</v>
      </c>
      <c r="D124" s="518">
        <f>IF('[1]BASE'!D125="","",'[1]BASE'!D125)</f>
        <v>3596</v>
      </c>
      <c r="E124" s="518" t="str">
        <f>IF('[1]BASE'!E125="","",'[1]BASE'!E125)</f>
        <v>PUNTA ALTA - CORONEL ROSALES</v>
      </c>
      <c r="F124" s="518">
        <f>IF('[1]BASE'!F125="","",'[1]BASE'!F125)</f>
        <v>132</v>
      </c>
      <c r="G124" s="518">
        <f>IF('[1]BASE'!G125="","",'[1]BASE'!G125)</f>
        <v>4.1</v>
      </c>
      <c r="H124" s="518" t="str">
        <f>IF('[1]BASE'!H125="","",'[1]BASE'!H125)</f>
        <v>C</v>
      </c>
      <c r="I124" s="519">
        <f>IF('[1]BASE'!FV125="","",'[1]BASE'!FV125)</f>
      </c>
      <c r="J124" s="519">
        <f>IF('[1]BASE'!FW125="","",'[1]BASE'!FW125)</f>
      </c>
      <c r="K124" s="519">
        <f>IF('[1]BASE'!FX125="","",'[1]BASE'!FX125)</f>
      </c>
      <c r="L124" s="519">
        <f>IF('[1]BASE'!FY125="","",'[1]BASE'!FY125)</f>
        <v>1</v>
      </c>
      <c r="M124" s="519">
        <f>IF('[1]BASE'!FZ125="","",'[1]BASE'!FZ125)</f>
      </c>
      <c r="N124" s="519">
        <f>IF('[1]BASE'!GA125="","",'[1]BASE'!GA125)</f>
      </c>
      <c r="O124" s="519">
        <f>IF('[1]BASE'!GB125="","",'[1]BASE'!GB125)</f>
      </c>
      <c r="P124" s="519">
        <f>IF('[1]BASE'!GC125="","",'[1]BASE'!GC125)</f>
      </c>
      <c r="Q124" s="519">
        <f>IF('[1]BASE'!GD125="","",'[1]BASE'!GD125)</f>
      </c>
      <c r="R124" s="519">
        <f>IF('[1]BASE'!GE125="","",'[1]BASE'!GE125)</f>
      </c>
      <c r="S124" s="519">
        <f>IF('[1]BASE'!GF125="","",'[1]BASE'!GF125)</f>
      </c>
      <c r="T124" s="519">
        <f>IF('[1]BASE'!GG125="","",'[1]BASE'!GG125)</f>
      </c>
      <c r="U124" s="474"/>
      <c r="V124" s="473"/>
    </row>
    <row r="125" spans="2:22" s="468" customFormat="1" ht="19.5" customHeight="1">
      <c r="B125" s="469"/>
      <c r="C125" s="514">
        <f>IF('[1]BASE'!C126="","",'[1]BASE'!C126)</f>
        <v>110</v>
      </c>
      <c r="D125" s="514">
        <f>IF('[1]BASE'!D126="","",'[1]BASE'!D126)</f>
        <v>3535</v>
      </c>
      <c r="E125" s="514" t="str">
        <f>IF('[1]BASE'!E126="","",'[1]BASE'!E126)</f>
        <v>PAPEL PRENSA - BARADERO</v>
      </c>
      <c r="F125" s="514">
        <f>IF('[1]BASE'!F126="","",'[1]BASE'!F126)</f>
        <v>132</v>
      </c>
      <c r="G125" s="514">
        <f>IF('[1]BASE'!G126="","",'[1]BASE'!G126)</f>
        <v>24</v>
      </c>
      <c r="H125" s="514" t="str">
        <f>IF('[1]BASE'!H126="","",'[1]BASE'!H126)</f>
        <v>C</v>
      </c>
      <c r="I125" s="515">
        <f>IF('[1]BASE'!FV126="","",'[1]BASE'!FV126)</f>
      </c>
      <c r="J125" s="515">
        <f>IF('[1]BASE'!FW126="","",'[1]BASE'!FW126)</f>
      </c>
      <c r="K125" s="515">
        <f>IF('[1]BASE'!FX126="","",'[1]BASE'!FX126)</f>
      </c>
      <c r="L125" s="515">
        <f>IF('[1]BASE'!FY126="","",'[1]BASE'!FY126)</f>
      </c>
      <c r="M125" s="515">
        <f>IF('[1]BASE'!FZ126="","",'[1]BASE'!FZ126)</f>
      </c>
      <c r="N125" s="515">
        <f>IF('[1]BASE'!GA126="","",'[1]BASE'!GA126)</f>
      </c>
      <c r="O125" s="515">
        <f>IF('[1]BASE'!GB126="","",'[1]BASE'!GB126)</f>
      </c>
      <c r="P125" s="515">
        <f>IF('[1]BASE'!GC126="","",'[1]BASE'!GC126)</f>
      </c>
      <c r="Q125" s="515">
        <f>IF('[1]BASE'!GD126="","",'[1]BASE'!GD126)</f>
      </c>
      <c r="R125" s="515">
        <f>IF('[1]BASE'!GE126="","",'[1]BASE'!GE126)</f>
      </c>
      <c r="S125" s="515">
        <f>IF('[1]BASE'!GF126="","",'[1]BASE'!GF126)</f>
        <v>1</v>
      </c>
      <c r="T125" s="515">
        <f>IF('[1]BASE'!GG126="","",'[1]BASE'!GG126)</f>
      </c>
      <c r="U125" s="474"/>
      <c r="V125" s="473"/>
    </row>
    <row r="126" spans="2:22" s="468" customFormat="1" ht="19.5" customHeight="1" hidden="1">
      <c r="B126" s="469"/>
      <c r="C126" s="518">
        <f>IF('[1]BASE'!C127="","",'[1]BASE'!C127)</f>
        <v>111</v>
      </c>
      <c r="D126" s="518">
        <f>IF('[1]BASE'!D127="","",'[1]BASE'!D127)</f>
        <v>3715</v>
      </c>
      <c r="E126" s="518" t="str">
        <f>IF('[1]BASE'!E127="","",'[1]BASE'!E127)</f>
        <v>SALTO BA - CHACABUCO</v>
      </c>
      <c r="F126" s="518">
        <f>IF('[1]BASE'!F127="","",'[1]BASE'!F127)</f>
        <v>132</v>
      </c>
      <c r="G126" s="518">
        <f>IF('[1]BASE'!G127="","",'[1]BASE'!G127)</f>
        <v>60.1</v>
      </c>
      <c r="H126" s="518" t="str">
        <f>IF('[1]BASE'!H127="","",'[1]BASE'!H127)</f>
        <v>C</v>
      </c>
      <c r="I126" s="519" t="str">
        <f>IF('[1]BASE'!FV127="","",'[1]BASE'!FV127)</f>
        <v>XXXX</v>
      </c>
      <c r="J126" s="519" t="str">
        <f>IF('[1]BASE'!FW127="","",'[1]BASE'!FW127)</f>
        <v>XXXX</v>
      </c>
      <c r="K126" s="519" t="str">
        <f>IF('[1]BASE'!FX127="","",'[1]BASE'!FX127)</f>
        <v>XXXX</v>
      </c>
      <c r="L126" s="519" t="str">
        <f>IF('[1]BASE'!FY127="","",'[1]BASE'!FY127)</f>
        <v>XXXX</v>
      </c>
      <c r="M126" s="519" t="str">
        <f>IF('[1]BASE'!FZ127="","",'[1]BASE'!FZ127)</f>
        <v>XXXX</v>
      </c>
      <c r="N126" s="519" t="str">
        <f>IF('[1]BASE'!GA127="","",'[1]BASE'!GA127)</f>
        <v>XXXX</v>
      </c>
      <c r="O126" s="519" t="str">
        <f>IF('[1]BASE'!GB127="","",'[1]BASE'!GB127)</f>
        <v>XXXX</v>
      </c>
      <c r="P126" s="519" t="str">
        <f>IF('[1]BASE'!GC127="","",'[1]BASE'!GC127)</f>
        <v>XXXX</v>
      </c>
      <c r="Q126" s="519" t="str">
        <f>IF('[1]BASE'!GD127="","",'[1]BASE'!GD127)</f>
        <v>XXXX</v>
      </c>
      <c r="R126" s="519" t="str">
        <f>IF('[1]BASE'!GE127="","",'[1]BASE'!GE127)</f>
        <v>XXXX</v>
      </c>
      <c r="S126" s="519" t="str">
        <f>IF('[1]BASE'!GF127="","",'[1]BASE'!GF127)</f>
        <v>XXXX</v>
      </c>
      <c r="T126" s="519" t="str">
        <f>IF('[1]BASE'!GG127="","",'[1]BASE'!GG127)</f>
        <v>XXXX</v>
      </c>
      <c r="U126" s="474"/>
      <c r="V126" s="473"/>
    </row>
    <row r="127" spans="2:22" s="468" customFormat="1" ht="19.5" customHeight="1">
      <c r="B127" s="469"/>
      <c r="C127" s="514">
        <f>IF('[1]BASE'!C128="","",'[1]BASE'!C128)</f>
        <v>112</v>
      </c>
      <c r="D127" s="514">
        <f>IF('[1]BASE'!D128="","",'[1]BASE'!D128)</f>
        <v>3689</v>
      </c>
      <c r="E127" s="514" t="str">
        <f>IF('[1]BASE'!E128="","",'[1]BASE'!E128)</f>
        <v>LA PAMPITA - LAPRIDA</v>
      </c>
      <c r="F127" s="514">
        <f>IF('[1]BASE'!F128="","",'[1]BASE'!F128)</f>
        <v>132</v>
      </c>
      <c r="G127" s="514">
        <f>IF('[1]BASE'!G128="","",'[1]BASE'!G128)</f>
        <v>72.2</v>
      </c>
      <c r="H127" s="514" t="str">
        <f>IF('[1]BASE'!H128="","",'[1]BASE'!H128)</f>
        <v>C</v>
      </c>
      <c r="I127" s="515">
        <f>IF('[1]BASE'!FV128="","",'[1]BASE'!FV128)</f>
      </c>
      <c r="J127" s="515">
        <f>IF('[1]BASE'!FW128="","",'[1]BASE'!FW128)</f>
      </c>
      <c r="K127" s="515">
        <f>IF('[1]BASE'!FX128="","",'[1]BASE'!FX128)</f>
      </c>
      <c r="L127" s="515">
        <f>IF('[1]BASE'!FY128="","",'[1]BASE'!FY128)</f>
      </c>
      <c r="M127" s="515">
        <f>IF('[1]BASE'!FZ128="","",'[1]BASE'!FZ128)</f>
      </c>
      <c r="N127" s="515">
        <f>IF('[1]BASE'!GA128="","",'[1]BASE'!GA128)</f>
      </c>
      <c r="O127" s="515">
        <f>IF('[1]BASE'!GB128="","",'[1]BASE'!GB128)</f>
        <v>1</v>
      </c>
      <c r="P127" s="515">
        <f>IF('[1]BASE'!GC128="","",'[1]BASE'!GC128)</f>
      </c>
      <c r="Q127" s="515">
        <f>IF('[1]BASE'!GD128="","",'[1]BASE'!GD128)</f>
      </c>
      <c r="R127" s="515">
        <f>IF('[1]BASE'!GE128="","",'[1]BASE'!GE128)</f>
      </c>
      <c r="S127" s="515">
        <f>IF('[1]BASE'!GF128="","",'[1]BASE'!GF128)</f>
      </c>
      <c r="T127" s="515">
        <f>IF('[1]BASE'!GG128="","",'[1]BASE'!GG128)</f>
      </c>
      <c r="U127" s="474"/>
      <c r="V127" s="473"/>
    </row>
    <row r="128" spans="2:22" s="468" customFormat="1" ht="19.5" customHeight="1">
      <c r="B128" s="469"/>
      <c r="C128" s="518">
        <f>IF('[1]BASE'!C129="","",'[1]BASE'!C129)</f>
        <v>113</v>
      </c>
      <c r="D128" s="518">
        <f>IF('[1]BASE'!D129="","",'[1]BASE'!D129)</f>
        <v>3690</v>
      </c>
      <c r="E128" s="518" t="str">
        <f>IF('[1]BASE'!E129="","",'[1]BASE'!E129)</f>
        <v>OLAVARRIA - LA PAMPITA</v>
      </c>
      <c r="F128" s="518">
        <f>IF('[1]BASE'!F129="","",'[1]BASE'!F129)</f>
        <v>132</v>
      </c>
      <c r="G128" s="518">
        <f>IF('[1]BASE'!G129="","",'[1]BASE'!G129)</f>
        <v>27.5</v>
      </c>
      <c r="H128" s="518" t="str">
        <f>IF('[1]BASE'!H129="","",'[1]BASE'!H129)</f>
        <v>C</v>
      </c>
      <c r="I128" s="519">
        <f>IF('[1]BASE'!FV129="","",'[1]BASE'!FV129)</f>
      </c>
      <c r="J128" s="519">
        <f>IF('[1]BASE'!FW129="","",'[1]BASE'!FW129)</f>
      </c>
      <c r="K128" s="519">
        <f>IF('[1]BASE'!FX129="","",'[1]BASE'!FX129)</f>
      </c>
      <c r="L128" s="519">
        <f>IF('[1]BASE'!FY129="","",'[1]BASE'!FY129)</f>
      </c>
      <c r="M128" s="519">
        <f>IF('[1]BASE'!FZ129="","",'[1]BASE'!FZ129)</f>
      </c>
      <c r="N128" s="519">
        <f>IF('[1]BASE'!GA129="","",'[1]BASE'!GA129)</f>
      </c>
      <c r="O128" s="519">
        <f>IF('[1]BASE'!GB129="","",'[1]BASE'!GB129)</f>
      </c>
      <c r="P128" s="519">
        <f>IF('[1]BASE'!GC129="","",'[1]BASE'!GC129)</f>
      </c>
      <c r="Q128" s="519">
        <f>IF('[1]BASE'!GD129="","",'[1]BASE'!GD129)</f>
      </c>
      <c r="R128" s="519">
        <f>IF('[1]BASE'!GE129="","",'[1]BASE'!GE129)</f>
      </c>
      <c r="S128" s="519">
        <f>IF('[1]BASE'!GF129="","",'[1]BASE'!GF129)</f>
      </c>
      <c r="T128" s="519">
        <f>IF('[1]BASE'!GG129="","",'[1]BASE'!GG129)</f>
      </c>
      <c r="U128" s="474"/>
      <c r="V128" s="473"/>
    </row>
    <row r="129" spans="2:22" s="468" customFormat="1" ht="19.5" customHeight="1">
      <c r="B129" s="469"/>
      <c r="C129" s="514">
        <f>IF('[1]BASE'!C130="","",'[1]BASE'!C130)</f>
        <v>114</v>
      </c>
      <c r="D129" s="514">
        <f>IF('[1]BASE'!D130="","",'[1]BASE'!D130)</f>
        <v>3796</v>
      </c>
      <c r="E129" s="514" t="str">
        <f>IF('[1]BASE'!E130="","",'[1]BASE'!E130)</f>
        <v>C. SARMIENTO - S.A. DE ARECO</v>
      </c>
      <c r="F129" s="514">
        <f>IF('[1]BASE'!F130="","",'[1]BASE'!F130)</f>
        <v>66</v>
      </c>
      <c r="G129" s="514">
        <f>IF('[1]BASE'!G130="","",'[1]BASE'!G130)</f>
        <v>31.5</v>
      </c>
      <c r="H129" s="514" t="str">
        <f>IF('[1]BASE'!H130="","",'[1]BASE'!H130)</f>
        <v>C</v>
      </c>
      <c r="I129" s="515">
        <f>IF('[1]BASE'!FV130="","",'[1]BASE'!FV130)</f>
      </c>
      <c r="J129" s="515">
        <f>IF('[1]BASE'!FW130="","",'[1]BASE'!FW130)</f>
      </c>
      <c r="K129" s="515">
        <f>IF('[1]BASE'!FX130="","",'[1]BASE'!FX130)</f>
      </c>
      <c r="L129" s="515">
        <f>IF('[1]BASE'!FY130="","",'[1]BASE'!FY130)</f>
      </c>
      <c r="M129" s="515">
        <f>IF('[1]BASE'!FZ130="","",'[1]BASE'!FZ130)</f>
      </c>
      <c r="N129" s="515">
        <f>IF('[1]BASE'!GA130="","",'[1]BASE'!GA130)</f>
      </c>
      <c r="O129" s="515">
        <f>IF('[1]BASE'!GB130="","",'[1]BASE'!GB130)</f>
      </c>
      <c r="P129" s="515">
        <f>IF('[1]BASE'!GC130="","",'[1]BASE'!GC130)</f>
      </c>
      <c r="Q129" s="515">
        <f>IF('[1]BASE'!GD130="","",'[1]BASE'!GD130)</f>
      </c>
      <c r="R129" s="515">
        <f>IF('[1]BASE'!GE130="","",'[1]BASE'!GE130)</f>
      </c>
      <c r="S129" s="515">
        <f>IF('[1]BASE'!GF130="","",'[1]BASE'!GF130)</f>
      </c>
      <c r="T129" s="515">
        <f>IF('[1]BASE'!GG130="","",'[1]BASE'!GG130)</f>
      </c>
      <c r="U129" s="474"/>
      <c r="V129" s="473"/>
    </row>
    <row r="130" spans="2:22" s="468" customFormat="1" ht="19.5" customHeight="1">
      <c r="B130" s="469"/>
      <c r="C130" s="518">
        <f>IF('[1]BASE'!C131="","",'[1]BASE'!C131)</f>
        <v>115</v>
      </c>
      <c r="D130" s="518">
        <f>IF('[1]BASE'!D131="","",'[1]BASE'!D131)</f>
        <v>3797</v>
      </c>
      <c r="E130" s="518" t="str">
        <f>IF('[1]BASE'!E131="","",'[1]BASE'!E131)</f>
        <v>S.A. DE ARECO - LUJAN BAS</v>
      </c>
      <c r="F130" s="518">
        <f>IF('[1]BASE'!F131="","",'[1]BASE'!F131)</f>
        <v>66</v>
      </c>
      <c r="G130" s="518">
        <f>IF('[1]BASE'!G131="","",'[1]BASE'!G131)</f>
        <v>49.8</v>
      </c>
      <c r="H130" s="518" t="str">
        <f>IF('[1]BASE'!H131="","",'[1]BASE'!H131)</f>
        <v>C</v>
      </c>
      <c r="I130" s="519">
        <f>IF('[1]BASE'!FV131="","",'[1]BASE'!FV131)</f>
      </c>
      <c r="J130" s="519">
        <f>IF('[1]BASE'!FW131="","",'[1]BASE'!FW131)</f>
      </c>
      <c r="K130" s="519">
        <f>IF('[1]BASE'!FX131="","",'[1]BASE'!FX131)</f>
      </c>
      <c r="L130" s="519">
        <f>IF('[1]BASE'!FY131="","",'[1]BASE'!FY131)</f>
      </c>
      <c r="M130" s="519">
        <f>IF('[1]BASE'!FZ131="","",'[1]BASE'!FZ131)</f>
      </c>
      <c r="N130" s="519">
        <f>IF('[1]BASE'!GA131="","",'[1]BASE'!GA131)</f>
      </c>
      <c r="O130" s="519">
        <f>IF('[1]BASE'!GB131="","",'[1]BASE'!GB131)</f>
      </c>
      <c r="P130" s="519">
        <f>IF('[1]BASE'!GC131="","",'[1]BASE'!GC131)</f>
      </c>
      <c r="Q130" s="519">
        <f>IF('[1]BASE'!GD131="","",'[1]BASE'!GD131)</f>
      </c>
      <c r="R130" s="519">
        <f>IF('[1]BASE'!GE131="","",'[1]BASE'!GE131)</f>
      </c>
      <c r="S130" s="519">
        <f>IF('[1]BASE'!GF131="","",'[1]BASE'!GF131)</f>
      </c>
      <c r="T130" s="519">
        <f>IF('[1]BASE'!GG131="","",'[1]BASE'!GG131)</f>
      </c>
      <c r="U130" s="474"/>
      <c r="V130" s="473"/>
    </row>
    <row r="131" spans="2:22" s="468" customFormat="1" ht="19.5" customHeight="1">
      <c r="B131" s="469"/>
      <c r="C131" s="514">
        <f>IF('[1]BASE'!C132="","",'[1]BASE'!C132)</f>
        <v>116</v>
      </c>
      <c r="D131" s="514">
        <f>IF('[1]BASE'!D132="","",'[1]BASE'!D132)</f>
        <v>3829</v>
      </c>
      <c r="E131" s="514" t="str">
        <f>IF('[1]BASE'!E132="","",'[1]BASE'!E132)</f>
        <v>OLAVARRIA - BARKER</v>
      </c>
      <c r="F131" s="514">
        <f>IF('[1]BASE'!F132="","",'[1]BASE'!F132)</f>
        <v>132</v>
      </c>
      <c r="G131" s="514">
        <f>IF('[1]BASE'!G132="","",'[1]BASE'!G132)</f>
        <v>139.4</v>
      </c>
      <c r="H131" s="514" t="str">
        <f>IF('[1]BASE'!H132="","",'[1]BASE'!H132)</f>
        <v>C</v>
      </c>
      <c r="I131" s="515">
        <f>IF('[1]BASE'!FV132="","",'[1]BASE'!FV132)</f>
      </c>
      <c r="J131" s="515">
        <f>IF('[1]BASE'!FW132="","",'[1]BASE'!FW132)</f>
        <v>1</v>
      </c>
      <c r="K131" s="515">
        <f>IF('[1]BASE'!FX132="","",'[1]BASE'!FX132)</f>
      </c>
      <c r="L131" s="515">
        <f>IF('[1]BASE'!FY132="","",'[1]BASE'!FY132)</f>
      </c>
      <c r="M131" s="515">
        <f>IF('[1]BASE'!FZ132="","",'[1]BASE'!FZ132)</f>
      </c>
      <c r="N131" s="515">
        <f>IF('[1]BASE'!GA132="","",'[1]BASE'!GA132)</f>
      </c>
      <c r="O131" s="515">
        <f>IF('[1]BASE'!GB132="","",'[1]BASE'!GB132)</f>
      </c>
      <c r="P131" s="515">
        <f>IF('[1]BASE'!GC132="","",'[1]BASE'!GC132)</f>
        <v>1</v>
      </c>
      <c r="Q131" s="515">
        <f>IF('[1]BASE'!GD132="","",'[1]BASE'!GD132)</f>
        <v>1</v>
      </c>
      <c r="R131" s="515">
        <f>IF('[1]BASE'!GE132="","",'[1]BASE'!GE132)</f>
      </c>
      <c r="S131" s="515">
        <f>IF('[1]BASE'!GF132="","",'[1]BASE'!GF132)</f>
      </c>
      <c r="T131" s="515">
        <f>IF('[1]BASE'!GG132="","",'[1]BASE'!GG132)</f>
      </c>
      <c r="U131" s="474"/>
      <c r="V131" s="473"/>
    </row>
    <row r="132" spans="2:22" s="468" customFormat="1" ht="19.5" customHeight="1">
      <c r="B132" s="469"/>
      <c r="C132" s="518">
        <f>IF('[1]BASE'!C133="","",'[1]BASE'!C133)</f>
        <v>117</v>
      </c>
      <c r="D132" s="518">
        <f>IF('[1]BASE'!D133="","",'[1]BASE'!D133)</f>
        <v>4067</v>
      </c>
      <c r="E132" s="518" t="str">
        <f>IF('[1]BASE'!E133="","",'[1]BASE'!E133)</f>
        <v>CHILLAR - OLAVARRIA </v>
      </c>
      <c r="F132" s="518">
        <f>IF('[1]BASE'!F133="","",'[1]BASE'!F133)</f>
        <v>132</v>
      </c>
      <c r="G132" s="518">
        <f>IF('[1]BASE'!G133="","",'[1]BASE'!G133)</f>
        <v>73.43</v>
      </c>
      <c r="H132" s="518" t="str">
        <f>IF('[1]BASE'!H133="","",'[1]BASE'!H133)</f>
        <v>C</v>
      </c>
      <c r="I132" s="519">
        <f>IF('[1]BASE'!FV133="","",'[1]BASE'!FV133)</f>
      </c>
      <c r="J132" s="519">
        <f>IF('[1]BASE'!FW133="","",'[1]BASE'!FW133)</f>
        <v>1</v>
      </c>
      <c r="K132" s="519">
        <f>IF('[1]BASE'!FX133="","",'[1]BASE'!FX133)</f>
      </c>
      <c r="L132" s="519">
        <f>IF('[1]BASE'!FY133="","",'[1]BASE'!FY133)</f>
      </c>
      <c r="M132" s="519">
        <f>IF('[1]BASE'!FZ133="","",'[1]BASE'!FZ133)</f>
      </c>
      <c r="N132" s="519">
        <f>IF('[1]BASE'!GA133="","",'[1]BASE'!GA133)</f>
        <v>1</v>
      </c>
      <c r="O132" s="519">
        <f>IF('[1]BASE'!GB133="","",'[1]BASE'!GB133)</f>
      </c>
      <c r="P132" s="519">
        <f>IF('[1]BASE'!GC133="","",'[1]BASE'!GC133)</f>
      </c>
      <c r="Q132" s="519">
        <f>IF('[1]BASE'!GD133="","",'[1]BASE'!GD133)</f>
      </c>
      <c r="R132" s="519">
        <f>IF('[1]BASE'!GE133="","",'[1]BASE'!GE133)</f>
      </c>
      <c r="S132" s="519">
        <f>IF('[1]BASE'!GF133="","",'[1]BASE'!GF133)</f>
      </c>
      <c r="T132" s="519">
        <f>IF('[1]BASE'!GG133="","",'[1]BASE'!GG133)</f>
      </c>
      <c r="U132" s="474"/>
      <c r="V132" s="473"/>
    </row>
    <row r="133" spans="2:22" s="468" customFormat="1" ht="19.5" customHeight="1">
      <c r="B133" s="469"/>
      <c r="C133" s="514">
        <f>IF('[1]BASE'!C134="","",'[1]BASE'!C134)</f>
        <v>118</v>
      </c>
      <c r="D133" s="514">
        <f>IF('[1]BASE'!D134="","",'[1]BASE'!D134)</f>
        <v>4070</v>
      </c>
      <c r="E133" s="514" t="str">
        <f>IF('[1]BASE'!E134="","",'[1]BASE'!E134)</f>
        <v>CHILLAR  - GONZALEZ CHAVES</v>
      </c>
      <c r="F133" s="514">
        <f>IF('[1]BASE'!F134="","",'[1]BASE'!F134)</f>
        <v>132</v>
      </c>
      <c r="G133" s="514">
        <f>IF('[1]BASE'!G134="","",'[1]BASE'!G134)</f>
        <v>89.14</v>
      </c>
      <c r="H133" s="514" t="str">
        <f>IF('[1]BASE'!H134="","",'[1]BASE'!H134)</f>
        <v>C</v>
      </c>
      <c r="I133" s="515">
        <f>IF('[1]BASE'!FV134="","",'[1]BASE'!FV134)</f>
      </c>
      <c r="J133" s="515">
        <f>IF('[1]BASE'!FW134="","",'[1]BASE'!FW134)</f>
      </c>
      <c r="K133" s="515">
        <f>IF('[1]BASE'!FX134="","",'[1]BASE'!FX134)</f>
      </c>
      <c r="L133" s="515">
        <f>IF('[1]BASE'!FY134="","",'[1]BASE'!FY134)</f>
      </c>
      <c r="M133" s="515">
        <f>IF('[1]BASE'!FZ134="","",'[1]BASE'!FZ134)</f>
      </c>
      <c r="N133" s="515">
        <f>IF('[1]BASE'!GA134="","",'[1]BASE'!GA134)</f>
      </c>
      <c r="O133" s="515">
        <f>IF('[1]BASE'!GB134="","",'[1]BASE'!GB134)</f>
      </c>
      <c r="P133" s="515">
        <f>IF('[1]BASE'!GC134="","",'[1]BASE'!GC134)</f>
      </c>
      <c r="Q133" s="515">
        <f>IF('[1]BASE'!GD134="","",'[1]BASE'!GD134)</f>
      </c>
      <c r="R133" s="515">
        <f>IF('[1]BASE'!GE134="","",'[1]BASE'!GE134)</f>
      </c>
      <c r="S133" s="515">
        <f>IF('[1]BASE'!GF134="","",'[1]BASE'!GF134)</f>
      </c>
      <c r="T133" s="515">
        <f>IF('[1]BASE'!GG134="","",'[1]BASE'!GG134)</f>
      </c>
      <c r="U133" s="474"/>
      <c r="V133" s="473"/>
    </row>
    <row r="134" spans="2:22" s="468" customFormat="1" ht="19.5" customHeight="1">
      <c r="B134" s="469"/>
      <c r="C134" s="518">
        <f>IF('[1]BASE'!C135="","",'[1]BASE'!C135)</f>
        <v>119</v>
      </c>
      <c r="D134" s="518">
        <f>IF('[1]BASE'!D135="","",'[1]BASE'!D135)</f>
        <v>4077</v>
      </c>
      <c r="E134" s="518" t="str">
        <f>IF('[1]BASE'!E135="","",'[1]BASE'!E135)</f>
        <v>CACHARI - RAUCH</v>
      </c>
      <c r="F134" s="518">
        <f>IF('[1]BASE'!F135="","",'[1]BASE'!F135)</f>
        <v>132</v>
      </c>
      <c r="G134" s="518">
        <f>IF('[1]BASE'!G135="","",'[1]BASE'!G135)</f>
        <v>19.6</v>
      </c>
      <c r="H134" s="518" t="str">
        <f>IF('[1]BASE'!H135="","",'[1]BASE'!H135)</f>
        <v>C</v>
      </c>
      <c r="I134" s="519">
        <f>IF('[1]BASE'!FV135="","",'[1]BASE'!FV135)</f>
      </c>
      <c r="J134" s="519">
        <f>IF('[1]BASE'!FW135="","",'[1]BASE'!FW135)</f>
      </c>
      <c r="K134" s="519">
        <f>IF('[1]BASE'!FX135="","",'[1]BASE'!FX135)</f>
      </c>
      <c r="L134" s="519">
        <f>IF('[1]BASE'!FY135="","",'[1]BASE'!FY135)</f>
      </c>
      <c r="M134" s="519">
        <f>IF('[1]BASE'!FZ135="","",'[1]BASE'!FZ135)</f>
      </c>
      <c r="N134" s="519">
        <f>IF('[1]BASE'!GA135="","",'[1]BASE'!GA135)</f>
      </c>
      <c r="O134" s="519">
        <f>IF('[1]BASE'!GB135="","",'[1]BASE'!GB135)</f>
      </c>
      <c r="P134" s="519">
        <f>IF('[1]BASE'!GC135="","",'[1]BASE'!GC135)</f>
      </c>
      <c r="Q134" s="519">
        <f>IF('[1]BASE'!GD135="","",'[1]BASE'!GD135)</f>
      </c>
      <c r="R134" s="519">
        <f>IF('[1]BASE'!GE135="","",'[1]BASE'!GE135)</f>
      </c>
      <c r="S134" s="519">
        <f>IF('[1]BASE'!GF135="","",'[1]BASE'!GF135)</f>
      </c>
      <c r="T134" s="519">
        <f>IF('[1]BASE'!GG135="","",'[1]BASE'!GG135)</f>
      </c>
      <c r="U134" s="474"/>
      <c r="V134" s="473"/>
    </row>
    <row r="135" spans="2:22" s="468" customFormat="1" ht="19.5" customHeight="1">
      <c r="B135" s="469"/>
      <c r="C135" s="514">
        <f>IF('[1]BASE'!C136="","",'[1]BASE'!C136)</f>
        <v>120</v>
      </c>
      <c r="D135" s="514">
        <f>IF('[1]BASE'!D136="","",'[1]BASE'!D136)</f>
        <v>4075</v>
      </c>
      <c r="E135" s="514" t="str">
        <f>IF('[1]BASE'!E136="","",'[1]BASE'!E136)</f>
        <v>AZUL - CACHARI</v>
      </c>
      <c r="F135" s="514">
        <f>IF('[1]BASE'!F136="","",'[1]BASE'!F136)</f>
        <v>132</v>
      </c>
      <c r="G135" s="514">
        <f>IF('[1]BASE'!G136="","",'[1]BASE'!G136)</f>
        <v>55.7</v>
      </c>
      <c r="H135" s="514" t="str">
        <f>IF('[1]BASE'!H136="","",'[1]BASE'!H136)</f>
        <v>C</v>
      </c>
      <c r="I135" s="515">
        <f>IF('[1]BASE'!FV136="","",'[1]BASE'!FV136)</f>
      </c>
      <c r="J135" s="515">
        <f>IF('[1]BASE'!FW136="","",'[1]BASE'!FW136)</f>
      </c>
      <c r="K135" s="515">
        <f>IF('[1]BASE'!FX136="","",'[1]BASE'!FX136)</f>
      </c>
      <c r="L135" s="515">
        <f>IF('[1]BASE'!FY136="","",'[1]BASE'!FY136)</f>
      </c>
      <c r="M135" s="515">
        <f>IF('[1]BASE'!FZ136="","",'[1]BASE'!FZ136)</f>
      </c>
      <c r="N135" s="515">
        <f>IF('[1]BASE'!GA136="","",'[1]BASE'!GA136)</f>
      </c>
      <c r="O135" s="515">
        <f>IF('[1]BASE'!GB136="","",'[1]BASE'!GB136)</f>
      </c>
      <c r="P135" s="515">
        <f>IF('[1]BASE'!GC136="","",'[1]BASE'!GC136)</f>
      </c>
      <c r="Q135" s="515">
        <f>IF('[1]BASE'!GD136="","",'[1]BASE'!GD136)</f>
      </c>
      <c r="R135" s="515">
        <f>IF('[1]BASE'!GE136="","",'[1]BASE'!GE136)</f>
      </c>
      <c r="S135" s="515">
        <f>IF('[1]BASE'!GF136="","",'[1]BASE'!GF136)</f>
      </c>
      <c r="T135" s="515">
        <f>IF('[1]BASE'!GG136="","",'[1]BASE'!GG136)</f>
        <v>1</v>
      </c>
      <c r="U135" s="474"/>
      <c r="V135" s="473"/>
    </row>
    <row r="136" spans="2:22" s="468" customFormat="1" ht="19.5" customHeight="1">
      <c r="B136" s="469"/>
      <c r="C136" s="518">
        <f>IF('[1]BASE'!C137="","",'[1]BASE'!C137)</f>
        <v>121</v>
      </c>
      <c r="D136" s="518">
        <f>IF('[1]BASE'!D137="","",'[1]BASE'!D137)</f>
        <v>4076</v>
      </c>
      <c r="E136" s="518" t="str">
        <f>IF('[1]BASE'!E137="","",'[1]BASE'!E137)</f>
        <v>CACHARI - LAS FLORES</v>
      </c>
      <c r="F136" s="518">
        <f>IF('[1]BASE'!F137="","",'[1]BASE'!F137)</f>
        <v>132</v>
      </c>
      <c r="G136" s="518">
        <f>IF('[1]BASE'!G137="","",'[1]BASE'!G137)</f>
        <v>51.3</v>
      </c>
      <c r="H136" s="518" t="str">
        <f>IF('[1]BASE'!H137="","",'[1]BASE'!H137)</f>
        <v>C</v>
      </c>
      <c r="I136" s="519">
        <f>IF('[1]BASE'!FV137="","",'[1]BASE'!FV137)</f>
      </c>
      <c r="J136" s="519">
        <f>IF('[1]BASE'!FW137="","",'[1]BASE'!FW137)</f>
      </c>
      <c r="K136" s="519">
        <f>IF('[1]BASE'!FX137="","",'[1]BASE'!FX137)</f>
      </c>
      <c r="L136" s="519">
        <f>IF('[1]BASE'!FY137="","",'[1]BASE'!FY137)</f>
      </c>
      <c r="M136" s="519">
        <f>IF('[1]BASE'!FZ137="","",'[1]BASE'!FZ137)</f>
      </c>
      <c r="N136" s="519">
        <f>IF('[1]BASE'!GA137="","",'[1]BASE'!GA137)</f>
      </c>
      <c r="O136" s="519">
        <f>IF('[1]BASE'!GB137="","",'[1]BASE'!GB137)</f>
      </c>
      <c r="P136" s="519">
        <f>IF('[1]BASE'!GC137="","",'[1]BASE'!GC137)</f>
      </c>
      <c r="Q136" s="519">
        <f>IF('[1]BASE'!GD137="","",'[1]BASE'!GD137)</f>
      </c>
      <c r="R136" s="519">
        <f>IF('[1]BASE'!GE137="","",'[1]BASE'!GE137)</f>
      </c>
      <c r="S136" s="519">
        <f>IF('[1]BASE'!GF137="","",'[1]BASE'!GF137)</f>
      </c>
      <c r="T136" s="519">
        <f>IF('[1]BASE'!GG137="","",'[1]BASE'!GG137)</f>
      </c>
      <c r="U136" s="474"/>
      <c r="V136" s="473"/>
    </row>
    <row r="137" spans="2:22" s="468" customFormat="1" ht="19.5" customHeight="1">
      <c r="B137" s="469"/>
      <c r="C137" s="514">
        <f>IF('[1]BASE'!C138="","",'[1]BASE'!C138)</f>
        <v>122</v>
      </c>
      <c r="D137" s="514">
        <f>IF('[1]BASE'!D138="","",'[1]BASE'!D138)</f>
        <v>4074</v>
      </c>
      <c r="E137" s="514" t="str">
        <f>IF('[1]BASE'!E138="","",'[1]BASE'!E138)</f>
        <v>INDIO RICO - PRINGLES</v>
      </c>
      <c r="F137" s="514">
        <f>IF('[1]BASE'!F138="","",'[1]BASE'!F138)</f>
        <v>132</v>
      </c>
      <c r="G137" s="514">
        <f>IF('[1]BASE'!G138="","",'[1]BASE'!G138)</f>
        <v>44.4</v>
      </c>
      <c r="H137" s="514" t="str">
        <f>IF('[1]BASE'!H138="","",'[1]BASE'!H138)</f>
        <v>C</v>
      </c>
      <c r="I137" s="515">
        <f>IF('[1]BASE'!FV138="","",'[1]BASE'!FV138)</f>
      </c>
      <c r="J137" s="515">
        <f>IF('[1]BASE'!FW138="","",'[1]BASE'!FW138)</f>
      </c>
      <c r="K137" s="515">
        <f>IF('[1]BASE'!FX138="","",'[1]BASE'!FX138)</f>
      </c>
      <c r="L137" s="515">
        <f>IF('[1]BASE'!FY138="","",'[1]BASE'!FY138)</f>
      </c>
      <c r="M137" s="515">
        <f>IF('[1]BASE'!FZ138="","",'[1]BASE'!FZ138)</f>
      </c>
      <c r="N137" s="515">
        <f>IF('[1]BASE'!GA138="","",'[1]BASE'!GA138)</f>
      </c>
      <c r="O137" s="515">
        <f>IF('[1]BASE'!GB138="","",'[1]BASE'!GB138)</f>
      </c>
      <c r="P137" s="515">
        <f>IF('[1]BASE'!GC138="","",'[1]BASE'!GC138)</f>
      </c>
      <c r="Q137" s="515">
        <f>IF('[1]BASE'!GD138="","",'[1]BASE'!GD138)</f>
      </c>
      <c r="R137" s="515">
        <f>IF('[1]BASE'!GE138="","",'[1]BASE'!GE138)</f>
      </c>
      <c r="S137" s="515">
        <f>IF('[1]BASE'!GF138="","",'[1]BASE'!GF138)</f>
      </c>
      <c r="T137" s="515">
        <f>IF('[1]BASE'!GG138="","",'[1]BASE'!GG138)</f>
      </c>
      <c r="U137" s="474"/>
      <c r="V137" s="473"/>
    </row>
    <row r="138" spans="2:22" s="468" customFormat="1" ht="19.5" customHeight="1">
      <c r="B138" s="469"/>
      <c r="C138" s="518">
        <f>IF('[1]BASE'!C139="","",'[1]BASE'!C139)</f>
        <v>123</v>
      </c>
      <c r="D138" s="518">
        <f>IF('[1]BASE'!D139="","",'[1]BASE'!D139)</f>
        <v>4096</v>
      </c>
      <c r="E138" s="518" t="str">
        <f>IF('[1]BASE'!E139="","",'[1]BASE'!E139)</f>
        <v>MONTE - ROSAS</v>
      </c>
      <c r="F138" s="518">
        <f>IF('[1]BASE'!F139="","",'[1]BASE'!F139)</f>
        <v>132</v>
      </c>
      <c r="G138" s="518">
        <f>IF('[1]BASE'!G139="","",'[1]BASE'!G139)</f>
        <v>58.4</v>
      </c>
      <c r="H138" s="518" t="str">
        <f>IF('[1]BASE'!H139="","",'[1]BASE'!H139)</f>
        <v>C</v>
      </c>
      <c r="I138" s="519">
        <f>IF('[1]BASE'!FV139="","",'[1]BASE'!FV139)</f>
      </c>
      <c r="J138" s="519">
        <f>IF('[1]BASE'!FW139="","",'[1]BASE'!FW139)</f>
      </c>
      <c r="K138" s="519">
        <f>IF('[1]BASE'!FX139="","",'[1]BASE'!FX139)</f>
      </c>
      <c r="L138" s="519">
        <f>IF('[1]BASE'!FY139="","",'[1]BASE'!FY139)</f>
      </c>
      <c r="M138" s="519">
        <f>IF('[1]BASE'!FZ139="","",'[1]BASE'!FZ139)</f>
      </c>
      <c r="N138" s="519">
        <f>IF('[1]BASE'!GA139="","",'[1]BASE'!GA139)</f>
      </c>
      <c r="O138" s="519">
        <f>IF('[1]BASE'!GB139="","",'[1]BASE'!GB139)</f>
      </c>
      <c r="P138" s="519">
        <f>IF('[1]BASE'!GC139="","",'[1]BASE'!GC139)</f>
      </c>
      <c r="Q138" s="519">
        <f>IF('[1]BASE'!GD139="","",'[1]BASE'!GD139)</f>
      </c>
      <c r="R138" s="519">
        <f>IF('[1]BASE'!GE139="","",'[1]BASE'!GE139)</f>
        <v>1</v>
      </c>
      <c r="S138" s="519">
        <f>IF('[1]BASE'!GF139="","",'[1]BASE'!GF139)</f>
        <v>1</v>
      </c>
      <c r="T138" s="519">
        <f>IF('[1]BASE'!GG139="","",'[1]BASE'!GG139)</f>
      </c>
      <c r="U138" s="474"/>
      <c r="V138" s="473"/>
    </row>
    <row r="139" spans="2:22" s="468" customFormat="1" ht="19.5" customHeight="1">
      <c r="B139" s="469"/>
      <c r="C139" s="514">
        <f>IF('[1]BASE'!C140="","",'[1]BASE'!C140)</f>
        <v>124</v>
      </c>
      <c r="D139" s="514">
        <f>IF('[1]BASE'!D140="","",'[1]BASE'!D140)</f>
        <v>4097</v>
      </c>
      <c r="E139" s="514" t="str">
        <f>IF('[1]BASE'!E140="","",'[1]BASE'!E140)</f>
        <v>ROSAS - NEWTON</v>
      </c>
      <c r="F139" s="514">
        <f>IF('[1]BASE'!F140="","",'[1]BASE'!F140)</f>
        <v>132</v>
      </c>
      <c r="G139" s="514">
        <f>IF('[1]BASE'!G140="","",'[1]BASE'!G140)</f>
        <v>11</v>
      </c>
      <c r="H139" s="514" t="str">
        <f>IF('[1]BASE'!H140="","",'[1]BASE'!H140)</f>
        <v>C</v>
      </c>
      <c r="I139" s="515">
        <f>IF('[1]BASE'!FV140="","",'[1]BASE'!FV140)</f>
      </c>
      <c r="J139" s="515">
        <f>IF('[1]BASE'!FW140="","",'[1]BASE'!FW140)</f>
      </c>
      <c r="K139" s="515">
        <f>IF('[1]BASE'!FX140="","",'[1]BASE'!FX140)</f>
      </c>
      <c r="L139" s="515">
        <f>IF('[1]BASE'!FY140="","",'[1]BASE'!FY140)</f>
      </c>
      <c r="M139" s="515">
        <f>IF('[1]BASE'!FZ140="","",'[1]BASE'!FZ140)</f>
      </c>
      <c r="N139" s="515">
        <f>IF('[1]BASE'!GA140="","",'[1]BASE'!GA140)</f>
      </c>
      <c r="O139" s="515">
        <f>IF('[1]BASE'!GB140="","",'[1]BASE'!GB140)</f>
      </c>
      <c r="P139" s="515">
        <f>IF('[1]BASE'!GC140="","",'[1]BASE'!GC140)</f>
      </c>
      <c r="Q139" s="515">
        <f>IF('[1]BASE'!GD140="","",'[1]BASE'!GD140)</f>
      </c>
      <c r="R139" s="515">
        <f>IF('[1]BASE'!GE140="","",'[1]BASE'!GE140)</f>
      </c>
      <c r="S139" s="515">
        <f>IF('[1]BASE'!GF140="","",'[1]BASE'!GF140)</f>
      </c>
      <c r="T139" s="515">
        <f>IF('[1]BASE'!GG140="","",'[1]BASE'!GG140)</f>
      </c>
      <c r="U139" s="474"/>
      <c r="V139" s="473"/>
    </row>
    <row r="140" spans="2:22" s="468" customFormat="1" ht="19.5" customHeight="1">
      <c r="B140" s="469"/>
      <c r="C140" s="518">
        <f>IF('[1]BASE'!C141="","",'[1]BASE'!C141)</f>
        <v>125</v>
      </c>
      <c r="D140" s="518">
        <f>IF('[1]BASE'!D141="","",'[1]BASE'!D141)</f>
        <v>4095</v>
      </c>
      <c r="E140" s="518" t="str">
        <f>IF('[1]BASE'!E141="","",'[1]BASE'!E141)</f>
        <v>LAS FLORES - ROSAS</v>
      </c>
      <c r="F140" s="518">
        <f>IF('[1]BASE'!F141="","",'[1]BASE'!F141)</f>
        <v>132</v>
      </c>
      <c r="G140" s="518">
        <f>IF('[1]BASE'!G141="","",'[1]BASE'!G141)</f>
        <v>28.4</v>
      </c>
      <c r="H140" s="518" t="str">
        <f>IF('[1]BASE'!H141="","",'[1]BASE'!H141)</f>
        <v>C</v>
      </c>
      <c r="I140" s="519">
        <f>IF('[1]BASE'!FV141="","",'[1]BASE'!FV141)</f>
      </c>
      <c r="J140" s="519">
        <f>IF('[1]BASE'!FW141="","",'[1]BASE'!FW141)</f>
      </c>
      <c r="K140" s="519">
        <f>IF('[1]BASE'!FX141="","",'[1]BASE'!FX141)</f>
      </c>
      <c r="L140" s="519">
        <f>IF('[1]BASE'!FY141="","",'[1]BASE'!FY141)</f>
      </c>
      <c r="M140" s="519">
        <f>IF('[1]BASE'!FZ141="","",'[1]BASE'!FZ141)</f>
      </c>
      <c r="N140" s="519">
        <f>IF('[1]BASE'!GA141="","",'[1]BASE'!GA141)</f>
      </c>
      <c r="O140" s="519">
        <f>IF('[1]BASE'!GB141="","",'[1]BASE'!GB141)</f>
      </c>
      <c r="P140" s="519">
        <f>IF('[1]BASE'!GC141="","",'[1]BASE'!GC141)</f>
      </c>
      <c r="Q140" s="519">
        <f>IF('[1]BASE'!GD141="","",'[1]BASE'!GD141)</f>
      </c>
      <c r="R140" s="519">
        <f>IF('[1]BASE'!GE141="","",'[1]BASE'!GE141)</f>
      </c>
      <c r="S140" s="519">
        <f>IF('[1]BASE'!GF141="","",'[1]BASE'!GF141)</f>
      </c>
      <c r="T140" s="519">
        <f>IF('[1]BASE'!GG141="","",'[1]BASE'!GG141)</f>
      </c>
      <c r="U140" s="474"/>
      <c r="V140" s="473"/>
    </row>
    <row r="141" spans="2:22" s="468" customFormat="1" ht="19.5" customHeight="1">
      <c r="B141" s="469"/>
      <c r="C141" s="514">
        <f>IF('[1]BASE'!C142="","",'[1]BASE'!C142)</f>
        <v>126</v>
      </c>
      <c r="D141" s="514">
        <f>IF('[1]BASE'!D142="","",'[1]BASE'!D142)</f>
        <v>4830</v>
      </c>
      <c r="E141" s="514" t="str">
        <f>IF('[1]BASE'!E142="","",'[1]BASE'!E142)</f>
        <v>LOS CHAÑARES - PTQ. BAHIA BLANCA</v>
      </c>
      <c r="F141" s="514">
        <f>IF('[1]BASE'!F142="","",'[1]BASE'!F142)</f>
        <v>132</v>
      </c>
      <c r="G141" s="514">
        <f>IF('[1]BASE'!G142="","",'[1]BASE'!G142)</f>
        <v>15.701</v>
      </c>
      <c r="H141" s="514" t="str">
        <f>IF('[1]BASE'!H142="","",'[1]BASE'!H142)</f>
        <v>C</v>
      </c>
      <c r="I141" s="515">
        <f>IF('[1]BASE'!FV142="","",'[1]BASE'!FV142)</f>
      </c>
      <c r="J141" s="515">
        <f>IF('[1]BASE'!FW142="","",'[1]BASE'!FW142)</f>
      </c>
      <c r="K141" s="515">
        <f>IF('[1]BASE'!FX142="","",'[1]BASE'!FX142)</f>
      </c>
      <c r="L141" s="515">
        <f>IF('[1]BASE'!FY142="","",'[1]BASE'!FY142)</f>
      </c>
      <c r="M141" s="515">
        <f>IF('[1]BASE'!FZ142="","",'[1]BASE'!FZ142)</f>
      </c>
      <c r="N141" s="515">
        <f>IF('[1]BASE'!GA142="","",'[1]BASE'!GA142)</f>
        <v>1</v>
      </c>
      <c r="O141" s="515">
        <f>IF('[1]BASE'!GB142="","",'[1]BASE'!GB142)</f>
        <v>1</v>
      </c>
      <c r="P141" s="515">
        <f>IF('[1]BASE'!GC142="","",'[1]BASE'!GC142)</f>
      </c>
      <c r="Q141" s="515">
        <f>IF('[1]BASE'!GD142="","",'[1]BASE'!GD142)</f>
      </c>
      <c r="R141" s="515">
        <f>IF('[1]BASE'!GE142="","",'[1]BASE'!GE142)</f>
      </c>
      <c r="S141" s="515">
        <f>IF('[1]BASE'!GF142="","",'[1]BASE'!GF142)</f>
      </c>
      <c r="T141" s="515">
        <f>IF('[1]BASE'!GG142="","",'[1]BASE'!GG142)</f>
      </c>
      <c r="U141" s="474"/>
      <c r="V141" s="473"/>
    </row>
    <row r="142" spans="2:22" s="468" customFormat="1" ht="19.5" customHeight="1">
      <c r="B142" s="469"/>
      <c r="C142" s="518">
        <f>IF('[1]BASE'!C143="","",'[1]BASE'!C143)</f>
        <v>127</v>
      </c>
      <c r="D142" s="518">
        <f>IF('[1]BASE'!D143="","",'[1]BASE'!D143)</f>
        <v>4831</v>
      </c>
      <c r="E142" s="518" t="str">
        <f>IF('[1]BASE'!E143="","",'[1]BASE'!E143)</f>
        <v>NORTE II - LOS CHAÑARES</v>
      </c>
      <c r="F142" s="518">
        <f>IF('[1]BASE'!F143="","",'[1]BASE'!F143)</f>
        <v>132</v>
      </c>
      <c r="G142" s="518">
        <f>IF('[1]BASE'!G143="","",'[1]BASE'!G143)</f>
        <v>15.725</v>
      </c>
      <c r="H142" s="518" t="str">
        <f>IF('[1]BASE'!H143="","",'[1]BASE'!H143)</f>
        <v>C</v>
      </c>
      <c r="I142" s="519">
        <f>IF('[1]BASE'!FV143="","",'[1]BASE'!FV143)</f>
      </c>
      <c r="J142" s="519">
        <f>IF('[1]BASE'!FW143="","",'[1]BASE'!FW143)</f>
      </c>
      <c r="K142" s="519">
        <f>IF('[1]BASE'!FX143="","",'[1]BASE'!FX143)</f>
      </c>
      <c r="L142" s="519">
        <f>IF('[1]BASE'!FY143="","",'[1]BASE'!FY143)</f>
      </c>
      <c r="M142" s="519">
        <f>IF('[1]BASE'!FZ143="","",'[1]BASE'!FZ143)</f>
      </c>
      <c r="N142" s="519">
        <f>IF('[1]BASE'!GA143="","",'[1]BASE'!GA143)</f>
      </c>
      <c r="O142" s="519">
        <f>IF('[1]BASE'!GB143="","",'[1]BASE'!GB143)</f>
      </c>
      <c r="P142" s="519">
        <f>IF('[1]BASE'!GC143="","",'[1]BASE'!GC143)</f>
      </c>
      <c r="Q142" s="519">
        <f>IF('[1]BASE'!GD143="","",'[1]BASE'!GD143)</f>
      </c>
      <c r="R142" s="519">
        <f>IF('[1]BASE'!GE143="","",'[1]BASE'!GE143)</f>
      </c>
      <c r="S142" s="519">
        <f>IF('[1]BASE'!GF143="","",'[1]BASE'!GF143)</f>
      </c>
      <c r="T142" s="519">
        <f>IF('[1]BASE'!GG143="","",'[1]BASE'!GG143)</f>
      </c>
      <c r="U142" s="474"/>
      <c r="V142" s="473"/>
    </row>
    <row r="143" spans="2:22" s="468" customFormat="1" ht="19.5" customHeight="1">
      <c r="B143" s="469"/>
      <c r="C143" s="514">
        <f>IF('[1]BASE'!C144="","",'[1]BASE'!C144)</f>
        <v>128</v>
      </c>
      <c r="D143" s="514">
        <f>IF('[1]BASE'!D144="","",'[1]BASE'!D144)</f>
        <v>4701</v>
      </c>
      <c r="E143" s="514" t="str">
        <f>IF('[1]BASE'!E144="","",'[1]BASE'!E144)</f>
        <v>CHACABUCO - CHACABUCO IND.</v>
      </c>
      <c r="F143" s="514">
        <f>IF('[1]BASE'!F144="","",'[1]BASE'!F144)</f>
        <v>132</v>
      </c>
      <c r="G143" s="514">
        <f>IF('[1]BASE'!G144="","",'[1]BASE'!G144)</f>
        <v>15.9</v>
      </c>
      <c r="H143" s="514" t="str">
        <f>IF('[1]BASE'!H144="","",'[1]BASE'!H144)</f>
        <v>C</v>
      </c>
      <c r="I143" s="515">
        <f>IF('[1]BASE'!FV144="","",'[1]BASE'!FV144)</f>
      </c>
      <c r="J143" s="515">
        <f>IF('[1]BASE'!FW144="","",'[1]BASE'!FW144)</f>
      </c>
      <c r="K143" s="515">
        <f>IF('[1]BASE'!FX144="","",'[1]BASE'!FX144)</f>
      </c>
      <c r="L143" s="515">
        <f>IF('[1]BASE'!FY144="","",'[1]BASE'!FY144)</f>
      </c>
      <c r="M143" s="515">
        <f>IF('[1]BASE'!FZ144="","",'[1]BASE'!FZ144)</f>
      </c>
      <c r="N143" s="515">
        <f>IF('[1]BASE'!GA144="","",'[1]BASE'!GA144)</f>
      </c>
      <c r="O143" s="515">
        <f>IF('[1]BASE'!GB144="","",'[1]BASE'!GB144)</f>
      </c>
      <c r="P143" s="515">
        <f>IF('[1]BASE'!GC144="","",'[1]BASE'!GC144)</f>
        <v>1</v>
      </c>
      <c r="Q143" s="515">
        <f>IF('[1]BASE'!GD144="","",'[1]BASE'!GD144)</f>
      </c>
      <c r="R143" s="515">
        <f>IF('[1]BASE'!GE144="","",'[1]BASE'!GE144)</f>
      </c>
      <c r="S143" s="515">
        <f>IF('[1]BASE'!GF144="","",'[1]BASE'!GF144)</f>
      </c>
      <c r="T143" s="515">
        <f>IF('[1]BASE'!GG144="","",'[1]BASE'!GG144)</f>
      </c>
      <c r="U143" s="474"/>
      <c r="V143" s="473"/>
    </row>
    <row r="144" spans="2:22" s="468" customFormat="1" ht="19.5" customHeight="1">
      <c r="B144" s="469"/>
      <c r="C144" s="518">
        <f>IF('[1]BASE'!C145="","",'[1]BASE'!C145)</f>
        <v>129</v>
      </c>
      <c r="D144" s="518">
        <f>IF('[1]BASE'!D145="","",'[1]BASE'!D145)</f>
        <v>4702</v>
      </c>
      <c r="E144" s="518" t="str">
        <f>IF('[1]BASE'!E145="","",'[1]BASE'!E145)</f>
        <v>CHACABUCO IND. - SALTO BA</v>
      </c>
      <c r="F144" s="518">
        <f>IF('[1]BASE'!F145="","",'[1]BASE'!F145)</f>
        <v>132</v>
      </c>
      <c r="G144" s="518">
        <f>IF('[1]BASE'!G145="","",'[1]BASE'!G145)</f>
        <v>48.6</v>
      </c>
      <c r="H144" s="518" t="str">
        <f>IF('[1]BASE'!H145="","",'[1]BASE'!H145)</f>
        <v>C</v>
      </c>
      <c r="I144" s="519">
        <f>IF('[1]BASE'!FV145="","",'[1]BASE'!FV145)</f>
      </c>
      <c r="J144" s="519">
        <f>IF('[1]BASE'!FW145="","",'[1]BASE'!FW145)</f>
      </c>
      <c r="K144" s="519">
        <f>IF('[1]BASE'!FX145="","",'[1]BASE'!FX145)</f>
      </c>
      <c r="L144" s="519">
        <f>IF('[1]BASE'!FY145="","",'[1]BASE'!FY145)</f>
      </c>
      <c r="M144" s="519">
        <f>IF('[1]BASE'!FZ145="","",'[1]BASE'!FZ145)</f>
      </c>
      <c r="N144" s="519">
        <f>IF('[1]BASE'!GA145="","",'[1]BASE'!GA145)</f>
      </c>
      <c r="O144" s="519">
        <f>IF('[1]BASE'!GB145="","",'[1]BASE'!GB145)</f>
      </c>
      <c r="P144" s="519">
        <f>IF('[1]BASE'!GC145="","",'[1]BASE'!GC145)</f>
      </c>
      <c r="Q144" s="519">
        <f>IF('[1]BASE'!GD145="","",'[1]BASE'!GD145)</f>
      </c>
      <c r="R144" s="519">
        <f>IF('[1]BASE'!GE145="","",'[1]BASE'!GE145)</f>
      </c>
      <c r="S144" s="519">
        <f>IF('[1]BASE'!GF145="","",'[1]BASE'!GF145)</f>
      </c>
      <c r="T144" s="519">
        <f>IF('[1]BASE'!GG145="","",'[1]BASE'!GG145)</f>
      </c>
      <c r="U144" s="474"/>
      <c r="V144" s="473"/>
    </row>
    <row r="145" spans="2:22" s="468" customFormat="1" ht="19.5" customHeight="1">
      <c r="B145" s="469"/>
      <c r="C145" s="514">
        <f>IF('[1]BASE'!C146="","",'[1]BASE'!C146)</f>
        <v>130</v>
      </c>
      <c r="D145" s="514">
        <f>IF('[1]BASE'!D146="","",'[1]BASE'!D146)</f>
        <v>4935</v>
      </c>
      <c r="E145" s="514" t="str">
        <f>IF('[1]BASE'!E146="","",'[1]BASE'!E146)</f>
        <v>LAS PALMAS - SAN PEDRO</v>
      </c>
      <c r="F145" s="514">
        <f>IF('[1]BASE'!F146="","",'[1]BASE'!F146)</f>
        <v>132</v>
      </c>
      <c r="G145" s="514">
        <f>IF('[1]BASE'!G146="","",'[1]BASE'!G146)</f>
        <v>67.3</v>
      </c>
      <c r="H145" s="514" t="str">
        <f>IF('[1]BASE'!H146="","",'[1]BASE'!H146)</f>
        <v>C</v>
      </c>
      <c r="I145" s="515">
        <f>IF('[1]BASE'!FV146="","",'[1]BASE'!FV146)</f>
      </c>
      <c r="J145" s="515">
        <f>IF('[1]BASE'!FW146="","",'[1]BASE'!FW146)</f>
        <v>1</v>
      </c>
      <c r="K145" s="515">
        <f>IF('[1]BASE'!FX146="","",'[1]BASE'!FX146)</f>
      </c>
      <c r="L145" s="515">
        <f>IF('[1]BASE'!FY146="","",'[1]BASE'!FY146)</f>
      </c>
      <c r="M145" s="515">
        <f>IF('[1]BASE'!FZ146="","",'[1]BASE'!FZ146)</f>
      </c>
      <c r="N145" s="515">
        <f>IF('[1]BASE'!GA146="","",'[1]BASE'!GA146)</f>
        <v>1</v>
      </c>
      <c r="O145" s="515">
        <f>IF('[1]BASE'!GB146="","",'[1]BASE'!GB146)</f>
      </c>
      <c r="P145" s="515">
        <f>IF('[1]BASE'!GC146="","",'[1]BASE'!GC146)</f>
        <v>1</v>
      </c>
      <c r="Q145" s="515">
        <f>IF('[1]BASE'!GD146="","",'[1]BASE'!GD146)</f>
      </c>
      <c r="R145" s="515">
        <f>IF('[1]BASE'!GE146="","",'[1]BASE'!GE146)</f>
      </c>
      <c r="S145" s="515">
        <f>IF('[1]BASE'!GF146="","",'[1]BASE'!GF146)</f>
        <v>1</v>
      </c>
      <c r="T145" s="515">
        <f>IF('[1]BASE'!GG146="","",'[1]BASE'!GG146)</f>
      </c>
      <c r="U145" s="474"/>
      <c r="V145" s="473"/>
    </row>
    <row r="146" spans="2:22" s="468" customFormat="1" ht="19.5" customHeight="1">
      <c r="B146" s="469"/>
      <c r="C146" s="518">
        <f>IF('[1]BASE'!C147="","",'[1]BASE'!C147)</f>
        <v>131</v>
      </c>
      <c r="D146" s="518">
        <f>IF('[1]BASE'!D147="","",'[1]BASE'!D147)</f>
        <v>4933</v>
      </c>
      <c r="E146" s="518" t="str">
        <f>IF('[1]BASE'!E147="","",'[1]BASE'!E147)</f>
        <v>ZARATE - LAS PALMAS</v>
      </c>
      <c r="F146" s="518">
        <f>IF('[1]BASE'!F147="","",'[1]BASE'!F147)</f>
        <v>132</v>
      </c>
      <c r="G146" s="518">
        <f>IF('[1]BASE'!G147="","",'[1]BASE'!G147)</f>
        <v>8.7</v>
      </c>
      <c r="H146" s="518" t="str">
        <f>IF('[1]BASE'!H147="","",'[1]BASE'!H147)</f>
        <v>C</v>
      </c>
      <c r="I146" s="519">
        <f>IF('[1]BASE'!FV147="","",'[1]BASE'!FV147)</f>
      </c>
      <c r="J146" s="519">
        <f>IF('[1]BASE'!FW147="","",'[1]BASE'!FW147)</f>
      </c>
      <c r="K146" s="519">
        <f>IF('[1]BASE'!FX147="","",'[1]BASE'!FX147)</f>
      </c>
      <c r="L146" s="519">
        <f>IF('[1]BASE'!FY147="","",'[1]BASE'!FY147)</f>
      </c>
      <c r="M146" s="519">
        <f>IF('[1]BASE'!FZ147="","",'[1]BASE'!FZ147)</f>
      </c>
      <c r="N146" s="519">
        <f>IF('[1]BASE'!GA147="","",'[1]BASE'!GA147)</f>
      </c>
      <c r="O146" s="519">
        <f>IF('[1]BASE'!GB147="","",'[1]BASE'!GB147)</f>
      </c>
      <c r="P146" s="519">
        <f>IF('[1]BASE'!GC147="","",'[1]BASE'!GC147)</f>
      </c>
      <c r="Q146" s="519">
        <f>IF('[1]BASE'!GD147="","",'[1]BASE'!GD147)</f>
      </c>
      <c r="R146" s="519">
        <f>IF('[1]BASE'!GE147="","",'[1]BASE'!GE147)</f>
      </c>
      <c r="S146" s="519">
        <f>IF('[1]BASE'!GF147="","",'[1]BASE'!GF147)</f>
      </c>
      <c r="T146" s="519">
        <f>IF('[1]BASE'!GG147="","",'[1]BASE'!GG147)</f>
      </c>
      <c r="U146" s="474"/>
      <c r="V146" s="473"/>
    </row>
    <row r="147" spans="2:22" s="468" customFormat="1" ht="19.5" customHeight="1">
      <c r="B147" s="469"/>
      <c r="C147" s="514">
        <f>IF('[1]BASE'!C148="","",'[1]BASE'!C148)</f>
        <v>132</v>
      </c>
      <c r="D147" s="514">
        <f>IF('[1]BASE'!D148="","",'[1]BASE'!D148)</f>
      </c>
      <c r="E147" s="514" t="str">
        <f>IF('[1]BASE'!E148="","",'[1]BASE'!E148)</f>
        <v>LAS PALMAS - PROTISA</v>
      </c>
      <c r="F147" s="514">
        <f>IF('[1]BASE'!F148="","",'[1]BASE'!F148)</f>
        <v>132</v>
      </c>
      <c r="G147" s="514">
        <f>IF('[1]BASE'!G148="","",'[1]BASE'!G148)</f>
        <v>4.4</v>
      </c>
      <c r="H147" s="514" t="str">
        <f>IF('[1]BASE'!H148="","",'[1]BASE'!H148)</f>
        <v>C</v>
      </c>
      <c r="I147" s="515">
        <f>IF('[1]BASE'!FV148="","",'[1]BASE'!FV148)</f>
      </c>
      <c r="J147" s="515">
        <f>IF('[1]BASE'!FW148="","",'[1]BASE'!FW148)</f>
      </c>
      <c r="K147" s="515">
        <f>IF('[1]BASE'!FX148="","",'[1]BASE'!FX148)</f>
      </c>
      <c r="L147" s="515">
        <f>IF('[1]BASE'!FY148="","",'[1]BASE'!FY148)</f>
      </c>
      <c r="M147" s="515">
        <f>IF('[1]BASE'!FZ148="","",'[1]BASE'!FZ148)</f>
      </c>
      <c r="N147" s="515">
        <f>IF('[1]BASE'!GA148="","",'[1]BASE'!GA148)</f>
      </c>
      <c r="O147" s="515">
        <f>IF('[1]BASE'!GB148="","",'[1]BASE'!GB148)</f>
      </c>
      <c r="P147" s="515">
        <f>IF('[1]BASE'!GC148="","",'[1]BASE'!GC148)</f>
      </c>
      <c r="Q147" s="515">
        <f>IF('[1]BASE'!GD148="","",'[1]BASE'!GD148)</f>
      </c>
      <c r="R147" s="515">
        <f>IF('[1]BASE'!GE148="","",'[1]BASE'!GE148)</f>
      </c>
      <c r="S147" s="515">
        <f>IF('[1]BASE'!GF148="","",'[1]BASE'!GF148)</f>
      </c>
      <c r="T147" s="515">
        <f>IF('[1]BASE'!GG148="","",'[1]BASE'!GG148)</f>
      </c>
      <c r="U147" s="474"/>
      <c r="V147" s="473"/>
    </row>
    <row r="148" spans="2:22" s="468" customFormat="1" ht="19.5" customHeight="1">
      <c r="B148" s="469"/>
      <c r="C148" s="518">
        <f>IF('[1]BASE'!C149="","",'[1]BASE'!C149)</f>
        <v>133</v>
      </c>
      <c r="D148" s="518">
        <f>IF('[1]BASE'!D149="","",'[1]BASE'!D149)</f>
        <v>4671</v>
      </c>
      <c r="E148" s="518" t="str">
        <f>IF('[1]BASE'!E149="","",'[1]BASE'!E149)</f>
        <v>PERGAMINO - COLON</v>
      </c>
      <c r="F148" s="518">
        <f>IF('[1]BASE'!F149="","",'[1]BASE'!F149)</f>
        <v>132</v>
      </c>
      <c r="G148" s="518">
        <f>IF('[1]BASE'!G149="","",'[1]BASE'!G149)</f>
        <v>52.7</v>
      </c>
      <c r="H148" s="518" t="str">
        <f>IF('[1]BASE'!H149="","",'[1]BASE'!H149)</f>
        <v>C</v>
      </c>
      <c r="I148" s="519">
        <f>IF('[1]BASE'!FV149="","",'[1]BASE'!FV149)</f>
      </c>
      <c r="J148" s="519">
        <f>IF('[1]BASE'!FW149="","",'[1]BASE'!FW149)</f>
      </c>
      <c r="K148" s="519">
        <f>IF('[1]BASE'!FX149="","",'[1]BASE'!FX149)</f>
      </c>
      <c r="L148" s="519">
        <f>IF('[1]BASE'!FY149="","",'[1]BASE'!FY149)</f>
      </c>
      <c r="M148" s="519">
        <f>IF('[1]BASE'!FZ149="","",'[1]BASE'!FZ149)</f>
      </c>
      <c r="N148" s="519">
        <f>IF('[1]BASE'!GA149="","",'[1]BASE'!GA149)</f>
        <v>1</v>
      </c>
      <c r="O148" s="519">
        <f>IF('[1]BASE'!GB149="","",'[1]BASE'!GB149)</f>
      </c>
      <c r="P148" s="519">
        <f>IF('[1]BASE'!GC149="","",'[1]BASE'!GC149)</f>
      </c>
      <c r="Q148" s="519">
        <f>IF('[1]BASE'!GD149="","",'[1]BASE'!GD149)</f>
      </c>
      <c r="R148" s="519">
        <f>IF('[1]BASE'!GE149="","",'[1]BASE'!GE149)</f>
      </c>
      <c r="S148" s="519">
        <f>IF('[1]BASE'!GF149="","",'[1]BASE'!GF149)</f>
      </c>
      <c r="T148" s="519">
        <f>IF('[1]BASE'!GG149="","",'[1]BASE'!GG149)</f>
      </c>
      <c r="U148" s="474"/>
      <c r="V148" s="473"/>
    </row>
    <row r="149" spans="2:22" s="468" customFormat="1" ht="19.5" customHeight="1">
      <c r="B149" s="469"/>
      <c r="C149" s="514">
        <f>IF('[1]BASE'!C150="","",'[1]BASE'!C150)</f>
        <v>134</v>
      </c>
      <c r="D149" s="514">
        <f>IF('[1]BASE'!D150="","",'[1]BASE'!D150)</f>
        <v>1434</v>
      </c>
      <c r="E149" s="514" t="str">
        <f>IF('[1]BASE'!E150="","",'[1]BASE'!E150)</f>
        <v>9 DE JULIO 66 - BRAGADO</v>
      </c>
      <c r="F149" s="514">
        <f>IF('[1]BASE'!F150="","",'[1]BASE'!F150)</f>
        <v>66</v>
      </c>
      <c r="G149" s="514">
        <f>IF('[1]BASE'!G150="","",'[1]BASE'!G150)</f>
        <v>60.94</v>
      </c>
      <c r="H149" s="514" t="str">
        <f>IF('[1]BASE'!H150="","",'[1]BASE'!H150)</f>
        <v>C</v>
      </c>
      <c r="I149" s="515">
        <f>IF('[1]BASE'!FV150="","",'[1]BASE'!FV150)</f>
      </c>
      <c r="J149" s="515">
        <f>IF('[1]BASE'!FW150="","",'[1]BASE'!FW150)</f>
      </c>
      <c r="K149" s="515">
        <f>IF('[1]BASE'!FX150="","",'[1]BASE'!FX150)</f>
        <v>1</v>
      </c>
      <c r="L149" s="515">
        <f>IF('[1]BASE'!FY150="","",'[1]BASE'!FY150)</f>
      </c>
      <c r="M149" s="515">
        <f>IF('[1]BASE'!FZ150="","",'[1]BASE'!FZ150)</f>
      </c>
      <c r="N149" s="515">
        <f>IF('[1]BASE'!GA150="","",'[1]BASE'!GA150)</f>
      </c>
      <c r="O149" s="515">
        <f>IF('[1]BASE'!GB150="","",'[1]BASE'!GB150)</f>
      </c>
      <c r="P149" s="515">
        <f>IF('[1]BASE'!GC150="","",'[1]BASE'!GC150)</f>
      </c>
      <c r="Q149" s="515">
        <f>IF('[1]BASE'!GD150="","",'[1]BASE'!GD150)</f>
      </c>
      <c r="R149" s="515">
        <f>IF('[1]BASE'!GE150="","",'[1]BASE'!GE150)</f>
      </c>
      <c r="S149" s="515">
        <f>IF('[1]BASE'!GF150="","",'[1]BASE'!GF150)</f>
      </c>
      <c r="T149" s="515">
        <f>IF('[1]BASE'!GG150="","",'[1]BASE'!GG150)</f>
      </c>
      <c r="U149" s="474"/>
      <c r="V149" s="473"/>
    </row>
    <row r="150" spans="2:22" s="468" customFormat="1" ht="19.5" customHeight="1">
      <c r="B150" s="469"/>
      <c r="C150" s="518">
        <f>IF('[1]BASE'!C151="","",'[1]BASE'!C151)</f>
        <v>135</v>
      </c>
      <c r="D150" s="518">
        <f>IF('[1]BASE'!D151="","",'[1]BASE'!D151)</f>
        <v>4715</v>
      </c>
      <c r="E150" s="518" t="str">
        <f>IF('[1]BASE'!E151="","",'[1]BASE'!E151)</f>
        <v>LUJAN GBA - LUJAN II GBA</v>
      </c>
      <c r="F150" s="518">
        <f>IF('[1]BASE'!F151="","",'[1]BASE'!F151)</f>
        <v>132</v>
      </c>
      <c r="G150" s="518">
        <f>IF('[1]BASE'!G151="","",'[1]BASE'!G151)</f>
        <v>9.02</v>
      </c>
      <c r="H150" s="518" t="str">
        <f>IF('[1]BASE'!H151="","",'[1]BASE'!H151)</f>
        <v>C</v>
      </c>
      <c r="I150" s="519">
        <f>IF('[1]BASE'!FV151="","",'[1]BASE'!FV151)</f>
      </c>
      <c r="J150" s="519">
        <f>IF('[1]BASE'!FW151="","",'[1]BASE'!FW151)</f>
      </c>
      <c r="K150" s="519">
        <f>IF('[1]BASE'!FX151="","",'[1]BASE'!FX151)</f>
      </c>
      <c r="L150" s="519">
        <f>IF('[1]BASE'!FY151="","",'[1]BASE'!FY151)</f>
      </c>
      <c r="M150" s="519">
        <f>IF('[1]BASE'!FZ151="","",'[1]BASE'!FZ151)</f>
      </c>
      <c r="N150" s="519">
        <f>IF('[1]BASE'!GA151="","",'[1]BASE'!GA151)</f>
      </c>
      <c r="O150" s="519">
        <f>IF('[1]BASE'!GB151="","",'[1]BASE'!GB151)</f>
      </c>
      <c r="P150" s="519">
        <f>IF('[1]BASE'!GC151="","",'[1]BASE'!GC151)</f>
      </c>
      <c r="Q150" s="519">
        <f>IF('[1]BASE'!GD151="","",'[1]BASE'!GD151)</f>
      </c>
      <c r="R150" s="519">
        <f>IF('[1]BASE'!GE151="","",'[1]BASE'!GE151)</f>
      </c>
      <c r="S150" s="519">
        <f>IF('[1]BASE'!GF151="","",'[1]BASE'!GF151)</f>
      </c>
      <c r="T150" s="519">
        <f>IF('[1]BASE'!GG151="","",'[1]BASE'!GG151)</f>
      </c>
      <c r="U150" s="474"/>
      <c r="V150" s="473"/>
    </row>
    <row r="151" spans="2:22" s="468" customFormat="1" ht="19.5" customHeight="1">
      <c r="B151" s="469"/>
      <c r="C151" s="514">
        <f>IF('[1]BASE'!C152="","",'[1]BASE'!C152)</f>
        <v>136</v>
      </c>
      <c r="D151" s="514">
        <f>IF('[1]BASE'!D152="","",'[1]BASE'!D152)</f>
        <v>4716</v>
      </c>
      <c r="E151" s="514" t="str">
        <f>IF('[1]BASE'!E152="","",'[1]BASE'!E152)</f>
        <v>LUJAN  II - MALV.1- CATONAS 1 - MORON 1</v>
      </c>
      <c r="F151" s="514">
        <f>IF('[1]BASE'!F152="","",'[1]BASE'!F152)</f>
        <v>132</v>
      </c>
      <c r="G151" s="514">
        <f>IF('[1]BASE'!G152="","",'[1]BASE'!G152)</f>
        <v>38.29</v>
      </c>
      <c r="H151" s="514" t="str">
        <f>IF('[1]BASE'!H152="","",'[1]BASE'!H152)</f>
        <v>A</v>
      </c>
      <c r="I151" s="515">
        <f>IF('[1]BASE'!FV152="","",'[1]BASE'!FV152)</f>
      </c>
      <c r="J151" s="515">
        <f>IF('[1]BASE'!FW152="","",'[1]BASE'!FW152)</f>
      </c>
      <c r="K151" s="515">
        <f>IF('[1]BASE'!FX152="","",'[1]BASE'!FX152)</f>
      </c>
      <c r="L151" s="515">
        <f>IF('[1]BASE'!FY152="","",'[1]BASE'!FY152)</f>
      </c>
      <c r="M151" s="515">
        <f>IF('[1]BASE'!FZ152="","",'[1]BASE'!FZ152)</f>
      </c>
      <c r="N151" s="515">
        <f>IF('[1]BASE'!GA152="","",'[1]BASE'!GA152)</f>
      </c>
      <c r="O151" s="515">
        <f>IF('[1]BASE'!GB152="","",'[1]BASE'!GB152)</f>
      </c>
      <c r="P151" s="515">
        <f>IF('[1]BASE'!GC152="","",'[1]BASE'!GC152)</f>
      </c>
      <c r="Q151" s="515">
        <f>IF('[1]BASE'!GD152="","",'[1]BASE'!GD152)</f>
      </c>
      <c r="R151" s="515">
        <f>IF('[1]BASE'!GE152="","",'[1]BASE'!GE152)</f>
      </c>
      <c r="S151" s="515">
        <f>IF('[1]BASE'!GF152="","",'[1]BASE'!GF152)</f>
      </c>
      <c r="T151" s="515">
        <f>IF('[1]BASE'!GG152="","",'[1]BASE'!GG152)</f>
      </c>
      <c r="U151" s="474"/>
      <c r="V151" s="473"/>
    </row>
    <row r="152" spans="2:22" s="468" customFormat="1" ht="19.5" customHeight="1">
      <c r="B152" s="469"/>
      <c r="C152" s="518">
        <f>IF('[1]BASE'!C153="","",'[1]BASE'!C153)</f>
        <v>137</v>
      </c>
      <c r="D152" s="518">
        <f>IF('[1]BASE'!D153="","",'[1]BASE'!D153)</f>
        <v>4888</v>
      </c>
      <c r="E152" s="518" t="str">
        <f>IF('[1]BASE'!E153="","",'[1]BASE'!E153)</f>
        <v>ZARATE -CAMPANA III</v>
      </c>
      <c r="F152" s="518">
        <f>IF('[1]BASE'!F153="","",'[1]BASE'!F153)</f>
        <v>132</v>
      </c>
      <c r="G152" s="518">
        <f>IF('[1]BASE'!G153="","",'[1]BASE'!G153)</f>
        <v>16.8</v>
      </c>
      <c r="H152" s="518" t="str">
        <f>IF('[1]BASE'!H153="","",'[1]BASE'!H153)</f>
        <v>C</v>
      </c>
      <c r="I152" s="519">
        <f>IF('[1]BASE'!FV153="","",'[1]BASE'!FV153)</f>
      </c>
      <c r="J152" s="519">
        <f>IF('[1]BASE'!FW153="","",'[1]BASE'!FW153)</f>
      </c>
      <c r="K152" s="519">
        <f>IF('[1]BASE'!FX153="","",'[1]BASE'!FX153)</f>
      </c>
      <c r="L152" s="519">
        <f>IF('[1]BASE'!FY153="","",'[1]BASE'!FY153)</f>
      </c>
      <c r="M152" s="519">
        <f>IF('[1]BASE'!FZ153="","",'[1]BASE'!FZ153)</f>
      </c>
      <c r="N152" s="519">
        <f>IF('[1]BASE'!GA153="","",'[1]BASE'!GA153)</f>
      </c>
      <c r="O152" s="519">
        <f>IF('[1]BASE'!GB153="","",'[1]BASE'!GB153)</f>
      </c>
      <c r="P152" s="519">
        <f>IF('[1]BASE'!GC153="","",'[1]BASE'!GC153)</f>
      </c>
      <c r="Q152" s="519">
        <f>IF('[1]BASE'!GD153="","",'[1]BASE'!GD153)</f>
      </c>
      <c r="R152" s="519">
        <f>IF('[1]BASE'!GE153="","",'[1]BASE'!GE153)</f>
      </c>
      <c r="S152" s="519">
        <f>IF('[1]BASE'!GF153="","",'[1]BASE'!GF153)</f>
      </c>
      <c r="T152" s="519">
        <f>IF('[1]BASE'!GG153="","",'[1]BASE'!GG153)</f>
      </c>
      <c r="U152" s="474"/>
      <c r="V152" s="473"/>
    </row>
    <row r="153" spans="2:22" s="468" customFormat="1" ht="19.5" customHeight="1">
      <c r="B153" s="469"/>
      <c r="C153" s="514">
        <f>IF('[1]BASE'!C154="","",'[1]BASE'!C154)</f>
        <v>138</v>
      </c>
      <c r="D153" s="514">
        <f>IF('[1]BASE'!D154="","",'[1]BASE'!D154)</f>
        <v>4889</v>
      </c>
      <c r="E153" s="514" t="str">
        <f>IF('[1]BASE'!E154="","",'[1]BASE'!E154)</f>
        <v>CAMPANBA III - MATHEU</v>
      </c>
      <c r="F153" s="514">
        <f>IF('[1]BASE'!F154="","",'[1]BASE'!F154)</f>
        <v>132</v>
      </c>
      <c r="G153" s="514">
        <f>IF('[1]BASE'!G154="","",'[1]BASE'!G154)</f>
        <v>24.7</v>
      </c>
      <c r="H153" s="514" t="str">
        <f>IF('[1]BASE'!H154="","",'[1]BASE'!H154)</f>
        <v>C</v>
      </c>
      <c r="I153" s="515">
        <f>IF('[1]BASE'!FV154="","",'[1]BASE'!FV154)</f>
      </c>
      <c r="J153" s="515">
        <f>IF('[1]BASE'!FW154="","",'[1]BASE'!FW154)</f>
      </c>
      <c r="K153" s="515">
        <f>IF('[1]BASE'!FX154="","",'[1]BASE'!FX154)</f>
      </c>
      <c r="L153" s="515">
        <f>IF('[1]BASE'!FY154="","",'[1]BASE'!FY154)</f>
      </c>
      <c r="M153" s="515">
        <f>IF('[1]BASE'!FZ154="","",'[1]BASE'!FZ154)</f>
      </c>
      <c r="N153" s="515">
        <f>IF('[1]BASE'!GA154="","",'[1]BASE'!GA154)</f>
      </c>
      <c r="O153" s="515">
        <f>IF('[1]BASE'!GB154="","",'[1]BASE'!GB154)</f>
      </c>
      <c r="P153" s="515">
        <f>IF('[1]BASE'!GC154="","",'[1]BASE'!GC154)</f>
      </c>
      <c r="Q153" s="515">
        <f>IF('[1]BASE'!GD154="","",'[1]BASE'!GD154)</f>
      </c>
      <c r="R153" s="515">
        <f>IF('[1]BASE'!GE154="","",'[1]BASE'!GE154)</f>
      </c>
      <c r="S153" s="515">
        <f>IF('[1]BASE'!GF154="","",'[1]BASE'!GF154)</f>
      </c>
      <c r="T153" s="515">
        <f>IF('[1]BASE'!GG154="","",'[1]BASE'!GG154)</f>
      </c>
      <c r="U153" s="474"/>
      <c r="V153" s="473"/>
    </row>
    <row r="154" spans="2:22" s="468" customFormat="1" ht="19.5" customHeight="1">
      <c r="B154" s="469"/>
      <c r="C154" s="518">
        <f>IF('[1]BASE'!C155="","",'[1]BASE'!C155)</f>
        <v>139</v>
      </c>
      <c r="D154" s="518">
        <f>IF('[1]BASE'!D155="","",'[1]BASE'!D155)</f>
        <v>4914</v>
      </c>
      <c r="E154" s="518" t="str">
        <f>IF('[1]BASE'!E155="","",'[1]BASE'!E155)</f>
        <v>RAMALLO - SIDERAR</v>
      </c>
      <c r="F154" s="518">
        <f>IF('[1]BASE'!F155="","",'[1]BASE'!F155)</f>
        <v>132</v>
      </c>
      <c r="G154" s="518">
        <f>IF('[1]BASE'!G155="","",'[1]BASE'!G155)</f>
        <v>6.75</v>
      </c>
      <c r="H154" s="518" t="str">
        <f>IF('[1]BASE'!H155="","",'[1]BASE'!H155)</f>
        <v>C</v>
      </c>
      <c r="I154" s="519">
        <f>IF('[1]BASE'!FV155="","",'[1]BASE'!FV155)</f>
      </c>
      <c r="J154" s="519">
        <f>IF('[1]BASE'!FW155="","",'[1]BASE'!FW155)</f>
      </c>
      <c r="K154" s="519">
        <f>IF('[1]BASE'!FX155="","",'[1]BASE'!FX155)</f>
      </c>
      <c r="L154" s="519">
        <f>IF('[1]BASE'!FY155="","",'[1]BASE'!FY155)</f>
      </c>
      <c r="M154" s="519">
        <f>IF('[1]BASE'!FZ155="","",'[1]BASE'!FZ155)</f>
      </c>
      <c r="N154" s="519">
        <f>IF('[1]BASE'!GA155="","",'[1]BASE'!GA155)</f>
      </c>
      <c r="O154" s="519">
        <f>IF('[1]BASE'!GB155="","",'[1]BASE'!GB155)</f>
      </c>
      <c r="P154" s="519">
        <f>IF('[1]BASE'!GC155="","",'[1]BASE'!GC155)</f>
      </c>
      <c r="Q154" s="519">
        <f>IF('[1]BASE'!GD155="","",'[1]BASE'!GD155)</f>
      </c>
      <c r="R154" s="519">
        <f>IF('[1]BASE'!GE155="","",'[1]BASE'!GE155)</f>
      </c>
      <c r="S154" s="519">
        <f>IF('[1]BASE'!GF155="","",'[1]BASE'!GF155)</f>
      </c>
      <c r="T154" s="519">
        <f>IF('[1]BASE'!GG155="","",'[1]BASE'!GG155)</f>
      </c>
      <c r="U154" s="474"/>
      <c r="V154" s="473"/>
    </row>
    <row r="155" spans="2:22" s="468" customFormat="1" ht="19.5" customHeight="1">
      <c r="B155" s="469"/>
      <c r="C155" s="514">
        <f>IF('[1]BASE'!C156="","",'[1]BASE'!C156)</f>
        <v>140</v>
      </c>
      <c r="D155" s="514">
        <f>IF('[1]BASE'!D156="","",'[1]BASE'!D156)</f>
        <v>4915</v>
      </c>
      <c r="E155" s="514" t="str">
        <f>IF('[1]BASE'!E156="","",'[1]BASE'!E156)</f>
        <v>SIDERAR - SAN NICOLÁS</v>
      </c>
      <c r="F155" s="514">
        <f>IF('[1]BASE'!F156="","",'[1]BASE'!F156)</f>
        <v>132</v>
      </c>
      <c r="G155" s="514">
        <f>IF('[1]BASE'!G156="","",'[1]BASE'!G156)</f>
        <v>1.31</v>
      </c>
      <c r="H155" s="514" t="str">
        <f>IF('[1]BASE'!H156="","",'[1]BASE'!H156)</f>
        <v>C</v>
      </c>
      <c r="I155" s="515">
        <f>IF('[1]BASE'!FV156="","",'[1]BASE'!FV156)</f>
      </c>
      <c r="J155" s="515">
        <f>IF('[1]BASE'!FW156="","",'[1]BASE'!FW156)</f>
      </c>
      <c r="K155" s="515">
        <f>IF('[1]BASE'!FX156="","",'[1]BASE'!FX156)</f>
      </c>
      <c r="L155" s="515">
        <f>IF('[1]BASE'!FY156="","",'[1]BASE'!FY156)</f>
      </c>
      <c r="M155" s="515">
        <f>IF('[1]BASE'!FZ156="","",'[1]BASE'!FZ156)</f>
      </c>
      <c r="N155" s="515">
        <f>IF('[1]BASE'!GA156="","",'[1]BASE'!GA156)</f>
      </c>
      <c r="O155" s="515">
        <f>IF('[1]BASE'!GB156="","",'[1]BASE'!GB156)</f>
      </c>
      <c r="P155" s="515">
        <f>IF('[1]BASE'!GC156="","",'[1]BASE'!GC156)</f>
      </c>
      <c r="Q155" s="515">
        <f>IF('[1]BASE'!GD156="","",'[1]BASE'!GD156)</f>
      </c>
      <c r="R155" s="515">
        <f>IF('[1]BASE'!GE156="","",'[1]BASE'!GE156)</f>
      </c>
      <c r="S155" s="515">
        <f>IF('[1]BASE'!GF156="","",'[1]BASE'!GF156)</f>
      </c>
      <c r="T155" s="515">
        <f>IF('[1]BASE'!GG156="","",'[1]BASE'!GG156)</f>
      </c>
      <c r="U155" s="474"/>
      <c r="V155" s="473"/>
    </row>
    <row r="156" spans="2:22" s="468" customFormat="1" ht="19.5" customHeight="1">
      <c r="B156" s="469"/>
      <c r="C156" s="518">
        <f>IF('[1]BASE'!C157="","",'[1]BASE'!C157)</f>
        <v>141</v>
      </c>
      <c r="D156" s="518">
        <f>IF('[1]BASE'!D157="","",'[1]BASE'!D157)</f>
      </c>
      <c r="E156" s="518" t="str">
        <f>IF('[1]BASE'!E157="","",'[1]BASE'!E157)</f>
        <v>RAMALLO IND - RAMALLO</v>
      </c>
      <c r="F156" s="518">
        <f>IF('[1]BASE'!F157="","",'[1]BASE'!F157)</f>
        <v>132</v>
      </c>
      <c r="G156" s="518">
        <f>IF('[1]BASE'!G157="","",'[1]BASE'!G157)</f>
        <v>17.66</v>
      </c>
      <c r="H156" s="518" t="str">
        <f>IF('[1]BASE'!H157="","",'[1]BASE'!H157)</f>
        <v>C</v>
      </c>
      <c r="I156" s="519">
        <f>IF('[1]BASE'!FV157="","",'[1]BASE'!FV157)</f>
      </c>
      <c r="J156" s="519">
        <f>IF('[1]BASE'!FW157="","",'[1]BASE'!FW157)</f>
      </c>
      <c r="K156" s="519">
        <f>IF('[1]BASE'!FX157="","",'[1]BASE'!FX157)</f>
      </c>
      <c r="L156" s="519">
        <f>IF('[1]BASE'!FY157="","",'[1]BASE'!FY157)</f>
      </c>
      <c r="M156" s="519">
        <f>IF('[1]BASE'!FZ157="","",'[1]BASE'!FZ157)</f>
      </c>
      <c r="N156" s="519">
        <f>IF('[1]BASE'!GA157="","",'[1]BASE'!GA157)</f>
      </c>
      <c r="O156" s="519">
        <f>IF('[1]BASE'!GB157="","",'[1]BASE'!GB157)</f>
      </c>
      <c r="P156" s="519">
        <f>IF('[1]BASE'!GC157="","",'[1]BASE'!GC157)</f>
      </c>
      <c r="Q156" s="519">
        <f>IF('[1]BASE'!GD157="","",'[1]BASE'!GD157)</f>
      </c>
      <c r="R156" s="519">
        <f>IF('[1]BASE'!GE157="","",'[1]BASE'!GE157)</f>
      </c>
      <c r="S156" s="519">
        <f>IF('[1]BASE'!GF157="","",'[1]BASE'!GF157)</f>
      </c>
      <c r="T156" s="519">
        <f>IF('[1]BASE'!GG157="","",'[1]BASE'!GG157)</f>
      </c>
      <c r="U156" s="474"/>
      <c r="V156" s="473"/>
    </row>
    <row r="157" spans="2:22" s="468" customFormat="1" ht="19.5" customHeight="1">
      <c r="B157" s="469"/>
      <c r="C157" s="514">
        <f>IF('[1]BASE'!C158="","",'[1]BASE'!C158)</f>
        <v>142</v>
      </c>
      <c r="D157" s="514">
        <f>IF('[1]BASE'!D158="","",'[1]BASE'!D158)</f>
        <v>4964</v>
      </c>
      <c r="E157" s="514" t="str">
        <f>IF('[1]BASE'!E158="","",'[1]BASE'!E158)</f>
        <v>PINAMAR - VALERIA DEL MAR</v>
      </c>
      <c r="F157" s="514">
        <f>IF('[1]BASE'!F158="","",'[1]BASE'!F158)</f>
        <v>132</v>
      </c>
      <c r="G157" s="514">
        <f>IF('[1]BASE'!G158="","",'[1]BASE'!G158)</f>
        <v>6</v>
      </c>
      <c r="H157" s="514" t="str">
        <f>IF('[1]BASE'!H158="","",'[1]BASE'!H158)</f>
        <v>C</v>
      </c>
      <c r="I157" s="515">
        <f>IF('[1]BASE'!FV158="","",'[1]BASE'!FV158)</f>
      </c>
      <c r="J157" s="515">
        <f>IF('[1]BASE'!FW158="","",'[1]BASE'!FW158)</f>
      </c>
      <c r="K157" s="515">
        <f>IF('[1]BASE'!FX158="","",'[1]BASE'!FX158)</f>
      </c>
      <c r="L157" s="515">
        <f>IF('[1]BASE'!FY158="","",'[1]BASE'!FY158)</f>
      </c>
      <c r="M157" s="515">
        <f>IF('[1]BASE'!FZ158="","",'[1]BASE'!FZ158)</f>
      </c>
      <c r="N157" s="515">
        <f>IF('[1]BASE'!GA158="","",'[1]BASE'!GA158)</f>
      </c>
      <c r="O157" s="515">
        <f>IF('[1]BASE'!GB158="","",'[1]BASE'!GB158)</f>
      </c>
      <c r="P157" s="515">
        <f>IF('[1]BASE'!GC158="","",'[1]BASE'!GC158)</f>
      </c>
      <c r="Q157" s="515">
        <f>IF('[1]BASE'!GD158="","",'[1]BASE'!GD158)</f>
      </c>
      <c r="R157" s="515">
        <f>IF('[1]BASE'!GE158="","",'[1]BASE'!GE158)</f>
      </c>
      <c r="S157" s="515">
        <f>IF('[1]BASE'!GF158="","",'[1]BASE'!GF158)</f>
      </c>
      <c r="T157" s="515">
        <f>IF('[1]BASE'!GG158="","",'[1]BASE'!GG158)</f>
      </c>
      <c r="U157" s="474"/>
      <c r="V157" s="473"/>
    </row>
    <row r="158" spans="2:22" s="468" customFormat="1" ht="19.5" customHeight="1">
      <c r="B158" s="469"/>
      <c r="C158" s="518">
        <f>IF('[1]BASE'!C159="","",'[1]BASE'!C159)</f>
        <v>143</v>
      </c>
      <c r="D158" s="518">
        <f>IF('[1]BASE'!D159="","",'[1]BASE'!D159)</f>
        <v>4965</v>
      </c>
      <c r="E158" s="518" t="str">
        <f>IF('[1]BASE'!E159="","",'[1]BASE'!E159)</f>
        <v>VALERIA DEL MAR - VILLA GESELL</v>
      </c>
      <c r="F158" s="518">
        <f>IF('[1]BASE'!F159="","",'[1]BASE'!F159)</f>
        <v>132</v>
      </c>
      <c r="G158" s="518">
        <f>IF('[1]BASE'!G159="","",'[1]BASE'!G159)</f>
        <v>14.28</v>
      </c>
      <c r="H158" s="518" t="str">
        <f>IF('[1]BASE'!H159="","",'[1]BASE'!H159)</f>
        <v>C</v>
      </c>
      <c r="I158" s="519">
        <f>IF('[1]BASE'!FV159="","",'[1]BASE'!FV159)</f>
      </c>
      <c r="J158" s="519">
        <f>IF('[1]BASE'!FW159="","",'[1]BASE'!FW159)</f>
      </c>
      <c r="K158" s="519">
        <f>IF('[1]BASE'!FX159="","",'[1]BASE'!FX159)</f>
      </c>
      <c r="L158" s="519">
        <f>IF('[1]BASE'!FY159="","",'[1]BASE'!FY159)</f>
      </c>
      <c r="M158" s="519">
        <f>IF('[1]BASE'!FZ159="","",'[1]BASE'!FZ159)</f>
      </c>
      <c r="N158" s="519">
        <f>IF('[1]BASE'!GA159="","",'[1]BASE'!GA159)</f>
      </c>
      <c r="O158" s="519">
        <f>IF('[1]BASE'!GB159="","",'[1]BASE'!GB159)</f>
      </c>
      <c r="P158" s="519">
        <f>IF('[1]BASE'!GC159="","",'[1]BASE'!GC159)</f>
      </c>
      <c r="Q158" s="519">
        <f>IF('[1]BASE'!GD159="","",'[1]BASE'!GD159)</f>
      </c>
      <c r="R158" s="519">
        <f>IF('[1]BASE'!GE159="","",'[1]BASE'!GE159)</f>
      </c>
      <c r="S158" s="519">
        <f>IF('[1]BASE'!GF159="","",'[1]BASE'!GF159)</f>
      </c>
      <c r="T158" s="519">
        <f>IF('[1]BASE'!GG159="","",'[1]BASE'!GG159)</f>
      </c>
      <c r="U158" s="474"/>
      <c r="V158" s="473"/>
    </row>
    <row r="159" spans="2:22" s="468" customFormat="1" ht="19.5" customHeight="1">
      <c r="B159" s="469"/>
      <c r="C159" s="514">
        <f>IF('[1]BASE'!C160="","",'[1]BASE'!C160)</f>
        <v>144</v>
      </c>
      <c r="D159" s="514">
        <f>IF('[1]BASE'!D160="","",'[1]BASE'!D160)</f>
      </c>
      <c r="E159" s="514" t="str">
        <f>IF('[1]BASE'!E160="","",'[1]BASE'!E160)</f>
        <v>BAHIA BLANCA - MONTE HERMOSO</v>
      </c>
      <c r="F159" s="514">
        <f>IF('[1]BASE'!F160="","",'[1]BASE'!F160)</f>
        <v>132</v>
      </c>
      <c r="G159" s="514">
        <f>IF('[1]BASE'!G160="","",'[1]BASE'!G160)</f>
        <v>90</v>
      </c>
      <c r="H159" s="514" t="s">
        <v>74</v>
      </c>
      <c r="I159" s="515" t="str">
        <f>IF('[1]BASE'!FV160="","",'[1]BASE'!FV160)</f>
        <v>XXXX</v>
      </c>
      <c r="J159" s="515" t="str">
        <f>IF('[1]BASE'!FW160="","",'[1]BASE'!FW160)</f>
        <v>XXXX</v>
      </c>
      <c r="K159" s="515" t="str">
        <f>IF('[1]BASE'!FX160="","",'[1]BASE'!FX160)</f>
        <v>XXXX</v>
      </c>
      <c r="L159" s="515" t="str">
        <f>IF('[1]BASE'!FY160="","",'[1]BASE'!FY160)</f>
        <v>XXXX</v>
      </c>
      <c r="M159" s="515" t="str">
        <f>IF('[1]BASE'!FZ160="","",'[1]BASE'!FZ160)</f>
        <v>XXXX</v>
      </c>
      <c r="N159" s="515" t="str">
        <f>IF('[1]BASE'!GA160="","",'[1]BASE'!GA160)</f>
        <v>XXXX</v>
      </c>
      <c r="O159" s="515" t="str">
        <f>IF('[1]BASE'!GB160="","",'[1]BASE'!GB160)</f>
        <v>XXXX</v>
      </c>
      <c r="P159" s="515" t="str">
        <f>IF('[1]BASE'!GC160="","",'[1]BASE'!GC160)</f>
        <v>XXXX</v>
      </c>
      <c r="Q159" s="515" t="str">
        <f>IF('[1]BASE'!GD160="","",'[1]BASE'!GD160)</f>
        <v>XXXX</v>
      </c>
      <c r="R159" s="515" t="str">
        <f>IF('[1]BASE'!GE160="","",'[1]BASE'!GE160)</f>
        <v>XXXX</v>
      </c>
      <c r="S159" s="515" t="str">
        <f>IF('[1]BASE'!GF160="","",'[1]BASE'!GF160)</f>
        <v>XXXX</v>
      </c>
      <c r="T159" s="515" t="str">
        <f>IF('[1]BASE'!GG160="","",'[1]BASE'!GG160)</f>
        <v>XXXX</v>
      </c>
      <c r="U159" s="474"/>
      <c r="V159" s="473"/>
    </row>
    <row r="160" spans="2:22" s="468" customFormat="1" ht="19.5" customHeight="1">
      <c r="B160" s="469"/>
      <c r="C160" s="518">
        <f>IF('[1]BASE'!C161="","",'[1]BASE'!C161)</f>
        <v>145</v>
      </c>
      <c r="D160" s="518">
        <f>IF('[1]BASE'!D161="","",'[1]BASE'!D161)</f>
      </c>
      <c r="E160" s="518" t="str">
        <f>IF('[1]BASE'!E161="","",'[1]BASE'!E161)</f>
        <v>MONTE HERMOSO - CORONEL DORREGO</v>
      </c>
      <c r="F160" s="518">
        <f>IF('[1]BASE'!F161="","",'[1]BASE'!F161)</f>
        <v>132</v>
      </c>
      <c r="G160" s="518">
        <f>IF('[1]BASE'!G161="","",'[1]BASE'!G161)</f>
        <v>35.4</v>
      </c>
      <c r="H160" s="518" t="s">
        <v>74</v>
      </c>
      <c r="I160" s="519" t="str">
        <f>IF('[1]BASE'!FV161="","",'[1]BASE'!FV161)</f>
        <v>XXXX</v>
      </c>
      <c r="J160" s="519" t="str">
        <f>IF('[1]BASE'!FW161="","",'[1]BASE'!FW161)</f>
        <v>XXXX</v>
      </c>
      <c r="K160" s="519" t="str">
        <f>IF('[1]BASE'!FX161="","",'[1]BASE'!FX161)</f>
        <v>XXXX</v>
      </c>
      <c r="L160" s="519" t="str">
        <f>IF('[1]BASE'!FY161="","",'[1]BASE'!FY161)</f>
        <v>XXXX</v>
      </c>
      <c r="M160" s="519" t="str">
        <f>IF('[1]BASE'!FZ161="","",'[1]BASE'!FZ161)</f>
        <v>XXXX</v>
      </c>
      <c r="N160" s="519" t="str">
        <f>IF('[1]BASE'!GA161="","",'[1]BASE'!GA161)</f>
        <v>XXXX</v>
      </c>
      <c r="O160" s="519" t="str">
        <f>IF('[1]BASE'!GB161="","",'[1]BASE'!GB161)</f>
        <v>XXXX</v>
      </c>
      <c r="P160" s="519" t="str">
        <f>IF('[1]BASE'!GC161="","",'[1]BASE'!GC161)</f>
        <v>XXXX</v>
      </c>
      <c r="Q160" s="519" t="str">
        <f>IF('[1]BASE'!GD161="","",'[1]BASE'!GD161)</f>
        <v>XXXX</v>
      </c>
      <c r="R160" s="519" t="str">
        <f>IF('[1]BASE'!GE161="","",'[1]BASE'!GE161)</f>
        <v>XXXX</v>
      </c>
      <c r="S160" s="519" t="str">
        <f>IF('[1]BASE'!GF161="","",'[1]BASE'!GF161)</f>
        <v>XXXX</v>
      </c>
      <c r="T160" s="519" t="str">
        <f>IF('[1]BASE'!GG161="","",'[1]BASE'!GG161)</f>
        <v>XXXX</v>
      </c>
      <c r="U160" s="474"/>
      <c r="V160" s="473"/>
    </row>
    <row r="161" spans="2:22" s="468" customFormat="1" ht="19.5" customHeight="1">
      <c r="B161" s="469"/>
      <c r="C161" s="514"/>
      <c r="D161" s="514"/>
      <c r="E161" s="514"/>
      <c r="F161" s="514"/>
      <c r="G161" s="514"/>
      <c r="H161" s="514"/>
      <c r="I161" s="515"/>
      <c r="J161" s="515"/>
      <c r="K161" s="515"/>
      <c r="L161" s="515"/>
      <c r="M161" s="515"/>
      <c r="N161" s="515"/>
      <c r="O161" s="515"/>
      <c r="P161" s="515"/>
      <c r="Q161" s="515"/>
      <c r="R161" s="515"/>
      <c r="S161" s="515"/>
      <c r="T161" s="515"/>
      <c r="U161" s="474"/>
      <c r="V161" s="473"/>
    </row>
    <row r="162" spans="2:22" s="468" customFormat="1" ht="19.5" customHeight="1" thickBot="1">
      <c r="B162" s="469"/>
      <c r="C162" s="475"/>
      <c r="D162" s="475"/>
      <c r="E162" s="475"/>
      <c r="F162" s="475"/>
      <c r="G162" s="476"/>
      <c r="H162" s="477"/>
      <c r="I162" s="517"/>
      <c r="J162" s="517"/>
      <c r="K162" s="517"/>
      <c r="L162" s="517"/>
      <c r="M162" s="517"/>
      <c r="N162" s="517"/>
      <c r="O162" s="517"/>
      <c r="P162" s="517"/>
      <c r="Q162" s="517"/>
      <c r="R162" s="517"/>
      <c r="S162" s="517"/>
      <c r="T162" s="517"/>
      <c r="U162" s="474"/>
      <c r="V162" s="473"/>
    </row>
    <row r="163" spans="2:22" s="468" customFormat="1" ht="19.5" customHeight="1" thickBot="1" thickTop="1">
      <c r="B163" s="469"/>
      <c r="C163" s="478"/>
      <c r="D163" s="478"/>
      <c r="E163" s="479" t="s">
        <v>247</v>
      </c>
      <c r="F163" s="480">
        <f>ROUND(SUM($G$16:$G$162)-SUMIF(T16:T161,"XXXX",$G$16:$G$162),2)</f>
        <v>6114.82</v>
      </c>
      <c r="G163" s="481" t="s">
        <v>248</v>
      </c>
      <c r="H163" s="481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74"/>
      <c r="V163" s="473"/>
    </row>
    <row r="164" spans="2:22" s="468" customFormat="1" ht="19.5" customHeight="1" thickBot="1" thickTop="1">
      <c r="B164" s="469"/>
      <c r="C164" s="478"/>
      <c r="D164" s="483"/>
      <c r="G164" s="484" t="s">
        <v>249</v>
      </c>
      <c r="H164" s="484"/>
      <c r="I164" s="485">
        <f aca="true" t="shared" si="0" ref="I164:T164">SUM(I16:I162)</f>
        <v>6</v>
      </c>
      <c r="J164" s="485">
        <f t="shared" si="0"/>
        <v>11</v>
      </c>
      <c r="K164" s="485">
        <f t="shared" si="0"/>
        <v>4</v>
      </c>
      <c r="L164" s="485">
        <f t="shared" si="0"/>
        <v>9</v>
      </c>
      <c r="M164" s="485">
        <f t="shared" si="0"/>
        <v>8</v>
      </c>
      <c r="N164" s="485">
        <f t="shared" si="0"/>
        <v>8</v>
      </c>
      <c r="O164" s="485">
        <f t="shared" si="0"/>
        <v>6</v>
      </c>
      <c r="P164" s="485">
        <f t="shared" si="0"/>
        <v>10</v>
      </c>
      <c r="Q164" s="485">
        <f t="shared" si="0"/>
        <v>9</v>
      </c>
      <c r="R164" s="485">
        <f t="shared" si="0"/>
        <v>6</v>
      </c>
      <c r="S164" s="485">
        <f t="shared" si="0"/>
        <v>4</v>
      </c>
      <c r="T164" s="485">
        <f t="shared" si="0"/>
        <v>7</v>
      </c>
      <c r="U164" s="486"/>
      <c r="V164" s="473"/>
    </row>
    <row r="165" spans="2:22" s="468" customFormat="1" ht="19.5" customHeight="1" thickBot="1" thickTop="1">
      <c r="B165" s="469"/>
      <c r="C165" s="478"/>
      <c r="D165" s="483"/>
      <c r="F165" s="487"/>
      <c r="G165" s="488" t="s">
        <v>250</v>
      </c>
      <c r="H165" s="488"/>
      <c r="I165" s="520">
        <f>'[1]BASE'!FV$166</f>
        <v>1.5</v>
      </c>
      <c r="J165" s="520">
        <f>'[1]BASE'!FW$166</f>
        <v>1.49</v>
      </c>
      <c r="K165" s="520">
        <f>'[1]BASE'!FX$166</f>
        <v>1.57</v>
      </c>
      <c r="L165" s="520">
        <f>'[1]BASE'!FY$166</f>
        <v>1.59</v>
      </c>
      <c r="M165" s="520">
        <f>'[1]BASE'!FZ$166</f>
        <v>1.67</v>
      </c>
      <c r="N165" s="520">
        <f>'[1]BASE'!GA$166</f>
        <v>1.68</v>
      </c>
      <c r="O165" s="520">
        <f>'[1]BASE'!GB$166</f>
        <v>1.64</v>
      </c>
      <c r="P165" s="520">
        <f>'[1]BASE'!GC$166</f>
        <v>1.47</v>
      </c>
      <c r="Q165" s="520">
        <f>'[1]BASE'!GD$166</f>
        <v>1.59</v>
      </c>
      <c r="R165" s="520">
        <f>'[1]BASE'!GE$166</f>
        <v>1.57</v>
      </c>
      <c r="S165" s="520">
        <f>'[1]BASE'!GF$166</f>
        <v>1.52</v>
      </c>
      <c r="T165" s="520">
        <f>'[1]BASE'!GG$166</f>
        <v>1.47</v>
      </c>
      <c r="U165" s="520">
        <f>SUM(I164:T164)/F163*100</f>
        <v>1.4391265809950253</v>
      </c>
      <c r="V165" s="473"/>
    </row>
    <row r="166" spans="2:22" ht="18.75" customHeight="1" thickBot="1" thickTop="1">
      <c r="B166" s="458"/>
      <c r="C166" s="478"/>
      <c r="D166" s="489"/>
      <c r="E166" s="490"/>
      <c r="F166" s="491"/>
      <c r="G166" s="492"/>
      <c r="H166" s="492"/>
      <c r="I166" s="493"/>
      <c r="J166" s="493"/>
      <c r="K166" s="493"/>
      <c r="L166" s="493"/>
      <c r="M166" s="493"/>
      <c r="N166" s="493"/>
      <c r="O166" s="493"/>
      <c r="P166" s="493"/>
      <c r="Q166" s="493"/>
      <c r="R166" s="493"/>
      <c r="S166" s="493"/>
      <c r="T166" s="493"/>
      <c r="V166" s="494"/>
    </row>
    <row r="167" spans="2:22" ht="21" thickBot="1" thickTop="1">
      <c r="B167" s="495"/>
      <c r="C167" s="496"/>
      <c r="D167" s="459"/>
      <c r="E167" s="489"/>
      <c r="G167" s="497"/>
      <c r="L167" s="498" t="s">
        <v>251</v>
      </c>
      <c r="M167" s="499"/>
      <c r="N167" s="500">
        <f>U165</f>
        <v>1.4391265809950253</v>
      </c>
      <c r="O167" s="501" t="s">
        <v>252</v>
      </c>
      <c r="P167" s="499"/>
      <c r="Q167" s="502"/>
      <c r="R167" s="459"/>
      <c r="S167" s="459"/>
      <c r="T167" s="459"/>
      <c r="V167" s="503"/>
    </row>
    <row r="168" spans="2:22" ht="18.75" customHeight="1" thickBot="1" thickTop="1">
      <c r="B168" s="504"/>
      <c r="C168" s="505"/>
      <c r="D168" s="506"/>
      <c r="E168" s="506"/>
      <c r="F168" s="507"/>
      <c r="G168" s="508"/>
      <c r="H168" s="508"/>
      <c r="I168" s="509"/>
      <c r="J168" s="509"/>
      <c r="K168" s="509"/>
      <c r="L168" s="509"/>
      <c r="M168" s="509"/>
      <c r="N168" s="509"/>
      <c r="O168" s="509"/>
      <c r="P168" s="509"/>
      <c r="Q168" s="509"/>
      <c r="R168" s="509"/>
      <c r="S168" s="509"/>
      <c r="T168" s="509"/>
      <c r="U168" s="509"/>
      <c r="V168" s="510"/>
    </row>
    <row r="169" spans="3:195" ht="13.5" thickTop="1">
      <c r="C169" s="511"/>
      <c r="D169" s="492"/>
      <c r="E169" s="492"/>
      <c r="F169" s="492"/>
      <c r="G169" s="492"/>
      <c r="H169" s="492"/>
      <c r="I169" s="512"/>
      <c r="J169" s="512"/>
      <c r="K169" s="512"/>
      <c r="L169" s="512"/>
      <c r="M169" s="512"/>
      <c r="N169" s="512"/>
      <c r="O169" s="512"/>
      <c r="P169" s="512"/>
      <c r="Q169" s="512"/>
      <c r="R169" s="512"/>
      <c r="S169" s="512"/>
      <c r="T169" s="512"/>
      <c r="U169" s="493"/>
      <c r="V169" s="459"/>
      <c r="W169" s="459"/>
      <c r="X169" s="459"/>
      <c r="Y169" s="459"/>
      <c r="Z169" s="459"/>
      <c r="AA169" s="459"/>
      <c r="AB169" s="459"/>
      <c r="AC169" s="459"/>
      <c r="AD169" s="459"/>
      <c r="AE169" s="459"/>
      <c r="AF169" s="459"/>
      <c r="AG169" s="459"/>
      <c r="AH169" s="459"/>
      <c r="AI169" s="459"/>
      <c r="AJ169" s="459"/>
      <c r="AK169" s="459"/>
      <c r="AL169" s="459"/>
      <c r="AM169" s="459"/>
      <c r="AN169" s="459"/>
      <c r="AO169" s="459"/>
      <c r="AP169" s="459"/>
      <c r="AQ169" s="459"/>
      <c r="AR169" s="459"/>
      <c r="AS169" s="459"/>
      <c r="AT169" s="459"/>
      <c r="AU169" s="459"/>
      <c r="AV169" s="459"/>
      <c r="AW169" s="459"/>
      <c r="AX169" s="459"/>
      <c r="AY169" s="459"/>
      <c r="AZ169" s="459"/>
      <c r="BA169" s="459"/>
      <c r="BB169" s="459"/>
      <c r="BC169" s="459"/>
      <c r="BD169" s="459"/>
      <c r="BE169" s="459"/>
      <c r="BF169" s="459"/>
      <c r="BG169" s="459"/>
      <c r="BH169" s="459"/>
      <c r="BI169" s="459"/>
      <c r="BJ169" s="459"/>
      <c r="BK169" s="459"/>
      <c r="BL169" s="459"/>
      <c r="BM169" s="459"/>
      <c r="BN169" s="459"/>
      <c r="BO169" s="459"/>
      <c r="BP169" s="459"/>
      <c r="BQ169" s="459"/>
      <c r="BR169" s="459"/>
      <c r="BS169" s="459"/>
      <c r="BT169" s="459"/>
      <c r="BU169" s="459"/>
      <c r="BV169" s="459"/>
      <c r="BW169" s="459"/>
      <c r="BX169" s="459"/>
      <c r="BY169" s="459"/>
      <c r="BZ169" s="459"/>
      <c r="CA169" s="459"/>
      <c r="CB169" s="459"/>
      <c r="CC169" s="459"/>
      <c r="CD169" s="459"/>
      <c r="CE169" s="459"/>
      <c r="CF169" s="459"/>
      <c r="CG169" s="459"/>
      <c r="CH169" s="459"/>
      <c r="CI169" s="459"/>
      <c r="CJ169" s="459"/>
      <c r="CK169" s="459"/>
      <c r="CL169" s="459"/>
      <c r="CM169" s="459"/>
      <c r="CN169" s="459"/>
      <c r="CO169" s="459"/>
      <c r="CP169" s="459"/>
      <c r="CQ169" s="459"/>
      <c r="CR169" s="459"/>
      <c r="CS169" s="459"/>
      <c r="CT169" s="459"/>
      <c r="CU169" s="459"/>
      <c r="CV169" s="459"/>
      <c r="CW169" s="459"/>
      <c r="CX169" s="459"/>
      <c r="CY169" s="459"/>
      <c r="CZ169" s="459"/>
      <c r="DA169" s="459"/>
      <c r="DB169" s="459"/>
      <c r="DC169" s="459"/>
      <c r="DD169" s="459"/>
      <c r="DE169" s="459"/>
      <c r="DF169" s="459"/>
      <c r="DG169" s="459"/>
      <c r="DH169" s="459"/>
      <c r="DI169" s="459"/>
      <c r="DJ169" s="459"/>
      <c r="DK169" s="459"/>
      <c r="DL169" s="459"/>
      <c r="DM169" s="459"/>
      <c r="DN169" s="459"/>
      <c r="DO169" s="459"/>
      <c r="DP169" s="459"/>
      <c r="DQ169" s="459"/>
      <c r="DR169" s="459"/>
      <c r="DS169" s="459"/>
      <c r="DT169" s="459"/>
      <c r="DU169" s="459"/>
      <c r="DV169" s="459"/>
      <c r="DW169" s="459"/>
      <c r="DX169" s="459"/>
      <c r="DY169" s="459"/>
      <c r="DZ169" s="459"/>
      <c r="EA169" s="459"/>
      <c r="EB169" s="459"/>
      <c r="EC169" s="459"/>
      <c r="ED169" s="459"/>
      <c r="EE169" s="459"/>
      <c r="EF169" s="459"/>
      <c r="EG169" s="459"/>
      <c r="EH169" s="459"/>
      <c r="EI169" s="459"/>
      <c r="EJ169" s="459"/>
      <c r="EK169" s="459"/>
      <c r="EL169" s="459"/>
      <c r="EM169" s="459"/>
      <c r="EN169" s="459"/>
      <c r="EO169" s="459"/>
      <c r="EP169" s="459"/>
      <c r="EQ169" s="459"/>
      <c r="ER169" s="459"/>
      <c r="ES169" s="459"/>
      <c r="ET169" s="459"/>
      <c r="EU169" s="459"/>
      <c r="EV169" s="459"/>
      <c r="EW169" s="459"/>
      <c r="EX169" s="459"/>
      <c r="EY169" s="459"/>
      <c r="EZ169" s="459"/>
      <c r="FA169" s="459"/>
      <c r="FB169" s="459"/>
      <c r="FC169" s="459"/>
      <c r="FD169" s="459"/>
      <c r="FE169" s="459"/>
      <c r="FF169" s="459"/>
      <c r="FG169" s="459"/>
      <c r="FH169" s="459"/>
      <c r="FI169" s="459"/>
      <c r="FJ169" s="459"/>
      <c r="FK169" s="459"/>
      <c r="FL169" s="459"/>
      <c r="FM169" s="459"/>
      <c r="FN169" s="459"/>
      <c r="FO169" s="459"/>
      <c r="FP169" s="459"/>
      <c r="FQ169" s="459"/>
      <c r="FR169" s="459"/>
      <c r="FS169" s="459"/>
      <c r="FT169" s="459"/>
      <c r="FU169" s="459"/>
      <c r="FV169" s="459"/>
      <c r="FW169" s="459"/>
      <c r="FX169" s="459"/>
      <c r="FY169" s="459"/>
      <c r="FZ169" s="459"/>
      <c r="GA169" s="459"/>
      <c r="GB169" s="459"/>
      <c r="GC169" s="459"/>
      <c r="GD169" s="459"/>
      <c r="GE169" s="459"/>
      <c r="GF169" s="459"/>
      <c r="GG169" s="459"/>
      <c r="GH169" s="459"/>
      <c r="GI169" s="459"/>
      <c r="GJ169" s="459"/>
      <c r="GK169" s="459"/>
      <c r="GL169" s="459"/>
      <c r="GM169" s="459"/>
    </row>
    <row r="170" spans="3:195" ht="12.75">
      <c r="C170" s="511"/>
      <c r="D170" s="492"/>
      <c r="E170" s="492"/>
      <c r="F170" s="492"/>
      <c r="G170" s="492"/>
      <c r="H170" s="492"/>
      <c r="I170" s="512"/>
      <c r="J170" s="512"/>
      <c r="K170" s="512"/>
      <c r="L170" s="512"/>
      <c r="M170" s="512"/>
      <c r="N170" s="512"/>
      <c r="O170" s="512"/>
      <c r="P170" s="512"/>
      <c r="Q170" s="512"/>
      <c r="R170" s="512"/>
      <c r="S170" s="512"/>
      <c r="T170" s="512"/>
      <c r="U170" s="493"/>
      <c r="V170" s="459"/>
      <c r="W170" s="459"/>
      <c r="X170" s="459"/>
      <c r="Y170" s="459"/>
      <c r="Z170" s="459"/>
      <c r="AA170" s="459"/>
      <c r="AB170" s="459"/>
      <c r="AC170" s="459"/>
      <c r="AD170" s="459"/>
      <c r="AE170" s="459"/>
      <c r="AF170" s="459"/>
      <c r="AG170" s="459"/>
      <c r="AH170" s="459"/>
      <c r="AI170" s="459"/>
      <c r="AJ170" s="459"/>
      <c r="AK170" s="459"/>
      <c r="AL170" s="459"/>
      <c r="AM170" s="459"/>
      <c r="AN170" s="459"/>
      <c r="AO170" s="459"/>
      <c r="AP170" s="459"/>
      <c r="AQ170" s="459"/>
      <c r="AR170" s="459"/>
      <c r="AS170" s="459"/>
      <c r="AT170" s="459"/>
      <c r="AU170" s="459"/>
      <c r="AV170" s="459"/>
      <c r="AW170" s="459"/>
      <c r="AX170" s="459"/>
      <c r="AY170" s="459"/>
      <c r="AZ170" s="459"/>
      <c r="BA170" s="459"/>
      <c r="BB170" s="459"/>
      <c r="BC170" s="459"/>
      <c r="BD170" s="459"/>
      <c r="BE170" s="459"/>
      <c r="BF170" s="459"/>
      <c r="BG170" s="459"/>
      <c r="BH170" s="459"/>
      <c r="BI170" s="459"/>
      <c r="BJ170" s="459"/>
      <c r="BK170" s="459"/>
      <c r="BL170" s="459"/>
      <c r="BM170" s="459"/>
      <c r="BN170" s="459"/>
      <c r="BO170" s="459"/>
      <c r="BP170" s="459"/>
      <c r="BQ170" s="459"/>
      <c r="BR170" s="459"/>
      <c r="BS170" s="459"/>
      <c r="BT170" s="459"/>
      <c r="BU170" s="459"/>
      <c r="BV170" s="459"/>
      <c r="BW170" s="459"/>
      <c r="BX170" s="459"/>
      <c r="BY170" s="459"/>
      <c r="BZ170" s="459"/>
      <c r="CA170" s="459"/>
      <c r="CB170" s="459"/>
      <c r="CC170" s="459"/>
      <c r="CD170" s="459"/>
      <c r="CE170" s="459"/>
      <c r="CF170" s="459"/>
      <c r="CG170" s="459"/>
      <c r="CH170" s="459"/>
      <c r="CI170" s="459"/>
      <c r="CJ170" s="459"/>
      <c r="CK170" s="459"/>
      <c r="CL170" s="459"/>
      <c r="CM170" s="459"/>
      <c r="CN170" s="459"/>
      <c r="CO170" s="459"/>
      <c r="CP170" s="459"/>
      <c r="CQ170" s="459"/>
      <c r="CR170" s="459"/>
      <c r="CS170" s="459"/>
      <c r="CT170" s="459"/>
      <c r="CU170" s="459"/>
      <c r="CV170" s="459"/>
      <c r="CW170" s="459"/>
      <c r="CX170" s="459"/>
      <c r="CY170" s="459"/>
      <c r="CZ170" s="459"/>
      <c r="DA170" s="459"/>
      <c r="DB170" s="459"/>
      <c r="DC170" s="459"/>
      <c r="DD170" s="459"/>
      <c r="DE170" s="459"/>
      <c r="DF170" s="459"/>
      <c r="DG170" s="459"/>
      <c r="DH170" s="459"/>
      <c r="DI170" s="459"/>
      <c r="DJ170" s="459"/>
      <c r="DK170" s="459"/>
      <c r="DL170" s="459"/>
      <c r="DM170" s="459"/>
      <c r="DN170" s="459"/>
      <c r="DO170" s="459"/>
      <c r="DP170" s="459"/>
      <c r="DQ170" s="459"/>
      <c r="DR170" s="459"/>
      <c r="DS170" s="459"/>
      <c r="DT170" s="459"/>
      <c r="DU170" s="459"/>
      <c r="DV170" s="459"/>
      <c r="DW170" s="459"/>
      <c r="DX170" s="459"/>
      <c r="DY170" s="459"/>
      <c r="DZ170" s="459"/>
      <c r="EA170" s="459"/>
      <c r="EB170" s="459"/>
      <c r="EC170" s="459"/>
      <c r="ED170" s="459"/>
      <c r="EE170" s="459"/>
      <c r="EF170" s="459"/>
      <c r="EG170" s="459"/>
      <c r="EH170" s="459"/>
      <c r="EI170" s="459"/>
      <c r="EJ170" s="459"/>
      <c r="EK170" s="459"/>
      <c r="EL170" s="459"/>
      <c r="EM170" s="459"/>
      <c r="EN170" s="459"/>
      <c r="EO170" s="459"/>
      <c r="EP170" s="459"/>
      <c r="EQ170" s="459"/>
      <c r="ER170" s="459"/>
      <c r="ES170" s="459"/>
      <c r="ET170" s="459"/>
      <c r="EU170" s="459"/>
      <c r="EV170" s="459"/>
      <c r="EW170" s="459"/>
      <c r="EX170" s="459"/>
      <c r="EY170" s="459"/>
      <c r="EZ170" s="459"/>
      <c r="FA170" s="459"/>
      <c r="FB170" s="459"/>
      <c r="FC170" s="459"/>
      <c r="FD170" s="459"/>
      <c r="FE170" s="459"/>
      <c r="FF170" s="459"/>
      <c r="FG170" s="459"/>
      <c r="FH170" s="459"/>
      <c r="FI170" s="459"/>
      <c r="FJ170" s="459"/>
      <c r="FK170" s="459"/>
      <c r="FL170" s="459"/>
      <c r="FM170" s="459"/>
      <c r="FN170" s="459"/>
      <c r="FO170" s="459"/>
      <c r="FP170" s="459"/>
      <c r="FQ170" s="459"/>
      <c r="FR170" s="459"/>
      <c r="FS170" s="459"/>
      <c r="FT170" s="459"/>
      <c r="FU170" s="459"/>
      <c r="FV170" s="459"/>
      <c r="FW170" s="459"/>
      <c r="FX170" s="459"/>
      <c r="FY170" s="459"/>
      <c r="FZ170" s="459"/>
      <c r="GA170" s="459"/>
      <c r="GB170" s="459"/>
      <c r="GC170" s="459"/>
      <c r="GD170" s="459"/>
      <c r="GE170" s="459"/>
      <c r="GF170" s="459"/>
      <c r="GG170" s="459"/>
      <c r="GH170" s="459"/>
      <c r="GI170" s="459"/>
      <c r="GJ170" s="459"/>
      <c r="GK170" s="459"/>
      <c r="GL170" s="459"/>
      <c r="GM170" s="459"/>
    </row>
    <row r="171" spans="3:195" ht="12.75">
      <c r="C171" s="511"/>
      <c r="D171" s="492"/>
      <c r="E171" s="492"/>
      <c r="F171" s="492"/>
      <c r="G171" s="492"/>
      <c r="H171" s="492"/>
      <c r="I171" s="512"/>
      <c r="J171" s="512"/>
      <c r="K171" s="512"/>
      <c r="L171" s="512"/>
      <c r="M171" s="512"/>
      <c r="N171" s="512"/>
      <c r="O171" s="512"/>
      <c r="P171" s="512"/>
      <c r="Q171" s="512"/>
      <c r="R171" s="512"/>
      <c r="S171" s="512"/>
      <c r="T171" s="512"/>
      <c r="U171" s="493"/>
      <c r="V171" s="459"/>
      <c r="W171" s="459"/>
      <c r="X171" s="459"/>
      <c r="Y171" s="459"/>
      <c r="Z171" s="459"/>
      <c r="AA171" s="459"/>
      <c r="AB171" s="459"/>
      <c r="AC171" s="459"/>
      <c r="AD171" s="459"/>
      <c r="AE171" s="459"/>
      <c r="AF171" s="459"/>
      <c r="AG171" s="459"/>
      <c r="AH171" s="459"/>
      <c r="AI171" s="459"/>
      <c r="AJ171" s="459"/>
      <c r="AK171" s="459"/>
      <c r="AL171" s="459"/>
      <c r="AM171" s="459"/>
      <c r="AN171" s="459"/>
      <c r="AO171" s="459"/>
      <c r="AP171" s="459"/>
      <c r="AQ171" s="459"/>
      <c r="AR171" s="459"/>
      <c r="AS171" s="459"/>
      <c r="AT171" s="459"/>
      <c r="AU171" s="459"/>
      <c r="AV171" s="459"/>
      <c r="AW171" s="459"/>
      <c r="AX171" s="459"/>
      <c r="AY171" s="459"/>
      <c r="AZ171" s="459"/>
      <c r="BA171" s="459"/>
      <c r="BB171" s="459"/>
      <c r="BC171" s="459"/>
      <c r="BD171" s="459"/>
      <c r="BE171" s="459"/>
      <c r="BF171" s="459"/>
      <c r="BG171" s="459"/>
      <c r="BH171" s="459"/>
      <c r="BI171" s="459"/>
      <c r="BJ171" s="459"/>
      <c r="BK171" s="459"/>
      <c r="BL171" s="459"/>
      <c r="BM171" s="459"/>
      <c r="BN171" s="459"/>
      <c r="BO171" s="459"/>
      <c r="BP171" s="459"/>
      <c r="BQ171" s="459"/>
      <c r="BR171" s="459"/>
      <c r="BS171" s="459"/>
      <c r="BT171" s="459"/>
      <c r="BU171" s="459"/>
      <c r="BV171" s="459"/>
      <c r="BW171" s="459"/>
      <c r="BX171" s="459"/>
      <c r="BY171" s="459"/>
      <c r="BZ171" s="459"/>
      <c r="CA171" s="459"/>
      <c r="CB171" s="459"/>
      <c r="CC171" s="459"/>
      <c r="CD171" s="459"/>
      <c r="CE171" s="459"/>
      <c r="CF171" s="459"/>
      <c r="CG171" s="459"/>
      <c r="CH171" s="459"/>
      <c r="CI171" s="459"/>
      <c r="CJ171" s="459"/>
      <c r="CK171" s="459"/>
      <c r="CL171" s="459"/>
      <c r="CM171" s="459"/>
      <c r="CN171" s="459"/>
      <c r="CO171" s="459"/>
      <c r="CP171" s="459"/>
      <c r="CQ171" s="459"/>
      <c r="CR171" s="459"/>
      <c r="CS171" s="459"/>
      <c r="CT171" s="459"/>
      <c r="CU171" s="459"/>
      <c r="CV171" s="459"/>
      <c r="CW171" s="459"/>
      <c r="CX171" s="459"/>
      <c r="CY171" s="459"/>
      <c r="CZ171" s="459"/>
      <c r="DA171" s="459"/>
      <c r="DB171" s="459"/>
      <c r="DC171" s="459"/>
      <c r="DD171" s="459"/>
      <c r="DE171" s="459"/>
      <c r="DF171" s="459"/>
      <c r="DG171" s="459"/>
      <c r="DH171" s="459"/>
      <c r="DI171" s="459"/>
      <c r="DJ171" s="459"/>
      <c r="DK171" s="459"/>
      <c r="DL171" s="459"/>
      <c r="DM171" s="459"/>
      <c r="DN171" s="459"/>
      <c r="DO171" s="459"/>
      <c r="DP171" s="459"/>
      <c r="DQ171" s="459"/>
      <c r="DR171" s="459"/>
      <c r="DS171" s="459"/>
      <c r="DT171" s="459"/>
      <c r="DU171" s="459"/>
      <c r="DV171" s="459"/>
      <c r="DW171" s="459"/>
      <c r="DX171" s="459"/>
      <c r="DY171" s="459"/>
      <c r="DZ171" s="459"/>
      <c r="EA171" s="459"/>
      <c r="EB171" s="459"/>
      <c r="EC171" s="459"/>
      <c r="ED171" s="459"/>
      <c r="EE171" s="459"/>
      <c r="EF171" s="459"/>
      <c r="EG171" s="459"/>
      <c r="EH171" s="459"/>
      <c r="EI171" s="459"/>
      <c r="EJ171" s="459"/>
      <c r="EK171" s="459"/>
      <c r="EL171" s="459"/>
      <c r="EM171" s="459"/>
      <c r="EN171" s="459"/>
      <c r="EO171" s="459"/>
      <c r="EP171" s="459"/>
      <c r="EQ171" s="459"/>
      <c r="ER171" s="459"/>
      <c r="ES171" s="459"/>
      <c r="ET171" s="459"/>
      <c r="EU171" s="459"/>
      <c r="EV171" s="459"/>
      <c r="EW171" s="459"/>
      <c r="EX171" s="459"/>
      <c r="EY171" s="459"/>
      <c r="EZ171" s="459"/>
      <c r="FA171" s="459"/>
      <c r="FB171" s="459"/>
      <c r="FC171" s="459"/>
      <c r="FD171" s="459"/>
      <c r="FE171" s="459"/>
      <c r="FF171" s="459"/>
      <c r="FG171" s="459"/>
      <c r="FH171" s="459"/>
      <c r="FI171" s="459"/>
      <c r="FJ171" s="459"/>
      <c r="FK171" s="459"/>
      <c r="FL171" s="459"/>
      <c r="FM171" s="459"/>
      <c r="FN171" s="459"/>
      <c r="FO171" s="459"/>
      <c r="FP171" s="459"/>
      <c r="FQ171" s="459"/>
      <c r="FR171" s="459"/>
      <c r="FS171" s="459"/>
      <c r="FT171" s="459"/>
      <c r="FU171" s="459"/>
      <c r="FV171" s="459"/>
      <c r="FW171" s="459"/>
      <c r="FX171" s="459"/>
      <c r="FY171" s="459"/>
      <c r="FZ171" s="459"/>
      <c r="GA171" s="459"/>
      <c r="GB171" s="459"/>
      <c r="GC171" s="459"/>
      <c r="GD171" s="459"/>
      <c r="GE171" s="459"/>
      <c r="GF171" s="459"/>
      <c r="GG171" s="459"/>
      <c r="GH171" s="459"/>
      <c r="GI171" s="459"/>
      <c r="GJ171" s="459"/>
      <c r="GK171" s="459"/>
      <c r="GL171" s="459"/>
      <c r="GM171" s="459"/>
    </row>
    <row r="172" spans="3:195" ht="12.75">
      <c r="C172" s="511"/>
      <c r="D172" s="492"/>
      <c r="E172" s="492"/>
      <c r="F172" s="492"/>
      <c r="G172" s="492"/>
      <c r="H172" s="492"/>
      <c r="I172" s="492"/>
      <c r="J172" s="492"/>
      <c r="K172" s="492"/>
      <c r="L172" s="492"/>
      <c r="M172" s="492"/>
      <c r="N172" s="492"/>
      <c r="O172" s="492"/>
      <c r="P172" s="492"/>
      <c r="Q172" s="492"/>
      <c r="R172" s="492"/>
      <c r="S172" s="492"/>
      <c r="T172" s="492"/>
      <c r="U172" s="492"/>
      <c r="V172" s="459"/>
      <c r="W172" s="459"/>
      <c r="X172" s="459"/>
      <c r="Y172" s="459"/>
      <c r="Z172" s="459"/>
      <c r="AA172" s="459"/>
      <c r="AB172" s="459"/>
      <c r="AC172" s="459"/>
      <c r="AD172" s="459"/>
      <c r="AE172" s="459"/>
      <c r="AF172" s="459"/>
      <c r="AG172" s="459"/>
      <c r="AH172" s="459"/>
      <c r="AI172" s="459"/>
      <c r="AJ172" s="459"/>
      <c r="AK172" s="459"/>
      <c r="AL172" s="459"/>
      <c r="AM172" s="459"/>
      <c r="AN172" s="459"/>
      <c r="AO172" s="459"/>
      <c r="AP172" s="459"/>
      <c r="AQ172" s="459"/>
      <c r="AR172" s="459"/>
      <c r="AS172" s="459"/>
      <c r="AT172" s="459"/>
      <c r="AU172" s="459"/>
      <c r="AV172" s="459"/>
      <c r="AW172" s="459"/>
      <c r="AX172" s="459"/>
      <c r="AY172" s="459"/>
      <c r="AZ172" s="459"/>
      <c r="BA172" s="459"/>
      <c r="BB172" s="459"/>
      <c r="BC172" s="459"/>
      <c r="BD172" s="459"/>
      <c r="BE172" s="459"/>
      <c r="BF172" s="459"/>
      <c r="BG172" s="459"/>
      <c r="BH172" s="459"/>
      <c r="BI172" s="459"/>
      <c r="BJ172" s="459"/>
      <c r="BK172" s="459"/>
      <c r="BL172" s="459"/>
      <c r="BM172" s="459"/>
      <c r="BN172" s="459"/>
      <c r="BO172" s="459"/>
      <c r="BP172" s="459"/>
      <c r="BQ172" s="459"/>
      <c r="BR172" s="459"/>
      <c r="BS172" s="459"/>
      <c r="BT172" s="459"/>
      <c r="BU172" s="459"/>
      <c r="BV172" s="459"/>
      <c r="BW172" s="459"/>
      <c r="BX172" s="459"/>
      <c r="BY172" s="459"/>
      <c r="BZ172" s="459"/>
      <c r="CA172" s="459"/>
      <c r="CB172" s="459"/>
      <c r="CC172" s="459"/>
      <c r="CD172" s="459"/>
      <c r="CE172" s="459"/>
      <c r="CF172" s="459"/>
      <c r="CG172" s="459"/>
      <c r="CH172" s="459"/>
      <c r="CI172" s="459"/>
      <c r="CJ172" s="459"/>
      <c r="CK172" s="459"/>
      <c r="CL172" s="459"/>
      <c r="CM172" s="459"/>
      <c r="CN172" s="459"/>
      <c r="CO172" s="459"/>
      <c r="CP172" s="459"/>
      <c r="CQ172" s="459"/>
      <c r="CR172" s="459"/>
      <c r="CS172" s="459"/>
      <c r="CT172" s="459"/>
      <c r="CU172" s="459"/>
      <c r="CV172" s="459"/>
      <c r="CW172" s="459"/>
      <c r="CX172" s="459"/>
      <c r="CY172" s="459"/>
      <c r="CZ172" s="459"/>
      <c r="DA172" s="459"/>
      <c r="DB172" s="459"/>
      <c r="DC172" s="459"/>
      <c r="DD172" s="459"/>
      <c r="DE172" s="459"/>
      <c r="DF172" s="459"/>
      <c r="DG172" s="459"/>
      <c r="DH172" s="459"/>
      <c r="DI172" s="459"/>
      <c r="DJ172" s="459"/>
      <c r="DK172" s="459"/>
      <c r="DL172" s="459"/>
      <c r="DM172" s="459"/>
      <c r="DN172" s="459"/>
      <c r="DO172" s="459"/>
      <c r="DP172" s="459"/>
      <c r="DQ172" s="459"/>
      <c r="DR172" s="459"/>
      <c r="DS172" s="459"/>
      <c r="DT172" s="459"/>
      <c r="DU172" s="459"/>
      <c r="DV172" s="459"/>
      <c r="DW172" s="459"/>
      <c r="DX172" s="459"/>
      <c r="DY172" s="459"/>
      <c r="DZ172" s="459"/>
      <c r="EA172" s="459"/>
      <c r="EB172" s="459"/>
      <c r="EC172" s="459"/>
      <c r="ED172" s="459"/>
      <c r="EE172" s="459"/>
      <c r="EF172" s="459"/>
      <c r="EG172" s="459"/>
      <c r="EH172" s="459"/>
      <c r="EI172" s="459"/>
      <c r="EJ172" s="459"/>
      <c r="EK172" s="459"/>
      <c r="EL172" s="459"/>
      <c r="EM172" s="459"/>
      <c r="EN172" s="459"/>
      <c r="EO172" s="459"/>
      <c r="EP172" s="459"/>
      <c r="EQ172" s="459"/>
      <c r="ER172" s="459"/>
      <c r="ES172" s="459"/>
      <c r="ET172" s="459"/>
      <c r="EU172" s="459"/>
      <c r="EV172" s="459"/>
      <c r="EW172" s="459"/>
      <c r="EX172" s="459"/>
      <c r="EY172" s="459"/>
      <c r="EZ172" s="459"/>
      <c r="FA172" s="459"/>
      <c r="FB172" s="459"/>
      <c r="FC172" s="459"/>
      <c r="FD172" s="459"/>
      <c r="FE172" s="459"/>
      <c r="FF172" s="459"/>
      <c r="FG172" s="459"/>
      <c r="FH172" s="459"/>
      <c r="FI172" s="459"/>
      <c r="FJ172" s="459"/>
      <c r="FK172" s="459"/>
      <c r="FL172" s="459"/>
      <c r="FM172" s="459"/>
      <c r="FN172" s="459"/>
      <c r="FO172" s="459"/>
      <c r="FP172" s="459"/>
      <c r="FQ172" s="459"/>
      <c r="FR172" s="459"/>
      <c r="FS172" s="459"/>
      <c r="FT172" s="459"/>
      <c r="FU172" s="459"/>
      <c r="FV172" s="459"/>
      <c r="FW172" s="459"/>
      <c r="FX172" s="459"/>
      <c r="FY172" s="459"/>
      <c r="FZ172" s="459"/>
      <c r="GA172" s="459"/>
      <c r="GB172" s="459"/>
      <c r="GC172" s="459"/>
      <c r="GD172" s="459"/>
      <c r="GE172" s="459"/>
      <c r="GF172" s="459"/>
      <c r="GG172" s="459"/>
      <c r="GH172" s="459"/>
      <c r="GI172" s="459"/>
      <c r="GJ172" s="459"/>
      <c r="GK172" s="459"/>
      <c r="GL172" s="459"/>
      <c r="GM172" s="459"/>
    </row>
    <row r="173" spans="3:195" ht="12.75">
      <c r="C173" s="511"/>
      <c r="D173" s="459"/>
      <c r="E173" s="459"/>
      <c r="F173" s="492"/>
      <c r="G173" s="492"/>
      <c r="H173" s="492"/>
      <c r="I173" s="459"/>
      <c r="J173" s="459"/>
      <c r="K173" s="459"/>
      <c r="L173" s="459"/>
      <c r="M173" s="459"/>
      <c r="N173" s="459"/>
      <c r="O173" s="459"/>
      <c r="P173" s="459"/>
      <c r="Q173" s="459"/>
      <c r="R173" s="459"/>
      <c r="S173" s="459"/>
      <c r="T173" s="459"/>
      <c r="U173" s="459"/>
      <c r="V173" s="459"/>
      <c r="W173" s="459"/>
      <c r="X173" s="459"/>
      <c r="Y173" s="459"/>
      <c r="Z173" s="459"/>
      <c r="AA173" s="459"/>
      <c r="AB173" s="459"/>
      <c r="AC173" s="459"/>
      <c r="AD173" s="459"/>
      <c r="AE173" s="459"/>
      <c r="AF173" s="459"/>
      <c r="AG173" s="459"/>
      <c r="AH173" s="459"/>
      <c r="AI173" s="459"/>
      <c r="AJ173" s="459"/>
      <c r="AK173" s="459"/>
      <c r="AL173" s="459"/>
      <c r="AM173" s="459"/>
      <c r="AN173" s="459"/>
      <c r="AO173" s="459"/>
      <c r="AP173" s="459"/>
      <c r="AQ173" s="459"/>
      <c r="AR173" s="459"/>
      <c r="AS173" s="459"/>
      <c r="AT173" s="459"/>
      <c r="AU173" s="459"/>
      <c r="AV173" s="459"/>
      <c r="AW173" s="459"/>
      <c r="AX173" s="459"/>
      <c r="AY173" s="459"/>
      <c r="AZ173" s="459"/>
      <c r="BA173" s="459"/>
      <c r="BB173" s="459"/>
      <c r="BC173" s="459"/>
      <c r="BD173" s="459"/>
      <c r="BE173" s="459"/>
      <c r="BF173" s="459"/>
      <c r="BG173" s="459"/>
      <c r="BH173" s="459"/>
      <c r="BI173" s="459"/>
      <c r="BJ173" s="459"/>
      <c r="BK173" s="459"/>
      <c r="BL173" s="459"/>
      <c r="BM173" s="459"/>
      <c r="BN173" s="459"/>
      <c r="BO173" s="459"/>
      <c r="BP173" s="459"/>
      <c r="BQ173" s="459"/>
      <c r="BR173" s="459"/>
      <c r="BS173" s="459"/>
      <c r="BT173" s="459"/>
      <c r="BU173" s="459"/>
      <c r="BV173" s="459"/>
      <c r="BW173" s="459"/>
      <c r="BX173" s="459"/>
      <c r="BY173" s="459"/>
      <c r="BZ173" s="459"/>
      <c r="CA173" s="459"/>
      <c r="CB173" s="459"/>
      <c r="CC173" s="459"/>
      <c r="CD173" s="459"/>
      <c r="CE173" s="459"/>
      <c r="CF173" s="459"/>
      <c r="CG173" s="459"/>
      <c r="CH173" s="459"/>
      <c r="CI173" s="459"/>
      <c r="CJ173" s="459"/>
      <c r="CK173" s="459"/>
      <c r="CL173" s="459"/>
      <c r="CM173" s="459"/>
      <c r="CN173" s="459"/>
      <c r="CO173" s="459"/>
      <c r="CP173" s="459"/>
      <c r="CQ173" s="459"/>
      <c r="CR173" s="459"/>
      <c r="CS173" s="459"/>
      <c r="CT173" s="459"/>
      <c r="CU173" s="459"/>
      <c r="CV173" s="459"/>
      <c r="CW173" s="459"/>
      <c r="CX173" s="459"/>
      <c r="CY173" s="459"/>
      <c r="CZ173" s="459"/>
      <c r="DA173" s="459"/>
      <c r="DB173" s="459"/>
      <c r="DC173" s="459"/>
      <c r="DD173" s="459"/>
      <c r="DE173" s="459"/>
      <c r="DF173" s="459"/>
      <c r="DG173" s="459"/>
      <c r="DH173" s="459"/>
      <c r="DI173" s="459"/>
      <c r="DJ173" s="459"/>
      <c r="DK173" s="459"/>
      <c r="DL173" s="459"/>
      <c r="DM173" s="459"/>
      <c r="DN173" s="459"/>
      <c r="DO173" s="459"/>
      <c r="DP173" s="459"/>
      <c r="DQ173" s="459"/>
      <c r="DR173" s="459"/>
      <c r="DS173" s="459"/>
      <c r="DT173" s="459"/>
      <c r="DU173" s="459"/>
      <c r="DV173" s="459"/>
      <c r="DW173" s="459"/>
      <c r="DX173" s="459"/>
      <c r="DY173" s="459"/>
      <c r="DZ173" s="459"/>
      <c r="EA173" s="459"/>
      <c r="EB173" s="459"/>
      <c r="EC173" s="459"/>
      <c r="ED173" s="459"/>
      <c r="EE173" s="459"/>
      <c r="EF173" s="459"/>
      <c r="EG173" s="459"/>
      <c r="EH173" s="459"/>
      <c r="EI173" s="459"/>
      <c r="EJ173" s="459"/>
      <c r="EK173" s="459"/>
      <c r="EL173" s="459"/>
      <c r="EM173" s="459"/>
      <c r="EN173" s="459"/>
      <c r="EO173" s="459"/>
      <c r="EP173" s="459"/>
      <c r="EQ173" s="459"/>
      <c r="ER173" s="459"/>
      <c r="ES173" s="459"/>
      <c r="ET173" s="459"/>
      <c r="EU173" s="459"/>
      <c r="EV173" s="459"/>
      <c r="EW173" s="459"/>
      <c r="EX173" s="459"/>
      <c r="EY173" s="459"/>
      <c r="EZ173" s="459"/>
      <c r="FA173" s="459"/>
      <c r="FB173" s="459"/>
      <c r="FC173" s="459"/>
      <c r="FD173" s="459"/>
      <c r="FE173" s="459"/>
      <c r="FF173" s="459"/>
      <c r="FG173" s="459"/>
      <c r="FH173" s="459"/>
      <c r="FI173" s="459"/>
      <c r="FJ173" s="459"/>
      <c r="FK173" s="459"/>
      <c r="FL173" s="459"/>
      <c r="FM173" s="459"/>
      <c r="FN173" s="459"/>
      <c r="FO173" s="459"/>
      <c r="FP173" s="459"/>
      <c r="FQ173" s="459"/>
      <c r="FR173" s="459"/>
      <c r="FS173" s="459"/>
      <c r="FT173" s="459"/>
      <c r="FU173" s="459"/>
      <c r="FV173" s="459"/>
      <c r="FW173" s="459"/>
      <c r="FX173" s="459"/>
      <c r="FY173" s="459"/>
      <c r="FZ173" s="459"/>
      <c r="GA173" s="459"/>
      <c r="GB173" s="459"/>
      <c r="GC173" s="459"/>
      <c r="GD173" s="459"/>
      <c r="GE173" s="459"/>
      <c r="GF173" s="459"/>
      <c r="GG173" s="459"/>
      <c r="GH173" s="459"/>
      <c r="GI173" s="459"/>
      <c r="GJ173" s="459"/>
      <c r="GK173" s="459"/>
      <c r="GL173" s="459"/>
      <c r="GM173" s="459"/>
    </row>
    <row r="174" spans="3:8" ht="12.75">
      <c r="C174" s="511"/>
      <c r="F174" s="511"/>
      <c r="G174" s="511"/>
      <c r="H174" s="511"/>
    </row>
    <row r="175" spans="3:8" ht="12.75">
      <c r="C175" s="511"/>
      <c r="F175" s="511"/>
      <c r="G175" s="511"/>
      <c r="H175" s="511"/>
    </row>
    <row r="176" spans="3:8" ht="12.75">
      <c r="C176" s="511"/>
      <c r="F176" s="511"/>
      <c r="G176" s="511"/>
      <c r="H176" s="511"/>
    </row>
    <row r="177" spans="6:8" ht="12.75">
      <c r="F177" s="511"/>
      <c r="G177" s="511"/>
      <c r="H177" s="511"/>
    </row>
    <row r="199" spans="9:20" ht="12.75">
      <c r="I199" s="513"/>
      <c r="J199" s="513"/>
      <c r="K199" s="513"/>
      <c r="L199" s="513"/>
      <c r="M199" s="513"/>
      <c r="N199" s="513"/>
      <c r="O199" s="513"/>
      <c r="P199" s="513"/>
      <c r="Q199" s="513"/>
      <c r="R199" s="513"/>
      <c r="S199" s="513"/>
      <c r="T199" s="513"/>
    </row>
  </sheetData>
  <sheetProtection/>
  <mergeCells count="4">
    <mergeCell ref="B12:V12"/>
    <mergeCell ref="B5:V5"/>
    <mergeCell ref="B7:V7"/>
    <mergeCell ref="B9:V9"/>
  </mergeCells>
  <printOptions/>
  <pageMargins left="0.6" right="0.1968503937007874" top="0.36" bottom="0.37" header="0.19" footer="0.19"/>
  <pageSetup fitToHeight="1" fitToWidth="1" horizontalDpi="300" verticalDpi="300" orientation="portrait" paperSize="9" scale="27" r:id="rId2"/>
  <headerFooter alignWithMargins="0">
    <oddFooter>&amp;L&amp;"Times New Roman,Normal"&amp;5&amp;Z&amp;F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0" zoomScaleNormal="70" zoomScalePageLayoutView="0" workbookViewId="0" topLeftCell="A13">
      <selection activeCell="G14" sqref="G14:H16"/>
    </sheetView>
  </sheetViews>
  <sheetFormatPr defaultColWidth="11.421875" defaultRowHeight="12.75"/>
  <cols>
    <col min="1" max="1" width="19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42187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3"/>
    </row>
    <row r="2" spans="2:30" s="3" customFormat="1" ht="26.25">
      <c r="B2" s="16" t="str">
        <f>'TOT-1212'!B2</f>
        <v>ANEXO I al Memorándum  D.T.E.E.  N° 335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+'TOT-1212'!B14</f>
        <v>Desde el 01 al 31 de diciembre de 2012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222.578</v>
      </c>
      <c r="H14" s="37"/>
      <c r="I14" s="38"/>
      <c r="J14" s="34"/>
      <c r="K14" s="34"/>
      <c r="L14" s="39" t="s">
        <v>8</v>
      </c>
      <c r="M14" s="40">
        <f>150*'TOT-1212'!B13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212.687</v>
      </c>
      <c r="H15" s="42"/>
      <c r="I15" s="43"/>
      <c r="J15" s="7"/>
      <c r="K15" s="44"/>
      <c r="L15" s="39" t="s">
        <v>10</v>
      </c>
      <c r="M15" s="40">
        <f>50*'TOT-1212'!B13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212.687</v>
      </c>
      <c r="H16" s="42"/>
      <c r="I16" s="43"/>
      <c r="J16" s="7"/>
      <c r="K16" s="7"/>
      <c r="L16" s="39" t="s">
        <v>12</v>
      </c>
      <c r="M16" s="40">
        <f>10*'TOT-1212'!B13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21">
        <v>3</v>
      </c>
      <c r="D17" s="421">
        <v>4</v>
      </c>
      <c r="E17" s="421">
        <v>5</v>
      </c>
      <c r="F17" s="421">
        <v>6</v>
      </c>
      <c r="G17" s="421">
        <v>7</v>
      </c>
      <c r="H17" s="421">
        <v>8</v>
      </c>
      <c r="I17" s="421">
        <v>9</v>
      </c>
      <c r="J17" s="421">
        <v>10</v>
      </c>
      <c r="K17" s="421">
        <v>11</v>
      </c>
      <c r="L17" s="421">
        <v>12</v>
      </c>
      <c r="M17" s="421">
        <v>13</v>
      </c>
      <c r="N17" s="421">
        <v>14</v>
      </c>
      <c r="O17" s="421">
        <v>15</v>
      </c>
      <c r="P17" s="421">
        <v>16</v>
      </c>
      <c r="Q17" s="421">
        <v>17</v>
      </c>
      <c r="R17" s="421">
        <v>18</v>
      </c>
      <c r="S17" s="421">
        <v>19</v>
      </c>
      <c r="T17" s="421">
        <v>20</v>
      </c>
      <c r="U17" s="421">
        <v>21</v>
      </c>
      <c r="V17" s="421">
        <v>22</v>
      </c>
      <c r="W17" s="421">
        <v>23</v>
      </c>
      <c r="X17" s="421">
        <v>24</v>
      </c>
      <c r="Y17" s="421">
        <v>25</v>
      </c>
      <c r="Z17" s="421">
        <v>26</v>
      </c>
      <c r="AA17" s="421">
        <v>27</v>
      </c>
      <c r="AB17" s="421">
        <v>28</v>
      </c>
      <c r="AC17" s="421">
        <v>29</v>
      </c>
      <c r="AD17" s="14"/>
    </row>
    <row r="18" spans="2:30" s="45" customFormat="1" ht="34.5" customHeight="1" thickBot="1" thickTop="1">
      <c r="B18" s="46"/>
      <c r="C18" s="420" t="s">
        <v>13</v>
      </c>
      <c r="D18" s="420" t="s">
        <v>70</v>
      </c>
      <c r="E18" s="420" t="s">
        <v>71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/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31"/>
      <c r="L20" s="432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1</v>
      </c>
      <c r="D21" s="79">
        <v>254788</v>
      </c>
      <c r="E21" s="79">
        <v>1416</v>
      </c>
      <c r="F21" s="77" t="s">
        <v>73</v>
      </c>
      <c r="G21" s="77">
        <v>132</v>
      </c>
      <c r="H21" s="90">
        <v>109.4000015258789</v>
      </c>
      <c r="I21" s="91" t="s">
        <v>74</v>
      </c>
      <c r="J21" s="92">
        <f aca="true" t="shared" si="0" ref="J21:J40">IF(G21=220,$G$14,IF(G21=132,$G$15,$G$16))*IF(H21&gt;25,H21,25)/100</f>
        <v>232.6795812453461</v>
      </c>
      <c r="K21" s="431">
        <v>41244.08263888889</v>
      </c>
      <c r="L21" s="431">
        <v>41244.123611111114</v>
      </c>
      <c r="M21" s="94">
        <f aca="true" t="shared" si="1" ref="M21:M40">IF(F21="","",(L21-K21)*24)</f>
        <v>0.9833333333954215</v>
      </c>
      <c r="N21" s="95">
        <f aca="true" t="shared" si="2" ref="N21:N40">IF(F21="","",ROUND((L21-K21)*24*60,0))</f>
        <v>59</v>
      </c>
      <c r="O21" s="96" t="s">
        <v>75</v>
      </c>
      <c r="P21" s="429" t="s">
        <v>77</v>
      </c>
      <c r="Q21" s="97">
        <f aca="true" t="shared" si="3" ref="Q21:Q40">IF(I21="A",$M$14,IF(I21="B",$M$15,$M$16))</f>
        <v>10</v>
      </c>
      <c r="R21" s="98" t="str">
        <f aca="true" t="shared" si="4" ref="R21:R40">IF(O21="P",ROUND(N21/60,2)*J21*Q21*0.01,"--")</f>
        <v>--</v>
      </c>
      <c r="S21" s="99" t="str">
        <f aca="true" t="shared" si="5" ref="S21:S40">IF(O21="RP",ROUND(N21/60,2)*J21*Q21*0.01*P21/100,"--")</f>
        <v>--</v>
      </c>
      <c r="T21" s="100">
        <f aca="true" t="shared" si="6" ref="T21:T40">IF(O21="F",J21*Q21,"--")</f>
        <v>2326.795812453461</v>
      </c>
      <c r="U21" s="100">
        <f aca="true" t="shared" si="7" ref="U21:U40">IF(AND(N21&gt;10,O21="F"),J21*Q21*IF(N21&gt;180,3,ROUND((N21)/60,2)),"--")</f>
        <v>2280.2598962043917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26" t="s">
        <v>76</v>
      </c>
      <c r="AC21" s="106">
        <f aca="true" t="shared" si="14" ref="AC21:AC40">IF(F21="","",SUM(R21:AA21)*IF(AB21="SI",1,2))</f>
        <v>4607.055708657853</v>
      </c>
      <c r="AD21" s="107"/>
    </row>
    <row r="22" spans="2:30" s="1" customFormat="1" ht="16.5" customHeight="1">
      <c r="B22" s="13"/>
      <c r="C22" s="79">
        <v>2</v>
      </c>
      <c r="D22" s="79">
        <v>254789</v>
      </c>
      <c r="E22" s="79">
        <v>1518</v>
      </c>
      <c r="F22" s="77" t="s">
        <v>78</v>
      </c>
      <c r="G22" s="77">
        <v>132</v>
      </c>
      <c r="H22" s="90">
        <v>47.70000076293945</v>
      </c>
      <c r="I22" s="91" t="s">
        <v>74</v>
      </c>
      <c r="J22" s="92">
        <f t="shared" si="0"/>
        <v>101.45170062267303</v>
      </c>
      <c r="K22" s="431">
        <v>41244.34722222222</v>
      </c>
      <c r="L22" s="431">
        <v>41244.72083333333</v>
      </c>
      <c r="M22" s="94">
        <f t="shared" si="1"/>
        <v>8.966666666732635</v>
      </c>
      <c r="N22" s="95">
        <f t="shared" si="2"/>
        <v>538</v>
      </c>
      <c r="O22" s="96" t="s">
        <v>79</v>
      </c>
      <c r="P22" s="429" t="s">
        <v>77</v>
      </c>
      <c r="Q22" s="97">
        <f t="shared" si="3"/>
        <v>10</v>
      </c>
      <c r="R22" s="98">
        <f t="shared" si="4"/>
        <v>91.00217545853772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6" t="s">
        <v>76</v>
      </c>
      <c r="AC22" s="106">
        <f t="shared" si="14"/>
        <v>91.00217545853772</v>
      </c>
      <c r="AD22" s="107"/>
    </row>
    <row r="23" spans="2:30" s="1" customFormat="1" ht="16.5" customHeight="1">
      <c r="B23" s="13"/>
      <c r="C23" s="79">
        <v>3</v>
      </c>
      <c r="D23" s="79">
        <v>254790</v>
      </c>
      <c r="E23" s="79">
        <v>1536</v>
      </c>
      <c r="F23" s="77" t="s">
        <v>80</v>
      </c>
      <c r="G23" s="77">
        <v>66</v>
      </c>
      <c r="H23" s="90">
        <v>46.79999923706055</v>
      </c>
      <c r="I23" s="91" t="s">
        <v>74</v>
      </c>
      <c r="J23" s="92">
        <f t="shared" si="0"/>
        <v>99.53751437732697</v>
      </c>
      <c r="K23" s="431">
        <v>41244.566666666666</v>
      </c>
      <c r="L23" s="431">
        <v>41244.99998842592</v>
      </c>
      <c r="M23" s="94">
        <f t="shared" si="1"/>
        <v>10.399722222180571</v>
      </c>
      <c r="N23" s="95">
        <f t="shared" si="2"/>
        <v>624</v>
      </c>
      <c r="O23" s="96" t="s">
        <v>75</v>
      </c>
      <c r="P23" s="429" t="s">
        <v>77</v>
      </c>
      <c r="Q23" s="97">
        <f t="shared" si="3"/>
        <v>10</v>
      </c>
      <c r="R23" s="98" t="str">
        <f t="shared" si="4"/>
        <v>--</v>
      </c>
      <c r="S23" s="99" t="str">
        <f t="shared" si="5"/>
        <v>--</v>
      </c>
      <c r="T23" s="100">
        <f t="shared" si="6"/>
        <v>995.3751437732697</v>
      </c>
      <c r="U23" s="100">
        <f t="shared" si="7"/>
        <v>2986.1254313198087</v>
      </c>
      <c r="V23" s="101">
        <f t="shared" si="8"/>
        <v>736.5776063922196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6" t="s">
        <v>76</v>
      </c>
      <c r="AC23" s="106">
        <f t="shared" si="14"/>
        <v>4718.078181485298</v>
      </c>
      <c r="AD23" s="107"/>
    </row>
    <row r="24" spans="2:30" s="1" customFormat="1" ht="16.5" customHeight="1">
      <c r="B24" s="13"/>
      <c r="C24" s="79">
        <v>4</v>
      </c>
      <c r="D24" s="79">
        <v>254791</v>
      </c>
      <c r="E24" s="79">
        <v>1442</v>
      </c>
      <c r="F24" s="77" t="s">
        <v>81</v>
      </c>
      <c r="G24" s="77">
        <v>132</v>
      </c>
      <c r="H24" s="90">
        <v>46.400001525878906</v>
      </c>
      <c r="I24" s="91" t="s">
        <v>74</v>
      </c>
      <c r="J24" s="92">
        <f t="shared" si="0"/>
        <v>98.68677124534608</v>
      </c>
      <c r="K24" s="431">
        <v>41245.34652777778</v>
      </c>
      <c r="L24" s="431">
        <v>41245.677777777775</v>
      </c>
      <c r="M24" s="94">
        <f t="shared" si="1"/>
        <v>7.949999999895226</v>
      </c>
      <c r="N24" s="95">
        <f t="shared" si="2"/>
        <v>477</v>
      </c>
      <c r="O24" s="96" t="s">
        <v>79</v>
      </c>
      <c r="P24" s="429" t="s">
        <v>77</v>
      </c>
      <c r="Q24" s="97">
        <f t="shared" si="3"/>
        <v>10</v>
      </c>
      <c r="R24" s="98">
        <f t="shared" si="4"/>
        <v>78.45598314005014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6" t="s">
        <v>76</v>
      </c>
      <c r="AC24" s="106">
        <f t="shared" si="14"/>
        <v>78.45598314005014</v>
      </c>
      <c r="AD24" s="107"/>
    </row>
    <row r="25" spans="2:30" s="1" customFormat="1" ht="16.5" customHeight="1">
      <c r="B25" s="13"/>
      <c r="C25" s="79">
        <v>5</v>
      </c>
      <c r="D25" s="79">
        <v>254792</v>
      </c>
      <c r="E25" s="79">
        <v>4329</v>
      </c>
      <c r="F25" s="77" t="s">
        <v>82</v>
      </c>
      <c r="G25" s="77">
        <v>132</v>
      </c>
      <c r="H25" s="90">
        <v>126.30000305175781</v>
      </c>
      <c r="I25" s="91" t="s">
        <v>83</v>
      </c>
      <c r="J25" s="92">
        <f t="shared" si="0"/>
        <v>268.62368749069213</v>
      </c>
      <c r="K25" s="431">
        <v>41245.36111111111</v>
      </c>
      <c r="L25" s="431">
        <v>41245.73125</v>
      </c>
      <c r="M25" s="94">
        <f t="shared" si="1"/>
        <v>8.88333333330229</v>
      </c>
      <c r="N25" s="95">
        <f t="shared" si="2"/>
        <v>533</v>
      </c>
      <c r="O25" s="96" t="s">
        <v>79</v>
      </c>
      <c r="P25" s="429" t="s">
        <v>77</v>
      </c>
      <c r="Q25" s="97">
        <f t="shared" si="3"/>
        <v>50</v>
      </c>
      <c r="R25" s="98">
        <f t="shared" si="4"/>
        <v>1192.6891724586733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6" t="s">
        <v>76</v>
      </c>
      <c r="AC25" s="106">
        <f t="shared" si="14"/>
        <v>1192.6891724586733</v>
      </c>
      <c r="AD25" s="107"/>
    </row>
    <row r="26" spans="2:30" s="1" customFormat="1" ht="16.5" customHeight="1">
      <c r="B26" s="13"/>
      <c r="C26" s="79">
        <v>6</v>
      </c>
      <c r="D26" s="79">
        <v>254797</v>
      </c>
      <c r="E26" s="79">
        <v>1436</v>
      </c>
      <c r="F26" s="77" t="s">
        <v>84</v>
      </c>
      <c r="G26" s="77">
        <v>66</v>
      </c>
      <c r="H26" s="90">
        <v>80.0999984741211</v>
      </c>
      <c r="I26" s="91" t="s">
        <v>83</v>
      </c>
      <c r="J26" s="92">
        <f t="shared" si="0"/>
        <v>170.36228375465396</v>
      </c>
      <c r="K26" s="431">
        <v>41245.88333333333</v>
      </c>
      <c r="L26" s="431">
        <v>41246.236805555556</v>
      </c>
      <c r="M26" s="94">
        <f t="shared" si="1"/>
        <v>8.483333333395422</v>
      </c>
      <c r="N26" s="95">
        <f t="shared" si="2"/>
        <v>509</v>
      </c>
      <c r="O26" s="93" t="s">
        <v>75</v>
      </c>
      <c r="P26" s="429" t="s">
        <v>77</v>
      </c>
      <c r="Q26" s="97">
        <f t="shared" si="3"/>
        <v>50</v>
      </c>
      <c r="R26" s="98" t="str">
        <f t="shared" si="4"/>
        <v>--</v>
      </c>
      <c r="S26" s="99" t="str">
        <f t="shared" si="5"/>
        <v>--</v>
      </c>
      <c r="T26" s="100">
        <f t="shared" si="6"/>
        <v>8518.114187732697</v>
      </c>
      <c r="U26" s="100">
        <f t="shared" si="7"/>
        <v>25554.342563198094</v>
      </c>
      <c r="V26" s="101">
        <f t="shared" si="8"/>
        <v>4667.92657487752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6" t="s">
        <v>76</v>
      </c>
      <c r="AC26" s="106">
        <f t="shared" si="14"/>
        <v>38740.38332580831</v>
      </c>
      <c r="AD26" s="107"/>
    </row>
    <row r="27" spans="2:30" s="1" customFormat="1" ht="16.5" customHeight="1">
      <c r="B27" s="13"/>
      <c r="C27" s="79">
        <v>7</v>
      </c>
      <c r="D27" s="79">
        <v>255275</v>
      </c>
      <c r="E27" s="79">
        <v>1409</v>
      </c>
      <c r="F27" s="77" t="s">
        <v>85</v>
      </c>
      <c r="G27" s="77">
        <v>132</v>
      </c>
      <c r="H27" s="90">
        <v>69.0999984741211</v>
      </c>
      <c r="I27" s="91" t="s">
        <v>74</v>
      </c>
      <c r="J27" s="92">
        <f t="shared" si="0"/>
        <v>146.96671375465394</v>
      </c>
      <c r="K27" s="431">
        <v>41246.040972222225</v>
      </c>
      <c r="L27" s="431">
        <v>41246.38888888889</v>
      </c>
      <c r="M27" s="94">
        <f t="shared" si="1"/>
        <v>8.349999999976717</v>
      </c>
      <c r="N27" s="95">
        <f t="shared" si="2"/>
        <v>501</v>
      </c>
      <c r="O27" s="93" t="s">
        <v>75</v>
      </c>
      <c r="P27" s="429" t="s">
        <v>77</v>
      </c>
      <c r="Q27" s="97">
        <f t="shared" si="3"/>
        <v>10</v>
      </c>
      <c r="R27" s="98" t="str">
        <f t="shared" si="4"/>
        <v>--</v>
      </c>
      <c r="S27" s="99" t="str">
        <f t="shared" si="5"/>
        <v>--</v>
      </c>
      <c r="T27" s="100">
        <f t="shared" si="6"/>
        <v>1469.6671375465394</v>
      </c>
      <c r="U27" s="100">
        <f t="shared" si="7"/>
        <v>4409.001412639618</v>
      </c>
      <c r="V27" s="101">
        <f t="shared" si="8"/>
        <v>786.2719185873985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6" t="s">
        <v>76</v>
      </c>
      <c r="AC27" s="106">
        <f t="shared" si="14"/>
        <v>6664.940468773556</v>
      </c>
      <c r="AD27" s="107"/>
    </row>
    <row r="28" spans="2:30" s="1" customFormat="1" ht="16.5" customHeight="1">
      <c r="B28" s="13"/>
      <c r="C28" s="79">
        <v>8</v>
      </c>
      <c r="D28" s="79">
        <v>255276</v>
      </c>
      <c r="E28" s="79">
        <v>1404</v>
      </c>
      <c r="F28" s="77" t="s">
        <v>86</v>
      </c>
      <c r="G28" s="77">
        <v>132</v>
      </c>
      <c r="H28" s="90">
        <v>49</v>
      </c>
      <c r="I28" s="91" t="s">
        <v>83</v>
      </c>
      <c r="J28" s="92">
        <f t="shared" si="0"/>
        <v>104.21663000000001</v>
      </c>
      <c r="K28" s="431">
        <v>41246.09583333333</v>
      </c>
      <c r="L28" s="431">
        <v>41246.09861111111</v>
      </c>
      <c r="M28" s="94">
        <f t="shared" si="1"/>
        <v>0.06666666670935228</v>
      </c>
      <c r="N28" s="95">
        <f t="shared" si="2"/>
        <v>4</v>
      </c>
      <c r="O28" s="93" t="s">
        <v>75</v>
      </c>
      <c r="P28" s="429" t="s">
        <v>77</v>
      </c>
      <c r="Q28" s="97">
        <f t="shared" si="3"/>
        <v>50</v>
      </c>
      <c r="R28" s="98" t="str">
        <f t="shared" si="4"/>
        <v>--</v>
      </c>
      <c r="S28" s="99" t="str">
        <f t="shared" si="5"/>
        <v>--</v>
      </c>
      <c r="T28" s="100">
        <f t="shared" si="6"/>
        <v>5210.8315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6" t="s">
        <v>76</v>
      </c>
      <c r="AC28" s="106">
        <f t="shared" si="14"/>
        <v>5210.8315</v>
      </c>
      <c r="AD28" s="107"/>
    </row>
    <row r="29" spans="2:30" s="1" customFormat="1" ht="16.5" customHeight="1">
      <c r="B29" s="13"/>
      <c r="C29" s="79">
        <v>9</v>
      </c>
      <c r="D29" s="79">
        <v>255293</v>
      </c>
      <c r="E29" s="79">
        <v>4075</v>
      </c>
      <c r="F29" s="77" t="s">
        <v>87</v>
      </c>
      <c r="G29" s="77">
        <v>132</v>
      </c>
      <c r="H29" s="90">
        <v>55.70000076293945</v>
      </c>
      <c r="I29" s="91" t="s">
        <v>74</v>
      </c>
      <c r="J29" s="92">
        <f t="shared" si="0"/>
        <v>118.46666062267305</v>
      </c>
      <c r="K29" s="431">
        <v>41246.33819444444</v>
      </c>
      <c r="L29" s="431">
        <v>41246.44097222222</v>
      </c>
      <c r="M29" s="94">
        <f t="shared" si="1"/>
        <v>2.4666666666744277</v>
      </c>
      <c r="N29" s="95">
        <f t="shared" si="2"/>
        <v>148</v>
      </c>
      <c r="O29" s="93" t="s">
        <v>79</v>
      </c>
      <c r="P29" s="429" t="s">
        <v>77</v>
      </c>
      <c r="Q29" s="97">
        <f t="shared" si="3"/>
        <v>10</v>
      </c>
      <c r="R29" s="98">
        <f t="shared" si="4"/>
        <v>29.261265173800247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6" t="s">
        <v>76</v>
      </c>
      <c r="AC29" s="106">
        <f t="shared" si="14"/>
        <v>29.261265173800247</v>
      </c>
      <c r="AD29" s="107"/>
    </row>
    <row r="30" spans="2:30" s="1" customFormat="1" ht="16.5" customHeight="1">
      <c r="B30" s="13"/>
      <c r="C30" s="79">
        <v>10</v>
      </c>
      <c r="D30" s="79">
        <v>255298</v>
      </c>
      <c r="E30" s="79">
        <v>4097</v>
      </c>
      <c r="F30" s="77" t="s">
        <v>88</v>
      </c>
      <c r="G30" s="77">
        <v>132</v>
      </c>
      <c r="H30" s="90">
        <v>11</v>
      </c>
      <c r="I30" s="91" t="s">
        <v>74</v>
      </c>
      <c r="J30" s="92">
        <f t="shared" si="0"/>
        <v>53.17175</v>
      </c>
      <c r="K30" s="431">
        <v>41246.49930555555</v>
      </c>
      <c r="L30" s="431">
        <v>41246.66180555556</v>
      </c>
      <c r="M30" s="94">
        <f t="shared" si="1"/>
        <v>3.9000000001396984</v>
      </c>
      <c r="N30" s="95">
        <f t="shared" si="2"/>
        <v>234</v>
      </c>
      <c r="O30" s="93" t="s">
        <v>79</v>
      </c>
      <c r="P30" s="429" t="s">
        <v>77</v>
      </c>
      <c r="Q30" s="97">
        <f t="shared" si="3"/>
        <v>10</v>
      </c>
      <c r="R30" s="98">
        <f t="shared" si="4"/>
        <v>20.736982500000003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6" t="s">
        <v>76</v>
      </c>
      <c r="AC30" s="106">
        <f t="shared" si="14"/>
        <v>20.736982500000003</v>
      </c>
      <c r="AD30" s="107"/>
    </row>
    <row r="31" spans="2:30" s="1" customFormat="1" ht="16.5" customHeight="1">
      <c r="B31" s="13"/>
      <c r="C31" s="79">
        <v>11</v>
      </c>
      <c r="D31" s="79">
        <v>255299</v>
      </c>
      <c r="E31" s="79">
        <v>1535</v>
      </c>
      <c r="F31" s="77" t="s">
        <v>89</v>
      </c>
      <c r="G31" s="77">
        <v>132</v>
      </c>
      <c r="H31" s="90">
        <v>29.799999237060547</v>
      </c>
      <c r="I31" s="91" t="s">
        <v>74</v>
      </c>
      <c r="J31" s="92">
        <f t="shared" si="0"/>
        <v>63.38072437732697</v>
      </c>
      <c r="K31" s="431">
        <v>41246.52361111111</v>
      </c>
      <c r="L31" s="431">
        <v>41246.586805555555</v>
      </c>
      <c r="M31" s="94">
        <f t="shared" si="1"/>
        <v>1.5166666667209938</v>
      </c>
      <c r="N31" s="95">
        <f t="shared" si="2"/>
        <v>91</v>
      </c>
      <c r="O31" s="93" t="s">
        <v>79</v>
      </c>
      <c r="P31" s="429" t="s">
        <v>77</v>
      </c>
      <c r="Q31" s="97">
        <f t="shared" si="3"/>
        <v>10</v>
      </c>
      <c r="R31" s="98">
        <f t="shared" si="4"/>
        <v>9.633870105353699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6" t="s">
        <v>76</v>
      </c>
      <c r="AC31" s="106">
        <f t="shared" si="14"/>
        <v>9.633870105353699</v>
      </c>
      <c r="AD31" s="107"/>
    </row>
    <row r="32" spans="2:30" s="1" customFormat="1" ht="16.5" customHeight="1">
      <c r="B32" s="13"/>
      <c r="C32" s="79">
        <v>12</v>
      </c>
      <c r="D32" s="79">
        <v>255300</v>
      </c>
      <c r="E32" s="79">
        <v>1409</v>
      </c>
      <c r="F32" s="77" t="s">
        <v>85</v>
      </c>
      <c r="G32" s="77">
        <v>132</v>
      </c>
      <c r="H32" s="90">
        <v>69.0999984741211</v>
      </c>
      <c r="I32" s="91" t="s">
        <v>74</v>
      </c>
      <c r="J32" s="92">
        <f t="shared" si="0"/>
        <v>146.96671375465394</v>
      </c>
      <c r="K32" s="431">
        <v>41247.2625</v>
      </c>
      <c r="L32" s="431">
        <v>41247.33819444444</v>
      </c>
      <c r="M32" s="94">
        <f t="shared" si="1"/>
        <v>1.8166666666511446</v>
      </c>
      <c r="N32" s="95">
        <f t="shared" si="2"/>
        <v>109</v>
      </c>
      <c r="O32" s="93" t="s">
        <v>79</v>
      </c>
      <c r="P32" s="429" t="s">
        <v>77</v>
      </c>
      <c r="Q32" s="97">
        <f t="shared" si="3"/>
        <v>10</v>
      </c>
      <c r="R32" s="98">
        <f t="shared" si="4"/>
        <v>26.747941903347016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6" t="s">
        <v>76</v>
      </c>
      <c r="AC32" s="106">
        <f t="shared" si="14"/>
        <v>26.747941903347016</v>
      </c>
      <c r="AD32" s="107"/>
    </row>
    <row r="33" spans="2:30" s="1" customFormat="1" ht="16.5" customHeight="1">
      <c r="B33" s="13"/>
      <c r="C33" s="79">
        <v>13</v>
      </c>
      <c r="D33" s="79">
        <v>255302</v>
      </c>
      <c r="E33" s="79">
        <v>1537</v>
      </c>
      <c r="F33" s="77" t="s">
        <v>90</v>
      </c>
      <c r="G33" s="77">
        <v>132</v>
      </c>
      <c r="H33" s="90">
        <v>47.599998474121094</v>
      </c>
      <c r="I33" s="91" t="s">
        <v>74</v>
      </c>
      <c r="J33" s="92">
        <f t="shared" si="0"/>
        <v>101.23900875465394</v>
      </c>
      <c r="K33" s="431">
        <v>41247.34444444445</v>
      </c>
      <c r="L33" s="431">
        <v>41247.62013888889</v>
      </c>
      <c r="M33" s="94">
        <f t="shared" si="1"/>
        <v>6.616666666581295</v>
      </c>
      <c r="N33" s="95">
        <f t="shared" si="2"/>
        <v>397</v>
      </c>
      <c r="O33" s="93" t="s">
        <v>79</v>
      </c>
      <c r="P33" s="429" t="s">
        <v>77</v>
      </c>
      <c r="Q33" s="97">
        <f t="shared" si="3"/>
        <v>10</v>
      </c>
      <c r="R33" s="98">
        <f t="shared" si="4"/>
        <v>67.02022379558092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6" t="s">
        <v>76</v>
      </c>
      <c r="AC33" s="106">
        <f t="shared" si="14"/>
        <v>67.02022379558092</v>
      </c>
      <c r="AD33" s="107"/>
    </row>
    <row r="34" spans="2:30" s="1" customFormat="1" ht="16.5" customHeight="1">
      <c r="B34" s="108"/>
      <c r="C34" s="79">
        <v>14</v>
      </c>
      <c r="D34" s="79">
        <v>255305</v>
      </c>
      <c r="E34" s="79">
        <v>1444</v>
      </c>
      <c r="F34" s="77" t="s">
        <v>91</v>
      </c>
      <c r="G34" s="77">
        <v>132</v>
      </c>
      <c r="H34" s="90">
        <v>64.4000015258789</v>
      </c>
      <c r="I34" s="91" t="s">
        <v>74</v>
      </c>
      <c r="J34" s="92">
        <f t="shared" si="0"/>
        <v>136.97043124534608</v>
      </c>
      <c r="K34" s="431">
        <v>41247.38055555556</v>
      </c>
      <c r="L34" s="431">
        <v>41247.71527777778</v>
      </c>
      <c r="M34" s="94">
        <f t="shared" si="1"/>
        <v>8.033333333325572</v>
      </c>
      <c r="N34" s="95">
        <f t="shared" si="2"/>
        <v>482</v>
      </c>
      <c r="O34" s="93" t="s">
        <v>79</v>
      </c>
      <c r="P34" s="429" t="s">
        <v>77</v>
      </c>
      <c r="Q34" s="97">
        <f t="shared" si="3"/>
        <v>10</v>
      </c>
      <c r="R34" s="98">
        <f t="shared" si="4"/>
        <v>109.98725629001291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6" t="s">
        <v>76</v>
      </c>
      <c r="AC34" s="106">
        <f t="shared" si="14"/>
        <v>109.98725629001291</v>
      </c>
      <c r="AD34" s="107"/>
    </row>
    <row r="35" spans="2:30" s="1" customFormat="1" ht="16.5" customHeight="1">
      <c r="B35" s="108"/>
      <c r="C35" s="79">
        <v>15</v>
      </c>
      <c r="D35" s="79">
        <v>255308</v>
      </c>
      <c r="E35" s="79">
        <v>1535</v>
      </c>
      <c r="F35" s="77" t="s">
        <v>89</v>
      </c>
      <c r="G35" s="77">
        <v>132</v>
      </c>
      <c r="H35" s="90">
        <v>29.799999237060547</v>
      </c>
      <c r="I35" s="91" t="s">
        <v>74</v>
      </c>
      <c r="J35" s="92">
        <f t="shared" si="0"/>
        <v>63.38072437732697</v>
      </c>
      <c r="K35" s="431">
        <v>41247.395833333336</v>
      </c>
      <c r="L35" s="431">
        <v>41247.62569444445</v>
      </c>
      <c r="M35" s="94">
        <f t="shared" si="1"/>
        <v>5.516666666662786</v>
      </c>
      <c r="N35" s="95">
        <f t="shared" si="2"/>
        <v>331</v>
      </c>
      <c r="O35" s="93" t="s">
        <v>79</v>
      </c>
      <c r="P35" s="429" t="s">
        <v>77</v>
      </c>
      <c r="Q35" s="97">
        <f t="shared" si="3"/>
        <v>10</v>
      </c>
      <c r="R35" s="98">
        <f t="shared" si="4"/>
        <v>34.98615985628449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6" t="s">
        <v>76</v>
      </c>
      <c r="AC35" s="106">
        <f t="shared" si="14"/>
        <v>34.98615985628449</v>
      </c>
      <c r="AD35" s="107"/>
    </row>
    <row r="36" spans="2:30" s="1" customFormat="1" ht="16.5" customHeight="1">
      <c r="B36" s="108"/>
      <c r="C36" s="79">
        <v>16</v>
      </c>
      <c r="D36" s="79">
        <v>255310</v>
      </c>
      <c r="E36" s="79">
        <v>4097</v>
      </c>
      <c r="F36" s="77" t="s">
        <v>88</v>
      </c>
      <c r="G36" s="77">
        <v>132</v>
      </c>
      <c r="H36" s="90">
        <v>11</v>
      </c>
      <c r="I36" s="91" t="s">
        <v>74</v>
      </c>
      <c r="J36" s="92">
        <f t="shared" si="0"/>
        <v>53.17175</v>
      </c>
      <c r="K36" s="431">
        <v>41247.43541666667</v>
      </c>
      <c r="L36" s="431">
        <v>41247.649305555555</v>
      </c>
      <c r="M36" s="94">
        <f t="shared" si="1"/>
        <v>5.133333333302289</v>
      </c>
      <c r="N36" s="95">
        <f t="shared" si="2"/>
        <v>308</v>
      </c>
      <c r="O36" s="93" t="s">
        <v>79</v>
      </c>
      <c r="P36" s="429" t="s">
        <v>77</v>
      </c>
      <c r="Q36" s="97">
        <f t="shared" si="3"/>
        <v>10</v>
      </c>
      <c r="R36" s="98">
        <f t="shared" si="4"/>
        <v>27.27710775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6" t="s">
        <v>76</v>
      </c>
      <c r="AC36" s="106">
        <f t="shared" si="14"/>
        <v>27.27710775</v>
      </c>
      <c r="AD36" s="107"/>
    </row>
    <row r="37" spans="2:30" s="1" customFormat="1" ht="16.5" customHeight="1">
      <c r="B37" s="108"/>
      <c r="C37" s="79">
        <v>17</v>
      </c>
      <c r="D37" s="79">
        <v>255311</v>
      </c>
      <c r="E37" s="79">
        <v>1537</v>
      </c>
      <c r="F37" s="77" t="s">
        <v>90</v>
      </c>
      <c r="G37" s="77">
        <v>132</v>
      </c>
      <c r="H37" s="90">
        <v>47.599998474121094</v>
      </c>
      <c r="I37" s="91" t="s">
        <v>74</v>
      </c>
      <c r="J37" s="92">
        <f t="shared" si="0"/>
        <v>101.23900875465394</v>
      </c>
      <c r="K37" s="431">
        <v>41248.34930555556</v>
      </c>
      <c r="L37" s="431">
        <v>41248.59583333333</v>
      </c>
      <c r="M37" s="94">
        <f t="shared" si="1"/>
        <v>5.916666666569654</v>
      </c>
      <c r="N37" s="95">
        <f t="shared" si="2"/>
        <v>355</v>
      </c>
      <c r="O37" s="93" t="s">
        <v>79</v>
      </c>
      <c r="P37" s="429" t="s">
        <v>77</v>
      </c>
      <c r="Q37" s="97">
        <f t="shared" si="3"/>
        <v>10</v>
      </c>
      <c r="R37" s="98">
        <f t="shared" si="4"/>
        <v>59.93349318275513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6" t="s">
        <v>76</v>
      </c>
      <c r="AC37" s="106">
        <f t="shared" si="14"/>
        <v>59.93349318275513</v>
      </c>
      <c r="AD37" s="107"/>
    </row>
    <row r="38" spans="2:30" s="1" customFormat="1" ht="16.5" customHeight="1">
      <c r="B38" s="108"/>
      <c r="C38" s="79">
        <v>18</v>
      </c>
      <c r="D38" s="79">
        <v>255318</v>
      </c>
      <c r="E38" s="79">
        <v>1407</v>
      </c>
      <c r="F38" s="77" t="s">
        <v>92</v>
      </c>
      <c r="G38" s="77">
        <v>132</v>
      </c>
      <c r="H38" s="90">
        <v>76.30000305175781</v>
      </c>
      <c r="I38" s="91" t="s">
        <v>74</v>
      </c>
      <c r="J38" s="92">
        <f t="shared" si="0"/>
        <v>162.28018749069216</v>
      </c>
      <c r="K38" s="431">
        <v>41248.4625</v>
      </c>
      <c r="L38" s="431">
        <v>41248.604166666664</v>
      </c>
      <c r="M38" s="94">
        <f t="shared" si="1"/>
        <v>3.3999999999068677</v>
      </c>
      <c r="N38" s="95">
        <f t="shared" si="2"/>
        <v>204</v>
      </c>
      <c r="O38" s="93" t="s">
        <v>75</v>
      </c>
      <c r="P38" s="429" t="s">
        <v>77</v>
      </c>
      <c r="Q38" s="97">
        <f t="shared" si="3"/>
        <v>10</v>
      </c>
      <c r="R38" s="98" t="str">
        <f t="shared" si="4"/>
        <v>--</v>
      </c>
      <c r="S38" s="99" t="str">
        <f t="shared" si="5"/>
        <v>--</v>
      </c>
      <c r="T38" s="100">
        <f t="shared" si="6"/>
        <v>1622.8018749069215</v>
      </c>
      <c r="U38" s="100">
        <f t="shared" si="7"/>
        <v>4868.4056247207645</v>
      </c>
      <c r="V38" s="101">
        <f t="shared" si="8"/>
        <v>64.91207499627684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6" t="s">
        <v>76</v>
      </c>
      <c r="AC38" s="106">
        <f t="shared" si="14"/>
        <v>6556.119574623963</v>
      </c>
      <c r="AD38" s="107"/>
    </row>
    <row r="39" spans="2:30" s="1" customFormat="1" ht="16.5" customHeight="1">
      <c r="B39" s="108"/>
      <c r="C39" s="79">
        <v>19</v>
      </c>
      <c r="D39" s="79">
        <v>255319</v>
      </c>
      <c r="E39" s="79">
        <v>1405</v>
      </c>
      <c r="F39" s="77" t="s">
        <v>93</v>
      </c>
      <c r="G39" s="77">
        <v>132</v>
      </c>
      <c r="H39" s="90">
        <v>83.80000305175781</v>
      </c>
      <c r="I39" s="91" t="s">
        <v>83</v>
      </c>
      <c r="J39" s="92">
        <f t="shared" si="0"/>
        <v>178.23171249069216</v>
      </c>
      <c r="K39" s="431">
        <v>41248.46319444444</v>
      </c>
      <c r="L39" s="431">
        <v>41248.47083333333</v>
      </c>
      <c r="M39" s="94">
        <f t="shared" si="1"/>
        <v>0.18333333340706304</v>
      </c>
      <c r="N39" s="95">
        <f t="shared" si="2"/>
        <v>11</v>
      </c>
      <c r="O39" s="93" t="s">
        <v>75</v>
      </c>
      <c r="P39" s="429" t="s">
        <v>77</v>
      </c>
      <c r="Q39" s="97">
        <f t="shared" si="3"/>
        <v>50</v>
      </c>
      <c r="R39" s="98" t="str">
        <f t="shared" si="4"/>
        <v>--</v>
      </c>
      <c r="S39" s="99" t="str">
        <f t="shared" si="5"/>
        <v>--</v>
      </c>
      <c r="T39" s="100">
        <f t="shared" si="6"/>
        <v>8911.585624534608</v>
      </c>
      <c r="U39" s="100">
        <f t="shared" si="7"/>
        <v>1604.0854124162292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6" t="s">
        <v>76</v>
      </c>
      <c r="AC39" s="106">
        <f t="shared" si="14"/>
        <v>10515.671036950836</v>
      </c>
      <c r="AD39" s="107"/>
    </row>
    <row r="40" spans="2:30" s="1" customFormat="1" ht="16.5" customHeight="1">
      <c r="B40" s="108"/>
      <c r="C40" s="79"/>
      <c r="D40" s="79"/>
      <c r="E40" s="79"/>
      <c r="F40" s="77"/>
      <c r="G40" s="77"/>
      <c r="H40" s="90"/>
      <c r="I40" s="91"/>
      <c r="J40" s="92">
        <f t="shared" si="0"/>
        <v>53.17175</v>
      </c>
      <c r="K40" s="431"/>
      <c r="L40" s="431"/>
      <c r="M40" s="94">
        <f t="shared" si="1"/>
      </c>
      <c r="N40" s="95">
        <f t="shared" si="2"/>
      </c>
      <c r="O40" s="93"/>
      <c r="P40" s="425">
        <f>IF(F40="","","--")</f>
      </c>
      <c r="Q40" s="97">
        <f t="shared" si="3"/>
        <v>10</v>
      </c>
      <c r="R40" s="98" t="str">
        <f t="shared" si="4"/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6">
        <f>IF(F40="","","SI")</f>
      </c>
      <c r="AC40" s="106">
        <f t="shared" si="14"/>
      </c>
      <c r="AD40" s="107"/>
    </row>
    <row r="41" spans="2:30" s="1" customFormat="1" ht="16.5" customHeight="1" thickBot="1">
      <c r="B41" s="13"/>
      <c r="C41" s="109"/>
      <c r="D41" s="109"/>
      <c r="E41" s="109"/>
      <c r="F41" s="332"/>
      <c r="G41" s="333"/>
      <c r="H41" s="334"/>
      <c r="I41" s="334"/>
      <c r="J41" s="111"/>
      <c r="K41" s="407"/>
      <c r="L41" s="407"/>
      <c r="M41" s="110"/>
      <c r="N41" s="110"/>
      <c r="O41" s="334"/>
      <c r="P41" s="335"/>
      <c r="Q41" s="336"/>
      <c r="R41" s="337"/>
      <c r="S41" s="338"/>
      <c r="T41" s="339"/>
      <c r="U41" s="340"/>
      <c r="V41" s="340"/>
      <c r="W41" s="341"/>
      <c r="X41" s="341"/>
      <c r="Y41" s="341"/>
      <c r="Z41" s="342"/>
      <c r="AA41" s="343"/>
      <c r="AB41" s="344"/>
      <c r="AC41" s="112"/>
      <c r="AD41" s="107"/>
    </row>
    <row r="42" spans="2:30" s="1" customFormat="1" ht="16.5" customHeight="1" thickBot="1" thickTop="1">
      <c r="B42" s="13"/>
      <c r="C42" s="437" t="s">
        <v>237</v>
      </c>
      <c r="D42" s="436" t="s">
        <v>236</v>
      </c>
      <c r="E42" s="128"/>
      <c r="F42" s="113"/>
      <c r="G42" s="114"/>
      <c r="H42" s="115"/>
      <c r="I42" s="115"/>
      <c r="J42" s="116"/>
      <c r="K42" s="116"/>
      <c r="L42" s="116"/>
      <c r="M42" s="116"/>
      <c r="N42" s="116"/>
      <c r="O42" s="116"/>
      <c r="P42" s="117"/>
      <c r="Q42" s="117"/>
      <c r="R42" s="118">
        <f aca="true" t="shared" si="15" ref="R42:AA42">SUM(R19:R41)</f>
        <v>1747.7316316143958</v>
      </c>
      <c r="S42" s="119">
        <f t="shared" si="15"/>
        <v>0</v>
      </c>
      <c r="T42" s="120">
        <f t="shared" si="15"/>
        <v>29055.1712809475</v>
      </c>
      <c r="U42" s="120">
        <f t="shared" si="15"/>
        <v>41702.220340498905</v>
      </c>
      <c r="V42" s="120">
        <f t="shared" si="15"/>
        <v>6255.688174853414</v>
      </c>
      <c r="W42" s="121">
        <f t="shared" si="15"/>
        <v>0</v>
      </c>
      <c r="X42" s="121">
        <f t="shared" si="15"/>
        <v>0</v>
      </c>
      <c r="Y42" s="121">
        <f t="shared" si="15"/>
        <v>0</v>
      </c>
      <c r="Z42" s="122">
        <f t="shared" si="15"/>
        <v>0</v>
      </c>
      <c r="AA42" s="123">
        <f t="shared" si="15"/>
        <v>0</v>
      </c>
      <c r="AB42" s="124"/>
      <c r="AC42" s="416">
        <f>ROUND(SUM(AC19:AC41),2)</f>
        <v>78760.81</v>
      </c>
      <c r="AD42" s="125"/>
    </row>
    <row r="43" spans="2:30" s="126" customFormat="1" ht="9.75" thickTop="1">
      <c r="B43" s="127"/>
      <c r="C43" s="128"/>
      <c r="D43" s="128"/>
      <c r="E43" s="128"/>
      <c r="F43" s="129"/>
      <c r="G43" s="130"/>
      <c r="H43" s="131"/>
      <c r="I43" s="131"/>
      <c r="J43" s="132"/>
      <c r="K43" s="132"/>
      <c r="L43" s="132"/>
      <c r="M43" s="132"/>
      <c r="N43" s="132"/>
      <c r="O43" s="132"/>
      <c r="P43" s="133"/>
      <c r="Q43" s="133"/>
      <c r="R43" s="134"/>
      <c r="S43" s="134"/>
      <c r="T43" s="135"/>
      <c r="U43" s="135"/>
      <c r="V43" s="136"/>
      <c r="W43" s="136"/>
      <c r="X43" s="136"/>
      <c r="Y43" s="136"/>
      <c r="Z43" s="136"/>
      <c r="AA43" s="136"/>
      <c r="AB43" s="136"/>
      <c r="AC43" s="137"/>
      <c r="AD43" s="138"/>
    </row>
    <row r="44" spans="2:30" s="1" customFormat="1" ht="16.5" customHeight="1" thickBot="1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1"/>
    </row>
    <row r="45" spans="2:30" ht="13.5" thickTop="1">
      <c r="B45" s="142"/>
      <c r="AD45" s="142"/>
    </row>
    <row r="90" ht="12.75">
      <c r="B90" s="142"/>
    </row>
  </sheetData>
  <sheetProtection/>
  <printOptions/>
  <pageMargins left="0.2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1"/>
  <sheetViews>
    <sheetView zoomScale="70" zoomScaleNormal="70" zoomScalePageLayoutView="0" workbookViewId="0" topLeftCell="A10">
      <selection activeCell="AC21" sqref="AC21:AC41"/>
    </sheetView>
  </sheetViews>
  <sheetFormatPr defaultColWidth="11.421875" defaultRowHeight="12.75"/>
  <cols>
    <col min="1" max="1" width="18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7109375" style="5" customWidth="1"/>
    <col min="10" max="10" width="6.0039062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0" width="10.140625" style="5" hidden="1" customWidth="1"/>
    <col min="21" max="21" width="10.57421875" style="5" hidden="1" customWidth="1"/>
    <col min="22" max="22" width="7.7109375" style="5" hidden="1" customWidth="1"/>
    <col min="23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3"/>
    </row>
    <row r="2" spans="2:30" s="3" customFormat="1" ht="26.25">
      <c r="B2" s="16" t="str">
        <f>'TOT-1212'!B2</f>
        <v>ANEXO I al Memorándum  D.T.E.E.  N° 335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+'TOT-1212'!B14</f>
        <v>Desde el 01 al 31 de diciembre de 2012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222.578</v>
      </c>
      <c r="H14" s="37"/>
      <c r="I14" s="38"/>
      <c r="J14" s="34"/>
      <c r="K14" s="34"/>
      <c r="L14" s="39" t="s">
        <v>8</v>
      </c>
      <c r="M14" s="40">
        <f>150*'TOT-1212'!B13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212.687</v>
      </c>
      <c r="H15" s="42"/>
      <c r="I15" s="43"/>
      <c r="J15" s="7"/>
      <c r="K15" s="44"/>
      <c r="L15" s="39" t="s">
        <v>10</v>
      </c>
      <c r="M15" s="40">
        <f>50*'TOT-1212'!B13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212.687</v>
      </c>
      <c r="H16" s="42"/>
      <c r="I16" s="43"/>
      <c r="J16" s="7"/>
      <c r="K16" s="7"/>
      <c r="L16" s="39" t="s">
        <v>12</v>
      </c>
      <c r="M16" s="40">
        <f>10*'TOT-1212'!B13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21">
        <v>3</v>
      </c>
      <c r="D17" s="421">
        <v>4</v>
      </c>
      <c r="E17" s="421">
        <v>5</v>
      </c>
      <c r="F17" s="421">
        <v>6</v>
      </c>
      <c r="G17" s="421">
        <v>7</v>
      </c>
      <c r="H17" s="421">
        <v>8</v>
      </c>
      <c r="I17" s="421">
        <v>9</v>
      </c>
      <c r="J17" s="421">
        <v>10</v>
      </c>
      <c r="K17" s="421">
        <v>11</v>
      </c>
      <c r="L17" s="421">
        <v>12</v>
      </c>
      <c r="M17" s="421">
        <v>13</v>
      </c>
      <c r="N17" s="421">
        <v>14</v>
      </c>
      <c r="O17" s="421">
        <v>15</v>
      </c>
      <c r="P17" s="421">
        <v>16</v>
      </c>
      <c r="Q17" s="421">
        <v>17</v>
      </c>
      <c r="R17" s="421">
        <v>18</v>
      </c>
      <c r="S17" s="421">
        <v>19</v>
      </c>
      <c r="T17" s="421">
        <v>20</v>
      </c>
      <c r="U17" s="421">
        <v>21</v>
      </c>
      <c r="V17" s="421">
        <v>22</v>
      </c>
      <c r="W17" s="421">
        <v>23</v>
      </c>
      <c r="X17" s="421">
        <v>24</v>
      </c>
      <c r="Y17" s="421">
        <v>25</v>
      </c>
      <c r="Z17" s="421">
        <v>26</v>
      </c>
      <c r="AA17" s="421">
        <v>27</v>
      </c>
      <c r="AB17" s="421">
        <v>28</v>
      </c>
      <c r="AC17" s="421">
        <v>29</v>
      </c>
      <c r="AD17" s="14"/>
    </row>
    <row r="18" spans="2:30" s="45" customFormat="1" ht="34.5" customHeight="1" thickBot="1" thickTop="1">
      <c r="B18" s="46"/>
      <c r="C18" s="420" t="s">
        <v>13</v>
      </c>
      <c r="D18" s="420" t="s">
        <v>70</v>
      </c>
      <c r="E18" s="420" t="s">
        <v>71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'LI-12 (1)'!AC42</f>
        <v>78760.81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31"/>
      <c r="L20" s="432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20</v>
      </c>
      <c r="D21" s="79">
        <v>255343</v>
      </c>
      <c r="E21" s="79">
        <v>1537</v>
      </c>
      <c r="F21" s="77" t="s">
        <v>90</v>
      </c>
      <c r="G21" s="77">
        <v>132</v>
      </c>
      <c r="H21" s="90">
        <v>47.599998474121094</v>
      </c>
      <c r="I21" s="91" t="s">
        <v>74</v>
      </c>
      <c r="J21" s="92">
        <f aca="true" t="shared" si="0" ref="J21:J41">IF(G21=220,$G$14,IF(G21=132,$G$15,$G$16))*IF(H21&gt;25,H21,25)/100</f>
        <v>101.23900875465394</v>
      </c>
      <c r="K21" s="431">
        <v>41249.404861111114</v>
      </c>
      <c r="L21" s="431">
        <v>41249.597916666666</v>
      </c>
      <c r="M21" s="94">
        <f aca="true" t="shared" si="1" ref="M21:M41">IF(F21="","",(L21-K21)*24)</f>
        <v>4.633333333244082</v>
      </c>
      <c r="N21" s="95">
        <f aca="true" t="shared" si="2" ref="N21:N41">IF(F21="","",ROUND((L21-K21)*24*60,0))</f>
        <v>278</v>
      </c>
      <c r="O21" s="96" t="s">
        <v>79</v>
      </c>
      <c r="P21" s="429" t="s">
        <v>77</v>
      </c>
      <c r="Q21" s="97">
        <f aca="true" t="shared" si="3" ref="Q21:Q41">IF(I21="A",$M$14,IF(I21="B",$M$15,$M$16))</f>
        <v>10</v>
      </c>
      <c r="R21" s="98">
        <f aca="true" t="shared" si="4" ref="R21:R41">IF(O21="P",ROUND(N21/60,2)*J21*Q21*0.01,"--")</f>
        <v>46.873661053404774</v>
      </c>
      <c r="S21" s="99" t="str">
        <f aca="true" t="shared" si="5" ref="S21:S41">IF(O21="RP",ROUND(N21/60,2)*J21*Q21*0.01*P21/100,"--")</f>
        <v>--</v>
      </c>
      <c r="T21" s="100" t="str">
        <f aca="true" t="shared" si="6" ref="T21:T41">IF(O21="F",J21*Q21,"--")</f>
        <v>--</v>
      </c>
      <c r="U21" s="100" t="str">
        <f aca="true" t="shared" si="7" ref="U21:U41">IF(AND(N21&gt;10,O21="F"),J21*Q21*IF(N21&gt;180,3,ROUND((N21)/60,2)),"--")</f>
        <v>--</v>
      </c>
      <c r="V21" s="101" t="str">
        <f aca="true" t="shared" si="8" ref="V21:V41">IF(AND(O21="F",N21&gt;180),(ROUND(N21/60,2)-3)*J21*Q21*0.1,"--")</f>
        <v>--</v>
      </c>
      <c r="W21" s="102" t="str">
        <f aca="true" t="shared" si="9" ref="W21:W41">IF(O21="R",J21*Q21*P21/100,"--")</f>
        <v>--</v>
      </c>
      <c r="X21" s="102" t="str">
        <f aca="true" t="shared" si="10" ref="X21:X41">IF(AND(N21&gt;10,O21="R"),Q21*J21*P21/100*IF(N21&gt;180,3,ROUND((N21)/60,2)),"--")</f>
        <v>--</v>
      </c>
      <c r="Y21" s="103" t="str">
        <f aca="true" t="shared" si="11" ref="Y21:Y41">IF(AND(O21="R",N21&gt;180),(ROUND(N21/60,2)-3)*J21*Q21*0.1*P21/100,"--")</f>
        <v>--</v>
      </c>
      <c r="Z21" s="104" t="str">
        <f aca="true" t="shared" si="12" ref="Z21:Z41">IF(O21="RF",ROUND(N21/60,2)*J21*Q21*0.1,"--")</f>
        <v>--</v>
      </c>
      <c r="AA21" s="105" t="str">
        <f aca="true" t="shared" si="13" ref="AA21:AA41">IF(O21="RR",ROUND(N21/60,2)*J21*Q21*0.1*P21/100,"--")</f>
        <v>--</v>
      </c>
      <c r="AB21" s="426" t="s">
        <v>76</v>
      </c>
      <c r="AC21" s="106">
        <f aca="true" t="shared" si="14" ref="AC21:AC41">IF(F21="","",SUM(R21:AA21)*IF(AB21="SI",1,2))</f>
        <v>46.873661053404774</v>
      </c>
      <c r="AD21" s="107"/>
    </row>
    <row r="22" spans="2:30" s="1" customFormat="1" ht="16.5" customHeight="1">
      <c r="B22" s="13"/>
      <c r="C22" s="79">
        <v>21</v>
      </c>
      <c r="D22" s="79">
        <v>255354</v>
      </c>
      <c r="E22" s="79">
        <v>4076</v>
      </c>
      <c r="F22" s="77" t="s">
        <v>94</v>
      </c>
      <c r="G22" s="77">
        <v>132</v>
      </c>
      <c r="H22" s="90">
        <v>51.29999923706055</v>
      </c>
      <c r="I22" s="91" t="s">
        <v>74</v>
      </c>
      <c r="J22" s="92">
        <f t="shared" si="0"/>
        <v>109.10842937732697</v>
      </c>
      <c r="K22" s="431">
        <v>41250.31736111111</v>
      </c>
      <c r="L22" s="431">
        <v>41250.370833333334</v>
      </c>
      <c r="M22" s="94">
        <f t="shared" si="1"/>
        <v>1.2833333333255723</v>
      </c>
      <c r="N22" s="95">
        <f t="shared" si="2"/>
        <v>77</v>
      </c>
      <c r="O22" s="96" t="s">
        <v>79</v>
      </c>
      <c r="P22" s="429" t="s">
        <v>77</v>
      </c>
      <c r="Q22" s="97">
        <f t="shared" si="3"/>
        <v>10</v>
      </c>
      <c r="R22" s="98">
        <f t="shared" si="4"/>
        <v>13.96587896029785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6" t="s">
        <v>76</v>
      </c>
      <c r="AC22" s="106">
        <f t="shared" si="14"/>
        <v>13.96587896029785</v>
      </c>
      <c r="AD22" s="107"/>
    </row>
    <row r="23" spans="2:30" s="1" customFormat="1" ht="16.5" customHeight="1">
      <c r="B23" s="13"/>
      <c r="C23" s="79">
        <v>22</v>
      </c>
      <c r="D23" s="79">
        <v>255355</v>
      </c>
      <c r="E23" s="79">
        <v>2712</v>
      </c>
      <c r="F23" s="77" t="s">
        <v>229</v>
      </c>
      <c r="G23" s="77">
        <v>132</v>
      </c>
      <c r="H23" s="90">
        <v>77.4</v>
      </c>
      <c r="I23" s="91" t="s">
        <v>74</v>
      </c>
      <c r="J23" s="92">
        <f t="shared" si="0"/>
        <v>164.61973800000004</v>
      </c>
      <c r="K23" s="431">
        <v>41250.373611111114</v>
      </c>
      <c r="L23" s="431">
        <v>41250.575</v>
      </c>
      <c r="M23" s="94">
        <f>IF(F23="","",(L23-K23)*24)</f>
        <v>4.8333333331975155</v>
      </c>
      <c r="N23" s="95">
        <f>IF(F23="","",ROUND((L23-K23)*24*60,0))</f>
        <v>290</v>
      </c>
      <c r="O23" s="96" t="s">
        <v>79</v>
      </c>
      <c r="P23" s="429" t="s">
        <v>77</v>
      </c>
      <c r="Q23" s="97">
        <f>IF(I23="A",$M$14,IF(I23="B",$M$15,$M$16))</f>
        <v>10</v>
      </c>
      <c r="R23" s="98">
        <f>IF(O23="P",ROUND(N23/60,2)*J23*Q23*0.01,"--")</f>
        <v>79.51133345400002</v>
      </c>
      <c r="S23" s="99" t="str">
        <f>IF(O23="RP",ROUND(N23/60,2)*J23*Q23*0.01*P23/100,"--")</f>
        <v>--</v>
      </c>
      <c r="T23" s="100" t="str">
        <f>IF(O23="F",J23*Q23,"--")</f>
        <v>--</v>
      </c>
      <c r="U23" s="100" t="str">
        <f>IF(AND(N23&gt;10,O23="F"),J23*Q23*IF(N23&gt;180,3,ROUND((N23)/60,2)),"--")</f>
        <v>--</v>
      </c>
      <c r="V23" s="101" t="str">
        <f>IF(AND(O23="F",N23&gt;180),(ROUND(N23/60,2)-3)*J23*Q23*0.1,"--")</f>
        <v>--</v>
      </c>
      <c r="W23" s="102" t="str">
        <f>IF(O23="R",J23*Q23*P23/100,"--")</f>
        <v>--</v>
      </c>
      <c r="X23" s="102" t="str">
        <f>IF(AND(N23&gt;10,O23="R"),Q23*J23*P23/100*IF(N23&gt;180,3,ROUND((N23)/60,2)),"--")</f>
        <v>--</v>
      </c>
      <c r="Y23" s="103" t="str">
        <f>IF(AND(O23="R",N23&gt;180),(ROUND(N23/60,2)-3)*J23*Q23*0.1*P23/100,"--")</f>
        <v>--</v>
      </c>
      <c r="Z23" s="104" t="str">
        <f>IF(O23="RF",ROUND(N23/60,2)*J23*Q23*0.1,"--")</f>
        <v>--</v>
      </c>
      <c r="AA23" s="105" t="str">
        <f>IF(O23="RR",ROUND(N23/60,2)*J23*Q23*0.1*P23/100,"--")</f>
        <v>--</v>
      </c>
      <c r="AB23" s="426" t="s">
        <v>76</v>
      </c>
      <c r="AC23" s="106">
        <f>IF(F23="","",SUM(R23:AA23)*IF(AB23="SI",1,2))</f>
        <v>79.51133345400002</v>
      </c>
      <c r="AD23" s="107"/>
    </row>
    <row r="24" spans="2:30" s="1" customFormat="1" ht="16.5" customHeight="1">
      <c r="B24" s="13"/>
      <c r="C24" s="79">
        <v>23</v>
      </c>
      <c r="D24" s="79">
        <v>255361</v>
      </c>
      <c r="E24" s="79">
        <v>1444</v>
      </c>
      <c r="F24" s="77" t="s">
        <v>91</v>
      </c>
      <c r="G24" s="77">
        <v>132</v>
      </c>
      <c r="H24" s="90">
        <v>64.4000015258789</v>
      </c>
      <c r="I24" s="91" t="s">
        <v>74</v>
      </c>
      <c r="J24" s="92">
        <f t="shared" si="0"/>
        <v>136.97043124534608</v>
      </c>
      <c r="K24" s="431">
        <v>41251.35138888889</v>
      </c>
      <c r="L24" s="431">
        <v>41251.70763888889</v>
      </c>
      <c r="M24" s="94">
        <f t="shared" si="1"/>
        <v>8.54999999993015</v>
      </c>
      <c r="N24" s="95">
        <f t="shared" si="2"/>
        <v>513</v>
      </c>
      <c r="O24" s="96" t="s">
        <v>79</v>
      </c>
      <c r="P24" s="429" t="s">
        <v>77</v>
      </c>
      <c r="Q24" s="97">
        <f t="shared" si="3"/>
        <v>10</v>
      </c>
      <c r="R24" s="98">
        <f t="shared" si="4"/>
        <v>117.1097187147709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6" t="s">
        <v>76</v>
      </c>
      <c r="AC24" s="106">
        <f t="shared" si="14"/>
        <v>117.1097187147709</v>
      </c>
      <c r="AD24" s="107"/>
    </row>
    <row r="25" spans="2:30" s="1" customFormat="1" ht="16.5" customHeight="1">
      <c r="B25" s="13"/>
      <c r="C25" s="79">
        <v>24</v>
      </c>
      <c r="D25" s="79">
        <v>255362</v>
      </c>
      <c r="E25" s="79">
        <v>1517</v>
      </c>
      <c r="F25" s="77" t="s">
        <v>95</v>
      </c>
      <c r="G25" s="77">
        <v>132</v>
      </c>
      <c r="H25" s="90">
        <v>103.5999984741211</v>
      </c>
      <c r="I25" s="91" t="s">
        <v>74</v>
      </c>
      <c r="J25" s="92">
        <f t="shared" si="0"/>
        <v>220.34372875465394</v>
      </c>
      <c r="K25" s="431">
        <v>41251.353472222225</v>
      </c>
      <c r="L25" s="431">
        <v>41251.705555555556</v>
      </c>
      <c r="M25" s="94">
        <f t="shared" si="1"/>
        <v>8.449999999953434</v>
      </c>
      <c r="N25" s="95">
        <f t="shared" si="2"/>
        <v>507</v>
      </c>
      <c r="O25" s="96" t="s">
        <v>79</v>
      </c>
      <c r="P25" s="429" t="s">
        <v>77</v>
      </c>
      <c r="Q25" s="97">
        <f t="shared" si="3"/>
        <v>10</v>
      </c>
      <c r="R25" s="98">
        <f t="shared" si="4"/>
        <v>186.1904507976826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6" t="s">
        <v>76</v>
      </c>
      <c r="AC25" s="106">
        <f t="shared" si="14"/>
        <v>186.1904507976826</v>
      </c>
      <c r="AD25" s="107"/>
    </row>
    <row r="26" spans="2:30" s="1" customFormat="1" ht="16.5" customHeight="1">
      <c r="B26" s="13"/>
      <c r="C26" s="79">
        <v>25</v>
      </c>
      <c r="D26" s="79">
        <v>255366</v>
      </c>
      <c r="E26" s="79">
        <v>1436</v>
      </c>
      <c r="F26" s="77" t="s">
        <v>84</v>
      </c>
      <c r="G26" s="77">
        <v>66</v>
      </c>
      <c r="H26" s="90">
        <v>80.0999984741211</v>
      </c>
      <c r="I26" s="91" t="s">
        <v>83</v>
      </c>
      <c r="J26" s="92">
        <f t="shared" si="0"/>
        <v>170.36228375465396</v>
      </c>
      <c r="K26" s="431">
        <v>41252.60763888889</v>
      </c>
      <c r="L26" s="431">
        <v>41252.73888888889</v>
      </c>
      <c r="M26" s="94">
        <f t="shared" si="1"/>
        <v>3.1499999999650754</v>
      </c>
      <c r="N26" s="95">
        <f t="shared" si="2"/>
        <v>189</v>
      </c>
      <c r="O26" s="96" t="s">
        <v>75</v>
      </c>
      <c r="P26" s="429" t="s">
        <v>77</v>
      </c>
      <c r="Q26" s="97">
        <f t="shared" si="3"/>
        <v>50</v>
      </c>
      <c r="R26" s="98" t="str">
        <f t="shared" si="4"/>
        <v>--</v>
      </c>
      <c r="S26" s="99" t="str">
        <f t="shared" si="5"/>
        <v>--</v>
      </c>
      <c r="T26" s="100">
        <f t="shared" si="6"/>
        <v>8518.114187732697</v>
      </c>
      <c r="U26" s="100">
        <f t="shared" si="7"/>
        <v>25554.342563198094</v>
      </c>
      <c r="V26" s="101">
        <f t="shared" si="8"/>
        <v>127.7717128159904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6" t="s">
        <v>76</v>
      </c>
      <c r="AC26" s="106">
        <f t="shared" si="14"/>
        <v>34200.22846374678</v>
      </c>
      <c r="AD26" s="107"/>
    </row>
    <row r="27" spans="2:30" s="1" customFormat="1" ht="16.5" customHeight="1">
      <c r="B27" s="13"/>
      <c r="C27" s="79">
        <v>26</v>
      </c>
      <c r="D27" s="79">
        <v>255512</v>
      </c>
      <c r="E27" s="79">
        <v>1445</v>
      </c>
      <c r="F27" s="77" t="s">
        <v>96</v>
      </c>
      <c r="G27" s="77">
        <v>132</v>
      </c>
      <c r="H27" s="90">
        <v>35</v>
      </c>
      <c r="I27" s="91" t="s">
        <v>74</v>
      </c>
      <c r="J27" s="92">
        <f t="shared" si="0"/>
        <v>74.44045</v>
      </c>
      <c r="K27" s="431">
        <v>41253.388194444444</v>
      </c>
      <c r="L27" s="431">
        <v>41253.623611111114</v>
      </c>
      <c r="M27" s="94">
        <f t="shared" si="1"/>
        <v>5.650000000081491</v>
      </c>
      <c r="N27" s="95">
        <f t="shared" si="2"/>
        <v>339</v>
      </c>
      <c r="O27" s="93" t="s">
        <v>79</v>
      </c>
      <c r="P27" s="429" t="s">
        <v>77</v>
      </c>
      <c r="Q27" s="97">
        <f t="shared" si="3"/>
        <v>10</v>
      </c>
      <c r="R27" s="98">
        <f t="shared" si="4"/>
        <v>42.05885425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6" t="s">
        <v>76</v>
      </c>
      <c r="AC27" s="106">
        <f t="shared" si="14"/>
        <v>42.05885425</v>
      </c>
      <c r="AD27" s="107"/>
    </row>
    <row r="28" spans="2:30" s="1" customFormat="1" ht="16.5" customHeight="1">
      <c r="B28" s="13"/>
      <c r="C28" s="79">
        <v>27</v>
      </c>
      <c r="D28" s="79">
        <v>255513</v>
      </c>
      <c r="E28" s="79">
        <v>5043</v>
      </c>
      <c r="F28" s="77" t="s">
        <v>97</v>
      </c>
      <c r="G28" s="77">
        <v>132</v>
      </c>
      <c r="H28" s="90">
        <v>6.75</v>
      </c>
      <c r="I28" s="91" t="s">
        <v>74</v>
      </c>
      <c r="J28" s="92">
        <f t="shared" si="0"/>
        <v>53.17175</v>
      </c>
      <c r="K28" s="431">
        <v>41253.39513888889</v>
      </c>
      <c r="L28" s="431">
        <v>41253.625</v>
      </c>
      <c r="M28" s="94">
        <f t="shared" si="1"/>
        <v>5.516666666662786</v>
      </c>
      <c r="N28" s="95">
        <f t="shared" si="2"/>
        <v>331</v>
      </c>
      <c r="O28" s="93" t="s">
        <v>79</v>
      </c>
      <c r="P28" s="429" t="s">
        <v>77</v>
      </c>
      <c r="Q28" s="97">
        <f t="shared" si="3"/>
        <v>10</v>
      </c>
      <c r="R28" s="98">
        <f t="shared" si="4"/>
        <v>29.350806000000002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6" t="s">
        <v>76</v>
      </c>
      <c r="AC28" s="106">
        <f t="shared" si="14"/>
        <v>29.350806000000002</v>
      </c>
      <c r="AD28" s="107"/>
    </row>
    <row r="29" spans="2:30" s="1" customFormat="1" ht="16.5" customHeight="1">
      <c r="B29" s="13"/>
      <c r="C29" s="79">
        <v>28</v>
      </c>
      <c r="D29" s="79">
        <v>255515</v>
      </c>
      <c r="E29" s="79">
        <v>1518</v>
      </c>
      <c r="F29" s="77" t="s">
        <v>78</v>
      </c>
      <c r="G29" s="77">
        <v>132</v>
      </c>
      <c r="H29" s="90">
        <v>47.70000076293945</v>
      </c>
      <c r="I29" s="91" t="s">
        <v>74</v>
      </c>
      <c r="J29" s="92">
        <f t="shared" si="0"/>
        <v>101.45170062267303</v>
      </c>
      <c r="K29" s="431">
        <v>41253.529861111114</v>
      </c>
      <c r="L29" s="431">
        <v>41253.58611111111</v>
      </c>
      <c r="M29" s="94">
        <f t="shared" si="1"/>
        <v>1.3499999998603016</v>
      </c>
      <c r="N29" s="95">
        <f t="shared" si="2"/>
        <v>81</v>
      </c>
      <c r="O29" s="93" t="s">
        <v>75</v>
      </c>
      <c r="P29" s="429" t="s">
        <v>77</v>
      </c>
      <c r="Q29" s="97">
        <f t="shared" si="3"/>
        <v>10</v>
      </c>
      <c r="R29" s="98" t="str">
        <f t="shared" si="4"/>
        <v>--</v>
      </c>
      <c r="S29" s="99" t="str">
        <f t="shared" si="5"/>
        <v>--</v>
      </c>
      <c r="T29" s="100">
        <f t="shared" si="6"/>
        <v>1014.5170062267302</v>
      </c>
      <c r="U29" s="100">
        <f t="shared" si="7"/>
        <v>1369.5979584060858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6" t="s">
        <v>76</v>
      </c>
      <c r="AC29" s="106">
        <f t="shared" si="14"/>
        <v>2384.114964632816</v>
      </c>
      <c r="AD29" s="107"/>
    </row>
    <row r="30" spans="2:30" s="1" customFormat="1" ht="16.5" customHeight="1">
      <c r="B30" s="13"/>
      <c r="C30" s="79">
        <v>29</v>
      </c>
      <c r="D30" s="79">
        <v>255524</v>
      </c>
      <c r="E30" s="79">
        <v>1537</v>
      </c>
      <c r="F30" s="77" t="s">
        <v>90</v>
      </c>
      <c r="G30" s="77">
        <v>132</v>
      </c>
      <c r="H30" s="90">
        <v>47.599998474121094</v>
      </c>
      <c r="I30" s="91" t="s">
        <v>74</v>
      </c>
      <c r="J30" s="92">
        <f t="shared" si="0"/>
        <v>101.23900875465394</v>
      </c>
      <c r="K30" s="431">
        <v>41253.60625</v>
      </c>
      <c r="L30" s="431">
        <v>41253.74930555555</v>
      </c>
      <c r="M30" s="94">
        <f t="shared" si="1"/>
        <v>3.4333333333488554</v>
      </c>
      <c r="N30" s="95">
        <f t="shared" si="2"/>
        <v>206</v>
      </c>
      <c r="O30" s="93" t="s">
        <v>79</v>
      </c>
      <c r="P30" s="429" t="s">
        <v>77</v>
      </c>
      <c r="Q30" s="97">
        <f t="shared" si="3"/>
        <v>10</v>
      </c>
      <c r="R30" s="98">
        <f t="shared" si="4"/>
        <v>34.72498000284631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6" t="s">
        <v>76</v>
      </c>
      <c r="AC30" s="106">
        <f t="shared" si="14"/>
        <v>34.72498000284631</v>
      </c>
      <c r="AD30" s="107"/>
    </row>
    <row r="31" spans="2:30" s="1" customFormat="1" ht="16.5" customHeight="1">
      <c r="B31" s="13"/>
      <c r="C31" s="79">
        <v>30</v>
      </c>
      <c r="D31" s="79">
        <v>255527</v>
      </c>
      <c r="E31" s="79">
        <v>1445</v>
      </c>
      <c r="F31" s="77" t="s">
        <v>96</v>
      </c>
      <c r="G31" s="77">
        <v>132</v>
      </c>
      <c r="H31" s="90">
        <v>35</v>
      </c>
      <c r="I31" s="91" t="s">
        <v>74</v>
      </c>
      <c r="J31" s="92">
        <f t="shared" si="0"/>
        <v>74.44045</v>
      </c>
      <c r="K31" s="431">
        <v>41254.3125</v>
      </c>
      <c r="L31" s="431">
        <v>41254.78472222222</v>
      </c>
      <c r="M31" s="94">
        <f t="shared" si="1"/>
        <v>11.333333333255723</v>
      </c>
      <c r="N31" s="95">
        <f t="shared" si="2"/>
        <v>680</v>
      </c>
      <c r="O31" s="93" t="s">
        <v>79</v>
      </c>
      <c r="P31" s="429" t="s">
        <v>77</v>
      </c>
      <c r="Q31" s="97">
        <f t="shared" si="3"/>
        <v>10</v>
      </c>
      <c r="R31" s="98">
        <f t="shared" si="4"/>
        <v>84.34102985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6" t="s">
        <v>76</v>
      </c>
      <c r="AC31" s="106">
        <f t="shared" si="14"/>
        <v>84.34102985</v>
      </c>
      <c r="AD31" s="107"/>
    </row>
    <row r="32" spans="2:30" s="1" customFormat="1" ht="16.5" customHeight="1">
      <c r="B32" s="13"/>
      <c r="C32" s="79">
        <v>31</v>
      </c>
      <c r="D32" s="79">
        <v>255528</v>
      </c>
      <c r="E32" s="79">
        <v>1537</v>
      </c>
      <c r="F32" s="77" t="s">
        <v>90</v>
      </c>
      <c r="G32" s="77">
        <v>132</v>
      </c>
      <c r="H32" s="90">
        <v>47.599998474121094</v>
      </c>
      <c r="I32" s="91" t="s">
        <v>74</v>
      </c>
      <c r="J32" s="92">
        <f t="shared" si="0"/>
        <v>101.23900875465394</v>
      </c>
      <c r="K32" s="431">
        <v>41254.37847222222</v>
      </c>
      <c r="L32" s="431">
        <v>41254.75347222222</v>
      </c>
      <c r="M32" s="94">
        <f t="shared" si="1"/>
        <v>9</v>
      </c>
      <c r="N32" s="95">
        <f t="shared" si="2"/>
        <v>540</v>
      </c>
      <c r="O32" s="93" t="s">
        <v>79</v>
      </c>
      <c r="P32" s="429" t="s">
        <v>77</v>
      </c>
      <c r="Q32" s="97">
        <f t="shared" si="3"/>
        <v>10</v>
      </c>
      <c r="R32" s="98">
        <f t="shared" si="4"/>
        <v>91.11510787918854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6" t="s">
        <v>76</v>
      </c>
      <c r="AC32" s="106">
        <f t="shared" si="14"/>
        <v>91.11510787918854</v>
      </c>
      <c r="AD32" s="107"/>
    </row>
    <row r="33" spans="2:30" s="1" customFormat="1" ht="16.5" customHeight="1">
      <c r="B33" s="13"/>
      <c r="C33" s="79">
        <v>32</v>
      </c>
      <c r="D33" s="79">
        <v>255531</v>
      </c>
      <c r="E33" s="79">
        <v>1452</v>
      </c>
      <c r="F33" s="77" t="s">
        <v>98</v>
      </c>
      <c r="G33" s="77">
        <v>132</v>
      </c>
      <c r="H33" s="90">
        <v>51.5099983215332</v>
      </c>
      <c r="I33" s="91" t="s">
        <v>74</v>
      </c>
      <c r="J33" s="92">
        <f t="shared" si="0"/>
        <v>109.55507013011933</v>
      </c>
      <c r="K33" s="431">
        <v>41254.51597222222</v>
      </c>
      <c r="L33" s="431">
        <v>41254.59305555555</v>
      </c>
      <c r="M33" s="94">
        <f t="shared" si="1"/>
        <v>1.8499999999185093</v>
      </c>
      <c r="N33" s="95">
        <f t="shared" si="2"/>
        <v>111</v>
      </c>
      <c r="O33" s="93" t="s">
        <v>79</v>
      </c>
      <c r="P33" s="429" t="s">
        <v>77</v>
      </c>
      <c r="Q33" s="97">
        <f t="shared" si="3"/>
        <v>10</v>
      </c>
      <c r="R33" s="98">
        <f t="shared" si="4"/>
        <v>20.26768797407208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6" t="s">
        <v>76</v>
      </c>
      <c r="AC33" s="106">
        <f t="shared" si="14"/>
        <v>20.26768797407208</v>
      </c>
      <c r="AD33" s="107"/>
    </row>
    <row r="34" spans="2:30" s="1" customFormat="1" ht="16.5" customHeight="1">
      <c r="B34" s="13"/>
      <c r="C34" s="79">
        <v>33</v>
      </c>
      <c r="D34" s="79">
        <v>255534</v>
      </c>
      <c r="E34" s="79">
        <v>1537</v>
      </c>
      <c r="F34" s="77" t="s">
        <v>90</v>
      </c>
      <c r="G34" s="77">
        <v>132</v>
      </c>
      <c r="H34" s="90">
        <v>47.599998474121094</v>
      </c>
      <c r="I34" s="91" t="s">
        <v>74</v>
      </c>
      <c r="J34" s="92">
        <f t="shared" si="0"/>
        <v>101.23900875465394</v>
      </c>
      <c r="K34" s="431">
        <v>41255.35555555556</v>
      </c>
      <c r="L34" s="431">
        <v>41255.73611111111</v>
      </c>
      <c r="M34" s="94">
        <f t="shared" si="1"/>
        <v>9.133333333244082</v>
      </c>
      <c r="N34" s="95">
        <f t="shared" si="2"/>
        <v>548</v>
      </c>
      <c r="O34" s="93" t="s">
        <v>79</v>
      </c>
      <c r="P34" s="429" t="s">
        <v>77</v>
      </c>
      <c r="Q34" s="97">
        <f t="shared" si="3"/>
        <v>10</v>
      </c>
      <c r="R34" s="98">
        <f t="shared" si="4"/>
        <v>92.43121499299905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6" t="s">
        <v>76</v>
      </c>
      <c r="AC34" s="106">
        <f t="shared" si="14"/>
        <v>92.43121499299905</v>
      </c>
      <c r="AD34" s="107"/>
    </row>
    <row r="35" spans="2:30" s="1" customFormat="1" ht="16.5" customHeight="1">
      <c r="B35" s="108"/>
      <c r="C35" s="79">
        <v>34</v>
      </c>
      <c r="D35" s="79">
        <v>255535</v>
      </c>
      <c r="E35" s="79">
        <v>1445</v>
      </c>
      <c r="F35" s="77" t="s">
        <v>96</v>
      </c>
      <c r="G35" s="77">
        <v>132</v>
      </c>
      <c r="H35" s="90">
        <v>35</v>
      </c>
      <c r="I35" s="91" t="s">
        <v>74</v>
      </c>
      <c r="J35" s="92">
        <f t="shared" si="0"/>
        <v>74.44045</v>
      </c>
      <c r="K35" s="431">
        <v>41255.37847222222</v>
      </c>
      <c r="L35" s="431">
        <v>41255.72638888889</v>
      </c>
      <c r="M35" s="94">
        <f t="shared" si="1"/>
        <v>8.35000000015134</v>
      </c>
      <c r="N35" s="95">
        <f t="shared" si="2"/>
        <v>501</v>
      </c>
      <c r="O35" s="93" t="s">
        <v>79</v>
      </c>
      <c r="P35" s="429" t="s">
        <v>77</v>
      </c>
      <c r="Q35" s="97">
        <f t="shared" si="3"/>
        <v>10</v>
      </c>
      <c r="R35" s="98">
        <f t="shared" si="4"/>
        <v>62.15777575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6" t="s">
        <v>76</v>
      </c>
      <c r="AC35" s="106">
        <f t="shared" si="14"/>
        <v>62.15777575</v>
      </c>
      <c r="AD35" s="107"/>
    </row>
    <row r="36" spans="2:30" s="1" customFormat="1" ht="16.5" customHeight="1">
      <c r="B36" s="108"/>
      <c r="C36" s="79">
        <v>35</v>
      </c>
      <c r="D36" s="79">
        <v>255538</v>
      </c>
      <c r="E36" s="79">
        <v>1536</v>
      </c>
      <c r="F36" s="77" t="s">
        <v>80</v>
      </c>
      <c r="G36" s="77">
        <v>66</v>
      </c>
      <c r="H36" s="90">
        <v>46.79999923706055</v>
      </c>
      <c r="I36" s="91" t="s">
        <v>74</v>
      </c>
      <c r="J36" s="92">
        <f t="shared" si="0"/>
        <v>99.53751437732697</v>
      </c>
      <c r="K36" s="431">
        <v>41255.40902777778</v>
      </c>
      <c r="L36" s="431">
        <v>41255.68680555555</v>
      </c>
      <c r="M36" s="94">
        <f t="shared" si="1"/>
        <v>6.666666666569654</v>
      </c>
      <c r="N36" s="95">
        <f t="shared" si="2"/>
        <v>400</v>
      </c>
      <c r="O36" s="93" t="s">
        <v>79</v>
      </c>
      <c r="P36" s="429" t="s">
        <v>77</v>
      </c>
      <c r="Q36" s="97">
        <f t="shared" si="3"/>
        <v>10</v>
      </c>
      <c r="R36" s="98">
        <f t="shared" si="4"/>
        <v>66.39152208967708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6" t="s">
        <v>76</v>
      </c>
      <c r="AC36" s="106">
        <f t="shared" si="14"/>
        <v>66.39152208967708</v>
      </c>
      <c r="AD36" s="107"/>
    </row>
    <row r="37" spans="2:30" s="1" customFormat="1" ht="16.5" customHeight="1">
      <c r="B37" s="108"/>
      <c r="C37" s="79">
        <v>36</v>
      </c>
      <c r="D37" s="79">
        <v>255539</v>
      </c>
      <c r="E37" s="79">
        <v>1534</v>
      </c>
      <c r="F37" s="77" t="s">
        <v>99</v>
      </c>
      <c r="G37" s="77">
        <v>132</v>
      </c>
      <c r="H37" s="90">
        <v>19</v>
      </c>
      <c r="I37" s="91" t="s">
        <v>74</v>
      </c>
      <c r="J37" s="92">
        <f t="shared" si="0"/>
        <v>53.17175</v>
      </c>
      <c r="K37" s="431">
        <v>41255.41388888889</v>
      </c>
      <c r="L37" s="431">
        <v>41255.6125</v>
      </c>
      <c r="M37" s="94">
        <f t="shared" si="1"/>
        <v>4.766666666662786</v>
      </c>
      <c r="N37" s="95">
        <f t="shared" si="2"/>
        <v>286</v>
      </c>
      <c r="O37" s="93" t="s">
        <v>79</v>
      </c>
      <c r="P37" s="429" t="s">
        <v>77</v>
      </c>
      <c r="Q37" s="97">
        <f t="shared" si="3"/>
        <v>10</v>
      </c>
      <c r="R37" s="98">
        <f t="shared" si="4"/>
        <v>25.362924749999998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6" t="s">
        <v>76</v>
      </c>
      <c r="AC37" s="106">
        <f t="shared" si="14"/>
        <v>25.362924749999998</v>
      </c>
      <c r="AD37" s="107"/>
    </row>
    <row r="38" spans="2:30" s="1" customFormat="1" ht="16.5" customHeight="1">
      <c r="B38" s="108"/>
      <c r="C38" s="79">
        <v>37</v>
      </c>
      <c r="D38" s="79">
        <v>255540</v>
      </c>
      <c r="E38" s="79">
        <v>1997</v>
      </c>
      <c r="F38" s="77" t="s">
        <v>100</v>
      </c>
      <c r="G38" s="77">
        <v>132</v>
      </c>
      <c r="H38" s="90">
        <v>13.600000381469727</v>
      </c>
      <c r="I38" s="91" t="s">
        <v>83</v>
      </c>
      <c r="J38" s="92">
        <f t="shared" si="0"/>
        <v>53.17175</v>
      </c>
      <c r="K38" s="431">
        <v>41255.42569444444</v>
      </c>
      <c r="L38" s="431">
        <v>41255.68680555555</v>
      </c>
      <c r="M38" s="94">
        <f t="shared" si="1"/>
        <v>6.266666666662786</v>
      </c>
      <c r="N38" s="95">
        <f t="shared" si="2"/>
        <v>376</v>
      </c>
      <c r="O38" s="93" t="s">
        <v>79</v>
      </c>
      <c r="P38" s="429" t="s">
        <v>77</v>
      </c>
      <c r="Q38" s="97">
        <f t="shared" si="3"/>
        <v>50</v>
      </c>
      <c r="R38" s="98">
        <f t="shared" si="4"/>
        <v>166.69343625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6" t="s">
        <v>76</v>
      </c>
      <c r="AC38" s="106">
        <f t="shared" si="14"/>
        <v>166.69343625</v>
      </c>
      <c r="AD38" s="107"/>
    </row>
    <row r="39" spans="2:30" s="1" customFormat="1" ht="16.5" customHeight="1">
      <c r="B39" s="108"/>
      <c r="C39" s="79">
        <v>38</v>
      </c>
      <c r="D39" s="79">
        <v>255543</v>
      </c>
      <c r="E39" s="79">
        <v>1537</v>
      </c>
      <c r="F39" s="77" t="s">
        <v>90</v>
      </c>
      <c r="G39" s="77">
        <v>132</v>
      </c>
      <c r="H39" s="90">
        <v>47.599998474121094</v>
      </c>
      <c r="I39" s="91" t="s">
        <v>74</v>
      </c>
      <c r="J39" s="92">
        <f t="shared" si="0"/>
        <v>101.23900875465394</v>
      </c>
      <c r="K39" s="431">
        <v>41256.345138888886</v>
      </c>
      <c r="L39" s="431">
        <v>41256.73541666667</v>
      </c>
      <c r="M39" s="94">
        <f t="shared" si="1"/>
        <v>9.366666666814126</v>
      </c>
      <c r="N39" s="95">
        <f t="shared" si="2"/>
        <v>562</v>
      </c>
      <c r="O39" s="93" t="s">
        <v>79</v>
      </c>
      <c r="P39" s="429" t="s">
        <v>77</v>
      </c>
      <c r="Q39" s="97">
        <f t="shared" si="3"/>
        <v>10</v>
      </c>
      <c r="R39" s="98">
        <f t="shared" si="4"/>
        <v>94.86095120311073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6" t="s">
        <v>76</v>
      </c>
      <c r="AC39" s="106">
        <f t="shared" si="14"/>
        <v>94.86095120311073</v>
      </c>
      <c r="AD39" s="107"/>
    </row>
    <row r="40" spans="2:30" s="1" customFormat="1" ht="16.5" customHeight="1">
      <c r="B40" s="108"/>
      <c r="C40" s="79">
        <v>39</v>
      </c>
      <c r="D40" s="79">
        <v>255544</v>
      </c>
      <c r="E40" s="79">
        <v>1534</v>
      </c>
      <c r="F40" s="77" t="s">
        <v>99</v>
      </c>
      <c r="G40" s="77">
        <v>132</v>
      </c>
      <c r="H40" s="90">
        <v>19</v>
      </c>
      <c r="I40" s="91" t="s">
        <v>74</v>
      </c>
      <c r="J40" s="92">
        <f t="shared" si="0"/>
        <v>53.17175</v>
      </c>
      <c r="K40" s="431">
        <v>41256.368055555555</v>
      </c>
      <c r="L40" s="431">
        <v>41256.61736111111</v>
      </c>
      <c r="M40" s="94">
        <f t="shared" si="1"/>
        <v>5.983333333279006</v>
      </c>
      <c r="N40" s="95">
        <f t="shared" si="2"/>
        <v>359</v>
      </c>
      <c r="O40" s="93" t="s">
        <v>79</v>
      </c>
      <c r="P40" s="429" t="s">
        <v>77</v>
      </c>
      <c r="Q40" s="97">
        <f t="shared" si="3"/>
        <v>10</v>
      </c>
      <c r="R40" s="98">
        <f t="shared" si="4"/>
        <v>31.796706500000006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6" t="s">
        <v>76</v>
      </c>
      <c r="AC40" s="106">
        <f t="shared" si="14"/>
        <v>31.796706500000006</v>
      </c>
      <c r="AD40" s="107"/>
    </row>
    <row r="41" spans="2:30" s="1" customFormat="1" ht="16.5" customHeight="1">
      <c r="B41" s="108"/>
      <c r="C41" s="79">
        <v>40</v>
      </c>
      <c r="D41" s="79">
        <v>255545</v>
      </c>
      <c r="E41" s="79">
        <v>1442</v>
      </c>
      <c r="F41" s="77" t="s">
        <v>81</v>
      </c>
      <c r="G41" s="77">
        <v>132</v>
      </c>
      <c r="H41" s="90">
        <v>46.400001525878906</v>
      </c>
      <c r="I41" s="91" t="s">
        <v>74</v>
      </c>
      <c r="J41" s="92">
        <f t="shared" si="0"/>
        <v>98.68677124534608</v>
      </c>
      <c r="K41" s="431">
        <v>41256.38611111111</v>
      </c>
      <c r="L41" s="431">
        <v>41256.720138888886</v>
      </c>
      <c r="M41" s="94">
        <f t="shared" si="1"/>
        <v>8.016666666604578</v>
      </c>
      <c r="N41" s="95">
        <f t="shared" si="2"/>
        <v>481</v>
      </c>
      <c r="O41" s="93" t="s">
        <v>79</v>
      </c>
      <c r="P41" s="429" t="s">
        <v>77</v>
      </c>
      <c r="Q41" s="97">
        <f t="shared" si="3"/>
        <v>10</v>
      </c>
      <c r="R41" s="98">
        <f t="shared" si="4"/>
        <v>79.14679053876755</v>
      </c>
      <c r="S41" s="99" t="str">
        <f t="shared" si="5"/>
        <v>--</v>
      </c>
      <c r="T41" s="100" t="str">
        <f t="shared" si="6"/>
        <v>--</v>
      </c>
      <c r="U41" s="100" t="str">
        <f t="shared" si="7"/>
        <v>--</v>
      </c>
      <c r="V41" s="101" t="str">
        <f t="shared" si="8"/>
        <v>--</v>
      </c>
      <c r="W41" s="102" t="str">
        <f t="shared" si="9"/>
        <v>--</v>
      </c>
      <c r="X41" s="102" t="str">
        <f t="shared" si="10"/>
        <v>--</v>
      </c>
      <c r="Y41" s="103" t="str">
        <f t="shared" si="11"/>
        <v>--</v>
      </c>
      <c r="Z41" s="104" t="str">
        <f t="shared" si="12"/>
        <v>--</v>
      </c>
      <c r="AA41" s="105" t="str">
        <f t="shared" si="13"/>
        <v>--</v>
      </c>
      <c r="AB41" s="426" t="s">
        <v>76</v>
      </c>
      <c r="AC41" s="106">
        <f t="shared" si="14"/>
        <v>79.14679053876755</v>
      </c>
      <c r="AD41" s="107"/>
    </row>
    <row r="42" spans="2:30" s="1" customFormat="1" ht="16.5" customHeight="1" thickBot="1">
      <c r="B42" s="13"/>
      <c r="C42" s="109"/>
      <c r="D42" s="109"/>
      <c r="E42" s="109"/>
      <c r="F42" s="332"/>
      <c r="G42" s="333"/>
      <c r="H42" s="334"/>
      <c r="I42" s="334"/>
      <c r="J42" s="111"/>
      <c r="K42" s="407"/>
      <c r="L42" s="407"/>
      <c r="M42" s="110"/>
      <c r="N42" s="110"/>
      <c r="O42" s="334"/>
      <c r="P42" s="335"/>
      <c r="Q42" s="336"/>
      <c r="R42" s="337"/>
      <c r="S42" s="338"/>
      <c r="T42" s="339"/>
      <c r="U42" s="340"/>
      <c r="V42" s="340"/>
      <c r="W42" s="341"/>
      <c r="X42" s="341"/>
      <c r="Y42" s="341"/>
      <c r="Z42" s="342"/>
      <c r="AA42" s="343"/>
      <c r="AB42" s="344"/>
      <c r="AC42" s="112"/>
      <c r="AD42" s="107"/>
    </row>
    <row r="43" spans="2:30" s="1" customFormat="1" ht="16.5" customHeight="1" thickBot="1" thickTop="1">
      <c r="B43" s="13"/>
      <c r="C43" s="437" t="s">
        <v>237</v>
      </c>
      <c r="D43" s="436" t="s">
        <v>236</v>
      </c>
      <c r="E43" s="128"/>
      <c r="F43" s="113"/>
      <c r="G43" s="114"/>
      <c r="H43" s="115"/>
      <c r="I43" s="115"/>
      <c r="J43" s="116"/>
      <c r="K43" s="116"/>
      <c r="L43" s="116"/>
      <c r="M43" s="116"/>
      <c r="N43" s="116"/>
      <c r="O43" s="116"/>
      <c r="P43" s="117"/>
      <c r="Q43" s="117"/>
      <c r="R43" s="118">
        <f aca="true" t="shared" si="15" ref="R43:AA43">SUM(R19:R42)</f>
        <v>1364.3508310108175</v>
      </c>
      <c r="S43" s="119">
        <f t="shared" si="15"/>
        <v>0</v>
      </c>
      <c r="T43" s="120">
        <f t="shared" si="15"/>
        <v>9532.631193959427</v>
      </c>
      <c r="U43" s="120">
        <f t="shared" si="15"/>
        <v>26923.940521604178</v>
      </c>
      <c r="V43" s="120">
        <f t="shared" si="15"/>
        <v>127.7717128159904</v>
      </c>
      <c r="W43" s="121">
        <f t="shared" si="15"/>
        <v>0</v>
      </c>
      <c r="X43" s="121">
        <f t="shared" si="15"/>
        <v>0</v>
      </c>
      <c r="Y43" s="121">
        <f t="shared" si="15"/>
        <v>0</v>
      </c>
      <c r="Z43" s="122">
        <f t="shared" si="15"/>
        <v>0</v>
      </c>
      <c r="AA43" s="123">
        <f t="shared" si="15"/>
        <v>0</v>
      </c>
      <c r="AB43" s="124"/>
      <c r="AC43" s="416">
        <f>ROUND(SUM(AC19:AC42),2)</f>
        <v>116709.5</v>
      </c>
      <c r="AD43" s="125"/>
    </row>
    <row r="44" spans="2:30" s="126" customFormat="1" ht="9.75" thickTop="1">
      <c r="B44" s="127"/>
      <c r="C44" s="128"/>
      <c r="D44" s="128"/>
      <c r="E44" s="128"/>
      <c r="F44" s="129"/>
      <c r="G44" s="130"/>
      <c r="H44" s="131"/>
      <c r="I44" s="131"/>
      <c r="J44" s="132"/>
      <c r="K44" s="132"/>
      <c r="L44" s="132"/>
      <c r="M44" s="132"/>
      <c r="N44" s="132"/>
      <c r="O44" s="132"/>
      <c r="P44" s="133"/>
      <c r="Q44" s="133"/>
      <c r="R44" s="134"/>
      <c r="S44" s="134"/>
      <c r="T44" s="135"/>
      <c r="U44" s="135"/>
      <c r="V44" s="136"/>
      <c r="W44" s="136"/>
      <c r="X44" s="136"/>
      <c r="Y44" s="136"/>
      <c r="Z44" s="136"/>
      <c r="AA44" s="136"/>
      <c r="AB44" s="136"/>
      <c r="AC44" s="137"/>
      <c r="AD44" s="138"/>
    </row>
    <row r="45" spans="2:30" s="1" customFormat="1" ht="16.5" customHeight="1" thickBot="1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1"/>
    </row>
    <row r="46" spans="2:30" ht="13.5" thickTop="1">
      <c r="B46" s="142"/>
      <c r="AD46" s="142"/>
    </row>
    <row r="91" ht="12.75">
      <c r="B91" s="142"/>
    </row>
  </sheetData>
  <sheetProtection/>
  <printOptions/>
  <pageMargins left="0.2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0" zoomScaleNormal="70" zoomScalePageLayoutView="0" workbookViewId="0" topLeftCell="A13">
      <selection activeCell="AC21" sqref="AC21:AC40"/>
    </sheetView>
  </sheetViews>
  <sheetFormatPr defaultColWidth="11.421875" defaultRowHeight="12.75"/>
  <cols>
    <col min="1" max="1" width="19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710937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3"/>
    </row>
    <row r="2" spans="2:30" s="3" customFormat="1" ht="26.25">
      <c r="B2" s="16" t="str">
        <f>'TOT-1212'!B2</f>
        <v>ANEXO I al Memorándum  D.T.E.E.  N° 335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+'TOT-1212'!B14</f>
        <v>Desde el 01 al 31 de diciembre de 2012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222.578</v>
      </c>
      <c r="H14" s="37"/>
      <c r="I14" s="38"/>
      <c r="J14" s="34"/>
      <c r="K14" s="34"/>
      <c r="L14" s="39" t="s">
        <v>8</v>
      </c>
      <c r="M14" s="40">
        <f>150*'TOT-1212'!B13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212.687</v>
      </c>
      <c r="H15" s="42"/>
      <c r="I15" s="43"/>
      <c r="J15" s="7"/>
      <c r="K15" s="44"/>
      <c r="L15" s="39" t="s">
        <v>10</v>
      </c>
      <c r="M15" s="40">
        <f>50*'TOT-1212'!B13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212.687</v>
      </c>
      <c r="H16" s="42"/>
      <c r="I16" s="43"/>
      <c r="J16" s="7"/>
      <c r="K16" s="7"/>
      <c r="L16" s="39" t="s">
        <v>12</v>
      </c>
      <c r="M16" s="40">
        <f>10*'TOT-1212'!B13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21">
        <v>3</v>
      </c>
      <c r="D17" s="421">
        <v>4</v>
      </c>
      <c r="E17" s="421">
        <v>5</v>
      </c>
      <c r="F17" s="421">
        <v>6</v>
      </c>
      <c r="G17" s="421">
        <v>7</v>
      </c>
      <c r="H17" s="421">
        <v>8</v>
      </c>
      <c r="I17" s="421">
        <v>9</v>
      </c>
      <c r="J17" s="421">
        <v>10</v>
      </c>
      <c r="K17" s="421">
        <v>11</v>
      </c>
      <c r="L17" s="421">
        <v>12</v>
      </c>
      <c r="M17" s="421">
        <v>13</v>
      </c>
      <c r="N17" s="421">
        <v>14</v>
      </c>
      <c r="O17" s="421">
        <v>15</v>
      </c>
      <c r="P17" s="421">
        <v>16</v>
      </c>
      <c r="Q17" s="421">
        <v>17</v>
      </c>
      <c r="R17" s="421">
        <v>18</v>
      </c>
      <c r="S17" s="421">
        <v>19</v>
      </c>
      <c r="T17" s="421">
        <v>20</v>
      </c>
      <c r="U17" s="421">
        <v>21</v>
      </c>
      <c r="V17" s="421">
        <v>22</v>
      </c>
      <c r="W17" s="421">
        <v>23</v>
      </c>
      <c r="X17" s="421">
        <v>24</v>
      </c>
      <c r="Y17" s="421">
        <v>25</v>
      </c>
      <c r="Z17" s="421">
        <v>26</v>
      </c>
      <c r="AA17" s="421">
        <v>27</v>
      </c>
      <c r="AB17" s="421">
        <v>28</v>
      </c>
      <c r="AC17" s="421">
        <v>29</v>
      </c>
      <c r="AD17" s="14"/>
    </row>
    <row r="18" spans="2:30" s="45" customFormat="1" ht="34.5" customHeight="1" thickBot="1" thickTop="1">
      <c r="B18" s="46"/>
      <c r="C18" s="420" t="s">
        <v>13</v>
      </c>
      <c r="D18" s="420" t="s">
        <v>70</v>
      </c>
      <c r="E18" s="420" t="s">
        <v>71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'LI-12 (2)'!AC43</f>
        <v>116709.5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31"/>
      <c r="L20" s="432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41</v>
      </c>
      <c r="D21" s="79">
        <v>255546</v>
      </c>
      <c r="E21" s="79">
        <v>1997</v>
      </c>
      <c r="F21" s="77" t="s">
        <v>100</v>
      </c>
      <c r="G21" s="77">
        <v>132</v>
      </c>
      <c r="H21" s="90">
        <v>13.600000381469727</v>
      </c>
      <c r="I21" s="91" t="s">
        <v>83</v>
      </c>
      <c r="J21" s="92">
        <f aca="true" t="shared" si="0" ref="J21:J40">IF(G21=220,$G$14,IF(G21=132,$G$15,$G$16))*IF(H21&gt;25,H21,25)/100</f>
        <v>53.17175</v>
      </c>
      <c r="K21" s="431">
        <v>41256.44861111111</v>
      </c>
      <c r="L21" s="431">
        <v>41256.65416666667</v>
      </c>
      <c r="M21" s="94">
        <f aca="true" t="shared" si="1" ref="M21:M40">IF(F21="","",(L21-K21)*24)</f>
        <v>4.933333333348855</v>
      </c>
      <c r="N21" s="95">
        <f aca="true" t="shared" si="2" ref="N21:N40">IF(F21="","",ROUND((L21-K21)*24*60,0))</f>
        <v>296</v>
      </c>
      <c r="O21" s="96" t="s">
        <v>79</v>
      </c>
      <c r="P21" s="429" t="s">
        <v>77</v>
      </c>
      <c r="Q21" s="97">
        <f aca="true" t="shared" si="3" ref="Q21:Q40">IF(I21="A",$M$14,IF(I21="B",$M$15,$M$16))</f>
        <v>50</v>
      </c>
      <c r="R21" s="98">
        <f aca="true" t="shared" si="4" ref="R21:R40">IF(O21="P",ROUND(N21/60,2)*J21*Q21*0.01,"--")</f>
        <v>131.06836375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26" t="s">
        <v>76</v>
      </c>
      <c r="AC21" s="106">
        <f aca="true" t="shared" si="14" ref="AC21:AC40">IF(F21="","",SUM(R21:AA21)*IF(AB21="SI",1,2))</f>
        <v>131.06836375</v>
      </c>
      <c r="AD21" s="107"/>
    </row>
    <row r="22" spans="2:30" s="1" customFormat="1" ht="16.5" customHeight="1">
      <c r="B22" s="13"/>
      <c r="C22" s="79">
        <v>42</v>
      </c>
      <c r="D22" s="79">
        <v>255548</v>
      </c>
      <c r="E22" s="79">
        <v>1451</v>
      </c>
      <c r="F22" s="77" t="s">
        <v>101</v>
      </c>
      <c r="G22" s="77">
        <v>132</v>
      </c>
      <c r="H22" s="90">
        <v>35.59000015258789</v>
      </c>
      <c r="I22" s="91" t="s">
        <v>74</v>
      </c>
      <c r="J22" s="92">
        <f t="shared" si="0"/>
        <v>75.6953036245346</v>
      </c>
      <c r="K22" s="431">
        <v>41257.37152777778</v>
      </c>
      <c r="L22" s="431">
        <v>41257.51666666667</v>
      </c>
      <c r="M22" s="94">
        <f t="shared" si="1"/>
        <v>3.483333333337214</v>
      </c>
      <c r="N22" s="95">
        <f t="shared" si="2"/>
        <v>209</v>
      </c>
      <c r="O22" s="96" t="s">
        <v>79</v>
      </c>
      <c r="P22" s="429" t="s">
        <v>77</v>
      </c>
      <c r="Q22" s="97">
        <f t="shared" si="3"/>
        <v>10</v>
      </c>
      <c r="R22" s="98">
        <f t="shared" si="4"/>
        <v>26.341965661338044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6" t="s">
        <v>76</v>
      </c>
      <c r="AC22" s="106">
        <f t="shared" si="14"/>
        <v>26.341965661338044</v>
      </c>
      <c r="AD22" s="107"/>
    </row>
    <row r="23" spans="2:30" s="1" customFormat="1" ht="16.5" customHeight="1">
      <c r="B23" s="13"/>
      <c r="C23" s="79">
        <v>43</v>
      </c>
      <c r="D23" s="79">
        <v>255549</v>
      </c>
      <c r="E23" s="79">
        <v>1539</v>
      </c>
      <c r="F23" s="77" t="s">
        <v>102</v>
      </c>
      <c r="G23" s="77">
        <v>132</v>
      </c>
      <c r="H23" s="90">
        <v>77.5</v>
      </c>
      <c r="I23" s="91" t="s">
        <v>74</v>
      </c>
      <c r="J23" s="92">
        <f t="shared" si="0"/>
        <v>164.832425</v>
      </c>
      <c r="K23" s="431">
        <v>41258.27013888889</v>
      </c>
      <c r="L23" s="431">
        <v>41258.69236111111</v>
      </c>
      <c r="M23" s="94">
        <f t="shared" si="1"/>
        <v>10.133333333360497</v>
      </c>
      <c r="N23" s="95">
        <f t="shared" si="2"/>
        <v>608</v>
      </c>
      <c r="O23" s="96" t="s">
        <v>79</v>
      </c>
      <c r="P23" s="429" t="s">
        <v>77</v>
      </c>
      <c r="Q23" s="97">
        <f t="shared" si="3"/>
        <v>10</v>
      </c>
      <c r="R23" s="98">
        <f t="shared" si="4"/>
        <v>166.97524652500002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6" t="s">
        <v>76</v>
      </c>
      <c r="AC23" s="106">
        <f t="shared" si="14"/>
        <v>166.97524652500002</v>
      </c>
      <c r="AD23" s="107"/>
    </row>
    <row r="24" spans="2:30" s="1" customFormat="1" ht="16.5" customHeight="1">
      <c r="B24" s="13"/>
      <c r="C24" s="79">
        <v>44</v>
      </c>
      <c r="D24" s="79">
        <v>255551</v>
      </c>
      <c r="E24" s="79">
        <v>1531</v>
      </c>
      <c r="F24" s="77" t="s">
        <v>103</v>
      </c>
      <c r="G24" s="77">
        <v>132</v>
      </c>
      <c r="H24" s="90">
        <v>102.08999633789062</v>
      </c>
      <c r="I24" s="91" t="s">
        <v>74</v>
      </c>
      <c r="J24" s="92">
        <f t="shared" si="0"/>
        <v>217.13215051116947</v>
      </c>
      <c r="K24" s="431">
        <v>41258.495833333334</v>
      </c>
      <c r="L24" s="431">
        <v>41258.51736111111</v>
      </c>
      <c r="M24" s="94">
        <f t="shared" si="1"/>
        <v>0.5166666666045785</v>
      </c>
      <c r="N24" s="95">
        <f t="shared" si="2"/>
        <v>31</v>
      </c>
      <c r="O24" s="96" t="s">
        <v>75</v>
      </c>
      <c r="P24" s="429" t="s">
        <v>77</v>
      </c>
      <c r="Q24" s="97">
        <f t="shared" si="3"/>
        <v>10</v>
      </c>
      <c r="R24" s="98" t="str">
        <f t="shared" si="4"/>
        <v>--</v>
      </c>
      <c r="S24" s="99" t="str">
        <f t="shared" si="5"/>
        <v>--</v>
      </c>
      <c r="T24" s="100">
        <f t="shared" si="6"/>
        <v>2171.321505111695</v>
      </c>
      <c r="U24" s="100">
        <f t="shared" si="7"/>
        <v>1129.0871826580815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6" t="s">
        <v>76</v>
      </c>
      <c r="AC24" s="106">
        <f t="shared" si="14"/>
        <v>3300.4086877697764</v>
      </c>
      <c r="AD24" s="107"/>
    </row>
    <row r="25" spans="2:30" s="1" customFormat="1" ht="16.5" customHeight="1">
      <c r="B25" s="13"/>
      <c r="C25" s="79">
        <v>45</v>
      </c>
      <c r="D25" s="79">
        <v>255569</v>
      </c>
      <c r="E25" s="79">
        <v>1450</v>
      </c>
      <c r="F25" s="77" t="s">
        <v>104</v>
      </c>
      <c r="G25" s="77">
        <v>132</v>
      </c>
      <c r="H25" s="90">
        <v>51.400001525878906</v>
      </c>
      <c r="I25" s="91" t="s">
        <v>74</v>
      </c>
      <c r="J25" s="92">
        <f t="shared" si="0"/>
        <v>109.32112124534608</v>
      </c>
      <c r="K25" s="431">
        <v>41259.33819444444</v>
      </c>
      <c r="L25" s="431">
        <v>41259.646527777775</v>
      </c>
      <c r="M25" s="94">
        <f t="shared" si="1"/>
        <v>7.400000000023283</v>
      </c>
      <c r="N25" s="95">
        <f t="shared" si="2"/>
        <v>444</v>
      </c>
      <c r="O25" s="96" t="s">
        <v>79</v>
      </c>
      <c r="P25" s="429" t="s">
        <v>77</v>
      </c>
      <c r="Q25" s="97">
        <f t="shared" si="3"/>
        <v>10</v>
      </c>
      <c r="R25" s="98">
        <f t="shared" si="4"/>
        <v>80.8976297215561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6" t="s">
        <v>76</v>
      </c>
      <c r="AC25" s="106">
        <f t="shared" si="14"/>
        <v>80.8976297215561</v>
      </c>
      <c r="AD25" s="107"/>
    </row>
    <row r="26" spans="2:30" s="1" customFormat="1" ht="16.5" customHeight="1">
      <c r="B26" s="13"/>
      <c r="C26" s="79">
        <v>46</v>
      </c>
      <c r="D26" s="79">
        <v>255570</v>
      </c>
      <c r="E26" s="79">
        <v>1525</v>
      </c>
      <c r="F26" s="77" t="s">
        <v>105</v>
      </c>
      <c r="G26" s="77">
        <v>132</v>
      </c>
      <c r="H26" s="90">
        <v>39.290000915527344</v>
      </c>
      <c r="I26" s="91" t="s">
        <v>74</v>
      </c>
      <c r="J26" s="92">
        <f t="shared" si="0"/>
        <v>83.56472424720765</v>
      </c>
      <c r="K26" s="431">
        <v>41259.34444444445</v>
      </c>
      <c r="L26" s="431">
        <v>41259.70486111111</v>
      </c>
      <c r="M26" s="94">
        <f t="shared" si="1"/>
        <v>8.649999999906868</v>
      </c>
      <c r="N26" s="95">
        <f t="shared" si="2"/>
        <v>519</v>
      </c>
      <c r="O26" s="93" t="s">
        <v>79</v>
      </c>
      <c r="P26" s="429" t="s">
        <v>77</v>
      </c>
      <c r="Q26" s="97">
        <f t="shared" si="3"/>
        <v>10</v>
      </c>
      <c r="R26" s="98">
        <f t="shared" si="4"/>
        <v>72.28348647383463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6" t="s">
        <v>76</v>
      </c>
      <c r="AC26" s="106">
        <f t="shared" si="14"/>
        <v>72.28348647383463</v>
      </c>
      <c r="AD26" s="107"/>
    </row>
    <row r="27" spans="2:30" s="1" customFormat="1" ht="16.5" customHeight="1">
      <c r="B27" s="13"/>
      <c r="C27" s="79">
        <v>47</v>
      </c>
      <c r="D27" s="79">
        <v>256268</v>
      </c>
      <c r="E27" s="79">
        <v>1446</v>
      </c>
      <c r="F27" s="77" t="s">
        <v>106</v>
      </c>
      <c r="G27" s="77">
        <v>132</v>
      </c>
      <c r="H27" s="90">
        <v>139.89999389648438</v>
      </c>
      <c r="I27" s="91" t="s">
        <v>74</v>
      </c>
      <c r="J27" s="92">
        <f t="shared" si="0"/>
        <v>297.5491000186158</v>
      </c>
      <c r="K27" s="431">
        <v>41260.376388888886</v>
      </c>
      <c r="L27" s="431">
        <v>41260.73055555556</v>
      </c>
      <c r="M27" s="94">
        <f t="shared" si="1"/>
        <v>8.500000000116415</v>
      </c>
      <c r="N27" s="95">
        <f t="shared" si="2"/>
        <v>510</v>
      </c>
      <c r="O27" s="93" t="s">
        <v>79</v>
      </c>
      <c r="P27" s="429" t="s">
        <v>77</v>
      </c>
      <c r="Q27" s="97">
        <f t="shared" si="3"/>
        <v>10</v>
      </c>
      <c r="R27" s="98">
        <f t="shared" si="4"/>
        <v>252.9167350158234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6" t="s">
        <v>76</v>
      </c>
      <c r="AC27" s="106">
        <f t="shared" si="14"/>
        <v>252.9167350158234</v>
      </c>
      <c r="AD27" s="107"/>
    </row>
    <row r="28" spans="2:30" s="1" customFormat="1" ht="16.5" customHeight="1">
      <c r="B28" s="13"/>
      <c r="C28" s="79">
        <v>48</v>
      </c>
      <c r="D28" s="79">
        <v>256269</v>
      </c>
      <c r="E28" s="79">
        <v>1442</v>
      </c>
      <c r="F28" s="77" t="s">
        <v>81</v>
      </c>
      <c r="G28" s="77">
        <v>132</v>
      </c>
      <c r="H28" s="90">
        <v>46.400001525878906</v>
      </c>
      <c r="I28" s="91" t="s">
        <v>74</v>
      </c>
      <c r="J28" s="92">
        <f t="shared" si="0"/>
        <v>98.68677124534608</v>
      </c>
      <c r="K28" s="431">
        <v>41260.4</v>
      </c>
      <c r="L28" s="431">
        <v>41260.71944444445</v>
      </c>
      <c r="M28" s="94">
        <f t="shared" si="1"/>
        <v>7.666666666686069</v>
      </c>
      <c r="N28" s="95">
        <f t="shared" si="2"/>
        <v>460</v>
      </c>
      <c r="O28" s="93" t="s">
        <v>79</v>
      </c>
      <c r="P28" s="429" t="s">
        <v>77</v>
      </c>
      <c r="Q28" s="97">
        <f t="shared" si="3"/>
        <v>10</v>
      </c>
      <c r="R28" s="98">
        <f t="shared" si="4"/>
        <v>75.69275354518044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6" t="s">
        <v>76</v>
      </c>
      <c r="AC28" s="106">
        <f t="shared" si="14"/>
        <v>75.69275354518044</v>
      </c>
      <c r="AD28" s="107"/>
    </row>
    <row r="29" spans="2:30" s="1" customFormat="1" ht="16.5" customHeight="1">
      <c r="B29" s="13"/>
      <c r="C29" s="79">
        <v>49</v>
      </c>
      <c r="D29" s="79">
        <v>256273</v>
      </c>
      <c r="E29" s="79">
        <v>1446</v>
      </c>
      <c r="F29" s="77" t="s">
        <v>106</v>
      </c>
      <c r="G29" s="77">
        <v>132</v>
      </c>
      <c r="H29" s="90">
        <v>139.89999389648438</v>
      </c>
      <c r="I29" s="91" t="s">
        <v>74</v>
      </c>
      <c r="J29" s="92">
        <f t="shared" si="0"/>
        <v>297.5491000186158</v>
      </c>
      <c r="K29" s="431">
        <v>41261.376388888886</v>
      </c>
      <c r="L29" s="431">
        <v>41261.77569444444</v>
      </c>
      <c r="M29" s="94">
        <f t="shared" si="1"/>
        <v>9.58333333331393</v>
      </c>
      <c r="N29" s="95">
        <f t="shared" si="2"/>
        <v>575</v>
      </c>
      <c r="O29" s="93" t="s">
        <v>79</v>
      </c>
      <c r="P29" s="429" t="s">
        <v>77</v>
      </c>
      <c r="Q29" s="97">
        <f t="shared" si="3"/>
        <v>10</v>
      </c>
      <c r="R29" s="98">
        <f t="shared" si="4"/>
        <v>285.05203781783393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6" t="s">
        <v>76</v>
      </c>
      <c r="AC29" s="106">
        <f t="shared" si="14"/>
        <v>285.05203781783393</v>
      </c>
      <c r="AD29" s="107"/>
    </row>
    <row r="30" spans="2:30" s="1" customFormat="1" ht="16.5" customHeight="1">
      <c r="B30" s="13"/>
      <c r="C30" s="79">
        <v>50</v>
      </c>
      <c r="D30" s="79">
        <v>256274</v>
      </c>
      <c r="E30" s="79">
        <v>1520</v>
      </c>
      <c r="F30" s="77" t="s">
        <v>107</v>
      </c>
      <c r="G30" s="77">
        <v>132</v>
      </c>
      <c r="H30" s="90">
        <v>88.19999694824219</v>
      </c>
      <c r="I30" s="91" t="s">
        <v>74</v>
      </c>
      <c r="J30" s="92">
        <f t="shared" si="0"/>
        <v>187.58992750930784</v>
      </c>
      <c r="K30" s="431">
        <v>41261.39027777778</v>
      </c>
      <c r="L30" s="431">
        <v>41261.486805555556</v>
      </c>
      <c r="M30" s="94">
        <f t="shared" si="1"/>
        <v>2.3166666667093523</v>
      </c>
      <c r="N30" s="95">
        <f t="shared" si="2"/>
        <v>139</v>
      </c>
      <c r="O30" s="93" t="s">
        <v>79</v>
      </c>
      <c r="P30" s="429" t="s">
        <v>77</v>
      </c>
      <c r="Q30" s="97">
        <f t="shared" si="3"/>
        <v>10</v>
      </c>
      <c r="R30" s="98">
        <f t="shared" si="4"/>
        <v>43.52086318215942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6" t="s">
        <v>76</v>
      </c>
      <c r="AC30" s="106">
        <f t="shared" si="14"/>
        <v>43.52086318215942</v>
      </c>
      <c r="AD30" s="107"/>
    </row>
    <row r="31" spans="2:30" s="1" customFormat="1" ht="16.5" customHeight="1">
      <c r="B31" s="13"/>
      <c r="C31" s="79">
        <v>51</v>
      </c>
      <c r="D31" s="79">
        <v>256276</v>
      </c>
      <c r="E31" s="79">
        <v>3483</v>
      </c>
      <c r="F31" s="77" t="s">
        <v>108</v>
      </c>
      <c r="G31" s="77">
        <v>132</v>
      </c>
      <c r="H31" s="90">
        <v>29.799999237060547</v>
      </c>
      <c r="I31" s="91" t="s">
        <v>74</v>
      </c>
      <c r="J31" s="92">
        <f t="shared" si="0"/>
        <v>63.38072437732697</v>
      </c>
      <c r="K31" s="431">
        <v>41261.42569444444</v>
      </c>
      <c r="L31" s="431">
        <v>41261.63333333333</v>
      </c>
      <c r="M31" s="94">
        <f t="shared" si="1"/>
        <v>4.983333333337214</v>
      </c>
      <c r="N31" s="95">
        <f t="shared" si="2"/>
        <v>299</v>
      </c>
      <c r="O31" s="93" t="s">
        <v>79</v>
      </c>
      <c r="P31" s="429" t="s">
        <v>77</v>
      </c>
      <c r="Q31" s="97">
        <f t="shared" si="3"/>
        <v>10</v>
      </c>
      <c r="R31" s="98">
        <f t="shared" si="4"/>
        <v>31.563600739908836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6" t="s">
        <v>76</v>
      </c>
      <c r="AC31" s="106">
        <f t="shared" si="14"/>
        <v>31.563600739908836</v>
      </c>
      <c r="AD31" s="107"/>
    </row>
    <row r="32" spans="2:30" s="1" customFormat="1" ht="16.5" customHeight="1">
      <c r="B32" s="13"/>
      <c r="C32" s="79">
        <v>52</v>
      </c>
      <c r="D32" s="79">
        <v>256279</v>
      </c>
      <c r="E32" s="79">
        <v>1437</v>
      </c>
      <c r="F32" s="77" t="s">
        <v>109</v>
      </c>
      <c r="G32" s="77">
        <v>132</v>
      </c>
      <c r="H32" s="90">
        <v>90.2300033569336</v>
      </c>
      <c r="I32" s="91" t="s">
        <v>74</v>
      </c>
      <c r="J32" s="92">
        <f t="shared" si="0"/>
        <v>191.90748723976137</v>
      </c>
      <c r="K32" s="431">
        <v>41261.49722222222</v>
      </c>
      <c r="L32" s="431">
        <v>41261.525</v>
      </c>
      <c r="M32" s="94">
        <f t="shared" si="1"/>
        <v>0.6666666667442769</v>
      </c>
      <c r="N32" s="95">
        <f t="shared" si="2"/>
        <v>40</v>
      </c>
      <c r="O32" s="93" t="s">
        <v>75</v>
      </c>
      <c r="P32" s="429" t="s">
        <v>77</v>
      </c>
      <c r="Q32" s="97">
        <f t="shared" si="3"/>
        <v>10</v>
      </c>
      <c r="R32" s="98" t="str">
        <f t="shared" si="4"/>
        <v>--</v>
      </c>
      <c r="S32" s="99" t="str">
        <f t="shared" si="5"/>
        <v>--</v>
      </c>
      <c r="T32" s="100">
        <f t="shared" si="6"/>
        <v>1919.0748723976137</v>
      </c>
      <c r="U32" s="100">
        <f t="shared" si="7"/>
        <v>1285.7801645064012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6" t="s">
        <v>76</v>
      </c>
      <c r="AC32" s="106">
        <f t="shared" si="14"/>
        <v>3204.855036904015</v>
      </c>
      <c r="AD32" s="107"/>
    </row>
    <row r="33" spans="2:30" s="1" customFormat="1" ht="16.5" customHeight="1">
      <c r="B33" s="13"/>
      <c r="C33" s="79">
        <v>53</v>
      </c>
      <c r="D33" s="79">
        <v>256280</v>
      </c>
      <c r="E33" s="79">
        <v>1520</v>
      </c>
      <c r="F33" s="77" t="s">
        <v>107</v>
      </c>
      <c r="G33" s="77">
        <v>132</v>
      </c>
      <c r="H33" s="90">
        <v>88.19999694824219</v>
      </c>
      <c r="I33" s="91" t="s">
        <v>74</v>
      </c>
      <c r="J33" s="92">
        <f t="shared" si="0"/>
        <v>187.58992750930784</v>
      </c>
      <c r="K33" s="431">
        <v>41261.52777777778</v>
      </c>
      <c r="L33" s="431">
        <v>41261.64166666667</v>
      </c>
      <c r="M33" s="94">
        <f t="shared" si="1"/>
        <v>2.733333333337214</v>
      </c>
      <c r="N33" s="95">
        <f t="shared" si="2"/>
        <v>164</v>
      </c>
      <c r="O33" s="93" t="s">
        <v>79</v>
      </c>
      <c r="P33" s="429" t="s">
        <v>77</v>
      </c>
      <c r="Q33" s="97">
        <f t="shared" si="3"/>
        <v>10</v>
      </c>
      <c r="R33" s="98">
        <f t="shared" si="4"/>
        <v>51.212050210041035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6" t="s">
        <v>76</v>
      </c>
      <c r="AC33" s="106">
        <f t="shared" si="14"/>
        <v>51.212050210041035</v>
      </c>
      <c r="AD33" s="107"/>
    </row>
    <row r="34" spans="2:30" s="1" customFormat="1" ht="16.5" customHeight="1">
      <c r="B34" s="108"/>
      <c r="C34" s="79">
        <v>54</v>
      </c>
      <c r="D34" s="79">
        <v>256281</v>
      </c>
      <c r="E34" s="79">
        <v>1520</v>
      </c>
      <c r="F34" s="77" t="s">
        <v>107</v>
      </c>
      <c r="G34" s="77">
        <v>132</v>
      </c>
      <c r="H34" s="90">
        <v>88.19999694824219</v>
      </c>
      <c r="I34" s="91" t="s">
        <v>74</v>
      </c>
      <c r="J34" s="92">
        <f t="shared" si="0"/>
        <v>187.58992750930784</v>
      </c>
      <c r="K34" s="431">
        <v>41262.342361111114</v>
      </c>
      <c r="L34" s="431">
        <v>41262.64097222222</v>
      </c>
      <c r="M34" s="94">
        <f t="shared" si="1"/>
        <v>7.166666666627862</v>
      </c>
      <c r="N34" s="95">
        <f t="shared" si="2"/>
        <v>430</v>
      </c>
      <c r="O34" s="93" t="s">
        <v>79</v>
      </c>
      <c r="P34" s="429" t="s">
        <v>77</v>
      </c>
      <c r="Q34" s="97">
        <f t="shared" si="3"/>
        <v>10</v>
      </c>
      <c r="R34" s="98">
        <f t="shared" si="4"/>
        <v>134.50197802417372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6" t="s">
        <v>76</v>
      </c>
      <c r="AC34" s="106">
        <f t="shared" si="14"/>
        <v>134.50197802417372</v>
      </c>
      <c r="AD34" s="107"/>
    </row>
    <row r="35" spans="2:30" s="1" customFormat="1" ht="16.5" customHeight="1">
      <c r="B35" s="108"/>
      <c r="C35" s="79">
        <v>55</v>
      </c>
      <c r="D35" s="79">
        <v>256286</v>
      </c>
      <c r="E35" s="79">
        <v>1453</v>
      </c>
      <c r="F35" s="77" t="s">
        <v>110</v>
      </c>
      <c r="G35" s="77">
        <v>132</v>
      </c>
      <c r="H35" s="90">
        <v>5.300000190734863</v>
      </c>
      <c r="I35" s="91" t="s">
        <v>74</v>
      </c>
      <c r="J35" s="92">
        <f t="shared" si="0"/>
        <v>53.17175</v>
      </c>
      <c r="K35" s="431">
        <v>41262.41388888889</v>
      </c>
      <c r="L35" s="431">
        <v>41262.63125</v>
      </c>
      <c r="M35" s="94">
        <f t="shared" si="1"/>
        <v>5.216666666558012</v>
      </c>
      <c r="N35" s="95">
        <f t="shared" si="2"/>
        <v>313</v>
      </c>
      <c r="O35" s="93" t="s">
        <v>79</v>
      </c>
      <c r="P35" s="429" t="s">
        <v>77</v>
      </c>
      <c r="Q35" s="97">
        <f t="shared" si="3"/>
        <v>10</v>
      </c>
      <c r="R35" s="98">
        <f t="shared" si="4"/>
        <v>27.755653499999998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6" t="s">
        <v>76</v>
      </c>
      <c r="AC35" s="106">
        <f t="shared" si="14"/>
        <v>27.755653499999998</v>
      </c>
      <c r="AD35" s="107"/>
    </row>
    <row r="36" spans="2:30" s="1" customFormat="1" ht="16.5" customHeight="1">
      <c r="B36" s="108"/>
      <c r="C36" s="79">
        <v>56</v>
      </c>
      <c r="D36" s="79">
        <v>256288</v>
      </c>
      <c r="E36" s="79">
        <v>1420</v>
      </c>
      <c r="F36" s="77" t="s">
        <v>111</v>
      </c>
      <c r="G36" s="77">
        <v>132</v>
      </c>
      <c r="H36" s="90">
        <v>36</v>
      </c>
      <c r="I36" s="91" t="s">
        <v>74</v>
      </c>
      <c r="J36" s="92">
        <f t="shared" si="0"/>
        <v>76.56732</v>
      </c>
      <c r="K36" s="431">
        <v>41264.28472222222</v>
      </c>
      <c r="L36" s="431">
        <v>41264.3375</v>
      </c>
      <c r="M36" s="94">
        <f t="shared" si="1"/>
        <v>1.2666666667792015</v>
      </c>
      <c r="N36" s="95">
        <f t="shared" si="2"/>
        <v>76</v>
      </c>
      <c r="O36" s="93" t="s">
        <v>79</v>
      </c>
      <c r="P36" s="429" t="s">
        <v>77</v>
      </c>
      <c r="Q36" s="97">
        <f t="shared" si="3"/>
        <v>10</v>
      </c>
      <c r="R36" s="98">
        <f t="shared" si="4"/>
        <v>9.72404964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6" t="s">
        <v>76</v>
      </c>
      <c r="AC36" s="106">
        <f t="shared" si="14"/>
        <v>9.72404964</v>
      </c>
      <c r="AD36" s="107"/>
    </row>
    <row r="37" spans="2:30" s="1" customFormat="1" ht="16.5" customHeight="1">
      <c r="B37" s="108"/>
      <c r="C37" s="79">
        <v>57</v>
      </c>
      <c r="D37" s="79">
        <v>256289</v>
      </c>
      <c r="E37" s="79">
        <v>1530</v>
      </c>
      <c r="F37" s="77" t="s">
        <v>112</v>
      </c>
      <c r="G37" s="77">
        <v>66</v>
      </c>
      <c r="H37" s="90">
        <v>53.099998474121094</v>
      </c>
      <c r="I37" s="91" t="s">
        <v>74</v>
      </c>
      <c r="J37" s="92">
        <f t="shared" si="0"/>
        <v>112.93679375465393</v>
      </c>
      <c r="K37" s="431">
        <v>41264.29861111111</v>
      </c>
      <c r="L37" s="431">
        <v>41264.350694444445</v>
      </c>
      <c r="M37" s="94">
        <f t="shared" si="1"/>
        <v>1.2500000000582077</v>
      </c>
      <c r="N37" s="95">
        <f t="shared" si="2"/>
        <v>75</v>
      </c>
      <c r="O37" s="93" t="s">
        <v>79</v>
      </c>
      <c r="P37" s="429" t="s">
        <v>77</v>
      </c>
      <c r="Q37" s="97">
        <f t="shared" si="3"/>
        <v>10</v>
      </c>
      <c r="R37" s="98">
        <f t="shared" si="4"/>
        <v>14.117099219331745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6" t="s">
        <v>76</v>
      </c>
      <c r="AC37" s="106">
        <f t="shared" si="14"/>
        <v>14.117099219331745</v>
      </c>
      <c r="AD37" s="107"/>
    </row>
    <row r="38" spans="2:30" s="1" customFormat="1" ht="16.5" customHeight="1">
      <c r="B38" s="108"/>
      <c r="C38" s="79">
        <v>58</v>
      </c>
      <c r="D38" s="79">
        <v>256292</v>
      </c>
      <c r="E38" s="79">
        <v>1520</v>
      </c>
      <c r="F38" s="77" t="s">
        <v>107</v>
      </c>
      <c r="G38" s="77">
        <v>132</v>
      </c>
      <c r="H38" s="90">
        <v>88.19999694824219</v>
      </c>
      <c r="I38" s="91" t="s">
        <v>74</v>
      </c>
      <c r="J38" s="92">
        <f t="shared" si="0"/>
        <v>187.58992750930784</v>
      </c>
      <c r="K38" s="431">
        <v>41264.375</v>
      </c>
      <c r="L38" s="431">
        <v>41264.643055555556</v>
      </c>
      <c r="M38" s="94">
        <f t="shared" si="1"/>
        <v>6.433333333348855</v>
      </c>
      <c r="N38" s="95">
        <f t="shared" si="2"/>
        <v>386</v>
      </c>
      <c r="O38" s="93" t="s">
        <v>79</v>
      </c>
      <c r="P38" s="429" t="s">
        <v>77</v>
      </c>
      <c r="Q38" s="97">
        <f t="shared" si="3"/>
        <v>10</v>
      </c>
      <c r="R38" s="98">
        <f t="shared" si="4"/>
        <v>120.62032338848495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6" t="s">
        <v>76</v>
      </c>
      <c r="AC38" s="106">
        <f t="shared" si="14"/>
        <v>120.62032338848495</v>
      </c>
      <c r="AD38" s="107"/>
    </row>
    <row r="39" spans="2:30" s="1" customFormat="1" ht="16.5" customHeight="1">
      <c r="B39" s="108"/>
      <c r="C39" s="79">
        <v>59</v>
      </c>
      <c r="D39" s="79">
        <v>256293</v>
      </c>
      <c r="E39" s="79">
        <v>1451</v>
      </c>
      <c r="F39" s="77" t="s">
        <v>101</v>
      </c>
      <c r="G39" s="77">
        <v>132</v>
      </c>
      <c r="H39" s="90">
        <v>35.59000015258789</v>
      </c>
      <c r="I39" s="91" t="s">
        <v>74</v>
      </c>
      <c r="J39" s="92">
        <f t="shared" si="0"/>
        <v>75.6953036245346</v>
      </c>
      <c r="K39" s="431">
        <v>41264.38333333333</v>
      </c>
      <c r="L39" s="431">
        <v>41264.63125</v>
      </c>
      <c r="M39" s="94">
        <f t="shared" si="1"/>
        <v>5.9500000000116415</v>
      </c>
      <c r="N39" s="95">
        <f t="shared" si="2"/>
        <v>357</v>
      </c>
      <c r="O39" s="93" t="s">
        <v>79</v>
      </c>
      <c r="P39" s="429" t="s">
        <v>77</v>
      </c>
      <c r="Q39" s="97">
        <f t="shared" si="3"/>
        <v>10</v>
      </c>
      <c r="R39" s="98">
        <f t="shared" si="4"/>
        <v>45.0387056565981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6" t="s">
        <v>76</v>
      </c>
      <c r="AC39" s="106">
        <f t="shared" si="14"/>
        <v>45.0387056565981</v>
      </c>
      <c r="AD39" s="107"/>
    </row>
    <row r="40" spans="2:30" s="1" customFormat="1" ht="16.5" customHeight="1">
      <c r="B40" s="108"/>
      <c r="C40" s="79">
        <v>60</v>
      </c>
      <c r="D40" s="79">
        <v>256328</v>
      </c>
      <c r="E40" s="79">
        <v>1516</v>
      </c>
      <c r="F40" s="77" t="s">
        <v>113</v>
      </c>
      <c r="G40" s="77">
        <v>132</v>
      </c>
      <c r="H40" s="90">
        <v>138.86000061035156</v>
      </c>
      <c r="I40" s="91" t="s">
        <v>114</v>
      </c>
      <c r="J40" s="92">
        <f t="shared" si="0"/>
        <v>295.33716949813845</v>
      </c>
      <c r="K40" s="431">
        <v>41267.575</v>
      </c>
      <c r="L40" s="431">
        <v>41268.33541666667</v>
      </c>
      <c r="M40" s="94">
        <f t="shared" si="1"/>
        <v>18.250000000116415</v>
      </c>
      <c r="N40" s="95">
        <f t="shared" si="2"/>
        <v>1095</v>
      </c>
      <c r="O40" s="93" t="s">
        <v>75</v>
      </c>
      <c r="P40" s="429" t="s">
        <v>77</v>
      </c>
      <c r="Q40" s="97">
        <f t="shared" si="3"/>
        <v>150</v>
      </c>
      <c r="R40" s="98" t="str">
        <f t="shared" si="4"/>
        <v>--</v>
      </c>
      <c r="S40" s="99" t="str">
        <f t="shared" si="5"/>
        <v>--</v>
      </c>
      <c r="T40" s="100">
        <f t="shared" si="6"/>
        <v>44300.575424720766</v>
      </c>
      <c r="U40" s="100">
        <f t="shared" si="7"/>
        <v>132901.7262741623</v>
      </c>
      <c r="V40" s="101">
        <f t="shared" si="8"/>
        <v>67558.37752269917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6" t="s">
        <v>76</v>
      </c>
      <c r="AC40" s="106">
        <f t="shared" si="14"/>
        <v>244760.67922158225</v>
      </c>
      <c r="AD40" s="107"/>
    </row>
    <row r="41" spans="2:30" s="1" customFormat="1" ht="16.5" customHeight="1" thickBot="1">
      <c r="B41" s="13"/>
      <c r="C41" s="109"/>
      <c r="D41" s="109"/>
      <c r="E41" s="109"/>
      <c r="F41" s="332"/>
      <c r="G41" s="333"/>
      <c r="H41" s="334"/>
      <c r="I41" s="334"/>
      <c r="J41" s="111"/>
      <c r="K41" s="407"/>
      <c r="L41" s="407"/>
      <c r="M41" s="110"/>
      <c r="N41" s="110"/>
      <c r="O41" s="334"/>
      <c r="P41" s="335"/>
      <c r="Q41" s="336"/>
      <c r="R41" s="337"/>
      <c r="S41" s="338"/>
      <c r="T41" s="339"/>
      <c r="U41" s="340"/>
      <c r="V41" s="340"/>
      <c r="W41" s="341"/>
      <c r="X41" s="341"/>
      <c r="Y41" s="341"/>
      <c r="Z41" s="342"/>
      <c r="AA41" s="343"/>
      <c r="AB41" s="344"/>
      <c r="AC41" s="112"/>
      <c r="AD41" s="107"/>
    </row>
    <row r="42" spans="2:30" s="1" customFormat="1" ht="16.5" customHeight="1" thickBot="1" thickTop="1">
      <c r="B42" s="13"/>
      <c r="C42" s="437" t="s">
        <v>237</v>
      </c>
      <c r="D42" s="436" t="s">
        <v>236</v>
      </c>
      <c r="E42" s="128"/>
      <c r="F42" s="113"/>
      <c r="G42" s="114"/>
      <c r="H42" s="115"/>
      <c r="I42" s="115"/>
      <c r="J42" s="116"/>
      <c r="K42" s="116"/>
      <c r="L42" s="116"/>
      <c r="M42" s="116"/>
      <c r="N42" s="116"/>
      <c r="O42" s="116"/>
      <c r="P42" s="117"/>
      <c r="Q42" s="117"/>
      <c r="R42" s="118">
        <f aca="true" t="shared" si="15" ref="R42:AA42">SUM(R19:R41)</f>
        <v>1569.2825420712645</v>
      </c>
      <c r="S42" s="119">
        <f t="shared" si="15"/>
        <v>0</v>
      </c>
      <c r="T42" s="120">
        <f t="shared" si="15"/>
        <v>48390.97180223007</v>
      </c>
      <c r="U42" s="120">
        <f t="shared" si="15"/>
        <v>135316.59362132679</v>
      </c>
      <c r="V42" s="120">
        <f t="shared" si="15"/>
        <v>67558.37752269917</v>
      </c>
      <c r="W42" s="121">
        <f t="shared" si="15"/>
        <v>0</v>
      </c>
      <c r="X42" s="121">
        <f t="shared" si="15"/>
        <v>0</v>
      </c>
      <c r="Y42" s="121">
        <f t="shared" si="15"/>
        <v>0</v>
      </c>
      <c r="Z42" s="122">
        <f t="shared" si="15"/>
        <v>0</v>
      </c>
      <c r="AA42" s="123">
        <f t="shared" si="15"/>
        <v>0</v>
      </c>
      <c r="AB42" s="124"/>
      <c r="AC42" s="416">
        <f>ROUND(SUM(AC19:AC41),2)</f>
        <v>369544.73</v>
      </c>
      <c r="AD42" s="125"/>
    </row>
    <row r="43" spans="2:30" s="126" customFormat="1" ht="9.75" thickTop="1">
      <c r="B43" s="127"/>
      <c r="C43" s="128"/>
      <c r="D43" s="128"/>
      <c r="E43" s="128"/>
      <c r="F43" s="129"/>
      <c r="G43" s="130"/>
      <c r="H43" s="131"/>
      <c r="I43" s="131"/>
      <c r="J43" s="132"/>
      <c r="K43" s="132"/>
      <c r="L43" s="132"/>
      <c r="M43" s="132"/>
      <c r="N43" s="132"/>
      <c r="O43" s="132"/>
      <c r="P43" s="133"/>
      <c r="Q43" s="133"/>
      <c r="R43" s="134"/>
      <c r="S43" s="134"/>
      <c r="T43" s="135"/>
      <c r="U43" s="135"/>
      <c r="V43" s="136"/>
      <c r="W43" s="136"/>
      <c r="X43" s="136"/>
      <c r="Y43" s="136"/>
      <c r="Z43" s="136"/>
      <c r="AA43" s="136"/>
      <c r="AB43" s="136"/>
      <c r="AC43" s="137"/>
      <c r="AD43" s="138"/>
    </row>
    <row r="44" spans="2:30" s="1" customFormat="1" ht="16.5" customHeight="1" thickBot="1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1"/>
    </row>
    <row r="45" spans="2:30" ht="13.5" thickTop="1">
      <c r="B45" s="142"/>
      <c r="AD45" s="142"/>
    </row>
    <row r="90" ht="12.75">
      <c r="B90" s="142"/>
    </row>
  </sheetData>
  <sheetProtection/>
  <printOptions/>
  <pageMargins left="0.22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8"/>
  <sheetViews>
    <sheetView zoomScale="70" zoomScaleNormal="70" zoomScalePageLayoutView="0" workbookViewId="0" topLeftCell="A13">
      <selection activeCell="AG28" sqref="AG28"/>
    </sheetView>
  </sheetViews>
  <sheetFormatPr defaultColWidth="11.421875" defaultRowHeight="12.75"/>
  <cols>
    <col min="1" max="1" width="18.85156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8515625" style="5" customWidth="1"/>
    <col min="10" max="10" width="7.14062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2" width="11.421875" style="5" hidden="1" customWidth="1"/>
    <col min="23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3"/>
    </row>
    <row r="2" spans="2:30" s="3" customFormat="1" ht="26.25">
      <c r="B2" s="16" t="str">
        <f>'TOT-1212'!B2</f>
        <v>ANEXO I al Memorándum  D.T.E.E.  N° 335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+'TOT-1212'!B14</f>
        <v>Desde el 01 al 31 de diciembre de 2012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222.578</v>
      </c>
      <c r="H14" s="37"/>
      <c r="I14" s="38"/>
      <c r="J14" s="34"/>
      <c r="K14" s="34"/>
      <c r="L14" s="39" t="s">
        <v>8</v>
      </c>
      <c r="M14" s="40">
        <f>150*'TOT-1212'!B13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212.687</v>
      </c>
      <c r="H15" s="42"/>
      <c r="I15" s="43"/>
      <c r="J15" s="7"/>
      <c r="K15" s="44"/>
      <c r="L15" s="39" t="s">
        <v>10</v>
      </c>
      <c r="M15" s="40">
        <f>50*'TOT-1212'!B13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212.687</v>
      </c>
      <c r="H16" s="42"/>
      <c r="I16" s="43"/>
      <c r="J16" s="7"/>
      <c r="K16" s="7"/>
      <c r="L16" s="39" t="s">
        <v>12</v>
      </c>
      <c r="M16" s="40">
        <f>10*'TOT-1212'!B13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21">
        <v>3</v>
      </c>
      <c r="D17" s="421">
        <v>4</v>
      </c>
      <c r="E17" s="421">
        <v>5</v>
      </c>
      <c r="F17" s="421">
        <v>6</v>
      </c>
      <c r="G17" s="421">
        <v>7</v>
      </c>
      <c r="H17" s="421">
        <v>8</v>
      </c>
      <c r="I17" s="421">
        <v>9</v>
      </c>
      <c r="J17" s="421">
        <v>10</v>
      </c>
      <c r="K17" s="421">
        <v>11</v>
      </c>
      <c r="L17" s="421">
        <v>12</v>
      </c>
      <c r="M17" s="421">
        <v>13</v>
      </c>
      <c r="N17" s="421">
        <v>14</v>
      </c>
      <c r="O17" s="421">
        <v>15</v>
      </c>
      <c r="P17" s="421">
        <v>16</v>
      </c>
      <c r="Q17" s="421">
        <v>17</v>
      </c>
      <c r="R17" s="421">
        <v>18</v>
      </c>
      <c r="S17" s="421">
        <v>19</v>
      </c>
      <c r="T17" s="421">
        <v>20</v>
      </c>
      <c r="U17" s="421">
        <v>21</v>
      </c>
      <c r="V17" s="421">
        <v>22</v>
      </c>
      <c r="W17" s="421">
        <v>23</v>
      </c>
      <c r="X17" s="421">
        <v>24</v>
      </c>
      <c r="Y17" s="421">
        <v>25</v>
      </c>
      <c r="Z17" s="421">
        <v>26</v>
      </c>
      <c r="AA17" s="421">
        <v>27</v>
      </c>
      <c r="AB17" s="421">
        <v>28</v>
      </c>
      <c r="AC17" s="421">
        <v>29</v>
      </c>
      <c r="AD17" s="14"/>
    </row>
    <row r="18" spans="2:30" s="45" customFormat="1" ht="34.5" customHeight="1" thickBot="1" thickTop="1">
      <c r="B18" s="46"/>
      <c r="C18" s="420" t="s">
        <v>13</v>
      </c>
      <c r="D18" s="420" t="s">
        <v>70</v>
      </c>
      <c r="E18" s="420" t="s">
        <v>71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5"/>
      <c r="L19" s="406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'LI-12 (3)'!AC42</f>
        <v>369544.73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31"/>
      <c r="L20" s="432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 t="s">
        <v>295</v>
      </c>
      <c r="D21" s="79">
        <v>256379</v>
      </c>
      <c r="E21" s="79">
        <v>1517</v>
      </c>
      <c r="F21" s="77" t="s">
        <v>95</v>
      </c>
      <c r="G21" s="77">
        <v>132</v>
      </c>
      <c r="H21" s="90">
        <v>103.5999984741211</v>
      </c>
      <c r="I21" s="91" t="s">
        <v>74</v>
      </c>
      <c r="J21" s="92">
        <f aca="true" t="shared" si="0" ref="J21:J37">IF(G21=220,$G$14,IF(G21=132,$G$15,$G$16))*IF(H21&gt;25,H21,25)/100</f>
        <v>220.34372875465394</v>
      </c>
      <c r="K21" s="431">
        <v>41267.58541666667</v>
      </c>
      <c r="L21" s="431">
        <v>41267.59652777778</v>
      </c>
      <c r="M21" s="94">
        <f aca="true" t="shared" si="1" ref="M21:M37">IF(F21="","",(L21-K21)*24)</f>
        <v>0.26666666666278616</v>
      </c>
      <c r="N21" s="95">
        <f aca="true" t="shared" si="2" ref="N21:N37">IF(F21="","",ROUND((L21-K21)*24*60,0))</f>
        <v>16</v>
      </c>
      <c r="O21" s="96" t="s">
        <v>75</v>
      </c>
      <c r="P21" s="429" t="s">
        <v>77</v>
      </c>
      <c r="Q21" s="97">
        <f aca="true" t="shared" si="3" ref="Q21:Q37">IF(I21="A",$M$14,IF(I21="B",$M$15,$M$16))</f>
        <v>10</v>
      </c>
      <c r="R21" s="98" t="str">
        <f aca="true" t="shared" si="4" ref="R21:R37">IF(O21="P",ROUND(N21/60,2)*J21*Q21*0.01,"--")</f>
        <v>--</v>
      </c>
      <c r="S21" s="99" t="str">
        <f aca="true" t="shared" si="5" ref="S21:S37">IF(O21="RP",ROUND(N21/60,2)*J21*Q21*0.01*P21/100,"--")</f>
        <v>--</v>
      </c>
      <c r="T21" s="100">
        <f aca="true" t="shared" si="6" ref="T21:T37">IF(O21="F",J21*Q21,"--")</f>
        <v>2203.437287546539</v>
      </c>
      <c r="U21" s="100">
        <f aca="true" t="shared" si="7" ref="U21:U37">IF(AND(N21&gt;10,O21="F"),J21*Q21*IF(N21&gt;180,3,ROUND((N21)/60,2)),"--")</f>
        <v>594.9280676375656</v>
      </c>
      <c r="V21" s="101" t="str">
        <f aca="true" t="shared" si="8" ref="V21:V37">IF(AND(O21="F",N21&gt;180),(ROUND(N21/60,2)-3)*J21*Q21*0.1,"--")</f>
        <v>--</v>
      </c>
      <c r="W21" s="102" t="str">
        <f aca="true" t="shared" si="9" ref="W21:W37">IF(O21="R",J21*Q21*P21/100,"--")</f>
        <v>--</v>
      </c>
      <c r="X21" s="102" t="str">
        <f aca="true" t="shared" si="10" ref="X21:X37">IF(AND(N21&gt;10,O21="R"),Q21*J21*P21/100*IF(N21&gt;180,3,ROUND((N21)/60,2)),"--")</f>
        <v>--</v>
      </c>
      <c r="Y21" s="103" t="str">
        <f aca="true" t="shared" si="11" ref="Y21:Y37">IF(AND(O21="R",N21&gt;180),(ROUND(N21/60,2)-3)*J21*Q21*0.1*P21/100,"--")</f>
        <v>--</v>
      </c>
      <c r="Z21" s="104" t="str">
        <f aca="true" t="shared" si="12" ref="Z21:Z37">IF(O21="RF",ROUND(N21/60,2)*J21*Q21*0.1,"--")</f>
        <v>--</v>
      </c>
      <c r="AA21" s="105" t="str">
        <f aca="true" t="shared" si="13" ref="AA21:AA37">IF(O21="RR",ROUND(N21/60,2)*J21*Q21*0.1*P21/100,"--")</f>
        <v>--</v>
      </c>
      <c r="AB21" s="426" t="s">
        <v>76</v>
      </c>
      <c r="AC21" s="106">
        <v>0</v>
      </c>
      <c r="AD21" s="107"/>
    </row>
    <row r="22" spans="2:30" s="1" customFormat="1" ht="16.5" customHeight="1">
      <c r="B22" s="13"/>
      <c r="C22" s="79">
        <v>65</v>
      </c>
      <c r="D22" s="79">
        <v>256386</v>
      </c>
      <c r="E22" s="79">
        <v>1530</v>
      </c>
      <c r="F22" s="77" t="s">
        <v>112</v>
      </c>
      <c r="G22" s="77">
        <v>66</v>
      </c>
      <c r="H22" s="90">
        <v>53.099998474121094</v>
      </c>
      <c r="I22" s="91" t="s">
        <v>74</v>
      </c>
      <c r="J22" s="92">
        <f t="shared" si="0"/>
        <v>112.93679375465393</v>
      </c>
      <c r="K22" s="431">
        <v>41267.924305555556</v>
      </c>
      <c r="L22" s="431">
        <v>41268.47361111111</v>
      </c>
      <c r="M22" s="94">
        <f t="shared" si="1"/>
        <v>13.183333333348855</v>
      </c>
      <c r="N22" s="95">
        <f t="shared" si="2"/>
        <v>791</v>
      </c>
      <c r="O22" s="93" t="s">
        <v>75</v>
      </c>
      <c r="P22" s="429" t="s">
        <v>77</v>
      </c>
      <c r="Q22" s="97">
        <f t="shared" si="3"/>
        <v>10</v>
      </c>
      <c r="R22" s="98" t="str">
        <f t="shared" si="4"/>
        <v>--</v>
      </c>
      <c r="S22" s="99" t="str">
        <f t="shared" si="5"/>
        <v>--</v>
      </c>
      <c r="T22" s="100">
        <f t="shared" si="6"/>
        <v>1129.3679375465395</v>
      </c>
      <c r="U22" s="100">
        <f t="shared" si="7"/>
        <v>3388.1038126396184</v>
      </c>
      <c r="V22" s="101">
        <f t="shared" si="8"/>
        <v>1149.696560422377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6" t="s">
        <v>76</v>
      </c>
      <c r="AC22" s="106">
        <f aca="true" t="shared" si="14" ref="AC22:AC37">IF(F22="","",SUM(R22:AA22)*IF(AB22="SI",1,2))</f>
        <v>5667.168310608535</v>
      </c>
      <c r="AD22" s="107"/>
    </row>
    <row r="23" spans="2:30" s="1" customFormat="1" ht="16.5" customHeight="1">
      <c r="B23" s="13"/>
      <c r="C23" s="79" t="s">
        <v>297</v>
      </c>
      <c r="D23" s="79">
        <v>256387</v>
      </c>
      <c r="E23" s="79">
        <v>2712</v>
      </c>
      <c r="F23" s="77" t="s">
        <v>229</v>
      </c>
      <c r="G23" s="77">
        <v>132</v>
      </c>
      <c r="H23" s="90">
        <v>77.4</v>
      </c>
      <c r="I23" s="91" t="s">
        <v>74</v>
      </c>
      <c r="J23" s="92">
        <f t="shared" si="0"/>
        <v>164.61973800000004</v>
      </c>
      <c r="K23" s="431">
        <v>41267.99722222222</v>
      </c>
      <c r="L23" s="431">
        <v>41268.00833333333</v>
      </c>
      <c r="M23" s="94">
        <f t="shared" si="1"/>
        <v>0.26666666666278616</v>
      </c>
      <c r="N23" s="95">
        <f t="shared" si="2"/>
        <v>16</v>
      </c>
      <c r="O23" s="93" t="s">
        <v>75</v>
      </c>
      <c r="P23" s="429" t="s">
        <v>77</v>
      </c>
      <c r="Q23" s="97">
        <f>IF(I23="A",$M$14,IF(I23="B",$M$15,$M$16))</f>
        <v>10</v>
      </c>
      <c r="R23" s="98" t="str">
        <f>IF(O23="P",ROUND(N23/60,2)*J23*Q23*0.01,"--")</f>
        <v>--</v>
      </c>
      <c r="S23" s="99" t="str">
        <f>IF(O23="RP",ROUND(N23/60,2)*J23*Q23*0.01*P23/100,"--")</f>
        <v>--</v>
      </c>
      <c r="T23" s="100">
        <f>IF(O23="F",J23*Q23,"--")</f>
        <v>1646.1973800000005</v>
      </c>
      <c r="U23" s="100">
        <f>IF(AND(N23&gt;10,O23="F"),J23*Q23*IF(N23&gt;180,3,ROUND((N23)/60,2)),"--")</f>
        <v>444.47329260000015</v>
      </c>
      <c r="V23" s="101" t="str">
        <f>IF(AND(O23="F",N23&gt;180),(ROUND(N23/60,2)-3)*J23*Q23*0.1,"--")</f>
        <v>--</v>
      </c>
      <c r="W23" s="102" t="str">
        <f>IF(O23="R",J23*Q23*P23/100,"--")</f>
        <v>--</v>
      </c>
      <c r="X23" s="102" t="str">
        <f>IF(AND(N23&gt;10,O23="R"),Q23*J23*P23/100*IF(N23&gt;180,3,ROUND((N23)/60,2)),"--")</f>
        <v>--</v>
      </c>
      <c r="Y23" s="103" t="str">
        <f>IF(AND(O23="R",N23&gt;180),(ROUND(N23/60,2)-3)*J23*Q23*0.1*P23/100,"--")</f>
        <v>--</v>
      </c>
      <c r="Z23" s="104" t="str">
        <f>IF(O23="RF",ROUND(N23/60,2)*J23*Q23*0.1,"--")</f>
        <v>--</v>
      </c>
      <c r="AA23" s="105" t="str">
        <f>IF(O23="RR",ROUND(N23/60,2)*J23*Q23*0.1*P23/100,"--")</f>
        <v>--</v>
      </c>
      <c r="AB23" s="426" t="s">
        <v>76</v>
      </c>
      <c r="AC23" s="106">
        <v>0</v>
      </c>
      <c r="AD23" s="107"/>
    </row>
    <row r="24" spans="2:30" s="1" customFormat="1" ht="16.5" customHeight="1">
      <c r="B24" s="13"/>
      <c r="C24" s="79">
        <v>67</v>
      </c>
      <c r="D24" s="79">
        <v>256394</v>
      </c>
      <c r="E24" s="79">
        <v>1531</v>
      </c>
      <c r="F24" s="77" t="s">
        <v>103</v>
      </c>
      <c r="G24" s="77">
        <v>132</v>
      </c>
      <c r="H24" s="90">
        <v>102.08999633789062</v>
      </c>
      <c r="I24" s="91" t="s">
        <v>74</v>
      </c>
      <c r="J24" s="92">
        <f t="shared" si="0"/>
        <v>217.13215051116947</v>
      </c>
      <c r="K24" s="431">
        <v>41269.40277777778</v>
      </c>
      <c r="L24" s="431">
        <v>41269.59444444445</v>
      </c>
      <c r="M24" s="94">
        <f t="shared" si="1"/>
        <v>4.599999999976717</v>
      </c>
      <c r="N24" s="95">
        <f t="shared" si="2"/>
        <v>276</v>
      </c>
      <c r="O24" s="93" t="s">
        <v>79</v>
      </c>
      <c r="P24" s="429" t="s">
        <v>77</v>
      </c>
      <c r="Q24" s="97">
        <f t="shared" si="3"/>
        <v>10</v>
      </c>
      <c r="R24" s="98">
        <f t="shared" si="4"/>
        <v>99.88078923513795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6" t="s">
        <v>76</v>
      </c>
      <c r="AC24" s="106">
        <f t="shared" si="14"/>
        <v>99.88078923513795</v>
      </c>
      <c r="AD24" s="107"/>
    </row>
    <row r="25" spans="2:30" s="1" customFormat="1" ht="16.5" customHeight="1">
      <c r="B25" s="13"/>
      <c r="C25" s="79">
        <v>68</v>
      </c>
      <c r="D25" s="79">
        <v>256396</v>
      </c>
      <c r="E25" s="79">
        <v>1410</v>
      </c>
      <c r="F25" s="77" t="s">
        <v>116</v>
      </c>
      <c r="G25" s="77">
        <v>132</v>
      </c>
      <c r="H25" s="90">
        <v>41.29999923706055</v>
      </c>
      <c r="I25" s="91" t="s">
        <v>83</v>
      </c>
      <c r="J25" s="92">
        <f t="shared" si="0"/>
        <v>87.83972937732696</v>
      </c>
      <c r="K25" s="431">
        <v>41270.17847222222</v>
      </c>
      <c r="L25" s="431">
        <v>41270.2625</v>
      </c>
      <c r="M25" s="94">
        <f t="shared" si="1"/>
        <v>2.0166666666045785</v>
      </c>
      <c r="N25" s="95">
        <f t="shared" si="2"/>
        <v>121</v>
      </c>
      <c r="O25" s="93" t="s">
        <v>79</v>
      </c>
      <c r="P25" s="429" t="s">
        <v>77</v>
      </c>
      <c r="Q25" s="97">
        <f t="shared" si="3"/>
        <v>50</v>
      </c>
      <c r="R25" s="98">
        <f t="shared" si="4"/>
        <v>88.71812667110024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6" t="s">
        <v>76</v>
      </c>
      <c r="AC25" s="106">
        <f t="shared" si="14"/>
        <v>88.71812667110024</v>
      </c>
      <c r="AD25" s="107"/>
    </row>
    <row r="26" spans="2:30" s="1" customFormat="1" ht="16.5" customHeight="1">
      <c r="B26" s="13"/>
      <c r="C26" s="79">
        <v>69</v>
      </c>
      <c r="D26" s="79">
        <v>256402</v>
      </c>
      <c r="E26" s="79">
        <v>1531</v>
      </c>
      <c r="F26" s="77" t="s">
        <v>103</v>
      </c>
      <c r="G26" s="77">
        <v>132</v>
      </c>
      <c r="H26" s="90">
        <v>102.08999633789062</v>
      </c>
      <c r="I26" s="91" t="s">
        <v>74</v>
      </c>
      <c r="J26" s="92">
        <f t="shared" si="0"/>
        <v>217.13215051116947</v>
      </c>
      <c r="K26" s="431">
        <v>41270.44375</v>
      </c>
      <c r="L26" s="431">
        <v>41270.58819444444</v>
      </c>
      <c r="M26" s="94">
        <f t="shared" si="1"/>
        <v>3.46666666661622</v>
      </c>
      <c r="N26" s="95">
        <f t="shared" si="2"/>
        <v>208</v>
      </c>
      <c r="O26" s="93" t="s">
        <v>79</v>
      </c>
      <c r="P26" s="429" t="s">
        <v>77</v>
      </c>
      <c r="Q26" s="97">
        <f t="shared" si="3"/>
        <v>10</v>
      </c>
      <c r="R26" s="98">
        <f t="shared" si="4"/>
        <v>75.3448562273758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6" t="s">
        <v>76</v>
      </c>
      <c r="AC26" s="106">
        <f t="shared" si="14"/>
        <v>75.3448562273758</v>
      </c>
      <c r="AD26" s="107"/>
    </row>
    <row r="27" spans="2:30" s="1" customFormat="1" ht="16.5" customHeight="1">
      <c r="B27" s="13"/>
      <c r="C27" s="79">
        <v>70</v>
      </c>
      <c r="D27" s="79">
        <v>256403</v>
      </c>
      <c r="E27" s="79">
        <v>4935</v>
      </c>
      <c r="F27" s="77" t="s">
        <v>117</v>
      </c>
      <c r="G27" s="77">
        <v>132</v>
      </c>
      <c r="H27" s="90">
        <v>67.30000305175781</v>
      </c>
      <c r="I27" s="91" t="s">
        <v>74</v>
      </c>
      <c r="J27" s="92">
        <f t="shared" si="0"/>
        <v>143.13835749069213</v>
      </c>
      <c r="K27" s="431">
        <v>41271.24513888889</v>
      </c>
      <c r="L27" s="431">
        <v>41271.373611111114</v>
      </c>
      <c r="M27" s="94">
        <f t="shared" si="1"/>
        <v>3.083333333430346</v>
      </c>
      <c r="N27" s="95">
        <f t="shared" si="2"/>
        <v>185</v>
      </c>
      <c r="O27" s="93" t="s">
        <v>79</v>
      </c>
      <c r="P27" s="429" t="s">
        <v>77</v>
      </c>
      <c r="Q27" s="97">
        <f t="shared" si="3"/>
        <v>10</v>
      </c>
      <c r="R27" s="98">
        <f t="shared" si="4"/>
        <v>44.08661410713317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6" t="s">
        <v>76</v>
      </c>
      <c r="AC27" s="106">
        <f t="shared" si="14"/>
        <v>44.08661410713317</v>
      </c>
      <c r="AD27" s="107"/>
    </row>
    <row r="28" spans="2:30" s="1" customFormat="1" ht="16.5" customHeight="1">
      <c r="B28" s="13"/>
      <c r="C28" s="79"/>
      <c r="D28" s="79"/>
      <c r="E28" s="79"/>
      <c r="F28" s="77"/>
      <c r="G28" s="77"/>
      <c r="H28" s="90"/>
      <c r="I28" s="91"/>
      <c r="J28" s="92">
        <f t="shared" si="0"/>
        <v>53.17175</v>
      </c>
      <c r="K28" s="431"/>
      <c r="L28" s="431"/>
      <c r="M28" s="94">
        <f t="shared" si="1"/>
      </c>
      <c r="N28" s="95">
        <f t="shared" si="2"/>
      </c>
      <c r="O28" s="93"/>
      <c r="P28" s="425">
        <f aca="true" t="shared" si="15" ref="P28:P37">IF(F28="","","--")</f>
      </c>
      <c r="Q28" s="97">
        <f t="shared" si="3"/>
        <v>10</v>
      </c>
      <c r="R28" s="98" t="str">
        <f t="shared" si="4"/>
        <v>--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6">
        <f aca="true" t="shared" si="16" ref="AB28:AB37">IF(F28="","","SI")</f>
      </c>
      <c r="AC28" s="106">
        <f t="shared" si="14"/>
      </c>
      <c r="AD28" s="107"/>
    </row>
    <row r="29" spans="2:30" s="1" customFormat="1" ht="16.5" customHeight="1">
      <c r="B29" s="13"/>
      <c r="C29" s="79"/>
      <c r="D29" s="79"/>
      <c r="E29" s="79"/>
      <c r="F29" s="77"/>
      <c r="G29" s="77"/>
      <c r="H29" s="90"/>
      <c r="I29" s="91"/>
      <c r="J29" s="92">
        <f t="shared" si="0"/>
        <v>53.17175</v>
      </c>
      <c r="K29" s="431"/>
      <c r="L29" s="431"/>
      <c r="M29" s="94">
        <f t="shared" si="1"/>
      </c>
      <c r="N29" s="95">
        <f t="shared" si="2"/>
      </c>
      <c r="O29" s="93"/>
      <c r="P29" s="425">
        <f t="shared" si="15"/>
      </c>
      <c r="Q29" s="97">
        <f t="shared" si="3"/>
        <v>10</v>
      </c>
      <c r="R29" s="98" t="str">
        <f t="shared" si="4"/>
        <v>--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6">
        <f t="shared" si="16"/>
      </c>
      <c r="AC29" s="106">
        <f t="shared" si="14"/>
      </c>
      <c r="AD29" s="107"/>
    </row>
    <row r="30" spans="2:30" s="1" customFormat="1" ht="16.5" customHeight="1">
      <c r="B30" s="13"/>
      <c r="C30" s="79"/>
      <c r="D30" s="79"/>
      <c r="E30" s="79"/>
      <c r="F30" s="77"/>
      <c r="G30" s="77"/>
      <c r="H30" s="90"/>
      <c r="I30" s="91"/>
      <c r="J30" s="92">
        <f t="shared" si="0"/>
        <v>53.17175</v>
      </c>
      <c r="K30" s="431"/>
      <c r="L30" s="431"/>
      <c r="M30" s="94">
        <f t="shared" si="1"/>
      </c>
      <c r="N30" s="95">
        <f t="shared" si="2"/>
      </c>
      <c r="O30" s="93"/>
      <c r="P30" s="425">
        <f t="shared" si="15"/>
      </c>
      <c r="Q30" s="97">
        <f t="shared" si="3"/>
        <v>10</v>
      </c>
      <c r="R30" s="98" t="str">
        <f t="shared" si="4"/>
        <v>--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6">
        <f t="shared" si="16"/>
      </c>
      <c r="AC30" s="106">
        <f t="shared" si="14"/>
      </c>
      <c r="AD30" s="107"/>
    </row>
    <row r="31" spans="2:30" s="1" customFormat="1" ht="16.5" customHeight="1">
      <c r="B31" s="108"/>
      <c r="C31" s="79"/>
      <c r="D31" s="79"/>
      <c r="E31" s="79"/>
      <c r="F31" s="77"/>
      <c r="G31" s="77"/>
      <c r="H31" s="90"/>
      <c r="I31" s="91"/>
      <c r="J31" s="92">
        <f t="shared" si="0"/>
        <v>53.17175</v>
      </c>
      <c r="K31" s="431"/>
      <c r="L31" s="431"/>
      <c r="M31" s="94">
        <f t="shared" si="1"/>
      </c>
      <c r="N31" s="95">
        <f t="shared" si="2"/>
      </c>
      <c r="O31" s="93"/>
      <c r="P31" s="425">
        <f t="shared" si="15"/>
      </c>
      <c r="Q31" s="97">
        <f t="shared" si="3"/>
        <v>10</v>
      </c>
      <c r="R31" s="98" t="str">
        <f t="shared" si="4"/>
        <v>--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6">
        <f t="shared" si="16"/>
      </c>
      <c r="AC31" s="106">
        <f t="shared" si="14"/>
      </c>
      <c r="AD31" s="107"/>
    </row>
    <row r="32" spans="2:30" s="1" customFormat="1" ht="16.5" customHeight="1">
      <c r="B32" s="108"/>
      <c r="C32" s="79"/>
      <c r="D32" s="79"/>
      <c r="E32" s="79"/>
      <c r="F32" s="77"/>
      <c r="G32" s="77"/>
      <c r="H32" s="90"/>
      <c r="I32" s="91"/>
      <c r="J32" s="92">
        <f t="shared" si="0"/>
        <v>53.17175</v>
      </c>
      <c r="K32" s="431"/>
      <c r="L32" s="431"/>
      <c r="M32" s="94">
        <f t="shared" si="1"/>
      </c>
      <c r="N32" s="95">
        <f t="shared" si="2"/>
      </c>
      <c r="O32" s="93"/>
      <c r="P32" s="425">
        <f t="shared" si="15"/>
      </c>
      <c r="Q32" s="97">
        <f t="shared" si="3"/>
        <v>10</v>
      </c>
      <c r="R32" s="98" t="str">
        <f t="shared" si="4"/>
        <v>--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6">
        <f t="shared" si="16"/>
      </c>
      <c r="AC32" s="106">
        <f t="shared" si="14"/>
      </c>
      <c r="AD32" s="107"/>
    </row>
    <row r="33" spans="2:30" s="1" customFormat="1" ht="16.5" customHeight="1">
      <c r="B33" s="108"/>
      <c r="C33" s="79"/>
      <c r="D33" s="79"/>
      <c r="E33" s="79"/>
      <c r="F33" s="77"/>
      <c r="G33" s="77"/>
      <c r="H33" s="90"/>
      <c r="I33" s="91"/>
      <c r="J33" s="92">
        <f t="shared" si="0"/>
        <v>53.17175</v>
      </c>
      <c r="K33" s="431"/>
      <c r="L33" s="431"/>
      <c r="M33" s="94">
        <f t="shared" si="1"/>
      </c>
      <c r="N33" s="95">
        <f t="shared" si="2"/>
      </c>
      <c r="O33" s="93"/>
      <c r="P33" s="425">
        <f t="shared" si="15"/>
      </c>
      <c r="Q33" s="97">
        <f t="shared" si="3"/>
        <v>10</v>
      </c>
      <c r="R33" s="98" t="str">
        <f t="shared" si="4"/>
        <v>--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6">
        <f t="shared" si="16"/>
      </c>
      <c r="AC33" s="106">
        <f t="shared" si="14"/>
      </c>
      <c r="AD33" s="107"/>
    </row>
    <row r="34" spans="2:30" s="1" customFormat="1" ht="16.5" customHeight="1">
      <c r="B34" s="108"/>
      <c r="C34" s="79"/>
      <c r="D34" s="79"/>
      <c r="E34" s="79"/>
      <c r="F34" s="77"/>
      <c r="G34" s="77"/>
      <c r="H34" s="90"/>
      <c r="I34" s="91"/>
      <c r="J34" s="92">
        <f t="shared" si="0"/>
        <v>53.17175</v>
      </c>
      <c r="K34" s="431"/>
      <c r="L34" s="431"/>
      <c r="M34" s="94">
        <f t="shared" si="1"/>
      </c>
      <c r="N34" s="95">
        <f t="shared" si="2"/>
      </c>
      <c r="O34" s="93"/>
      <c r="P34" s="425">
        <f t="shared" si="15"/>
      </c>
      <c r="Q34" s="97">
        <f t="shared" si="3"/>
        <v>10</v>
      </c>
      <c r="R34" s="98" t="str">
        <f t="shared" si="4"/>
        <v>--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6">
        <f t="shared" si="16"/>
      </c>
      <c r="AC34" s="106">
        <f t="shared" si="14"/>
      </c>
      <c r="AD34" s="107"/>
    </row>
    <row r="35" spans="2:30" s="1" customFormat="1" ht="16.5" customHeight="1">
      <c r="B35" s="108"/>
      <c r="C35" s="79"/>
      <c r="D35" s="79"/>
      <c r="E35" s="79"/>
      <c r="F35" s="77"/>
      <c r="G35" s="77"/>
      <c r="H35" s="90"/>
      <c r="I35" s="91"/>
      <c r="J35" s="92">
        <f t="shared" si="0"/>
        <v>53.17175</v>
      </c>
      <c r="K35" s="431"/>
      <c r="L35" s="431"/>
      <c r="M35" s="94">
        <f t="shared" si="1"/>
      </c>
      <c r="N35" s="95">
        <f t="shared" si="2"/>
      </c>
      <c r="O35" s="93"/>
      <c r="P35" s="425">
        <f t="shared" si="15"/>
      </c>
      <c r="Q35" s="97">
        <f t="shared" si="3"/>
        <v>10</v>
      </c>
      <c r="R35" s="98" t="str">
        <f t="shared" si="4"/>
        <v>--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6">
        <f t="shared" si="16"/>
      </c>
      <c r="AC35" s="106">
        <f t="shared" si="14"/>
      </c>
      <c r="AD35" s="107"/>
    </row>
    <row r="36" spans="2:30" s="1" customFormat="1" ht="16.5" customHeight="1">
      <c r="B36" s="108"/>
      <c r="C36" s="79"/>
      <c r="D36" s="79"/>
      <c r="E36" s="79"/>
      <c r="F36" s="77"/>
      <c r="G36" s="77"/>
      <c r="H36" s="90"/>
      <c r="I36" s="91"/>
      <c r="J36" s="92">
        <f t="shared" si="0"/>
        <v>53.17175</v>
      </c>
      <c r="K36" s="431"/>
      <c r="L36" s="431"/>
      <c r="M36" s="94">
        <f t="shared" si="1"/>
      </c>
      <c r="N36" s="95">
        <f t="shared" si="2"/>
      </c>
      <c r="O36" s="93"/>
      <c r="P36" s="425">
        <f t="shared" si="15"/>
      </c>
      <c r="Q36" s="97">
        <f t="shared" si="3"/>
        <v>10</v>
      </c>
      <c r="R36" s="98" t="str">
        <f t="shared" si="4"/>
        <v>--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6">
        <f t="shared" si="16"/>
      </c>
      <c r="AC36" s="106">
        <f t="shared" si="14"/>
      </c>
      <c r="AD36" s="107"/>
    </row>
    <row r="37" spans="2:30" s="1" customFormat="1" ht="16.5" customHeight="1">
      <c r="B37" s="108"/>
      <c r="C37" s="79"/>
      <c r="D37" s="79"/>
      <c r="E37" s="79"/>
      <c r="F37" s="77"/>
      <c r="G37" s="77"/>
      <c r="H37" s="90"/>
      <c r="I37" s="91"/>
      <c r="J37" s="92">
        <f t="shared" si="0"/>
        <v>53.17175</v>
      </c>
      <c r="K37" s="431"/>
      <c r="L37" s="431"/>
      <c r="M37" s="94">
        <f t="shared" si="1"/>
      </c>
      <c r="N37" s="95">
        <f t="shared" si="2"/>
      </c>
      <c r="O37" s="93"/>
      <c r="P37" s="425">
        <f t="shared" si="15"/>
      </c>
      <c r="Q37" s="97">
        <f t="shared" si="3"/>
        <v>10</v>
      </c>
      <c r="R37" s="98" t="str">
        <f t="shared" si="4"/>
        <v>--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6">
        <f t="shared" si="16"/>
      </c>
      <c r="AC37" s="106">
        <f t="shared" si="14"/>
      </c>
      <c r="AD37" s="107"/>
    </row>
    <row r="38" spans="2:30" s="1" customFormat="1" ht="16.5" customHeight="1" thickBot="1">
      <c r="B38" s="13"/>
      <c r="C38" s="109"/>
      <c r="D38" s="109"/>
      <c r="E38" s="109"/>
      <c r="F38" s="332"/>
      <c r="G38" s="333"/>
      <c r="H38" s="334"/>
      <c r="I38" s="334"/>
      <c r="J38" s="111"/>
      <c r="K38" s="407"/>
      <c r="L38" s="407"/>
      <c r="M38" s="110"/>
      <c r="N38" s="110"/>
      <c r="O38" s="334"/>
      <c r="P38" s="335"/>
      <c r="Q38" s="336"/>
      <c r="R38" s="337"/>
      <c r="S38" s="338"/>
      <c r="T38" s="339"/>
      <c r="U38" s="340"/>
      <c r="V38" s="340"/>
      <c r="W38" s="341"/>
      <c r="X38" s="341"/>
      <c r="Y38" s="341"/>
      <c r="Z38" s="342"/>
      <c r="AA38" s="343"/>
      <c r="AB38" s="344"/>
      <c r="AC38" s="112"/>
      <c r="AD38" s="107"/>
    </row>
    <row r="39" spans="2:30" s="1" customFormat="1" ht="16.5" customHeight="1" thickBot="1" thickTop="1">
      <c r="B39" s="13"/>
      <c r="C39" s="437" t="s">
        <v>237</v>
      </c>
      <c r="D39" s="436" t="s">
        <v>236</v>
      </c>
      <c r="E39" s="128"/>
      <c r="F39" s="113"/>
      <c r="G39" s="114"/>
      <c r="H39" s="115"/>
      <c r="I39" s="115"/>
      <c r="J39" s="116"/>
      <c r="K39" s="116"/>
      <c r="L39" s="116"/>
      <c r="M39" s="116"/>
      <c r="N39" s="116"/>
      <c r="O39" s="116"/>
      <c r="P39" s="117"/>
      <c r="Q39" s="117"/>
      <c r="R39" s="118">
        <f aca="true" t="shared" si="17" ref="R39:AA39">SUM(R19:R38)</f>
        <v>308.03038624074713</v>
      </c>
      <c r="S39" s="119">
        <f t="shared" si="17"/>
        <v>0</v>
      </c>
      <c r="T39" s="120">
        <f t="shared" si="17"/>
        <v>4979.002605093079</v>
      </c>
      <c r="U39" s="120">
        <f t="shared" si="17"/>
        <v>4427.505172877184</v>
      </c>
      <c r="V39" s="120">
        <f t="shared" si="17"/>
        <v>1149.696560422377</v>
      </c>
      <c r="W39" s="121">
        <f t="shared" si="17"/>
        <v>0</v>
      </c>
      <c r="X39" s="121">
        <f t="shared" si="17"/>
        <v>0</v>
      </c>
      <c r="Y39" s="121">
        <f t="shared" si="17"/>
        <v>0</v>
      </c>
      <c r="Z39" s="122">
        <f t="shared" si="17"/>
        <v>0</v>
      </c>
      <c r="AA39" s="123">
        <f t="shared" si="17"/>
        <v>0</v>
      </c>
      <c r="AB39" s="124"/>
      <c r="AC39" s="416">
        <f>ROUND(SUM(AC19:AC38),2)</f>
        <v>375519.93</v>
      </c>
      <c r="AD39" s="125"/>
    </row>
    <row r="40" spans="2:30" s="126" customFormat="1" ht="14.25" customHeight="1" thickTop="1">
      <c r="B40" s="127"/>
      <c r="C40" s="769" t="s">
        <v>295</v>
      </c>
      <c r="D40" s="436" t="s">
        <v>296</v>
      </c>
      <c r="E40" s="769"/>
      <c r="F40" s="129"/>
      <c r="G40" s="130"/>
      <c r="H40" s="131"/>
      <c r="I40" s="131"/>
      <c r="J40" s="132"/>
      <c r="K40" s="132"/>
      <c r="L40" s="132"/>
      <c r="M40" s="132"/>
      <c r="N40" s="132"/>
      <c r="O40" s="132"/>
      <c r="P40" s="133"/>
      <c r="Q40" s="133"/>
      <c r="R40" s="134"/>
      <c r="S40" s="134"/>
      <c r="T40" s="135"/>
      <c r="U40" s="135"/>
      <c r="V40" s="136"/>
      <c r="W40" s="136"/>
      <c r="X40" s="136"/>
      <c r="Y40" s="136"/>
      <c r="Z40" s="136"/>
      <c r="AA40" s="136"/>
      <c r="AB40" s="136"/>
      <c r="AC40" s="137"/>
      <c r="AD40" s="138"/>
    </row>
    <row r="41" spans="2:30" s="126" customFormat="1" ht="14.25" customHeight="1">
      <c r="B41" s="127"/>
      <c r="C41" s="769" t="s">
        <v>297</v>
      </c>
      <c r="D41" s="436" t="s">
        <v>298</v>
      </c>
      <c r="E41" s="769"/>
      <c r="F41" s="129"/>
      <c r="G41" s="130"/>
      <c r="H41" s="131"/>
      <c r="I41" s="131"/>
      <c r="J41" s="132"/>
      <c r="K41" s="132"/>
      <c r="L41" s="132"/>
      <c r="M41" s="132"/>
      <c r="N41" s="132"/>
      <c r="O41" s="132"/>
      <c r="P41" s="133"/>
      <c r="Q41" s="133"/>
      <c r="R41" s="134"/>
      <c r="S41" s="134"/>
      <c r="T41" s="135"/>
      <c r="U41" s="135"/>
      <c r="V41" s="136"/>
      <c r="W41" s="136"/>
      <c r="X41" s="136"/>
      <c r="Y41" s="136"/>
      <c r="Z41" s="136"/>
      <c r="AA41" s="136"/>
      <c r="AB41" s="136"/>
      <c r="AC41" s="137"/>
      <c r="AD41" s="138"/>
    </row>
    <row r="42" spans="2:30" s="1" customFormat="1" ht="16.5" customHeight="1" thickBot="1"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1"/>
    </row>
    <row r="43" spans="2:30" ht="13.5" thickTop="1">
      <c r="B43" s="142"/>
      <c r="AD43" s="142"/>
    </row>
    <row r="88" ht="12.75">
      <c r="B88" s="142"/>
    </row>
  </sheetData>
  <sheetProtection/>
  <printOptions/>
  <pageMargins left="0.24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zoomScale="75" zoomScaleNormal="75" zoomScalePageLayoutView="0" workbookViewId="0" topLeftCell="G13">
      <selection activeCell="O34" sqref="O34"/>
    </sheetView>
  </sheetViews>
  <sheetFormatPr defaultColWidth="11.421875" defaultRowHeight="12.75"/>
  <cols>
    <col min="1" max="1" width="23.57421875" style="757" customWidth="1"/>
    <col min="2" max="2" width="15.7109375" style="757" customWidth="1"/>
    <col min="3" max="3" width="3.421875" style="757" customWidth="1"/>
    <col min="4" max="4" width="3.57421875" style="757" customWidth="1"/>
    <col min="5" max="5" width="4.7109375" style="757" customWidth="1"/>
    <col min="6" max="6" width="31.57421875" style="757" customWidth="1"/>
    <col min="7" max="7" width="5.8515625" style="757" customWidth="1"/>
    <col min="8" max="8" width="7.140625" style="757" bestFit="1" customWidth="1"/>
    <col min="9" max="9" width="3.7109375" style="757" customWidth="1"/>
    <col min="10" max="10" width="3.140625" style="757" customWidth="1"/>
    <col min="11" max="11" width="8.00390625" style="757" hidden="1" customWidth="1"/>
    <col min="12" max="13" width="16.28125" style="757" customWidth="1"/>
    <col min="14" max="14" width="7.140625" style="759" customWidth="1"/>
    <col min="15" max="15" width="7.8515625" style="757" customWidth="1"/>
    <col min="16" max="16" width="7.140625" style="757" customWidth="1"/>
    <col min="17" max="17" width="6.57421875" style="757" customWidth="1"/>
    <col min="18" max="18" width="5.421875" style="757" customWidth="1"/>
    <col min="19" max="19" width="6.00390625" style="757" bestFit="1" customWidth="1"/>
    <col min="20" max="20" width="48.00390625" style="757" hidden="1" customWidth="1"/>
    <col min="21" max="22" width="9.140625" style="757" hidden="1" customWidth="1"/>
    <col min="23" max="23" width="13.28125" style="760" customWidth="1"/>
    <col min="24" max="24" width="8.57421875" style="757" customWidth="1"/>
    <col min="25" max="25" width="7.421875" style="757" bestFit="1" customWidth="1"/>
    <col min="26" max="26" width="7.28125" style="760" customWidth="1"/>
    <col min="27" max="27" width="8.57421875" style="760" customWidth="1"/>
    <col min="28" max="28" width="4.140625" style="760" bestFit="1" customWidth="1"/>
    <col min="29" max="29" width="8.57421875" style="760" bestFit="1" customWidth="1"/>
    <col min="30" max="30" width="7.57421875" style="760" bestFit="1" customWidth="1"/>
    <col min="31" max="31" width="12.00390625" style="760" bestFit="1" customWidth="1"/>
    <col min="32" max="32" width="16.57421875" style="760" hidden="1" customWidth="1"/>
    <col min="33" max="33" width="15.7109375" style="757" hidden="1" customWidth="1"/>
    <col min="34" max="34" width="9.8515625" style="757" hidden="1" customWidth="1"/>
    <col min="35" max="35" width="48.140625" style="757" hidden="1" customWidth="1"/>
    <col min="36" max="36" width="9.140625" style="757" hidden="1" customWidth="1"/>
    <col min="37" max="37" width="7.57421875" style="757" hidden="1" customWidth="1"/>
    <col min="38" max="38" width="18.28125" style="757" bestFit="1" customWidth="1"/>
    <col min="39" max="39" width="13.140625" style="757" bestFit="1" customWidth="1"/>
    <col min="40" max="40" width="3.8515625" style="757" customWidth="1"/>
    <col min="41" max="41" width="30.421875" style="757" customWidth="1"/>
    <col min="42" max="42" width="3.140625" style="757" customWidth="1"/>
    <col min="43" max="43" width="3.57421875" style="757" customWidth="1"/>
    <col min="44" max="44" width="24.28125" style="757" customWidth="1"/>
    <col min="45" max="45" width="4.7109375" style="757" customWidth="1"/>
    <col min="46" max="46" width="7.57421875" style="757" customWidth="1"/>
    <col min="47" max="48" width="4.140625" style="757" customWidth="1"/>
    <col min="49" max="49" width="7.140625" style="757" customWidth="1"/>
    <col min="50" max="50" width="5.28125" style="757" customWidth="1"/>
    <col min="51" max="51" width="5.421875" style="757" customWidth="1"/>
    <col min="52" max="52" width="4.7109375" style="757" customWidth="1"/>
    <col min="53" max="53" width="5.28125" style="757" customWidth="1"/>
    <col min="54" max="55" width="13.28125" style="757" customWidth="1"/>
    <col min="56" max="56" width="6.57421875" style="757" customWidth="1"/>
    <col min="57" max="57" width="6.421875" style="757" customWidth="1"/>
    <col min="58" max="61" width="11.421875" style="757" customWidth="1"/>
    <col min="62" max="62" width="12.7109375" style="757" customWidth="1"/>
    <col min="63" max="65" width="11.421875" style="757" customWidth="1"/>
    <col min="66" max="66" width="21.00390625" style="757" customWidth="1"/>
    <col min="67" max="16384" width="11.421875" style="757" customWidth="1"/>
  </cols>
  <sheetData>
    <row r="1" spans="1:40" s="522" customFormat="1" ht="26.25">
      <c r="A1" s="521"/>
      <c r="N1" s="521"/>
      <c r="W1" s="521"/>
      <c r="Z1" s="521"/>
      <c r="AA1" s="521"/>
      <c r="AB1" s="521"/>
      <c r="AC1" s="521"/>
      <c r="AD1" s="521"/>
      <c r="AE1" s="521"/>
      <c r="AF1" s="521"/>
      <c r="AN1" s="523"/>
    </row>
    <row r="2" spans="1:40" s="522" customFormat="1" ht="26.25">
      <c r="A2" s="521"/>
      <c r="B2" s="524" t="str">
        <f>'TOT-1212'!B2</f>
        <v>ANEXO I al Memorándum  D.T.E.E.  N° 335 /2014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5"/>
      <c r="O2" s="524"/>
      <c r="P2" s="524"/>
      <c r="Q2" s="524"/>
      <c r="R2" s="524"/>
      <c r="S2" s="524"/>
      <c r="T2" s="524"/>
      <c r="U2" s="524"/>
      <c r="V2" s="524"/>
      <c r="W2" s="525"/>
      <c r="X2" s="524"/>
      <c r="Y2" s="524"/>
      <c r="Z2" s="525"/>
      <c r="AA2" s="525"/>
      <c r="AB2" s="525"/>
      <c r="AC2" s="525"/>
      <c r="AD2" s="525"/>
      <c r="AE2" s="525"/>
      <c r="AF2" s="525"/>
      <c r="AG2" s="524"/>
      <c r="AH2" s="524"/>
      <c r="AI2" s="524"/>
      <c r="AJ2" s="524"/>
      <c r="AK2" s="524"/>
      <c r="AL2" s="524"/>
      <c r="AM2" s="524"/>
      <c r="AN2" s="524"/>
    </row>
    <row r="3" spans="1:32" s="527" customFormat="1" ht="12.75">
      <c r="A3" s="526"/>
      <c r="N3" s="526"/>
      <c r="W3" s="526"/>
      <c r="Z3" s="526"/>
      <c r="AA3" s="526"/>
      <c r="AB3" s="526"/>
      <c r="AC3" s="526"/>
      <c r="AD3" s="526"/>
      <c r="AE3" s="526"/>
      <c r="AF3" s="526"/>
    </row>
    <row r="4" spans="1:32" s="530" customFormat="1" ht="11.25">
      <c r="A4" s="528" t="s">
        <v>3</v>
      </c>
      <c r="B4" s="529"/>
      <c r="C4" s="529"/>
      <c r="D4" s="529"/>
      <c r="N4" s="531"/>
      <c r="W4" s="531"/>
      <c r="Z4" s="531"/>
      <c r="AA4" s="531"/>
      <c r="AB4" s="531"/>
      <c r="AC4" s="531"/>
      <c r="AD4" s="531"/>
      <c r="AE4" s="531"/>
      <c r="AF4" s="531"/>
    </row>
    <row r="5" spans="1:32" s="530" customFormat="1" ht="11.25">
      <c r="A5" s="528" t="s">
        <v>4</v>
      </c>
      <c r="B5" s="529"/>
      <c r="C5" s="529"/>
      <c r="D5" s="529"/>
      <c r="N5" s="531"/>
      <c r="W5" s="531"/>
      <c r="Z5" s="531"/>
      <c r="AA5" s="531"/>
      <c r="AB5" s="531"/>
      <c r="AC5" s="531"/>
      <c r="AD5" s="531"/>
      <c r="AE5" s="531"/>
      <c r="AF5" s="531"/>
    </row>
    <row r="6" spans="1:32" s="530" customFormat="1" ht="11.25">
      <c r="A6" s="528"/>
      <c r="B6" s="529"/>
      <c r="C6" s="529"/>
      <c r="D6" s="529"/>
      <c r="N6" s="531"/>
      <c r="W6" s="531"/>
      <c r="Z6" s="531"/>
      <c r="AA6" s="531"/>
      <c r="AB6" s="531"/>
      <c r="AC6" s="531"/>
      <c r="AD6" s="531"/>
      <c r="AE6" s="531"/>
      <c r="AF6" s="531"/>
    </row>
    <row r="7" spans="1:32" s="530" customFormat="1" ht="11.25">
      <c r="A7" s="528"/>
      <c r="B7" s="529"/>
      <c r="C7" s="529"/>
      <c r="D7" s="529"/>
      <c r="N7" s="531"/>
      <c r="W7" s="531"/>
      <c r="Z7" s="531"/>
      <c r="AA7" s="531"/>
      <c r="AB7" s="531"/>
      <c r="AC7" s="531"/>
      <c r="AD7" s="531"/>
      <c r="AE7" s="531"/>
      <c r="AF7" s="531"/>
    </row>
    <row r="8" spans="1:32" s="530" customFormat="1" ht="82.5" customHeight="1">
      <c r="A8" s="528"/>
      <c r="B8" s="529"/>
      <c r="C8" s="529"/>
      <c r="D8" s="529"/>
      <c r="N8" s="531"/>
      <c r="W8" s="531"/>
      <c r="Z8" s="531"/>
      <c r="AA8" s="531"/>
      <c r="AB8" s="531"/>
      <c r="AC8" s="531"/>
      <c r="AD8" s="531"/>
      <c r="AE8" s="531"/>
      <c r="AF8" s="531"/>
    </row>
    <row r="9" spans="1:32" s="530" customFormat="1" ht="12" thickBot="1">
      <c r="A9" s="528"/>
      <c r="B9" s="529"/>
      <c r="C9" s="529"/>
      <c r="D9" s="529"/>
      <c r="N9" s="531"/>
      <c r="W9" s="531"/>
      <c r="Z9" s="531"/>
      <c r="AA9" s="531"/>
      <c r="AB9" s="531"/>
      <c r="AC9" s="531"/>
      <c r="AD9" s="531"/>
      <c r="AE9" s="531"/>
      <c r="AF9" s="531"/>
    </row>
    <row r="10" spans="2:40" s="527" customFormat="1" ht="13.5" thickTop="1">
      <c r="B10" s="532"/>
      <c r="C10" s="533"/>
      <c r="D10" s="533"/>
      <c r="E10" s="533"/>
      <c r="F10" s="533"/>
      <c r="G10" s="534"/>
      <c r="H10" s="533"/>
      <c r="I10" s="533"/>
      <c r="J10" s="533"/>
      <c r="K10" s="533"/>
      <c r="L10" s="533"/>
      <c r="M10" s="533"/>
      <c r="N10" s="535"/>
      <c r="O10" s="533"/>
      <c r="P10" s="533"/>
      <c r="Q10" s="533"/>
      <c r="R10" s="533"/>
      <c r="S10" s="533"/>
      <c r="T10" s="533"/>
      <c r="U10" s="533"/>
      <c r="V10" s="533"/>
      <c r="W10" s="535"/>
      <c r="X10" s="533"/>
      <c r="Y10" s="533"/>
      <c r="Z10" s="535"/>
      <c r="AA10" s="535"/>
      <c r="AB10" s="535"/>
      <c r="AC10" s="535"/>
      <c r="AD10" s="535"/>
      <c r="AE10" s="535"/>
      <c r="AF10" s="535"/>
      <c r="AG10" s="533"/>
      <c r="AH10" s="533"/>
      <c r="AI10" s="533"/>
      <c r="AJ10" s="533"/>
      <c r="AK10" s="533"/>
      <c r="AL10" s="533"/>
      <c r="AM10" s="533"/>
      <c r="AN10" s="536"/>
    </row>
    <row r="11" spans="2:40" s="537" customFormat="1" ht="20.25">
      <c r="B11" s="538"/>
      <c r="C11" s="539"/>
      <c r="D11" s="539"/>
      <c r="E11" s="539"/>
      <c r="F11" s="24" t="s">
        <v>5</v>
      </c>
      <c r="G11" s="539"/>
      <c r="H11" s="539"/>
      <c r="I11" s="539"/>
      <c r="J11" s="539"/>
      <c r="N11" s="540"/>
      <c r="P11" s="539"/>
      <c r="Q11" s="539"/>
      <c r="R11" s="541"/>
      <c r="S11" s="541"/>
      <c r="T11" s="539"/>
      <c r="U11" s="539"/>
      <c r="V11" s="539"/>
      <c r="W11" s="542"/>
      <c r="X11" s="539"/>
      <c r="Y11" s="539"/>
      <c r="Z11" s="542"/>
      <c r="AA11" s="542"/>
      <c r="AB11" s="542"/>
      <c r="AC11" s="542"/>
      <c r="AD11" s="542"/>
      <c r="AE11" s="542"/>
      <c r="AF11" s="542"/>
      <c r="AG11" s="539"/>
      <c r="AH11" s="539"/>
      <c r="AI11" s="539"/>
      <c r="AJ11" s="539"/>
      <c r="AK11" s="539"/>
      <c r="AL11" s="539"/>
      <c r="AM11" s="539"/>
      <c r="AN11" s="543"/>
    </row>
    <row r="12" spans="2:40" s="527" customFormat="1" ht="12.75">
      <c r="B12" s="544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6"/>
      <c r="O12" s="545"/>
      <c r="P12" s="545"/>
      <c r="Q12" s="545"/>
      <c r="R12" s="545"/>
      <c r="S12" s="545"/>
      <c r="T12" s="545"/>
      <c r="U12" s="545"/>
      <c r="V12" s="545"/>
      <c r="W12" s="546"/>
      <c r="X12" s="545"/>
      <c r="Y12" s="545"/>
      <c r="Z12" s="546"/>
      <c r="AA12" s="546"/>
      <c r="AB12" s="546"/>
      <c r="AC12" s="546"/>
      <c r="AD12" s="546"/>
      <c r="AE12" s="546"/>
      <c r="AF12" s="546"/>
      <c r="AG12" s="545"/>
      <c r="AH12" s="545"/>
      <c r="AI12" s="545"/>
      <c r="AJ12" s="545"/>
      <c r="AK12" s="545"/>
      <c r="AL12" s="545"/>
      <c r="AM12" s="545"/>
      <c r="AN12" s="547"/>
    </row>
    <row r="13" spans="2:40" s="537" customFormat="1" ht="20.25">
      <c r="B13" s="538"/>
      <c r="C13" s="539"/>
      <c r="D13" s="539"/>
      <c r="E13" s="539"/>
      <c r="F13" s="548" t="s">
        <v>255</v>
      </c>
      <c r="G13" s="539"/>
      <c r="H13" s="539"/>
      <c r="I13" s="539"/>
      <c r="J13" s="539"/>
      <c r="K13" s="539"/>
      <c r="L13" s="539"/>
      <c r="M13" s="539"/>
      <c r="N13" s="542"/>
      <c r="O13" s="539"/>
      <c r="P13" s="539"/>
      <c r="Q13" s="539"/>
      <c r="R13" s="539"/>
      <c r="S13" s="539"/>
      <c r="T13" s="539"/>
      <c r="U13" s="539"/>
      <c r="V13" s="539"/>
      <c r="W13" s="542"/>
      <c r="X13" s="539"/>
      <c r="Y13" s="539"/>
      <c r="Z13" s="542"/>
      <c r="AA13" s="542"/>
      <c r="AB13" s="542"/>
      <c r="AC13" s="542"/>
      <c r="AD13" s="542"/>
      <c r="AE13" s="542"/>
      <c r="AF13" s="542"/>
      <c r="AG13" s="539"/>
      <c r="AH13" s="539"/>
      <c r="AI13" s="539"/>
      <c r="AJ13" s="539"/>
      <c r="AK13" s="539"/>
      <c r="AL13" s="539"/>
      <c r="AM13" s="539"/>
      <c r="AN13" s="543"/>
    </row>
    <row r="14" spans="2:40" s="527" customFormat="1" ht="12.75">
      <c r="B14" s="544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6"/>
      <c r="O14" s="545"/>
      <c r="P14" s="545"/>
      <c r="Q14" s="545"/>
      <c r="R14" s="545"/>
      <c r="S14" s="545"/>
      <c r="T14" s="545"/>
      <c r="U14" s="545"/>
      <c r="V14" s="545"/>
      <c r="W14" s="546"/>
      <c r="X14" s="545"/>
      <c r="Y14" s="545"/>
      <c r="Z14" s="546"/>
      <c r="AA14" s="546"/>
      <c r="AB14" s="546"/>
      <c r="AC14" s="546"/>
      <c r="AD14" s="546"/>
      <c r="AE14" s="546"/>
      <c r="AF14" s="546"/>
      <c r="AG14" s="545"/>
      <c r="AH14" s="545"/>
      <c r="AI14" s="545"/>
      <c r="AJ14" s="545"/>
      <c r="AK14" s="545"/>
      <c r="AL14" s="545"/>
      <c r="AM14" s="545"/>
      <c r="AN14" s="547"/>
    </row>
    <row r="15" spans="2:40" s="527" customFormat="1" ht="12.75">
      <c r="B15" s="544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6"/>
      <c r="O15" s="545"/>
      <c r="P15" s="545"/>
      <c r="Q15" s="545"/>
      <c r="R15" s="545"/>
      <c r="S15" s="545"/>
      <c r="T15" s="545"/>
      <c r="U15" s="545"/>
      <c r="V15" s="545"/>
      <c r="W15" s="546"/>
      <c r="X15" s="545"/>
      <c r="Y15" s="545"/>
      <c r="Z15" s="546"/>
      <c r="AA15" s="546"/>
      <c r="AB15" s="546"/>
      <c r="AC15" s="546"/>
      <c r="AD15" s="546"/>
      <c r="AE15" s="546"/>
      <c r="AF15" s="546"/>
      <c r="AG15" s="545"/>
      <c r="AH15" s="545"/>
      <c r="AI15" s="545"/>
      <c r="AJ15" s="545"/>
      <c r="AK15" s="545"/>
      <c r="AL15" s="545"/>
      <c r="AM15" s="545"/>
      <c r="AN15" s="547"/>
    </row>
    <row r="16" spans="2:40" s="549" customFormat="1" ht="19.5">
      <c r="B16" s="550" t="str">
        <f>'TOT-1212'!B14</f>
        <v>Desde el 01 al 31 de diciembre de 2012</v>
      </c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2"/>
      <c r="O16" s="551"/>
      <c r="P16" s="553"/>
      <c r="Q16" s="553"/>
      <c r="R16" s="551"/>
      <c r="S16" s="551"/>
      <c r="T16" s="551"/>
      <c r="U16" s="551"/>
      <c r="V16" s="551"/>
      <c r="W16" s="552"/>
      <c r="X16" s="551"/>
      <c r="Y16" s="551"/>
      <c r="Z16" s="552"/>
      <c r="AA16" s="552"/>
      <c r="AB16" s="552"/>
      <c r="AC16" s="552"/>
      <c r="AD16" s="552"/>
      <c r="AE16" s="552"/>
      <c r="AF16" s="552"/>
      <c r="AG16" s="551"/>
      <c r="AH16" s="551"/>
      <c r="AI16" s="551"/>
      <c r="AJ16" s="551"/>
      <c r="AK16" s="551"/>
      <c r="AL16" s="551"/>
      <c r="AM16" s="551"/>
      <c r="AN16" s="554"/>
    </row>
    <row r="17" spans="2:40" s="527" customFormat="1" ht="16.5" customHeight="1" thickBot="1">
      <c r="B17" s="544"/>
      <c r="C17" s="545"/>
      <c r="D17" s="545"/>
      <c r="E17" s="545"/>
      <c r="F17" s="545"/>
      <c r="G17" s="555"/>
      <c r="H17" s="555"/>
      <c r="I17" s="545"/>
      <c r="J17" s="545"/>
      <c r="K17" s="545"/>
      <c r="L17" s="556"/>
      <c r="M17" s="545"/>
      <c r="N17" s="546"/>
      <c r="O17" s="545"/>
      <c r="R17" s="545"/>
      <c r="S17" s="545"/>
      <c r="T17" s="545"/>
      <c r="U17" s="545"/>
      <c r="V17" s="545"/>
      <c r="W17" s="546"/>
      <c r="X17" s="545"/>
      <c r="Y17" s="545"/>
      <c r="Z17" s="546"/>
      <c r="AA17" s="546"/>
      <c r="AB17" s="546"/>
      <c r="AC17" s="546"/>
      <c r="AD17" s="546"/>
      <c r="AE17" s="546"/>
      <c r="AF17" s="546"/>
      <c r="AG17" s="545"/>
      <c r="AH17" s="545"/>
      <c r="AI17" s="545"/>
      <c r="AJ17" s="545"/>
      <c r="AK17" s="545"/>
      <c r="AL17" s="545"/>
      <c r="AM17" s="545"/>
      <c r="AN17" s="547"/>
    </row>
    <row r="18" spans="2:40" s="527" customFormat="1" ht="16.5" customHeight="1" thickBot="1" thickTop="1">
      <c r="B18" s="544"/>
      <c r="C18" s="545"/>
      <c r="D18" s="545"/>
      <c r="E18" s="545"/>
      <c r="F18" s="557" t="s">
        <v>256</v>
      </c>
      <c r="G18" s="558">
        <v>222.578</v>
      </c>
      <c r="H18" s="559"/>
      <c r="I18" s="545"/>
      <c r="J18" s="545"/>
      <c r="K18" s="545"/>
      <c r="L18" s="560"/>
      <c r="M18" s="545"/>
      <c r="N18" s="546"/>
      <c r="O18" s="545"/>
      <c r="P18" s="545"/>
      <c r="Q18" s="545"/>
      <c r="R18" s="545"/>
      <c r="S18" s="545"/>
      <c r="T18" s="561" t="s">
        <v>257</v>
      </c>
      <c r="U18" s="562"/>
      <c r="V18" s="563"/>
      <c r="W18" s="546"/>
      <c r="X18" s="545"/>
      <c r="Y18" s="545"/>
      <c r="Z18" s="546"/>
      <c r="AA18" s="546"/>
      <c r="AB18" s="546"/>
      <c r="AC18" s="546"/>
      <c r="AD18" s="546"/>
      <c r="AE18" s="546"/>
      <c r="AF18" s="546"/>
      <c r="AG18" s="545"/>
      <c r="AH18" s="545"/>
      <c r="AI18" s="564" t="s">
        <v>257</v>
      </c>
      <c r="AJ18" s="565"/>
      <c r="AK18" s="566"/>
      <c r="AL18" s="545"/>
      <c r="AM18" s="545"/>
      <c r="AN18" s="547"/>
    </row>
    <row r="19" spans="2:40" s="527" customFormat="1" ht="16.5" customHeight="1" thickBot="1" thickTop="1">
      <c r="B19" s="544"/>
      <c r="C19" s="545"/>
      <c r="D19" s="545"/>
      <c r="E19" s="545"/>
      <c r="F19" s="557" t="s">
        <v>258</v>
      </c>
      <c r="G19" s="558">
        <v>212.687</v>
      </c>
      <c r="H19" s="559"/>
      <c r="I19" s="545"/>
      <c r="J19" s="545"/>
      <c r="K19" s="545"/>
      <c r="L19" s="560"/>
      <c r="M19" s="567"/>
      <c r="N19" s="546"/>
      <c r="O19" s="545"/>
      <c r="P19" s="545"/>
      <c r="Q19" s="545"/>
      <c r="R19" s="545"/>
      <c r="S19" s="545"/>
      <c r="T19" s="568" t="s">
        <v>259</v>
      </c>
      <c r="U19" s="569"/>
      <c r="V19" s="570"/>
      <c r="W19" s="526"/>
      <c r="X19" s="571"/>
      <c r="Z19" s="526"/>
      <c r="AA19" s="526"/>
      <c r="AB19" s="526"/>
      <c r="AC19" s="526"/>
      <c r="AD19" s="526"/>
      <c r="AE19" s="526"/>
      <c r="AF19" s="526"/>
      <c r="AI19" s="572" t="s">
        <v>260</v>
      </c>
      <c r="AJ19" s="573"/>
      <c r="AK19" s="574"/>
      <c r="AL19" s="575"/>
      <c r="AM19" s="575"/>
      <c r="AN19" s="576"/>
    </row>
    <row r="20" spans="2:40" s="527" customFormat="1" ht="16.5" customHeight="1" thickBot="1" thickTop="1">
      <c r="B20" s="544"/>
      <c r="C20" s="545"/>
      <c r="D20" s="545"/>
      <c r="E20" s="545"/>
      <c r="F20" s="557" t="s">
        <v>261</v>
      </c>
      <c r="G20" s="558">
        <v>212.687</v>
      </c>
      <c r="H20" s="559"/>
      <c r="I20" s="545"/>
      <c r="J20" s="545"/>
      <c r="K20" s="545"/>
      <c r="L20" s="560"/>
      <c r="M20" s="567"/>
      <c r="N20" s="546"/>
      <c r="O20" s="545"/>
      <c r="P20" s="545"/>
      <c r="Q20" s="545"/>
      <c r="R20" s="545"/>
      <c r="S20" s="545"/>
      <c r="T20" s="568"/>
      <c r="U20" s="569"/>
      <c r="V20" s="570"/>
      <c r="W20" s="526"/>
      <c r="X20" s="571"/>
      <c r="Z20" s="526"/>
      <c r="AA20" s="526"/>
      <c r="AB20" s="526"/>
      <c r="AC20" s="526"/>
      <c r="AD20" s="526"/>
      <c r="AE20" s="526"/>
      <c r="AF20" s="526"/>
      <c r="AI20" s="572"/>
      <c r="AJ20" s="573"/>
      <c r="AK20" s="574"/>
      <c r="AL20" s="575"/>
      <c r="AM20" s="575"/>
      <c r="AN20" s="576"/>
    </row>
    <row r="21" spans="2:40" s="527" customFormat="1" ht="16.5" customHeight="1" thickBot="1" thickTop="1">
      <c r="B21" s="544"/>
      <c r="C21" s="545"/>
      <c r="D21" s="545"/>
      <c r="E21" s="545"/>
      <c r="F21" s="545"/>
      <c r="G21" s="577"/>
      <c r="H21" s="545"/>
      <c r="I21" s="545"/>
      <c r="J21" s="545"/>
      <c r="K21" s="545"/>
      <c r="L21" s="545"/>
      <c r="M21" s="545"/>
      <c r="N21" s="546"/>
      <c r="O21" s="545"/>
      <c r="P21" s="578"/>
      <c r="Q21" s="545"/>
      <c r="R21" s="545"/>
      <c r="S21" s="545"/>
      <c r="T21" s="579" t="s">
        <v>262</v>
      </c>
      <c r="U21" s="580"/>
      <c r="V21" s="581"/>
      <c r="W21" s="546"/>
      <c r="X21" s="545"/>
      <c r="Y21" s="545"/>
      <c r="Z21" s="546"/>
      <c r="AA21" s="546"/>
      <c r="AB21" s="546"/>
      <c r="AC21" s="546"/>
      <c r="AD21" s="546"/>
      <c r="AE21" s="546"/>
      <c r="AF21" s="546"/>
      <c r="AG21" s="545"/>
      <c r="AH21" s="545"/>
      <c r="AI21" s="582" t="s">
        <v>263</v>
      </c>
      <c r="AJ21" s="583"/>
      <c r="AK21" s="584"/>
      <c r="AL21" s="545"/>
      <c r="AM21" s="545"/>
      <c r="AN21" s="547"/>
    </row>
    <row r="22" spans="2:40" s="527" customFormat="1" ht="40.5" customHeight="1" thickBot="1" thickTop="1">
      <c r="B22" s="544"/>
      <c r="C22" s="545"/>
      <c r="D22" s="585" t="s">
        <v>264</v>
      </c>
      <c r="E22" s="586" t="s">
        <v>13</v>
      </c>
      <c r="F22" s="587" t="s">
        <v>1</v>
      </c>
      <c r="G22" s="588" t="s">
        <v>14</v>
      </c>
      <c r="H22" s="589" t="s">
        <v>15</v>
      </c>
      <c r="I22" s="590" t="s">
        <v>265</v>
      </c>
      <c r="J22" s="587" t="s">
        <v>266</v>
      </c>
      <c r="K22" s="591" t="s">
        <v>16</v>
      </c>
      <c r="L22" s="587" t="s">
        <v>17</v>
      </c>
      <c r="M22" s="592" t="s">
        <v>18</v>
      </c>
      <c r="N22" s="593" t="s">
        <v>267</v>
      </c>
      <c r="O22" s="594" t="s">
        <v>268</v>
      </c>
      <c r="P22" s="595" t="s">
        <v>54</v>
      </c>
      <c r="Q22" s="589" t="s">
        <v>269</v>
      </c>
      <c r="R22" s="592" t="s">
        <v>270</v>
      </c>
      <c r="S22" s="587" t="s">
        <v>40</v>
      </c>
      <c r="T22" s="596" t="s">
        <v>271</v>
      </c>
      <c r="U22" s="597"/>
      <c r="V22" s="598"/>
      <c r="W22" s="599" t="s">
        <v>272</v>
      </c>
      <c r="X22" s="600" t="s">
        <v>29</v>
      </c>
      <c r="Y22" s="600" t="s">
        <v>273</v>
      </c>
      <c r="Z22" s="599" t="s">
        <v>274</v>
      </c>
      <c r="AA22" s="599" t="s">
        <v>275</v>
      </c>
      <c r="AB22" s="599" t="s">
        <v>276</v>
      </c>
      <c r="AC22" s="599" t="s">
        <v>277</v>
      </c>
      <c r="AD22" s="599" t="s">
        <v>278</v>
      </c>
      <c r="AE22" s="599" t="s">
        <v>279</v>
      </c>
      <c r="AF22" s="601" t="s">
        <v>280</v>
      </c>
      <c r="AG22" s="601" t="s">
        <v>281</v>
      </c>
      <c r="AH22" s="601" t="s">
        <v>282</v>
      </c>
      <c r="AI22" s="596" t="s">
        <v>271</v>
      </c>
      <c r="AJ22" s="597"/>
      <c r="AK22" s="598"/>
      <c r="AL22" s="599" t="s">
        <v>283</v>
      </c>
      <c r="AM22" s="600" t="s">
        <v>30</v>
      </c>
      <c r="AN22" s="602"/>
    </row>
    <row r="23" spans="2:40" s="527" customFormat="1" ht="16.5" customHeight="1" hidden="1">
      <c r="B23" s="544"/>
      <c r="C23" s="545"/>
      <c r="D23" s="545"/>
      <c r="E23" s="603"/>
      <c r="F23" s="604"/>
      <c r="G23" s="604"/>
      <c r="H23" s="603"/>
      <c r="I23" s="603"/>
      <c r="J23" s="605"/>
      <c r="K23" s="606"/>
      <c r="L23" s="603"/>
      <c r="M23" s="603"/>
      <c r="N23" s="607"/>
      <c r="O23" s="608"/>
      <c r="P23" s="603"/>
      <c r="Q23" s="603"/>
      <c r="R23" s="603"/>
      <c r="S23" s="603"/>
      <c r="T23" s="609"/>
      <c r="U23" s="610"/>
      <c r="V23" s="611"/>
      <c r="W23" s="612"/>
      <c r="X23" s="603"/>
      <c r="Y23" s="613"/>
      <c r="Z23" s="614"/>
      <c r="AA23" s="613"/>
      <c r="AB23" s="613"/>
      <c r="AC23" s="614"/>
      <c r="AD23" s="614"/>
      <c r="AE23" s="615"/>
      <c r="AF23" s="616"/>
      <c r="AG23" s="616"/>
      <c r="AH23" s="616"/>
      <c r="AI23" s="609"/>
      <c r="AJ23" s="610"/>
      <c r="AK23" s="611"/>
      <c r="AL23" s="614"/>
      <c r="AM23" s="613"/>
      <c r="AN23" s="547"/>
    </row>
    <row r="24" spans="2:40" s="527" customFormat="1" ht="16.5" thickBot="1" thickTop="1">
      <c r="B24" s="544"/>
      <c r="C24" s="617"/>
      <c r="D24" s="618"/>
      <c r="E24" s="619"/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1"/>
      <c r="Q24" s="620"/>
      <c r="R24" s="620"/>
      <c r="S24" s="620"/>
      <c r="T24" s="622"/>
      <c r="U24" s="622"/>
      <c r="V24" s="623"/>
      <c r="W24" s="624"/>
      <c r="X24" s="620"/>
      <c r="Y24" s="625"/>
      <c r="Z24" s="624"/>
      <c r="AA24" s="625"/>
      <c r="AB24" s="624"/>
      <c r="AC24" s="624"/>
      <c r="AD24" s="624"/>
      <c r="AE24" s="626"/>
      <c r="AF24" s="624"/>
      <c r="AG24" s="624"/>
      <c r="AH24" s="624"/>
      <c r="AI24" s="622"/>
      <c r="AJ24" s="622"/>
      <c r="AK24" s="623"/>
      <c r="AL24" s="624"/>
      <c r="AM24" s="627"/>
      <c r="AN24" s="547"/>
    </row>
    <row r="25" spans="2:40" s="526" customFormat="1" ht="18" customHeight="1" thickBot="1">
      <c r="B25" s="628"/>
      <c r="C25" s="771" t="s">
        <v>284</v>
      </c>
      <c r="D25" s="629"/>
      <c r="E25" s="630">
        <v>61</v>
      </c>
      <c r="F25" s="630" t="s">
        <v>115</v>
      </c>
      <c r="G25" s="630">
        <v>132</v>
      </c>
      <c r="H25" s="631">
        <v>149.1999969482422</v>
      </c>
      <c r="I25" s="632" t="s">
        <v>74</v>
      </c>
      <c r="J25" s="633">
        <f>IF(I25="A",150,IF(I25="B",50,10))</f>
        <v>10</v>
      </c>
      <c r="K25" s="634">
        <f>IF(G25=220,$G$18,IF(G25=132,$G$19,$G$20)*IF(H25&gt;25,H25,25)/100)</f>
        <v>317.3289975093079</v>
      </c>
      <c r="L25" s="635">
        <v>41267.58541666667</v>
      </c>
      <c r="M25" s="635">
        <v>41272.76458333333</v>
      </c>
      <c r="N25" s="636">
        <f aca="true" t="shared" si="0" ref="N25:N31">IF(F25="","",(M25-L25)*24)</f>
        <v>124.29999999987194</v>
      </c>
      <c r="O25" s="637">
        <f aca="true" t="shared" si="1" ref="O25:O31">IF(F25="","",ROUND((M25-L25)*24*60,0))</f>
        <v>7458</v>
      </c>
      <c r="P25" s="638" t="s">
        <v>75</v>
      </c>
      <c r="Q25" s="639" t="str">
        <f aca="true" t="shared" si="2" ref="Q25:Q31">IF(F25="","","--")</f>
        <v>--</v>
      </c>
      <c r="R25" s="640" t="str">
        <f aca="true" t="shared" si="3" ref="R25:R31">IF(F25="","","NO")</f>
        <v>NO</v>
      </c>
      <c r="S25" s="640" t="str">
        <f aca="true" t="shared" si="4" ref="S25:S31">IF(F25="","",IF(OR(P25="P",P25="RP"),"--","NO"))</f>
        <v>NO</v>
      </c>
      <c r="T25" s="641">
        <f>IF(AND(P25="F",S25="NO"),K25*J25*IF(R25="SI",1.2,1),"--")</f>
        <v>3173.289975093079</v>
      </c>
      <c r="U25" s="641">
        <f>IF(AND(P25="F",AF25&gt;=10),K25*J25*IF(R25="SI",1.2,1)*IF(AF25&lt;=180,ROUND(AF25/60,2),3),"--")</f>
        <v>9519.869925279238</v>
      </c>
      <c r="V25" s="642">
        <f>IF(AND(P25="F",AF25&gt;180),(ROUND(AF25/60,2)-3)*K25*J25*0.1*IF(R25="SI",1.2,1),"--")</f>
        <v>41697.03027272306</v>
      </c>
      <c r="W25" s="643">
        <f aca="true" t="shared" si="5" ref="W25:W31">IF(F25="","",SUM(T25:V25)*IF(X25="SI",1,2))</f>
        <v>54390.190173095376</v>
      </c>
      <c r="X25" s="644" t="str">
        <f aca="true" t="shared" si="6" ref="X25:X31">IF(F25="","","SI")</f>
        <v>SI</v>
      </c>
      <c r="Y25" s="645">
        <v>4</v>
      </c>
      <c r="Z25" s="646">
        <f>IF(F25="","",IF(Y25&lt;=10,48,72))</f>
        <v>48</v>
      </c>
      <c r="AA25" s="647">
        <v>0</v>
      </c>
      <c r="AB25" s="648">
        <f>IF(F25="","",0.9)</f>
        <v>0.9</v>
      </c>
      <c r="AC25" s="649">
        <f>IF(F25="","",Z25+AA25)</f>
        <v>48</v>
      </c>
      <c r="AD25" s="643">
        <f>IF(F25="","",AB25*24*Y25)</f>
        <v>86.4</v>
      </c>
      <c r="AE25" s="650">
        <f aca="true" t="shared" si="7" ref="AE25:AE31">IF(F25="","",AD25+AC25)</f>
        <v>134.4</v>
      </c>
      <c r="AF25" s="651">
        <f>AE25*60</f>
        <v>8064</v>
      </c>
      <c r="AG25" s="652">
        <f>LOG(W25)/LOG(AD25)</f>
        <v>2.4453844418625352</v>
      </c>
      <c r="AH25" s="652">
        <f>1/(2*Y25)</f>
        <v>0.125</v>
      </c>
      <c r="AI25" s="641">
        <f>IF(AND(P25="F",S25="NO"),K25*J25*IF(R25="SI",1.2,1),"--")</f>
        <v>3173.289975093079</v>
      </c>
      <c r="AJ25" s="641">
        <f>IF(AND(P25="F",O25&gt;=10),K25*J25*IF(R25="SI",1.2,1)*IF(O25&lt;=180,ROUND(O25/60,2),3),"--")</f>
        <v>9519.869925279238</v>
      </c>
      <c r="AK25" s="642">
        <f>IF(AND(P25="F",O25&gt;180),(ROUND(O25/60,2)-3)*K25*J25*0.1*IF(R25="SI",1.2,1),"--")</f>
        <v>38492.007397879046</v>
      </c>
      <c r="AL25" s="643">
        <f aca="true" t="shared" si="8" ref="AL25:AL31">IF(F25="","",SUM(AI25:AK25)*IF(X25="SI",1,2))</f>
        <v>51185.16729825136</v>
      </c>
      <c r="AM25" s="653">
        <f aca="true" t="shared" si="9" ref="AM25:AM31">IF(F25=""," ",IF(N25&lt;=AC25,0,(IF(N25&gt;AE25,AL25,(N25-AC25)^AG25*1/(1-AH25*(N25-AE25))))))</f>
        <v>17738.121635531043</v>
      </c>
      <c r="AN25" s="654"/>
    </row>
    <row r="26" spans="2:40" s="526" customFormat="1" ht="20.25" customHeight="1" thickBot="1">
      <c r="B26" s="628"/>
      <c r="C26" s="772"/>
      <c r="D26" s="655"/>
      <c r="E26" s="656"/>
      <c r="F26" s="657"/>
      <c r="G26" s="658"/>
      <c r="H26" s="659"/>
      <c r="I26" s="658"/>
      <c r="J26" s="660"/>
      <c r="K26" s="634"/>
      <c r="L26" s="661"/>
      <c r="M26" s="661"/>
      <c r="N26" s="662">
        <f t="shared" si="0"/>
      </c>
      <c r="O26" s="663">
        <f t="shared" si="1"/>
      </c>
      <c r="P26" s="664"/>
      <c r="Q26" s="665">
        <f t="shared" si="2"/>
      </c>
      <c r="R26" s="666">
        <f t="shared" si="3"/>
      </c>
      <c r="S26" s="666">
        <f t="shared" si="4"/>
      </c>
      <c r="T26" s="667"/>
      <c r="U26" s="667"/>
      <c r="V26" s="668"/>
      <c r="W26" s="669">
        <f t="shared" si="5"/>
      </c>
      <c r="X26" s="668">
        <f t="shared" si="6"/>
      </c>
      <c r="Y26" s="670"/>
      <c r="Z26" s="671">
        <f>IF(F26="","",IF(#REF!&lt;=#REF!,0,IF(Y26&lt;=10,48,72)))</f>
      </c>
      <c r="AA26" s="672"/>
      <c r="AB26" s="673">
        <f>IF(F26="","",IF(#REF!&lt;=#REF!,1,0.9))</f>
      </c>
      <c r="AC26" s="669">
        <f>IF(F26="","",IF(#REF!&lt;=#REF!,#REF!+AA26,Z26+AA26))</f>
      </c>
      <c r="AD26" s="674">
        <f>IF(F26="","",IF(#REF!&lt;=#REF!,AB26*Y26*24,AB26*Y26*24))</f>
      </c>
      <c r="AE26" s="669">
        <f t="shared" si="7"/>
      </c>
      <c r="AF26" s="669"/>
      <c r="AG26" s="675"/>
      <c r="AH26" s="675"/>
      <c r="AI26" s="641"/>
      <c r="AJ26" s="641"/>
      <c r="AK26" s="642"/>
      <c r="AL26" s="669">
        <f t="shared" si="8"/>
      </c>
      <c r="AM26" s="669" t="str">
        <f t="shared" si="9"/>
        <v> </v>
      </c>
      <c r="AN26" s="654"/>
    </row>
    <row r="27" spans="2:40" s="546" customFormat="1" ht="22.5" customHeight="1" thickBot="1">
      <c r="B27" s="628"/>
      <c r="C27" s="773"/>
      <c r="D27" s="676"/>
      <c r="E27" s="677"/>
      <c r="F27" s="678"/>
      <c r="G27" s="679"/>
      <c r="H27" s="680"/>
      <c r="I27" s="679"/>
      <c r="J27" s="681"/>
      <c r="K27" s="682"/>
      <c r="L27" s="683"/>
      <c r="M27" s="683"/>
      <c r="N27" s="684">
        <f t="shared" si="0"/>
      </c>
      <c r="O27" s="685">
        <f t="shared" si="1"/>
      </c>
      <c r="P27" s="686"/>
      <c r="Q27" s="687">
        <f t="shared" si="2"/>
      </c>
      <c r="R27" s="688">
        <f t="shared" si="3"/>
      </c>
      <c r="S27" s="688">
        <f t="shared" si="4"/>
      </c>
      <c r="T27" s="689"/>
      <c r="U27" s="689"/>
      <c r="V27" s="690"/>
      <c r="W27" s="691">
        <f t="shared" si="5"/>
      </c>
      <c r="X27" s="690">
        <f t="shared" si="6"/>
      </c>
      <c r="Y27" s="692"/>
      <c r="Z27" s="693">
        <f>IF(F27="","",IF(N26&lt;=AE26,0,IF(Y27&lt;=10,48,72)))</f>
      </c>
      <c r="AA27" s="694"/>
      <c r="AB27" s="695">
        <f>IF(F27="","",IF(N26&lt;=AE26,1,0.9))</f>
      </c>
      <c r="AC27" s="691">
        <f>IF(F27="","",IF(N26&lt;=AE26,N26+AA27,Z27+AA27))</f>
      </c>
      <c r="AD27" s="696">
        <f>IF(F27="","",IF(N26&lt;=AE26,AB27*Y27*24,AB27*Y27*24))</f>
      </c>
      <c r="AE27" s="691">
        <f t="shared" si="7"/>
      </c>
      <c r="AF27" s="691"/>
      <c r="AG27" s="697"/>
      <c r="AH27" s="697"/>
      <c r="AI27" s="698"/>
      <c r="AJ27" s="698"/>
      <c r="AK27" s="699"/>
      <c r="AL27" s="691">
        <f t="shared" si="8"/>
      </c>
      <c r="AM27" s="691" t="str">
        <f t="shared" si="9"/>
        <v> </v>
      </c>
      <c r="AN27" s="654"/>
    </row>
    <row r="28" spans="2:40" s="526" customFormat="1" ht="16.5" customHeight="1" thickBot="1">
      <c r="B28" s="628"/>
      <c r="C28" s="771"/>
      <c r="D28" s="629"/>
      <c r="E28" s="700"/>
      <c r="F28" s="701"/>
      <c r="G28" s="702"/>
      <c r="H28" s="703"/>
      <c r="I28" s="702"/>
      <c r="J28" s="704"/>
      <c r="K28" s="634"/>
      <c r="L28" s="705"/>
      <c r="M28" s="706"/>
      <c r="N28" s="636">
        <f t="shared" si="0"/>
      </c>
      <c r="O28" s="637">
        <f t="shared" si="1"/>
      </c>
      <c r="P28" s="638"/>
      <c r="Q28" s="639">
        <f t="shared" si="2"/>
      </c>
      <c r="R28" s="640">
        <f t="shared" si="3"/>
      </c>
      <c r="S28" s="640">
        <f t="shared" si="4"/>
      </c>
      <c r="T28" s="641"/>
      <c r="U28" s="641"/>
      <c r="V28" s="642"/>
      <c r="W28" s="643">
        <f t="shared" si="5"/>
      </c>
      <c r="X28" s="642">
        <f t="shared" si="6"/>
      </c>
      <c r="Y28" s="645"/>
      <c r="Z28" s="707">
        <f>IF(F28="","",IF(Y28&lt;=10,48,72))</f>
      </c>
      <c r="AA28" s="708"/>
      <c r="AB28" s="709">
        <f>IF(F28="","",0.9)</f>
      </c>
      <c r="AC28" s="643">
        <f>IF(F28="","",Z28+AA28)</f>
      </c>
      <c r="AD28" s="643">
        <f>IF(F28="","",AB28*24*Y28)</f>
      </c>
      <c r="AE28" s="650">
        <f t="shared" si="7"/>
      </c>
      <c r="AF28" s="651"/>
      <c r="AG28" s="652"/>
      <c r="AH28" s="652"/>
      <c r="AI28" s="641"/>
      <c r="AJ28" s="641"/>
      <c r="AK28" s="642"/>
      <c r="AL28" s="643">
        <f t="shared" si="8"/>
      </c>
      <c r="AM28" s="653" t="str">
        <f t="shared" si="9"/>
        <v> </v>
      </c>
      <c r="AN28" s="654"/>
    </row>
    <row r="29" spans="2:40" s="526" customFormat="1" ht="16.5" customHeight="1" thickBot="1">
      <c r="B29" s="628"/>
      <c r="C29" s="772"/>
      <c r="D29" s="655"/>
      <c r="E29" s="656"/>
      <c r="F29" s="657"/>
      <c r="G29" s="658"/>
      <c r="H29" s="659"/>
      <c r="I29" s="658"/>
      <c r="J29" s="660"/>
      <c r="K29" s="634"/>
      <c r="L29" s="710"/>
      <c r="M29" s="711"/>
      <c r="N29" s="662">
        <f t="shared" si="0"/>
      </c>
      <c r="O29" s="663">
        <f t="shared" si="1"/>
      </c>
      <c r="P29" s="712"/>
      <c r="Q29" s="665">
        <f t="shared" si="2"/>
      </c>
      <c r="R29" s="666">
        <f t="shared" si="3"/>
      </c>
      <c r="S29" s="666">
        <f t="shared" si="4"/>
      </c>
      <c r="T29" s="667"/>
      <c r="U29" s="667"/>
      <c r="V29" s="668"/>
      <c r="W29" s="674">
        <f t="shared" si="5"/>
      </c>
      <c r="X29" s="668">
        <f t="shared" si="6"/>
      </c>
      <c r="Y29" s="713"/>
      <c r="Z29" s="671">
        <f>IF(F29="","",IF(N28&lt;=AE28,0,IF(Y29&lt;=10,48,72)))</f>
      </c>
      <c r="AA29" s="714"/>
      <c r="AB29" s="673">
        <f>IF(F29="","",IF(N28&lt;=AE28,1,0.9))</f>
      </c>
      <c r="AC29" s="674">
        <f>IF(F29="","",IF(N28&lt;=AE28,N28+AA29,Z29+AA29))</f>
      </c>
      <c r="AD29" s="674">
        <f>IF(F29="","",IF(N28&lt;=AE28,AB29*Y29*24,AB29*Y29*24))</f>
      </c>
      <c r="AE29" s="715">
        <f t="shared" si="7"/>
      </c>
      <c r="AF29" s="716"/>
      <c r="AG29" s="717"/>
      <c r="AH29" s="717"/>
      <c r="AI29" s="641"/>
      <c r="AJ29" s="641"/>
      <c r="AK29" s="642"/>
      <c r="AL29" s="674">
        <f t="shared" si="8"/>
      </c>
      <c r="AM29" s="718" t="str">
        <f t="shared" si="9"/>
        <v> </v>
      </c>
      <c r="AN29" s="654"/>
    </row>
    <row r="30" spans="2:40" s="526" customFormat="1" ht="16.5" customHeight="1" thickBot="1">
      <c r="B30" s="628"/>
      <c r="C30" s="772"/>
      <c r="D30" s="655"/>
      <c r="E30" s="656"/>
      <c r="F30" s="657"/>
      <c r="G30" s="658"/>
      <c r="H30" s="659"/>
      <c r="I30" s="658"/>
      <c r="J30" s="660"/>
      <c r="K30" s="634"/>
      <c r="L30" s="661"/>
      <c r="M30" s="661"/>
      <c r="N30" s="662">
        <f t="shared" si="0"/>
      </c>
      <c r="O30" s="663">
        <f t="shared" si="1"/>
      </c>
      <c r="P30" s="664"/>
      <c r="Q30" s="665">
        <f t="shared" si="2"/>
      </c>
      <c r="R30" s="666">
        <f t="shared" si="3"/>
      </c>
      <c r="S30" s="666">
        <f t="shared" si="4"/>
      </c>
      <c r="T30" s="667"/>
      <c r="U30" s="667"/>
      <c r="V30" s="668"/>
      <c r="W30" s="669">
        <f t="shared" si="5"/>
      </c>
      <c r="X30" s="668">
        <f t="shared" si="6"/>
      </c>
      <c r="Y30" s="670"/>
      <c r="Z30" s="719">
        <f>IF(F30="","",IF(N29&lt;=AE29,0,IF(Y30&lt;=10,48,72)))</f>
      </c>
      <c r="AA30" s="672"/>
      <c r="AB30" s="673">
        <f>IF(F30="","",IF(N29&lt;=AE29,1,0.9))</f>
      </c>
      <c r="AC30" s="669">
        <f>IF(F30="","",IF(N29&lt;=AE29,N29+AA30,Z30+AA30))</f>
      </c>
      <c r="AD30" s="674">
        <f>IF(F30="","",IF(N29&lt;=AE29,AB30*Y30*24,AB30*Y30*24))</f>
      </c>
      <c r="AE30" s="669">
        <f t="shared" si="7"/>
      </c>
      <c r="AF30" s="669"/>
      <c r="AG30" s="675"/>
      <c r="AH30" s="675"/>
      <c r="AI30" s="641"/>
      <c r="AJ30" s="641"/>
      <c r="AK30" s="642"/>
      <c r="AL30" s="669">
        <f t="shared" si="8"/>
      </c>
      <c r="AM30" s="669" t="str">
        <f t="shared" si="9"/>
        <v> </v>
      </c>
      <c r="AN30" s="654"/>
    </row>
    <row r="31" spans="2:40" s="546" customFormat="1" ht="16.5" customHeight="1" thickBot="1">
      <c r="B31" s="628"/>
      <c r="C31" s="773"/>
      <c r="D31" s="676"/>
      <c r="E31" s="677"/>
      <c r="F31" s="678"/>
      <c r="G31" s="679"/>
      <c r="H31" s="680"/>
      <c r="I31" s="679"/>
      <c r="J31" s="681"/>
      <c r="K31" s="634"/>
      <c r="L31" s="683"/>
      <c r="M31" s="683"/>
      <c r="N31" s="684">
        <f t="shared" si="0"/>
      </c>
      <c r="O31" s="685">
        <f t="shared" si="1"/>
      </c>
      <c r="P31" s="686"/>
      <c r="Q31" s="687">
        <f t="shared" si="2"/>
      </c>
      <c r="R31" s="688">
        <f t="shared" si="3"/>
      </c>
      <c r="S31" s="688">
        <f t="shared" si="4"/>
      </c>
      <c r="T31" s="689"/>
      <c r="U31" s="689"/>
      <c r="V31" s="690"/>
      <c r="W31" s="691">
        <f t="shared" si="5"/>
      </c>
      <c r="X31" s="690">
        <f t="shared" si="6"/>
      </c>
      <c r="Y31" s="692"/>
      <c r="Z31" s="693">
        <f>IF(F31="","",IF(N30&lt;=AE30,0,IF(Y31&lt;=10,48,72)))</f>
      </c>
      <c r="AA31" s="694"/>
      <c r="AB31" s="720">
        <f>IF(F31="","",IF(N30&lt;=AE30,1,0.9))</f>
      </c>
      <c r="AC31" s="691">
        <f>IF(F31="","",IF(N30&lt;=AE30,N30+AA31,Z31+AA31))</f>
      </c>
      <c r="AD31" s="696">
        <f>IF(F31="","",IF(N30&lt;=AE30,AB31*Y31*24,AB31*Y31*24))</f>
      </c>
      <c r="AE31" s="691">
        <f t="shared" si="7"/>
      </c>
      <c r="AF31" s="691"/>
      <c r="AG31" s="697"/>
      <c r="AH31" s="697"/>
      <c r="AI31" s="641"/>
      <c r="AJ31" s="641"/>
      <c r="AK31" s="642"/>
      <c r="AL31" s="691">
        <f t="shared" si="8"/>
      </c>
      <c r="AM31" s="691" t="str">
        <f t="shared" si="9"/>
        <v> </v>
      </c>
      <c r="AN31" s="654"/>
    </row>
    <row r="32" spans="1:41" s="526" customFormat="1" ht="16.5" customHeight="1" thickBot="1">
      <c r="A32" s="527"/>
      <c r="B32" s="544"/>
      <c r="C32" s="721"/>
      <c r="D32" s="722"/>
      <c r="E32" s="723"/>
      <c r="F32" s="724"/>
      <c r="G32" s="725"/>
      <c r="H32" s="724"/>
      <c r="I32" s="726"/>
      <c r="J32" s="727"/>
      <c r="K32" s="728"/>
      <c r="L32" s="729"/>
      <c r="M32" s="729"/>
      <c r="N32" s="730"/>
      <c r="O32" s="730"/>
      <c r="P32" s="729"/>
      <c r="Q32" s="731"/>
      <c r="R32" s="730"/>
      <c r="S32" s="730"/>
      <c r="T32" s="732"/>
      <c r="U32" s="732"/>
      <c r="V32" s="733"/>
      <c r="W32" s="734"/>
      <c r="X32" s="735"/>
      <c r="Y32" s="736"/>
      <c r="Z32" s="737"/>
      <c r="AA32" s="738"/>
      <c r="AB32" s="739"/>
      <c r="AC32" s="737"/>
      <c r="AD32" s="737"/>
      <c r="AE32" s="737"/>
      <c r="AF32" s="740"/>
      <c r="AG32" s="737"/>
      <c r="AH32" s="737"/>
      <c r="AI32" s="741"/>
      <c r="AJ32" s="741"/>
      <c r="AK32" s="742"/>
      <c r="AL32" s="737"/>
      <c r="AM32" s="743"/>
      <c r="AN32" s="654"/>
      <c r="AO32" s="527"/>
    </row>
    <row r="33" spans="2:40" s="527" customFormat="1" ht="16.5" customHeight="1" thickBot="1" thickTop="1">
      <c r="B33" s="544"/>
      <c r="C33" s="545"/>
      <c r="D33" s="545"/>
      <c r="E33" s="744"/>
      <c r="F33" s="745"/>
      <c r="G33" s="746"/>
      <c r="H33" s="577"/>
      <c r="I33" s="747"/>
      <c r="J33" s="577"/>
      <c r="K33" s="748"/>
      <c r="L33" s="748"/>
      <c r="M33" s="748"/>
      <c r="N33" s="749"/>
      <c r="O33" s="748"/>
      <c r="P33" s="748"/>
      <c r="Q33" s="750"/>
      <c r="R33" s="748"/>
      <c r="S33" s="748"/>
      <c r="T33" s="751">
        <f>SUM(T23:T32)</f>
        <v>3173.289975093079</v>
      </c>
      <c r="U33" s="751">
        <f>SUM(U23:U32)</f>
        <v>9519.869925279238</v>
      </c>
      <c r="V33" s="751">
        <f>SUM(V23:V32)</f>
        <v>41697.03027272306</v>
      </c>
      <c r="W33" s="752"/>
      <c r="X33" s="753"/>
      <c r="Y33" s="752"/>
      <c r="Z33" s="752"/>
      <c r="AA33" s="752"/>
      <c r="AB33" s="752"/>
      <c r="AC33" s="752"/>
      <c r="AD33" s="752"/>
      <c r="AE33" s="752"/>
      <c r="AF33" s="752"/>
      <c r="AG33" s="752"/>
      <c r="AH33" s="752"/>
      <c r="AI33" s="751">
        <f>SUM(AI23:AI32)</f>
        <v>3173.289975093079</v>
      </c>
      <c r="AJ33" s="751">
        <f>SUM(AJ23:AJ32)</f>
        <v>9519.869925279238</v>
      </c>
      <c r="AK33" s="751">
        <f>SUM(AK23:AK32)</f>
        <v>38492.007397879046</v>
      </c>
      <c r="AL33" s="752"/>
      <c r="AM33" s="754">
        <f>ROUND(SUM(AM23:AM32),2)</f>
        <v>17738.12</v>
      </c>
      <c r="AN33" s="654"/>
    </row>
    <row r="34" spans="2:40" ht="13.5" thickTop="1">
      <c r="B34" s="755"/>
      <c r="C34" s="756"/>
      <c r="D34" s="756"/>
      <c r="E34" s="757" t="s">
        <v>285</v>
      </c>
      <c r="F34" s="758" t="s">
        <v>286</v>
      </c>
      <c r="AN34" s="761"/>
    </row>
    <row r="35" spans="2:40" ht="12.75">
      <c r="B35" s="755"/>
      <c r="C35" s="756"/>
      <c r="D35" s="756"/>
      <c r="E35" s="757" t="s">
        <v>287</v>
      </c>
      <c r="F35" s="758" t="s">
        <v>288</v>
      </c>
      <c r="AN35" s="761"/>
    </row>
    <row r="36" spans="2:40" ht="12.75">
      <c r="B36" s="755"/>
      <c r="C36" s="756"/>
      <c r="D36" s="756"/>
      <c r="E36" s="758" t="s">
        <v>289</v>
      </c>
      <c r="F36" s="758" t="s">
        <v>290</v>
      </c>
      <c r="AN36" s="761"/>
    </row>
    <row r="37" spans="2:40" ht="12.75">
      <c r="B37" s="755"/>
      <c r="C37" s="756"/>
      <c r="D37" s="756"/>
      <c r="E37" s="758" t="s">
        <v>291</v>
      </c>
      <c r="F37" s="758" t="s">
        <v>292</v>
      </c>
      <c r="AN37" s="761"/>
    </row>
    <row r="38" spans="2:40" s="527" customFormat="1" ht="16.5" customHeight="1" thickBot="1">
      <c r="B38" s="762"/>
      <c r="C38" s="763"/>
      <c r="D38" s="763"/>
      <c r="E38" s="764"/>
      <c r="F38" s="764"/>
      <c r="G38" s="764"/>
      <c r="H38" s="764"/>
      <c r="I38" s="764"/>
      <c r="J38" s="764"/>
      <c r="K38" s="764"/>
      <c r="L38" s="764"/>
      <c r="M38" s="764"/>
      <c r="N38" s="765"/>
      <c r="O38" s="764"/>
      <c r="P38" s="764"/>
      <c r="Q38" s="764"/>
      <c r="R38" s="764"/>
      <c r="S38" s="764"/>
      <c r="T38" s="764"/>
      <c r="U38" s="764"/>
      <c r="V38" s="764"/>
      <c r="W38" s="765"/>
      <c r="X38" s="764"/>
      <c r="Y38" s="764"/>
      <c r="Z38" s="765"/>
      <c r="AA38" s="765"/>
      <c r="AB38" s="765"/>
      <c r="AC38" s="765"/>
      <c r="AD38" s="765"/>
      <c r="AE38" s="765"/>
      <c r="AF38" s="765"/>
      <c r="AG38" s="764"/>
      <c r="AH38" s="764"/>
      <c r="AI38" s="764"/>
      <c r="AJ38" s="764"/>
      <c r="AK38" s="764"/>
      <c r="AL38" s="764"/>
      <c r="AM38" s="764"/>
      <c r="AN38" s="766"/>
    </row>
    <row r="39" spans="2:40" ht="16.5" customHeight="1" thickTop="1">
      <c r="B39" s="756"/>
      <c r="C39" s="756"/>
      <c r="D39" s="756"/>
      <c r="AN39" s="756"/>
    </row>
    <row r="40" spans="6:15" ht="15.75">
      <c r="F40" s="767"/>
      <c r="G40" s="767"/>
      <c r="H40" s="767"/>
      <c r="I40" s="767"/>
      <c r="J40" s="767"/>
      <c r="K40" s="767"/>
      <c r="L40" s="767"/>
      <c r="M40" s="767"/>
      <c r="N40" s="768"/>
      <c r="O40" s="767"/>
    </row>
    <row r="41" spans="6:15" ht="15.75">
      <c r="F41" s="767"/>
      <c r="G41" s="767"/>
      <c r="H41" s="767"/>
      <c r="I41" s="767"/>
      <c r="J41" s="767"/>
      <c r="K41" s="767"/>
      <c r="L41" s="767"/>
      <c r="M41" s="767"/>
      <c r="N41" s="768"/>
      <c r="O41" s="767"/>
    </row>
    <row r="42" spans="6:15" ht="15.75">
      <c r="F42" s="767"/>
      <c r="G42" s="767"/>
      <c r="H42" s="767"/>
      <c r="I42" s="767"/>
      <c r="J42" s="767"/>
      <c r="K42" s="767"/>
      <c r="L42" s="767"/>
      <c r="M42" s="767"/>
      <c r="N42" s="768"/>
      <c r="O42" s="767"/>
    </row>
    <row r="43" spans="6:15" ht="15.75">
      <c r="F43" s="767"/>
      <c r="G43" s="767"/>
      <c r="H43" s="767"/>
      <c r="I43" s="767"/>
      <c r="J43" s="767"/>
      <c r="K43" s="767"/>
      <c r="L43" s="767"/>
      <c r="M43" s="767"/>
      <c r="N43" s="768"/>
      <c r="O43" s="767"/>
    </row>
  </sheetData>
  <sheetProtection/>
  <mergeCells count="2">
    <mergeCell ref="C25:C27"/>
    <mergeCell ref="C28:C31"/>
  </mergeCells>
  <printOptions/>
  <pageMargins left="0.3937007874015748" right="0.1968503937007874" top="0.7874015748031497" bottom="1.42" header="0.5118110236220472" footer="0.5118110236220472"/>
  <pageSetup fitToHeight="1" fitToWidth="1" horizontalDpi="600" verticalDpi="600" orientation="landscape" paperSize="9" scale="50" r:id="rId4"/>
  <headerFooter alignWithMargins="0">
    <oddFooter>&amp;L&amp;F-&amp;A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="70" zoomScaleNormal="70" zoomScalePageLayoutView="0" workbookViewId="0" topLeftCell="H13">
      <selection activeCell="AE31" sqref="AE31"/>
    </sheetView>
  </sheetViews>
  <sheetFormatPr defaultColWidth="11.421875" defaultRowHeight="12.75"/>
  <cols>
    <col min="1" max="1" width="17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8.140625" style="5" hidden="1" customWidth="1"/>
    <col min="11" max="12" width="15.7109375" style="5" customWidth="1"/>
    <col min="13" max="15" width="9.7109375" style="5" customWidth="1"/>
    <col min="16" max="17" width="7.7109375" style="5" customWidth="1"/>
    <col min="18" max="18" width="6.421875" style="5" customWidth="1"/>
    <col min="19" max="19" width="11.140625" style="5" hidden="1" customWidth="1"/>
    <col min="20" max="21" width="12.140625" style="5" hidden="1" customWidth="1"/>
    <col min="22" max="22" width="12.421875" style="5" hidden="1" customWidth="1"/>
    <col min="23" max="23" width="14.00390625" style="5" hidden="1" customWidth="1"/>
    <col min="24" max="24" width="10.57421875" style="5" hidden="1" customWidth="1"/>
    <col min="25" max="25" width="12.00390625" style="5" hidden="1" customWidth="1"/>
    <col min="26" max="26" width="13.57421875" style="5" hidden="1" customWidth="1"/>
    <col min="27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314"/>
    </row>
    <row r="2" spans="2:30" s="3" customFormat="1" ht="26.25">
      <c r="B2" s="16" t="str">
        <f>'TOT-1212'!B2</f>
        <v>ANEXO I al Memorándum  D.T.E.E.  N° 335 /2014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s="1" customFormat="1" ht="12" customHeight="1">
      <c r="B3" s="17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0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2:30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2:30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</row>
    <row r="8" spans="2:30" s="22" customFormat="1" ht="20.25">
      <c r="B8" s="152"/>
      <c r="C8" s="153"/>
      <c r="D8" s="153"/>
      <c r="E8" s="153"/>
      <c r="F8" s="154" t="s">
        <v>5</v>
      </c>
      <c r="H8" s="153"/>
      <c r="I8" s="155"/>
      <c r="J8" s="155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6"/>
    </row>
    <row r="9" spans="2:30" s="1" customFormat="1" ht="16.5" customHeight="1">
      <c r="B9" s="157"/>
      <c r="C9" s="2"/>
      <c r="D9" s="2"/>
      <c r="E9" s="2"/>
      <c r="F9" s="2"/>
      <c r="G9" s="2"/>
      <c r="H9" s="2"/>
      <c r="I9" s="1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8"/>
    </row>
    <row r="10" spans="2:30" s="22" customFormat="1" ht="20.25">
      <c r="B10" s="152"/>
      <c r="C10" s="153"/>
      <c r="D10" s="153"/>
      <c r="E10" s="153"/>
      <c r="F10" s="154" t="s">
        <v>31</v>
      </c>
      <c r="G10" s="153"/>
      <c r="H10" s="153"/>
      <c r="I10" s="155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6"/>
    </row>
    <row r="11" spans="2:30" s="1" customFormat="1" ht="16.5" customHeight="1">
      <c r="B11" s="157"/>
      <c r="C11" s="2"/>
      <c r="D11" s="2"/>
      <c r="E11" s="2"/>
      <c r="F11" s="159"/>
      <c r="G11" s="2"/>
      <c r="H11" s="2"/>
      <c r="I11" s="1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8"/>
    </row>
    <row r="12" spans="2:30" s="22" customFormat="1" ht="20.25">
      <c r="B12" s="152"/>
      <c r="C12" s="153"/>
      <c r="D12" s="153"/>
      <c r="E12" s="153"/>
      <c r="F12" s="160" t="s">
        <v>32</v>
      </c>
      <c r="G12" s="154"/>
      <c r="H12" s="155"/>
      <c r="I12" s="155"/>
      <c r="J12" s="161"/>
      <c r="K12" s="153"/>
      <c r="L12" s="155"/>
      <c r="M12" s="155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</row>
    <row r="13" spans="2:30" s="1" customFormat="1" ht="16.5" customHeight="1">
      <c r="B13" s="157"/>
      <c r="C13" s="2"/>
      <c r="D13" s="2"/>
      <c r="E13" s="2"/>
      <c r="F13" s="162"/>
      <c r="G13" s="162"/>
      <c r="H13" s="162"/>
      <c r="I13" s="163"/>
      <c r="J13" s="16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8"/>
    </row>
    <row r="14" spans="2:30" s="10" customFormat="1" ht="19.5">
      <c r="B14" s="165" t="str">
        <f>'TOT-1212'!B14</f>
        <v>Desde el 01 al 31 de diciembre de 2012</v>
      </c>
      <c r="C14" s="28"/>
      <c r="D14" s="28"/>
      <c r="E14" s="28"/>
      <c r="F14" s="166"/>
      <c r="G14" s="166"/>
      <c r="H14" s="166"/>
      <c r="I14" s="166"/>
      <c r="J14" s="166"/>
      <c r="K14" s="29"/>
      <c r="L14" s="29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</row>
    <row r="15" spans="2:30" s="1" customFormat="1" ht="16.5" customHeight="1" thickBot="1">
      <c r="B15" s="157"/>
      <c r="C15" s="2"/>
      <c r="D15" s="2"/>
      <c r="E15" s="2"/>
      <c r="F15" s="2"/>
      <c r="G15" s="2"/>
      <c r="H15" s="2"/>
      <c r="I15" s="168"/>
      <c r="J15" s="2"/>
      <c r="K15" s="1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8"/>
    </row>
    <row r="16" spans="2:30" s="1" customFormat="1" ht="16.5" customHeight="1" thickBot="1" thickTop="1">
      <c r="B16" s="157"/>
      <c r="C16" s="2"/>
      <c r="D16" s="2"/>
      <c r="E16" s="2"/>
      <c r="F16" s="170" t="s">
        <v>33</v>
      </c>
      <c r="G16" s="171"/>
      <c r="H16" s="172"/>
      <c r="I16" s="315">
        <v>0.743</v>
      </c>
      <c r="J16" s="14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8"/>
    </row>
    <row r="17" spans="2:30" s="1" customFormat="1" ht="16.5" customHeight="1" thickBot="1" thickTop="1">
      <c r="B17" s="157"/>
      <c r="C17" s="2"/>
      <c r="D17" s="2"/>
      <c r="E17" s="2"/>
      <c r="F17" s="173" t="s">
        <v>34</v>
      </c>
      <c r="G17" s="174"/>
      <c r="H17" s="174"/>
      <c r="I17" s="175">
        <f>60*'TOT-1212'!B13</f>
        <v>60</v>
      </c>
      <c r="J17" s="176"/>
      <c r="K17" s="176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7"/>
      <c r="X17" s="2"/>
      <c r="Y17" s="177"/>
      <c r="Z17" s="177"/>
      <c r="AA17" s="177"/>
      <c r="AB17" s="177"/>
      <c r="AC17" s="177"/>
      <c r="AD17" s="158"/>
    </row>
    <row r="18" spans="2:30" s="1" customFormat="1" ht="16.5" customHeight="1" thickBot="1" thickTop="1">
      <c r="B18" s="157"/>
      <c r="C18" s="422">
        <v>3</v>
      </c>
      <c r="D18" s="422">
        <v>4</v>
      </c>
      <c r="E18" s="422">
        <v>5</v>
      </c>
      <c r="F18" s="422">
        <v>6</v>
      </c>
      <c r="G18" s="422">
        <v>7</v>
      </c>
      <c r="H18" s="422">
        <v>8</v>
      </c>
      <c r="I18" s="422">
        <v>9</v>
      </c>
      <c r="J18" s="422">
        <v>10</v>
      </c>
      <c r="K18" s="422">
        <v>11</v>
      </c>
      <c r="L18" s="422">
        <v>12</v>
      </c>
      <c r="M18" s="422">
        <v>13</v>
      </c>
      <c r="N18" s="422">
        <v>14</v>
      </c>
      <c r="O18" s="422">
        <v>15</v>
      </c>
      <c r="P18" s="422">
        <v>16</v>
      </c>
      <c r="Q18" s="422">
        <v>17</v>
      </c>
      <c r="R18" s="422">
        <v>18</v>
      </c>
      <c r="S18" s="422">
        <v>19</v>
      </c>
      <c r="T18" s="422">
        <v>20</v>
      </c>
      <c r="U18" s="422">
        <v>21</v>
      </c>
      <c r="V18" s="422">
        <v>22</v>
      </c>
      <c r="W18" s="422">
        <v>23</v>
      </c>
      <c r="X18" s="422">
        <v>24</v>
      </c>
      <c r="Y18" s="422">
        <v>25</v>
      </c>
      <c r="Z18" s="422">
        <v>26</v>
      </c>
      <c r="AA18" s="422">
        <v>27</v>
      </c>
      <c r="AB18" s="422">
        <v>28</v>
      </c>
      <c r="AC18" s="422">
        <v>29</v>
      </c>
      <c r="AD18" s="158"/>
    </row>
    <row r="19" spans="2:30" s="178" customFormat="1" ht="34.5" customHeight="1" thickBot="1" thickTop="1">
      <c r="B19" s="179"/>
      <c r="C19" s="420" t="s">
        <v>13</v>
      </c>
      <c r="D19" s="420" t="s">
        <v>70</v>
      </c>
      <c r="E19" s="420" t="s">
        <v>71</v>
      </c>
      <c r="F19" s="180" t="s">
        <v>35</v>
      </c>
      <c r="G19" s="181" t="s">
        <v>36</v>
      </c>
      <c r="H19" s="182" t="s">
        <v>37</v>
      </c>
      <c r="I19" s="183" t="s">
        <v>14</v>
      </c>
      <c r="J19" s="184" t="s">
        <v>16</v>
      </c>
      <c r="K19" s="181" t="s">
        <v>17</v>
      </c>
      <c r="L19" s="181" t="s">
        <v>18</v>
      </c>
      <c r="M19" s="180" t="s">
        <v>38</v>
      </c>
      <c r="N19" s="180" t="s">
        <v>39</v>
      </c>
      <c r="O19" s="48" t="s">
        <v>54</v>
      </c>
      <c r="P19" s="181" t="s">
        <v>40</v>
      </c>
      <c r="Q19" s="180" t="s">
        <v>21</v>
      </c>
      <c r="R19" s="181" t="s">
        <v>41</v>
      </c>
      <c r="S19" s="185" t="s">
        <v>42</v>
      </c>
      <c r="T19" s="186" t="s">
        <v>23</v>
      </c>
      <c r="U19" s="187" t="s">
        <v>24</v>
      </c>
      <c r="V19" s="188" t="s">
        <v>43</v>
      </c>
      <c r="W19" s="189"/>
      <c r="X19" s="190" t="s">
        <v>44</v>
      </c>
      <c r="Y19" s="191"/>
      <c r="Z19" s="192" t="s">
        <v>27</v>
      </c>
      <c r="AA19" s="193" t="s">
        <v>28</v>
      </c>
      <c r="AB19" s="183" t="s">
        <v>45</v>
      </c>
      <c r="AC19" s="183" t="s">
        <v>30</v>
      </c>
      <c r="AD19" s="194"/>
    </row>
    <row r="20" spans="2:30" s="1" customFormat="1" ht="16.5" customHeight="1" thickTop="1">
      <c r="B20" s="157"/>
      <c r="C20" s="195"/>
      <c r="D20" s="195"/>
      <c r="E20" s="195"/>
      <c r="F20" s="196"/>
      <c r="G20" s="197"/>
      <c r="H20" s="197"/>
      <c r="I20" s="197"/>
      <c r="J20" s="198"/>
      <c r="K20" s="405"/>
      <c r="L20" s="406"/>
      <c r="M20" s="199"/>
      <c r="N20" s="199"/>
      <c r="O20" s="197"/>
      <c r="P20" s="197"/>
      <c r="Q20" s="197"/>
      <c r="R20" s="197"/>
      <c r="S20" s="74"/>
      <c r="T20" s="72"/>
      <c r="U20" s="200"/>
      <c r="V20" s="201"/>
      <c r="W20" s="202"/>
      <c r="X20" s="203"/>
      <c r="Y20" s="204"/>
      <c r="Z20" s="205"/>
      <c r="AA20" s="206"/>
      <c r="AB20" s="197"/>
      <c r="AC20" s="207"/>
      <c r="AD20" s="158"/>
    </row>
    <row r="21" spans="2:30" s="1" customFormat="1" ht="16.5" customHeight="1">
      <c r="B21" s="157"/>
      <c r="C21" s="208"/>
      <c r="D21" s="208"/>
      <c r="E21" s="208"/>
      <c r="F21" s="209"/>
      <c r="G21" s="210"/>
      <c r="H21" s="210"/>
      <c r="I21" s="210"/>
      <c r="J21" s="211"/>
      <c r="K21" s="431"/>
      <c r="L21" s="432"/>
      <c r="M21" s="212"/>
      <c r="N21" s="212"/>
      <c r="O21" s="210"/>
      <c r="P21" s="210"/>
      <c r="Q21" s="210"/>
      <c r="R21" s="210"/>
      <c r="S21" s="88"/>
      <c r="T21" s="86"/>
      <c r="U21" s="213"/>
      <c r="V21" s="214"/>
      <c r="W21" s="215"/>
      <c r="X21" s="216"/>
      <c r="Y21" s="217"/>
      <c r="Z21" s="218"/>
      <c r="AA21" s="219"/>
      <c r="AB21" s="210"/>
      <c r="AC21" s="220"/>
      <c r="AD21" s="158"/>
    </row>
    <row r="22" spans="2:30" s="1" customFormat="1" ht="16.5" customHeight="1">
      <c r="B22" s="157"/>
      <c r="C22" s="208">
        <v>71</v>
      </c>
      <c r="D22" s="208">
        <v>254360</v>
      </c>
      <c r="E22" s="208">
        <v>4210</v>
      </c>
      <c r="F22" s="77" t="s">
        <v>118</v>
      </c>
      <c r="G22" s="79" t="s">
        <v>119</v>
      </c>
      <c r="H22" s="221">
        <v>40</v>
      </c>
      <c r="I22" s="90" t="s">
        <v>120</v>
      </c>
      <c r="J22" s="223">
        <f aca="true" t="shared" si="0" ref="J22:J38">H22*$I$16</f>
        <v>29.72</v>
      </c>
      <c r="K22" s="431">
        <v>41244</v>
      </c>
      <c r="L22" s="431">
        <v>41252.78958333333</v>
      </c>
      <c r="M22" s="224">
        <f aca="true" t="shared" si="1" ref="M22:M38">IF(F22="","",(L22-K22)*24)</f>
        <v>210.94999999995343</v>
      </c>
      <c r="N22" s="225">
        <f aca="true" t="shared" si="2" ref="N22:N38">IF(F22="","",ROUND((L22-K22)*24*60,0))</f>
        <v>12657</v>
      </c>
      <c r="O22" s="226" t="s">
        <v>231</v>
      </c>
      <c r="P22" s="423" t="str">
        <f aca="true" t="shared" si="3" ref="P22:P38">IF(F22="","",IF(OR(O22="P",O22="RP"),"--","NO"))</f>
        <v>NO</v>
      </c>
      <c r="Q22" s="423" t="s">
        <v>77</v>
      </c>
      <c r="R22" s="423" t="s">
        <v>241</v>
      </c>
      <c r="S22" s="105">
        <f aca="true" t="shared" si="4" ref="S22:S38">$I$17*IF(OR(O22="P",O22="RP"),0.1,1)*IF(R22="SI",1,0.1)</f>
        <v>6</v>
      </c>
      <c r="T22" s="228" t="str">
        <f aca="true" t="shared" si="5" ref="T22:T38">IF(O22="P",J22*S22*ROUND(N22/60,2),"--")</f>
        <v>--</v>
      </c>
      <c r="U22" s="229" t="str">
        <f aca="true" t="shared" si="6" ref="U22:U38">IF(O22="RP",J22*S22*ROUND(N22/60,2)*Q22/100,"--")</f>
        <v>--</v>
      </c>
      <c r="V22" s="230" t="str">
        <f aca="true" t="shared" si="7" ref="V22:V38">IF(AND(O22="F",P22="NO"),J22*S22,"--")</f>
        <v>--</v>
      </c>
      <c r="W22" s="231" t="str">
        <f aca="true" t="shared" si="8" ref="W22:W38">IF(O22="F",J22*S22*ROUND(N22/60,2),"--")</f>
        <v>--</v>
      </c>
      <c r="X22" s="232" t="str">
        <f aca="true" t="shared" si="9" ref="X22:X38">IF(AND(O22="R",P22="NO"),J22*S22*Q22/100,"--")</f>
        <v>--</v>
      </c>
      <c r="Y22" s="233" t="str">
        <f aca="true" t="shared" si="10" ref="Y22:Y38">IF(O22="R",J22*S22*ROUND(N22/60,2)*Q22/100,"--")</f>
        <v>--</v>
      </c>
      <c r="Z22" s="234">
        <f aca="true" t="shared" si="11" ref="Z22:Z38">IF(O22="RF",J22*S22*ROUND(N22/60,2),"--")</f>
        <v>37616.604</v>
      </c>
      <c r="AA22" s="235" t="str">
        <f aca="true" t="shared" si="12" ref="AA22:AA38">IF(O22="RR",J22*S22*ROUND(N22/60,2)*Q22/100,"--")</f>
        <v>--</v>
      </c>
      <c r="AB22" s="423" t="s">
        <v>76</v>
      </c>
      <c r="AC22" s="236">
        <f>IF(F22="","",SUM(T22:AA22)*IF(AB22="SI",1,2)*IF(AND(Q22&lt;&gt;"0,000",O22="RF"),Q22/100,1))</f>
        <v>37616.604</v>
      </c>
      <c r="AD22" s="237"/>
    </row>
    <row r="23" spans="2:30" s="1" customFormat="1" ht="16.5" customHeight="1">
      <c r="B23" s="157"/>
      <c r="C23" s="208">
        <v>72</v>
      </c>
      <c r="D23" s="208">
        <v>254787</v>
      </c>
      <c r="E23" s="208">
        <v>2667</v>
      </c>
      <c r="F23" s="77" t="s">
        <v>121</v>
      </c>
      <c r="G23" s="79" t="s">
        <v>122</v>
      </c>
      <c r="H23" s="221">
        <v>30</v>
      </c>
      <c r="I23" s="90" t="s">
        <v>120</v>
      </c>
      <c r="J23" s="223">
        <f t="shared" si="0"/>
        <v>22.29</v>
      </c>
      <c r="K23" s="431">
        <v>41244.02361111111</v>
      </c>
      <c r="L23" s="431">
        <v>41245.688888888886</v>
      </c>
      <c r="M23" s="224">
        <f t="shared" si="1"/>
        <v>39.96666666667443</v>
      </c>
      <c r="N23" s="225">
        <f t="shared" si="2"/>
        <v>2398</v>
      </c>
      <c r="O23" s="226" t="s">
        <v>79</v>
      </c>
      <c r="P23" s="423" t="str">
        <f t="shared" si="3"/>
        <v>--</v>
      </c>
      <c r="Q23" s="423" t="s">
        <v>77</v>
      </c>
      <c r="R23" s="423" t="str">
        <f aca="true" t="shared" si="13" ref="R23:R38">IF(F23="","","NO")</f>
        <v>NO</v>
      </c>
      <c r="S23" s="105">
        <f t="shared" si="4"/>
        <v>0.6000000000000001</v>
      </c>
      <c r="T23" s="228">
        <f t="shared" si="5"/>
        <v>534.5587800000001</v>
      </c>
      <c r="U23" s="229" t="str">
        <f t="shared" si="6"/>
        <v>--</v>
      </c>
      <c r="V23" s="230" t="str">
        <f t="shared" si="7"/>
        <v>--</v>
      </c>
      <c r="W23" s="231" t="str">
        <f t="shared" si="8"/>
        <v>--</v>
      </c>
      <c r="X23" s="232" t="str">
        <f t="shared" si="9"/>
        <v>--</v>
      </c>
      <c r="Y23" s="233" t="str">
        <f t="shared" si="10"/>
        <v>--</v>
      </c>
      <c r="Z23" s="234" t="str">
        <f t="shared" si="11"/>
        <v>--</v>
      </c>
      <c r="AA23" s="235" t="str">
        <f t="shared" si="12"/>
        <v>--</v>
      </c>
      <c r="AB23" s="423" t="s">
        <v>76</v>
      </c>
      <c r="AC23" s="236">
        <f aca="true" t="shared" si="14" ref="AC23:AC38">IF(F23="","",SUM(T23:AA23)*IF(AB23="SI",1,2)*IF(AND(Q23&lt;&gt;"",O23="RF"),Q23/100,1))</f>
        <v>534.5587800000001</v>
      </c>
      <c r="AD23" s="158"/>
    </row>
    <row r="24" spans="2:30" s="1" customFormat="1" ht="16.5" customHeight="1">
      <c r="B24" s="157"/>
      <c r="C24" s="208">
        <v>73</v>
      </c>
      <c r="D24" s="208">
        <v>255331</v>
      </c>
      <c r="E24" s="208">
        <v>2667</v>
      </c>
      <c r="F24" s="77" t="s">
        <v>121</v>
      </c>
      <c r="G24" s="79" t="s">
        <v>122</v>
      </c>
      <c r="H24" s="221">
        <v>30</v>
      </c>
      <c r="I24" s="90" t="s">
        <v>120</v>
      </c>
      <c r="J24" s="223">
        <f t="shared" si="0"/>
        <v>22.29</v>
      </c>
      <c r="K24" s="431">
        <v>41249.23819444444</v>
      </c>
      <c r="L24" s="431">
        <v>41249.385416666664</v>
      </c>
      <c r="M24" s="224">
        <f t="shared" si="1"/>
        <v>3.5333333333255723</v>
      </c>
      <c r="N24" s="225">
        <f t="shared" si="2"/>
        <v>212</v>
      </c>
      <c r="O24" s="226" t="s">
        <v>75</v>
      </c>
      <c r="P24" s="423" t="str">
        <f t="shared" si="3"/>
        <v>NO</v>
      </c>
      <c r="Q24" s="423" t="s">
        <v>77</v>
      </c>
      <c r="R24" s="423" t="s">
        <v>76</v>
      </c>
      <c r="S24" s="105">
        <f t="shared" si="4"/>
        <v>60</v>
      </c>
      <c r="T24" s="228" t="str">
        <f t="shared" si="5"/>
        <v>--</v>
      </c>
      <c r="U24" s="229" t="str">
        <f t="shared" si="6"/>
        <v>--</v>
      </c>
      <c r="V24" s="230">
        <f t="shared" si="7"/>
        <v>1337.3999999999999</v>
      </c>
      <c r="W24" s="231">
        <f t="shared" si="8"/>
        <v>4721.021999999999</v>
      </c>
      <c r="X24" s="232" t="str">
        <f t="shared" si="9"/>
        <v>--</v>
      </c>
      <c r="Y24" s="233" t="str">
        <f t="shared" si="10"/>
        <v>--</v>
      </c>
      <c r="Z24" s="234" t="str">
        <f t="shared" si="11"/>
        <v>--</v>
      </c>
      <c r="AA24" s="235" t="str">
        <f t="shared" si="12"/>
        <v>--</v>
      </c>
      <c r="AB24" s="423" t="s">
        <v>76</v>
      </c>
      <c r="AC24" s="236">
        <f t="shared" si="14"/>
        <v>6058.421999999999</v>
      </c>
      <c r="AD24" s="158"/>
    </row>
    <row r="25" spans="2:30" s="1" customFormat="1" ht="16.5" customHeight="1">
      <c r="B25" s="157"/>
      <c r="C25" s="208">
        <v>74</v>
      </c>
      <c r="D25" s="208">
        <v>255347</v>
      </c>
      <c r="E25" s="208">
        <v>2510</v>
      </c>
      <c r="F25" s="77" t="s">
        <v>118</v>
      </c>
      <c r="G25" s="79" t="s">
        <v>122</v>
      </c>
      <c r="H25" s="221">
        <v>40</v>
      </c>
      <c r="I25" s="90" t="s">
        <v>120</v>
      </c>
      <c r="J25" s="223">
        <f t="shared" si="0"/>
        <v>29.72</v>
      </c>
      <c r="K25" s="431">
        <v>41249.813888888886</v>
      </c>
      <c r="L25" s="431">
        <v>41250.004166666666</v>
      </c>
      <c r="M25" s="224">
        <f t="shared" si="1"/>
        <v>4.566666666709352</v>
      </c>
      <c r="N25" s="225">
        <f t="shared" si="2"/>
        <v>274</v>
      </c>
      <c r="O25" s="226" t="s">
        <v>75</v>
      </c>
      <c r="P25" s="423" t="str">
        <f t="shared" si="3"/>
        <v>NO</v>
      </c>
      <c r="Q25" s="423" t="s">
        <v>77</v>
      </c>
      <c r="R25" s="423" t="s">
        <v>76</v>
      </c>
      <c r="S25" s="105">
        <f t="shared" si="4"/>
        <v>60</v>
      </c>
      <c r="T25" s="228" t="str">
        <f t="shared" si="5"/>
        <v>--</v>
      </c>
      <c r="U25" s="229" t="str">
        <f t="shared" si="6"/>
        <v>--</v>
      </c>
      <c r="V25" s="230">
        <f t="shared" si="7"/>
        <v>1783.1999999999998</v>
      </c>
      <c r="W25" s="231">
        <f t="shared" si="8"/>
        <v>8149.223999999999</v>
      </c>
      <c r="X25" s="232" t="str">
        <f t="shared" si="9"/>
        <v>--</v>
      </c>
      <c r="Y25" s="233" t="str">
        <f t="shared" si="10"/>
        <v>--</v>
      </c>
      <c r="Z25" s="234" t="str">
        <f t="shared" si="11"/>
        <v>--</v>
      </c>
      <c r="AA25" s="235" t="str">
        <f t="shared" si="12"/>
        <v>--</v>
      </c>
      <c r="AB25" s="423" t="s">
        <v>76</v>
      </c>
      <c r="AC25" s="236">
        <f t="shared" si="14"/>
        <v>9932.423999999999</v>
      </c>
      <c r="AD25" s="158"/>
    </row>
    <row r="26" spans="2:30" s="1" customFormat="1" ht="16.5" customHeight="1">
      <c r="B26" s="157"/>
      <c r="C26" s="208">
        <v>75</v>
      </c>
      <c r="D26" s="208" t="s">
        <v>242</v>
      </c>
      <c r="E26" s="208">
        <v>2510</v>
      </c>
      <c r="F26" s="77" t="s">
        <v>118</v>
      </c>
      <c r="G26" s="79" t="s">
        <v>122</v>
      </c>
      <c r="H26" s="221">
        <v>40</v>
      </c>
      <c r="I26" s="90" t="s">
        <v>120</v>
      </c>
      <c r="J26" s="223">
        <f t="shared" si="0"/>
        <v>29.72</v>
      </c>
      <c r="K26" s="431">
        <v>41250.004166666666</v>
      </c>
      <c r="L26" s="431">
        <v>41274.99930555555</v>
      </c>
      <c r="M26" s="224">
        <f>IF(F26="","",(L26-K26)*24)</f>
        <v>599.8833333333023</v>
      </c>
      <c r="N26" s="225">
        <f>IF(F26="","",ROUND((L26-K26)*24*60,0))</f>
        <v>35993</v>
      </c>
      <c r="O26" s="226" t="s">
        <v>231</v>
      </c>
      <c r="P26" s="423" t="str">
        <f t="shared" si="3"/>
        <v>NO</v>
      </c>
      <c r="Q26" s="423" t="s">
        <v>77</v>
      </c>
      <c r="R26" s="423" t="s">
        <v>241</v>
      </c>
      <c r="S26" s="105">
        <f>$I$17*IF(OR(O26="P",O26="RP"),0.1,1)*IF(R26="SI",1,0.1)</f>
        <v>6</v>
      </c>
      <c r="T26" s="228" t="str">
        <f>IF(O26="P",J26*S26*ROUND(N26/60,2),"--")</f>
        <v>--</v>
      </c>
      <c r="U26" s="229" t="str">
        <f>IF(O26="RP",J26*S26*ROUND(N26/60,2)*Q26/100,"--")</f>
        <v>--</v>
      </c>
      <c r="V26" s="230" t="str">
        <f t="shared" si="7"/>
        <v>--</v>
      </c>
      <c r="W26" s="231" t="str">
        <f>IF(O26="F",J26*S26*ROUND(N26/60,2),"--")</f>
        <v>--</v>
      </c>
      <c r="X26" s="232" t="str">
        <f>IF(AND(O26="R",P26="NO"),J26*S26*Q26/100,"--")</f>
        <v>--</v>
      </c>
      <c r="Y26" s="233" t="str">
        <f>IF(O26="R",J26*S26*ROUND(N26/60,2)*Q26/100,"--")</f>
        <v>--</v>
      </c>
      <c r="Z26" s="234">
        <f>IF(O26="RF",J26*S26*ROUND(N26/60,2),"--")</f>
        <v>106970.6016</v>
      </c>
      <c r="AA26" s="235" t="str">
        <f>IF(O26="RR",J26*S26*ROUND(N26/60,2)*Q26/100,"--")</f>
        <v>--</v>
      </c>
      <c r="AB26" s="423" t="s">
        <v>76</v>
      </c>
      <c r="AC26" s="236">
        <f>IF(F26="","",SUM(T26:AA26)*IF(AB26="SI",1,2)*IF(AND(Q26&lt;&gt;"0,000",O26="RF"),Q26/100,1))</f>
        <v>106970.6016</v>
      </c>
      <c r="AD26" s="158"/>
    </row>
    <row r="27" spans="2:30" s="1" customFormat="1" ht="16.5" customHeight="1">
      <c r="B27" s="157"/>
      <c r="C27" s="208">
        <v>76</v>
      </c>
      <c r="D27" s="208">
        <v>255356</v>
      </c>
      <c r="E27" s="208">
        <v>2663</v>
      </c>
      <c r="F27" s="77" t="s">
        <v>125</v>
      </c>
      <c r="G27" s="79" t="s">
        <v>126</v>
      </c>
      <c r="H27" s="221">
        <v>7.5</v>
      </c>
      <c r="I27" s="435" t="s">
        <v>230</v>
      </c>
      <c r="J27" s="223">
        <f t="shared" si="0"/>
        <v>5.5725</v>
      </c>
      <c r="K27" s="431">
        <v>41250.381944444445</v>
      </c>
      <c r="L27" s="431">
        <v>41250.70277777778</v>
      </c>
      <c r="M27" s="224">
        <f t="shared" si="1"/>
        <v>7.699999999953434</v>
      </c>
      <c r="N27" s="225">
        <f t="shared" si="2"/>
        <v>462</v>
      </c>
      <c r="O27" s="226" t="s">
        <v>79</v>
      </c>
      <c r="P27" s="423" t="str">
        <f t="shared" si="3"/>
        <v>--</v>
      </c>
      <c r="Q27" s="423" t="s">
        <v>77</v>
      </c>
      <c r="R27" s="423" t="str">
        <f t="shared" si="13"/>
        <v>NO</v>
      </c>
      <c r="S27" s="105">
        <f t="shared" si="4"/>
        <v>0.6000000000000001</v>
      </c>
      <c r="T27" s="228">
        <f t="shared" si="5"/>
        <v>25.744950000000006</v>
      </c>
      <c r="U27" s="229" t="str">
        <f t="shared" si="6"/>
        <v>--</v>
      </c>
      <c r="V27" s="230" t="str">
        <f t="shared" si="7"/>
        <v>--</v>
      </c>
      <c r="W27" s="231" t="str">
        <f t="shared" si="8"/>
        <v>--</v>
      </c>
      <c r="X27" s="232" t="str">
        <f t="shared" si="9"/>
        <v>--</v>
      </c>
      <c r="Y27" s="233" t="str">
        <f t="shared" si="10"/>
        <v>--</v>
      </c>
      <c r="Z27" s="234" t="str">
        <f t="shared" si="11"/>
        <v>--</v>
      </c>
      <c r="AA27" s="235" t="str">
        <f t="shared" si="12"/>
        <v>--</v>
      </c>
      <c r="AB27" s="423" t="s">
        <v>76</v>
      </c>
      <c r="AC27" s="236">
        <f t="shared" si="14"/>
        <v>25.744950000000006</v>
      </c>
      <c r="AD27" s="158"/>
    </row>
    <row r="28" spans="2:30" s="1" customFormat="1" ht="16.5" customHeight="1">
      <c r="B28" s="157"/>
      <c r="C28" s="208">
        <v>77</v>
      </c>
      <c r="D28" s="208">
        <v>255363</v>
      </c>
      <c r="E28" s="208">
        <v>2147</v>
      </c>
      <c r="F28" s="77" t="s">
        <v>127</v>
      </c>
      <c r="G28" s="79" t="s">
        <v>119</v>
      </c>
      <c r="H28" s="221">
        <v>10</v>
      </c>
      <c r="I28" s="90" t="s">
        <v>128</v>
      </c>
      <c r="J28" s="223">
        <f t="shared" si="0"/>
        <v>7.43</v>
      </c>
      <c r="K28" s="431">
        <v>41252.34583333333</v>
      </c>
      <c r="L28" s="431">
        <v>41252.635416666664</v>
      </c>
      <c r="M28" s="224">
        <f t="shared" si="1"/>
        <v>6.949999999953434</v>
      </c>
      <c r="N28" s="225">
        <f t="shared" si="2"/>
        <v>417</v>
      </c>
      <c r="O28" s="226" t="s">
        <v>79</v>
      </c>
      <c r="P28" s="423" t="str">
        <f t="shared" si="3"/>
        <v>--</v>
      </c>
      <c r="Q28" s="423" t="s">
        <v>77</v>
      </c>
      <c r="R28" s="423" t="str">
        <f t="shared" si="13"/>
        <v>NO</v>
      </c>
      <c r="S28" s="105">
        <f t="shared" si="4"/>
        <v>0.6000000000000001</v>
      </c>
      <c r="T28" s="228">
        <f t="shared" si="5"/>
        <v>30.9831</v>
      </c>
      <c r="U28" s="229" t="str">
        <f t="shared" si="6"/>
        <v>--</v>
      </c>
      <c r="V28" s="230" t="str">
        <f t="shared" si="7"/>
        <v>--</v>
      </c>
      <c r="W28" s="231" t="str">
        <f t="shared" si="8"/>
        <v>--</v>
      </c>
      <c r="X28" s="232" t="str">
        <f t="shared" si="9"/>
        <v>--</v>
      </c>
      <c r="Y28" s="233" t="str">
        <f t="shared" si="10"/>
        <v>--</v>
      </c>
      <c r="Z28" s="234" t="str">
        <f t="shared" si="11"/>
        <v>--</v>
      </c>
      <c r="AA28" s="235" t="str">
        <f t="shared" si="12"/>
        <v>--</v>
      </c>
      <c r="AB28" s="423" t="s">
        <v>76</v>
      </c>
      <c r="AC28" s="236">
        <f t="shared" si="14"/>
        <v>30.9831</v>
      </c>
      <c r="AD28" s="158"/>
    </row>
    <row r="29" spans="2:30" s="1" customFormat="1" ht="16.5" customHeight="1">
      <c r="B29" s="157"/>
      <c r="C29" s="208">
        <v>78</v>
      </c>
      <c r="D29" s="208">
        <v>255365</v>
      </c>
      <c r="E29" s="208">
        <v>2363</v>
      </c>
      <c r="F29" s="77" t="s">
        <v>129</v>
      </c>
      <c r="G29" s="79" t="s">
        <v>122</v>
      </c>
      <c r="H29" s="221">
        <v>15</v>
      </c>
      <c r="I29" s="90" t="s">
        <v>120</v>
      </c>
      <c r="J29" s="223">
        <f t="shared" si="0"/>
        <v>11.145</v>
      </c>
      <c r="K29" s="431">
        <v>41252.415972222225</v>
      </c>
      <c r="L29" s="431">
        <v>41252.59305555555</v>
      </c>
      <c r="M29" s="224">
        <f t="shared" si="1"/>
        <v>4.249999999883585</v>
      </c>
      <c r="N29" s="225">
        <f t="shared" si="2"/>
        <v>255</v>
      </c>
      <c r="O29" s="226" t="s">
        <v>79</v>
      </c>
      <c r="P29" s="423" t="str">
        <f t="shared" si="3"/>
        <v>--</v>
      </c>
      <c r="Q29" s="423" t="s">
        <v>77</v>
      </c>
      <c r="R29" s="423" t="str">
        <f t="shared" si="13"/>
        <v>NO</v>
      </c>
      <c r="S29" s="105">
        <f t="shared" si="4"/>
        <v>0.6000000000000001</v>
      </c>
      <c r="T29" s="228">
        <f t="shared" si="5"/>
        <v>28.419750000000004</v>
      </c>
      <c r="U29" s="229" t="str">
        <f t="shared" si="6"/>
        <v>--</v>
      </c>
      <c r="V29" s="230" t="str">
        <f t="shared" si="7"/>
        <v>--</v>
      </c>
      <c r="W29" s="231" t="str">
        <f t="shared" si="8"/>
        <v>--</v>
      </c>
      <c r="X29" s="232" t="str">
        <f t="shared" si="9"/>
        <v>--</v>
      </c>
      <c r="Y29" s="233" t="str">
        <f t="shared" si="10"/>
        <v>--</v>
      </c>
      <c r="Z29" s="234" t="str">
        <f t="shared" si="11"/>
        <v>--</v>
      </c>
      <c r="AA29" s="235" t="str">
        <f t="shared" si="12"/>
        <v>--</v>
      </c>
      <c r="AB29" s="423" t="s">
        <v>76</v>
      </c>
      <c r="AC29" s="236">
        <f t="shared" si="14"/>
        <v>28.419750000000004</v>
      </c>
      <c r="AD29" s="158"/>
    </row>
    <row r="30" spans="2:30" s="1" customFormat="1" ht="16.5" customHeight="1">
      <c r="B30" s="157"/>
      <c r="C30" s="208">
        <v>79</v>
      </c>
      <c r="D30" s="208">
        <v>255504</v>
      </c>
      <c r="E30" s="208">
        <v>4210</v>
      </c>
      <c r="F30" s="77" t="s">
        <v>118</v>
      </c>
      <c r="G30" s="79" t="s">
        <v>119</v>
      </c>
      <c r="H30" s="221">
        <v>40</v>
      </c>
      <c r="I30" s="90" t="s">
        <v>120</v>
      </c>
      <c r="J30" s="223">
        <f t="shared" si="0"/>
        <v>29.72</v>
      </c>
      <c r="K30" s="431">
        <v>41253.08194444444</v>
      </c>
      <c r="L30" s="431">
        <v>41253.20625</v>
      </c>
      <c r="M30" s="224">
        <f t="shared" si="1"/>
        <v>2.983333333453629</v>
      </c>
      <c r="N30" s="225">
        <f t="shared" si="2"/>
        <v>179</v>
      </c>
      <c r="O30" s="226" t="s">
        <v>75</v>
      </c>
      <c r="P30" s="423" t="str">
        <f t="shared" si="3"/>
        <v>NO</v>
      </c>
      <c r="Q30" s="423" t="s">
        <v>77</v>
      </c>
      <c r="R30" s="423" t="s">
        <v>76</v>
      </c>
      <c r="S30" s="105">
        <f t="shared" si="4"/>
        <v>60</v>
      </c>
      <c r="T30" s="228" t="str">
        <f t="shared" si="5"/>
        <v>--</v>
      </c>
      <c r="U30" s="229" t="str">
        <f t="shared" si="6"/>
        <v>--</v>
      </c>
      <c r="V30" s="230">
        <f t="shared" si="7"/>
        <v>1783.1999999999998</v>
      </c>
      <c r="W30" s="231">
        <f t="shared" si="8"/>
        <v>5313.936</v>
      </c>
      <c r="X30" s="232" t="str">
        <f t="shared" si="9"/>
        <v>--</v>
      </c>
      <c r="Y30" s="233" t="str">
        <f t="shared" si="10"/>
        <v>--</v>
      </c>
      <c r="Z30" s="234" t="str">
        <f t="shared" si="11"/>
        <v>--</v>
      </c>
      <c r="AA30" s="235" t="str">
        <f t="shared" si="12"/>
        <v>--</v>
      </c>
      <c r="AB30" s="423" t="s">
        <v>76</v>
      </c>
      <c r="AC30" s="236">
        <f t="shared" si="14"/>
        <v>7097.1359999999995</v>
      </c>
      <c r="AD30" s="158"/>
    </row>
    <row r="31" spans="2:30" s="1" customFormat="1" ht="16.5" customHeight="1">
      <c r="B31" s="157"/>
      <c r="C31" s="208">
        <v>80</v>
      </c>
      <c r="D31" s="208">
        <v>255511</v>
      </c>
      <c r="E31" s="208">
        <v>2297</v>
      </c>
      <c r="F31" s="77" t="s">
        <v>130</v>
      </c>
      <c r="G31" s="79" t="s">
        <v>131</v>
      </c>
      <c r="H31" s="221">
        <v>30</v>
      </c>
      <c r="I31" s="90" t="s">
        <v>120</v>
      </c>
      <c r="J31" s="223">
        <f t="shared" si="0"/>
        <v>22.29</v>
      </c>
      <c r="K31" s="431">
        <v>41253.35902777778</v>
      </c>
      <c r="L31" s="431">
        <v>41253.56875</v>
      </c>
      <c r="M31" s="224">
        <f t="shared" si="1"/>
        <v>5.033333333325572</v>
      </c>
      <c r="N31" s="225">
        <f t="shared" si="2"/>
        <v>302</v>
      </c>
      <c r="O31" s="226" t="s">
        <v>79</v>
      </c>
      <c r="P31" s="423" t="str">
        <f t="shared" si="3"/>
        <v>--</v>
      </c>
      <c r="Q31" s="423" t="s">
        <v>77</v>
      </c>
      <c r="R31" s="423" t="str">
        <f t="shared" si="13"/>
        <v>NO</v>
      </c>
      <c r="S31" s="105">
        <f t="shared" si="4"/>
        <v>0.6000000000000001</v>
      </c>
      <c r="T31" s="228">
        <f t="shared" si="5"/>
        <v>67.27122000000001</v>
      </c>
      <c r="U31" s="229" t="str">
        <f t="shared" si="6"/>
        <v>--</v>
      </c>
      <c r="V31" s="230" t="str">
        <f t="shared" si="7"/>
        <v>--</v>
      </c>
      <c r="W31" s="231" t="str">
        <f t="shared" si="8"/>
        <v>--</v>
      </c>
      <c r="X31" s="232" t="str">
        <f t="shared" si="9"/>
        <v>--</v>
      </c>
      <c r="Y31" s="233" t="str">
        <f t="shared" si="10"/>
        <v>--</v>
      </c>
      <c r="Z31" s="234" t="str">
        <f t="shared" si="11"/>
        <v>--</v>
      </c>
      <c r="AA31" s="235" t="str">
        <f t="shared" si="12"/>
        <v>--</v>
      </c>
      <c r="AB31" s="423" t="s">
        <v>76</v>
      </c>
      <c r="AC31" s="236">
        <f t="shared" si="14"/>
        <v>67.27122000000001</v>
      </c>
      <c r="AD31" s="158"/>
    </row>
    <row r="32" spans="2:30" s="1" customFormat="1" ht="16.5" customHeight="1">
      <c r="B32" s="157"/>
      <c r="C32" s="208">
        <v>81</v>
      </c>
      <c r="D32" s="208">
        <v>255530</v>
      </c>
      <c r="E32" s="208">
        <v>2297</v>
      </c>
      <c r="F32" s="77" t="s">
        <v>130</v>
      </c>
      <c r="G32" s="79" t="s">
        <v>131</v>
      </c>
      <c r="H32" s="221">
        <v>30</v>
      </c>
      <c r="I32" s="90" t="s">
        <v>120</v>
      </c>
      <c r="J32" s="223">
        <f t="shared" si="0"/>
        <v>22.29</v>
      </c>
      <c r="K32" s="431">
        <v>41254.39513888889</v>
      </c>
      <c r="L32" s="431">
        <v>41254.614583333336</v>
      </c>
      <c r="M32" s="224">
        <f t="shared" si="1"/>
        <v>5.266666666720994</v>
      </c>
      <c r="N32" s="225">
        <f t="shared" si="2"/>
        <v>316</v>
      </c>
      <c r="O32" s="226" t="s">
        <v>79</v>
      </c>
      <c r="P32" s="423" t="str">
        <f t="shared" si="3"/>
        <v>--</v>
      </c>
      <c r="Q32" s="423" t="s">
        <v>77</v>
      </c>
      <c r="R32" s="423" t="str">
        <f t="shared" si="13"/>
        <v>NO</v>
      </c>
      <c r="S32" s="105">
        <f t="shared" si="4"/>
        <v>0.6000000000000001</v>
      </c>
      <c r="T32" s="228">
        <f t="shared" si="5"/>
        <v>70.48098</v>
      </c>
      <c r="U32" s="229" t="str">
        <f t="shared" si="6"/>
        <v>--</v>
      </c>
      <c r="V32" s="230" t="str">
        <f t="shared" si="7"/>
        <v>--</v>
      </c>
      <c r="W32" s="231" t="str">
        <f t="shared" si="8"/>
        <v>--</v>
      </c>
      <c r="X32" s="232" t="str">
        <f t="shared" si="9"/>
        <v>--</v>
      </c>
      <c r="Y32" s="233" t="str">
        <f t="shared" si="10"/>
        <v>--</v>
      </c>
      <c r="Z32" s="234" t="str">
        <f t="shared" si="11"/>
        <v>--</v>
      </c>
      <c r="AA32" s="235" t="str">
        <f t="shared" si="12"/>
        <v>--</v>
      </c>
      <c r="AB32" s="423" t="s">
        <v>76</v>
      </c>
      <c r="AC32" s="236">
        <f t="shared" si="14"/>
        <v>70.48098</v>
      </c>
      <c r="AD32" s="158"/>
    </row>
    <row r="33" spans="2:30" s="1" customFormat="1" ht="16.5" customHeight="1">
      <c r="B33" s="157"/>
      <c r="C33" s="208">
        <v>82</v>
      </c>
      <c r="D33" s="208">
        <v>255532</v>
      </c>
      <c r="E33" s="208">
        <v>4832</v>
      </c>
      <c r="F33" s="77" t="s">
        <v>132</v>
      </c>
      <c r="G33" s="79" t="s">
        <v>124</v>
      </c>
      <c r="H33" s="221">
        <v>30</v>
      </c>
      <c r="I33" s="435" t="s">
        <v>120</v>
      </c>
      <c r="J33" s="223">
        <f t="shared" si="0"/>
        <v>22.29</v>
      </c>
      <c r="K33" s="431">
        <v>41255.259722222225</v>
      </c>
      <c r="L33" s="431">
        <v>41255.27916666667</v>
      </c>
      <c r="M33" s="224">
        <f t="shared" si="1"/>
        <v>0.46666666661622</v>
      </c>
      <c r="N33" s="225">
        <f t="shared" si="2"/>
        <v>28</v>
      </c>
      <c r="O33" s="226" t="s">
        <v>133</v>
      </c>
      <c r="P33" s="423" t="str">
        <f t="shared" si="3"/>
        <v>NO</v>
      </c>
      <c r="Q33" s="424">
        <v>40</v>
      </c>
      <c r="R33" s="423" t="s">
        <v>76</v>
      </c>
      <c r="S33" s="105">
        <f t="shared" si="4"/>
        <v>60</v>
      </c>
      <c r="T33" s="228" t="str">
        <f t="shared" si="5"/>
        <v>--</v>
      </c>
      <c r="U33" s="229" t="str">
        <f t="shared" si="6"/>
        <v>--</v>
      </c>
      <c r="V33" s="230" t="str">
        <f t="shared" si="7"/>
        <v>--</v>
      </c>
      <c r="W33" s="231" t="str">
        <f t="shared" si="8"/>
        <v>--</v>
      </c>
      <c r="X33" s="232">
        <f t="shared" si="9"/>
        <v>534.9599999999999</v>
      </c>
      <c r="Y33" s="233">
        <f t="shared" si="10"/>
        <v>251.43119999999996</v>
      </c>
      <c r="Z33" s="234" t="str">
        <f t="shared" si="11"/>
        <v>--</v>
      </c>
      <c r="AA33" s="235" t="str">
        <f t="shared" si="12"/>
        <v>--</v>
      </c>
      <c r="AB33" s="423" t="s">
        <v>76</v>
      </c>
      <c r="AC33" s="236">
        <f t="shared" si="14"/>
        <v>786.3911999999999</v>
      </c>
      <c r="AD33" s="158"/>
    </row>
    <row r="34" spans="2:30" s="1" customFormat="1" ht="16.5" customHeight="1">
      <c r="B34" s="157"/>
      <c r="C34" s="208">
        <v>83</v>
      </c>
      <c r="D34" s="208" t="s">
        <v>243</v>
      </c>
      <c r="E34" s="208">
        <v>4832</v>
      </c>
      <c r="F34" s="77" t="s">
        <v>132</v>
      </c>
      <c r="G34" s="79" t="s">
        <v>124</v>
      </c>
      <c r="H34" s="221">
        <v>30</v>
      </c>
      <c r="I34" s="435" t="s">
        <v>120</v>
      </c>
      <c r="J34" s="223">
        <f t="shared" si="0"/>
        <v>22.29</v>
      </c>
      <c r="K34" s="431">
        <v>41255.27916666667</v>
      </c>
      <c r="L34" s="431">
        <v>41255.802777777775</v>
      </c>
      <c r="M34" s="224">
        <f>IF(F34="","",(L34-K34)*24)</f>
        <v>12.566666666592937</v>
      </c>
      <c r="N34" s="225">
        <f>IF(F34="","",ROUND((L34-K34)*24*60,0))</f>
        <v>754</v>
      </c>
      <c r="O34" s="226" t="s">
        <v>133</v>
      </c>
      <c r="P34" s="423" t="str">
        <f>IF(F34="","",IF(OR(O34="P",O34="RP"),"--","NO"))</f>
        <v>NO</v>
      </c>
      <c r="Q34" s="424">
        <v>40</v>
      </c>
      <c r="R34" s="423" t="s">
        <v>241</v>
      </c>
      <c r="S34" s="105">
        <f>$I$17*IF(OR(O34="P",O34="RP"),0.1,1)*IF(R34="SI",1,0.1)</f>
        <v>6</v>
      </c>
      <c r="T34" s="228" t="str">
        <f>IF(O34="P",J34*S34*ROUND(N34/60,2),"--")</f>
        <v>--</v>
      </c>
      <c r="U34" s="229" t="str">
        <f>IF(O34="RP",J34*S34*ROUND(N34/60,2)*Q34/100,"--")</f>
        <v>--</v>
      </c>
      <c r="V34" s="230" t="str">
        <f>IF(AND(O34="F",P34="NO"),J34*S34,"--")</f>
        <v>--</v>
      </c>
      <c r="W34" s="231" t="str">
        <f>IF(O34="F",J34*S34*ROUND(N34/60,2),"--")</f>
        <v>--</v>
      </c>
      <c r="X34" s="232">
        <v>0</v>
      </c>
      <c r="Y34" s="233">
        <f>IF(O34="R",J34*S34*ROUND(N34/60,2)*Q34/100,"--")</f>
        <v>672.4447200000001</v>
      </c>
      <c r="Z34" s="234" t="str">
        <f>IF(O34="RF",J34*S34*ROUND(N34/60,2),"--")</f>
        <v>--</v>
      </c>
      <c r="AA34" s="235" t="str">
        <f>IF(O34="RR",J34*S34*ROUND(N34/60,2)*Q34/100,"--")</f>
        <v>--</v>
      </c>
      <c r="AB34" s="423" t="s">
        <v>76</v>
      </c>
      <c r="AC34" s="236">
        <f>IF(F34="","",SUM(T34:AA34)*IF(AB34="SI",1,2)*IF(AND(Q34&lt;&gt;"",O34="RF"),Q34/100,1))</f>
        <v>672.4447200000001</v>
      </c>
      <c r="AD34" s="158"/>
    </row>
    <row r="35" spans="2:30" s="1" customFormat="1" ht="16.5" customHeight="1">
      <c r="B35" s="157"/>
      <c r="C35" s="208">
        <v>84</v>
      </c>
      <c r="D35" s="208">
        <v>255536</v>
      </c>
      <c r="E35" s="208">
        <v>2297</v>
      </c>
      <c r="F35" s="77" t="s">
        <v>130</v>
      </c>
      <c r="G35" s="79" t="s">
        <v>131</v>
      </c>
      <c r="H35" s="221">
        <v>30</v>
      </c>
      <c r="I35" s="90" t="s">
        <v>120</v>
      </c>
      <c r="J35" s="223">
        <f t="shared" si="0"/>
        <v>22.29</v>
      </c>
      <c r="K35" s="431">
        <v>41255.39513888889</v>
      </c>
      <c r="L35" s="431">
        <v>41255.60138888889</v>
      </c>
      <c r="M35" s="224">
        <f t="shared" si="1"/>
        <v>4.950000000069849</v>
      </c>
      <c r="N35" s="225">
        <f t="shared" si="2"/>
        <v>297</v>
      </c>
      <c r="O35" s="226" t="s">
        <v>79</v>
      </c>
      <c r="P35" s="423" t="str">
        <f t="shared" si="3"/>
        <v>--</v>
      </c>
      <c r="Q35" s="423" t="s">
        <v>77</v>
      </c>
      <c r="R35" s="423" t="str">
        <f t="shared" si="13"/>
        <v>NO</v>
      </c>
      <c r="S35" s="105">
        <f t="shared" si="4"/>
        <v>0.6000000000000001</v>
      </c>
      <c r="T35" s="228">
        <f t="shared" si="5"/>
        <v>66.20130000000002</v>
      </c>
      <c r="U35" s="229" t="str">
        <f t="shared" si="6"/>
        <v>--</v>
      </c>
      <c r="V35" s="230" t="str">
        <f t="shared" si="7"/>
        <v>--</v>
      </c>
      <c r="W35" s="231" t="str">
        <f t="shared" si="8"/>
        <v>--</v>
      </c>
      <c r="X35" s="232" t="str">
        <f t="shared" si="9"/>
        <v>--</v>
      </c>
      <c r="Y35" s="233" t="str">
        <f t="shared" si="10"/>
        <v>--</v>
      </c>
      <c r="Z35" s="234" t="str">
        <f t="shared" si="11"/>
        <v>--</v>
      </c>
      <c r="AA35" s="235" t="str">
        <f t="shared" si="12"/>
        <v>--</v>
      </c>
      <c r="AB35" s="423" t="s">
        <v>76</v>
      </c>
      <c r="AC35" s="236">
        <f t="shared" si="14"/>
        <v>66.20130000000002</v>
      </c>
      <c r="AD35" s="158"/>
    </row>
    <row r="36" spans="2:30" s="1" customFormat="1" ht="16.5" customHeight="1">
      <c r="B36" s="157"/>
      <c r="C36" s="208">
        <v>85</v>
      </c>
      <c r="D36" s="208">
        <v>255553</v>
      </c>
      <c r="E36" s="208">
        <v>2696</v>
      </c>
      <c r="F36" s="77" t="s">
        <v>134</v>
      </c>
      <c r="G36" s="79" t="s">
        <v>126</v>
      </c>
      <c r="H36" s="221">
        <v>15</v>
      </c>
      <c r="I36" s="90" t="s">
        <v>120</v>
      </c>
      <c r="J36" s="223">
        <f t="shared" si="0"/>
        <v>11.145</v>
      </c>
      <c r="K36" s="431">
        <v>41259.08819444444</v>
      </c>
      <c r="L36" s="431">
        <v>41259.73888888889</v>
      </c>
      <c r="M36" s="224">
        <f t="shared" si="1"/>
        <v>15.616666666755918</v>
      </c>
      <c r="N36" s="225">
        <f t="shared" si="2"/>
        <v>937</v>
      </c>
      <c r="O36" s="226" t="s">
        <v>79</v>
      </c>
      <c r="P36" s="423" t="str">
        <f t="shared" si="3"/>
        <v>--</v>
      </c>
      <c r="Q36" s="423" t="s">
        <v>77</v>
      </c>
      <c r="R36" s="423" t="str">
        <f t="shared" si="13"/>
        <v>NO</v>
      </c>
      <c r="S36" s="105">
        <f t="shared" si="4"/>
        <v>0.6000000000000001</v>
      </c>
      <c r="T36" s="228">
        <f t="shared" si="5"/>
        <v>104.45094000000002</v>
      </c>
      <c r="U36" s="229" t="str">
        <f t="shared" si="6"/>
        <v>--</v>
      </c>
      <c r="V36" s="230" t="str">
        <f t="shared" si="7"/>
        <v>--</v>
      </c>
      <c r="W36" s="231" t="str">
        <f t="shared" si="8"/>
        <v>--</v>
      </c>
      <c r="X36" s="232" t="str">
        <f t="shared" si="9"/>
        <v>--</v>
      </c>
      <c r="Y36" s="233" t="str">
        <f t="shared" si="10"/>
        <v>--</v>
      </c>
      <c r="Z36" s="234" t="str">
        <f t="shared" si="11"/>
        <v>--</v>
      </c>
      <c r="AA36" s="235" t="str">
        <f t="shared" si="12"/>
        <v>--</v>
      </c>
      <c r="AB36" s="423" t="s">
        <v>76</v>
      </c>
      <c r="AC36" s="236">
        <f t="shared" si="14"/>
        <v>104.45094000000002</v>
      </c>
      <c r="AD36" s="158"/>
    </row>
    <row r="37" spans="2:30" s="1" customFormat="1" ht="16.5" customHeight="1">
      <c r="B37" s="157"/>
      <c r="C37" s="208">
        <v>86</v>
      </c>
      <c r="D37" s="208">
        <v>255554</v>
      </c>
      <c r="E37" s="208">
        <v>4310</v>
      </c>
      <c r="F37" s="77" t="s">
        <v>135</v>
      </c>
      <c r="G37" s="79" t="s">
        <v>136</v>
      </c>
      <c r="H37" s="221">
        <v>30</v>
      </c>
      <c r="I37" s="90" t="s">
        <v>120</v>
      </c>
      <c r="J37" s="223">
        <f t="shared" si="0"/>
        <v>22.29</v>
      </c>
      <c r="K37" s="431">
        <v>41259.15625</v>
      </c>
      <c r="L37" s="431">
        <v>41259.200694444444</v>
      </c>
      <c r="M37" s="224">
        <f t="shared" si="1"/>
        <v>1.0666666666511446</v>
      </c>
      <c r="N37" s="225">
        <f t="shared" si="2"/>
        <v>64</v>
      </c>
      <c r="O37" s="226" t="s">
        <v>133</v>
      </c>
      <c r="P37" s="423" t="str">
        <f t="shared" si="3"/>
        <v>NO</v>
      </c>
      <c r="Q37" s="424">
        <v>40</v>
      </c>
      <c r="R37" s="423" t="s">
        <v>76</v>
      </c>
      <c r="S37" s="105">
        <f t="shared" si="4"/>
        <v>60</v>
      </c>
      <c r="T37" s="228" t="str">
        <f t="shared" si="5"/>
        <v>--</v>
      </c>
      <c r="U37" s="229" t="str">
        <f t="shared" si="6"/>
        <v>--</v>
      </c>
      <c r="V37" s="230" t="str">
        <f t="shared" si="7"/>
        <v>--</v>
      </c>
      <c r="W37" s="231" t="str">
        <f t="shared" si="8"/>
        <v>--</v>
      </c>
      <c r="X37" s="232">
        <f t="shared" si="9"/>
        <v>534.9599999999999</v>
      </c>
      <c r="Y37" s="233">
        <f t="shared" si="10"/>
        <v>572.4072</v>
      </c>
      <c r="Z37" s="234" t="str">
        <f t="shared" si="11"/>
        <v>--</v>
      </c>
      <c r="AA37" s="235" t="str">
        <f t="shared" si="12"/>
        <v>--</v>
      </c>
      <c r="AB37" s="423" t="s">
        <v>76</v>
      </c>
      <c r="AC37" s="236">
        <f t="shared" si="14"/>
        <v>1107.3672</v>
      </c>
      <c r="AD37" s="158"/>
    </row>
    <row r="38" spans="2:30" s="1" customFormat="1" ht="16.5" customHeight="1">
      <c r="B38" s="157"/>
      <c r="C38" s="208"/>
      <c r="D38" s="208"/>
      <c r="E38" s="208"/>
      <c r="F38" s="77"/>
      <c r="G38" s="79"/>
      <c r="H38" s="221"/>
      <c r="I38" s="222"/>
      <c r="J38" s="223">
        <f t="shared" si="0"/>
        <v>0</v>
      </c>
      <c r="K38" s="431"/>
      <c r="L38" s="431"/>
      <c r="M38" s="224">
        <f t="shared" si="1"/>
      </c>
      <c r="N38" s="225">
        <f t="shared" si="2"/>
      </c>
      <c r="O38" s="226"/>
      <c r="P38" s="423">
        <f t="shared" si="3"/>
      </c>
      <c r="Q38" s="424">
        <f>IF(F38="","","--")</f>
      </c>
      <c r="R38" s="423">
        <f t="shared" si="13"/>
      </c>
      <c r="S38" s="105">
        <f t="shared" si="4"/>
        <v>6</v>
      </c>
      <c r="T38" s="228" t="str">
        <f t="shared" si="5"/>
        <v>--</v>
      </c>
      <c r="U38" s="229" t="str">
        <f t="shared" si="6"/>
        <v>--</v>
      </c>
      <c r="V38" s="230" t="str">
        <f t="shared" si="7"/>
        <v>--</v>
      </c>
      <c r="W38" s="231" t="str">
        <f t="shared" si="8"/>
        <v>--</v>
      </c>
      <c r="X38" s="232" t="str">
        <f t="shared" si="9"/>
        <v>--</v>
      </c>
      <c r="Y38" s="233" t="str">
        <f t="shared" si="10"/>
        <v>--</v>
      </c>
      <c r="Z38" s="234" t="str">
        <f t="shared" si="11"/>
        <v>--</v>
      </c>
      <c r="AA38" s="235" t="str">
        <f t="shared" si="12"/>
        <v>--</v>
      </c>
      <c r="AB38" s="423">
        <f>IF(F38="","","SI")</f>
      </c>
      <c r="AC38" s="236">
        <f t="shared" si="14"/>
      </c>
      <c r="AD38" s="158"/>
    </row>
    <row r="39" spans="2:30" s="1" customFormat="1" ht="16.5" customHeight="1" thickBot="1">
      <c r="B39" s="157"/>
      <c r="C39" s="317"/>
      <c r="D39" s="317"/>
      <c r="E39" s="317"/>
      <c r="F39" s="317"/>
      <c r="G39" s="317"/>
      <c r="H39" s="317"/>
      <c r="I39" s="317"/>
      <c r="J39" s="239"/>
      <c r="K39" s="407"/>
      <c r="L39" s="407"/>
      <c r="M39" s="238"/>
      <c r="N39" s="238"/>
      <c r="O39" s="317"/>
      <c r="P39" s="317"/>
      <c r="Q39" s="317"/>
      <c r="R39" s="317"/>
      <c r="S39" s="318"/>
      <c r="T39" s="319"/>
      <c r="U39" s="320"/>
      <c r="V39" s="321"/>
      <c r="W39" s="322"/>
      <c r="X39" s="323"/>
      <c r="Y39" s="324"/>
      <c r="Z39" s="325"/>
      <c r="AA39" s="326"/>
      <c r="AB39" s="317"/>
      <c r="AC39" s="240"/>
      <c r="AD39" s="158"/>
    </row>
    <row r="40" spans="2:30" s="1" customFormat="1" ht="16.5" customHeight="1" thickBot="1" thickTop="1">
      <c r="B40" s="157"/>
      <c r="C40" s="437" t="s">
        <v>237</v>
      </c>
      <c r="D40" s="436" t="s">
        <v>238</v>
      </c>
      <c r="E40" s="128"/>
      <c r="F40" s="11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41">
        <f>SUM(T20:T39)</f>
        <v>928.1110200000003</v>
      </c>
      <c r="U40" s="242">
        <f>SUM(U20:U39)</f>
        <v>0</v>
      </c>
      <c r="V40" s="243">
        <f>SUM(V20:V39)</f>
        <v>4903.799999999999</v>
      </c>
      <c r="W40" s="244">
        <f>SUM(W22:W39)</f>
        <v>18184.182</v>
      </c>
      <c r="X40" s="245">
        <f>SUM(X20:X39)</f>
        <v>1069.9199999999998</v>
      </c>
      <c r="Y40" s="245">
        <f>SUM(Y22:Y39)</f>
        <v>1496.28312</v>
      </c>
      <c r="Z40" s="246">
        <f>SUM(Z20:Z39)</f>
        <v>144587.2056</v>
      </c>
      <c r="AA40" s="247">
        <f>SUM(AA22:AA39)</f>
        <v>0</v>
      </c>
      <c r="AB40" s="248"/>
      <c r="AC40" s="417">
        <f>ROUND(SUM(AC20:AC39),2)</f>
        <v>171169.5</v>
      </c>
      <c r="AD40" s="158"/>
    </row>
    <row r="41" spans="2:30" s="126" customFormat="1" ht="9.75" thickTop="1">
      <c r="B41" s="249"/>
      <c r="C41" s="128"/>
      <c r="D41" s="128"/>
      <c r="E41" s="128"/>
      <c r="F41" s="129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1"/>
      <c r="U41" s="251"/>
      <c r="V41" s="251"/>
      <c r="W41" s="251"/>
      <c r="X41" s="251"/>
      <c r="Y41" s="251"/>
      <c r="Z41" s="251"/>
      <c r="AA41" s="251"/>
      <c r="AB41" s="250"/>
      <c r="AC41" s="252"/>
      <c r="AD41" s="253"/>
    </row>
    <row r="42" spans="2:30" s="1" customFormat="1" ht="16.5" customHeight="1" thickBot="1">
      <c r="B42" s="254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6"/>
    </row>
    <row r="43" spans="2:30" ht="16.5" customHeight="1" thickTop="1"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8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/>
  <printOptions/>
  <pageMargins left="0.23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zoomScale="70" zoomScaleNormal="70" zoomScalePageLayoutView="0" workbookViewId="0" topLeftCell="A10">
      <selection activeCell="H41" sqref="H41"/>
    </sheetView>
  </sheetViews>
  <sheetFormatPr defaultColWidth="11.421875" defaultRowHeight="12.75"/>
  <cols>
    <col min="1" max="1" width="18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314"/>
    </row>
    <row r="2" spans="2:30" s="3" customFormat="1" ht="26.25">
      <c r="B2" s="16" t="str">
        <f>'TOT-1212'!B2</f>
        <v>ANEXO I al Memorándum  D.T.E.E.  N° 335 /2014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s="1" customFormat="1" ht="12" customHeight="1">
      <c r="B3" s="17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0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2:30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2:30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</row>
    <row r="8" spans="2:30" s="22" customFormat="1" ht="20.25">
      <c r="B8" s="152"/>
      <c r="C8" s="153"/>
      <c r="D8" s="153"/>
      <c r="E8" s="153"/>
      <c r="F8" s="154" t="s">
        <v>5</v>
      </c>
      <c r="H8" s="153"/>
      <c r="I8" s="155"/>
      <c r="J8" s="155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6"/>
    </row>
    <row r="9" spans="2:30" s="1" customFormat="1" ht="16.5" customHeight="1">
      <c r="B9" s="157"/>
      <c r="C9" s="2"/>
      <c r="D9" s="2"/>
      <c r="E9" s="2"/>
      <c r="F9" s="2"/>
      <c r="G9" s="2"/>
      <c r="H9" s="2"/>
      <c r="I9" s="1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8"/>
    </row>
    <row r="10" spans="2:30" s="22" customFormat="1" ht="20.25">
      <c r="B10" s="152"/>
      <c r="C10" s="153"/>
      <c r="D10" s="153"/>
      <c r="E10" s="153"/>
      <c r="F10" s="154" t="s">
        <v>31</v>
      </c>
      <c r="G10" s="153"/>
      <c r="H10" s="153"/>
      <c r="I10" s="155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6"/>
    </row>
    <row r="11" spans="2:30" s="1" customFormat="1" ht="16.5" customHeight="1">
      <c r="B11" s="157"/>
      <c r="C11" s="2"/>
      <c r="D11" s="2"/>
      <c r="E11" s="2"/>
      <c r="F11" s="159"/>
      <c r="G11" s="2"/>
      <c r="H11" s="2"/>
      <c r="I11" s="1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8"/>
    </row>
    <row r="12" spans="2:30" s="22" customFormat="1" ht="20.25">
      <c r="B12" s="152"/>
      <c r="C12" s="153"/>
      <c r="D12" s="153"/>
      <c r="E12" s="153"/>
      <c r="F12" s="160" t="s">
        <v>32</v>
      </c>
      <c r="G12" s="154"/>
      <c r="H12" s="155"/>
      <c r="I12" s="155"/>
      <c r="J12" s="161"/>
      <c r="K12" s="153"/>
      <c r="L12" s="155"/>
      <c r="M12" s="155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</row>
    <row r="13" spans="2:30" s="1" customFormat="1" ht="16.5" customHeight="1">
      <c r="B13" s="157"/>
      <c r="C13" s="2"/>
      <c r="D13" s="2"/>
      <c r="E13" s="2"/>
      <c r="F13" s="162"/>
      <c r="G13" s="162"/>
      <c r="H13" s="162"/>
      <c r="I13" s="163"/>
      <c r="J13" s="16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8"/>
    </row>
    <row r="14" spans="2:30" s="10" customFormat="1" ht="19.5">
      <c r="B14" s="165" t="str">
        <f>'TOT-1212'!B14</f>
        <v>Desde el 01 al 31 de diciembre de 2012</v>
      </c>
      <c r="C14" s="28"/>
      <c r="D14" s="28"/>
      <c r="E14" s="28"/>
      <c r="F14" s="166"/>
      <c r="G14" s="166"/>
      <c r="H14" s="166"/>
      <c r="I14" s="166"/>
      <c r="J14" s="166"/>
      <c r="K14" s="29"/>
      <c r="L14" s="29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</row>
    <row r="15" spans="2:30" s="1" customFormat="1" ht="16.5" customHeight="1" thickBot="1">
      <c r="B15" s="157"/>
      <c r="C15" s="2"/>
      <c r="D15" s="2"/>
      <c r="E15" s="2"/>
      <c r="F15" s="2"/>
      <c r="G15" s="2"/>
      <c r="H15" s="2"/>
      <c r="I15" s="168"/>
      <c r="J15" s="2"/>
      <c r="K15" s="1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8"/>
    </row>
    <row r="16" spans="2:30" s="1" customFormat="1" ht="16.5" customHeight="1" thickBot="1" thickTop="1">
      <c r="B16" s="157"/>
      <c r="C16" s="2"/>
      <c r="D16" s="2"/>
      <c r="E16" s="2"/>
      <c r="F16" s="170" t="s">
        <v>33</v>
      </c>
      <c r="G16" s="171"/>
      <c r="H16" s="172"/>
      <c r="I16" s="315">
        <v>0.743</v>
      </c>
      <c r="J16" s="14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8"/>
    </row>
    <row r="17" spans="2:30" s="1" customFormat="1" ht="16.5" customHeight="1" thickBot="1" thickTop="1">
      <c r="B17" s="157"/>
      <c r="C17" s="2"/>
      <c r="D17" s="2"/>
      <c r="E17" s="2"/>
      <c r="F17" s="173" t="s">
        <v>34</v>
      </c>
      <c r="G17" s="174"/>
      <c r="H17" s="174"/>
      <c r="I17" s="175">
        <f>60*'TOT-1212'!B13</f>
        <v>60</v>
      </c>
      <c r="J17" s="176"/>
      <c r="K17" s="176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7"/>
      <c r="X17" s="2"/>
      <c r="Y17" s="177"/>
      <c r="Z17" s="177"/>
      <c r="AA17" s="177"/>
      <c r="AB17" s="177"/>
      <c r="AC17" s="177"/>
      <c r="AD17" s="158"/>
    </row>
    <row r="18" spans="2:30" s="1" customFormat="1" ht="16.5" customHeight="1" thickBot="1" thickTop="1">
      <c r="B18" s="157"/>
      <c r="C18" s="422">
        <v>3</v>
      </c>
      <c r="D18" s="422">
        <v>4</v>
      </c>
      <c r="E18" s="422">
        <v>5</v>
      </c>
      <c r="F18" s="422">
        <v>6</v>
      </c>
      <c r="G18" s="422">
        <v>7</v>
      </c>
      <c r="H18" s="422">
        <v>8</v>
      </c>
      <c r="I18" s="422">
        <v>9</v>
      </c>
      <c r="J18" s="422">
        <v>10</v>
      </c>
      <c r="K18" s="422">
        <v>11</v>
      </c>
      <c r="L18" s="422">
        <v>12</v>
      </c>
      <c r="M18" s="422">
        <v>13</v>
      </c>
      <c r="N18" s="422">
        <v>14</v>
      </c>
      <c r="O18" s="422">
        <v>15</v>
      </c>
      <c r="P18" s="422">
        <v>16</v>
      </c>
      <c r="Q18" s="422">
        <v>17</v>
      </c>
      <c r="R18" s="422">
        <v>18</v>
      </c>
      <c r="S18" s="422">
        <v>19</v>
      </c>
      <c r="T18" s="422">
        <v>20</v>
      </c>
      <c r="U18" s="422">
        <v>21</v>
      </c>
      <c r="V18" s="422">
        <v>22</v>
      </c>
      <c r="W18" s="422">
        <v>23</v>
      </c>
      <c r="X18" s="422">
        <v>24</v>
      </c>
      <c r="Y18" s="422">
        <v>25</v>
      </c>
      <c r="Z18" s="422">
        <v>26</v>
      </c>
      <c r="AA18" s="422">
        <v>27</v>
      </c>
      <c r="AB18" s="422">
        <v>28</v>
      </c>
      <c r="AC18" s="422">
        <v>29</v>
      </c>
      <c r="AD18" s="158"/>
    </row>
    <row r="19" spans="2:30" s="178" customFormat="1" ht="34.5" customHeight="1" thickBot="1" thickTop="1">
      <c r="B19" s="179"/>
      <c r="C19" s="420" t="s">
        <v>13</v>
      </c>
      <c r="D19" s="420" t="s">
        <v>70</v>
      </c>
      <c r="E19" s="420" t="s">
        <v>71</v>
      </c>
      <c r="F19" s="180" t="s">
        <v>35</v>
      </c>
      <c r="G19" s="181" t="s">
        <v>36</v>
      </c>
      <c r="H19" s="182" t="s">
        <v>37</v>
      </c>
      <c r="I19" s="183" t="s">
        <v>14</v>
      </c>
      <c r="J19" s="184" t="s">
        <v>16</v>
      </c>
      <c r="K19" s="181" t="s">
        <v>17</v>
      </c>
      <c r="L19" s="181" t="s">
        <v>18</v>
      </c>
      <c r="M19" s="180" t="s">
        <v>38</v>
      </c>
      <c r="N19" s="180" t="s">
        <v>39</v>
      </c>
      <c r="O19" s="48" t="s">
        <v>54</v>
      </c>
      <c r="P19" s="181" t="s">
        <v>40</v>
      </c>
      <c r="Q19" s="180" t="s">
        <v>21</v>
      </c>
      <c r="R19" s="181" t="s">
        <v>41</v>
      </c>
      <c r="S19" s="185" t="s">
        <v>42</v>
      </c>
      <c r="T19" s="186" t="s">
        <v>23</v>
      </c>
      <c r="U19" s="187" t="s">
        <v>24</v>
      </c>
      <c r="V19" s="188" t="s">
        <v>43</v>
      </c>
      <c r="W19" s="189"/>
      <c r="X19" s="190" t="s">
        <v>44</v>
      </c>
      <c r="Y19" s="191"/>
      <c r="Z19" s="192" t="s">
        <v>27</v>
      </c>
      <c r="AA19" s="193" t="s">
        <v>28</v>
      </c>
      <c r="AB19" s="183" t="s">
        <v>45</v>
      </c>
      <c r="AC19" s="183" t="s">
        <v>30</v>
      </c>
      <c r="AD19" s="194"/>
    </row>
    <row r="20" spans="2:30" s="1" customFormat="1" ht="16.5" customHeight="1" thickTop="1">
      <c r="B20" s="157"/>
      <c r="C20" s="195"/>
      <c r="D20" s="195"/>
      <c r="E20" s="195"/>
      <c r="F20" s="196"/>
      <c r="G20" s="197"/>
      <c r="H20" s="197"/>
      <c r="I20" s="197"/>
      <c r="J20" s="198"/>
      <c r="K20" s="405"/>
      <c r="L20" s="406"/>
      <c r="M20" s="199"/>
      <c r="N20" s="199"/>
      <c r="O20" s="197"/>
      <c r="P20" s="197"/>
      <c r="Q20" s="197"/>
      <c r="R20" s="197"/>
      <c r="S20" s="74"/>
      <c r="T20" s="72"/>
      <c r="U20" s="200"/>
      <c r="V20" s="201"/>
      <c r="W20" s="202"/>
      <c r="X20" s="203"/>
      <c r="Y20" s="204"/>
      <c r="Z20" s="205"/>
      <c r="AA20" s="206"/>
      <c r="AB20" s="197"/>
      <c r="AC20" s="207">
        <f>'T-12 (1)'!AC40</f>
        <v>171169.5</v>
      </c>
      <c r="AD20" s="158"/>
    </row>
    <row r="21" spans="2:30" s="1" customFormat="1" ht="16.5" customHeight="1">
      <c r="B21" s="157"/>
      <c r="C21" s="208"/>
      <c r="D21" s="208"/>
      <c r="E21" s="208"/>
      <c r="F21" s="209"/>
      <c r="G21" s="210"/>
      <c r="H21" s="210"/>
      <c r="I21" s="210"/>
      <c r="J21" s="211"/>
      <c r="K21" s="431"/>
      <c r="L21" s="432"/>
      <c r="M21" s="212"/>
      <c r="N21" s="212"/>
      <c r="O21" s="210"/>
      <c r="P21" s="210"/>
      <c r="Q21" s="210"/>
      <c r="R21" s="210"/>
      <c r="S21" s="88"/>
      <c r="T21" s="86"/>
      <c r="U21" s="213"/>
      <c r="V21" s="214"/>
      <c r="W21" s="215"/>
      <c r="X21" s="216"/>
      <c r="Y21" s="217"/>
      <c r="Z21" s="218"/>
      <c r="AA21" s="219"/>
      <c r="AB21" s="210"/>
      <c r="AC21" s="220"/>
      <c r="AD21" s="158"/>
    </row>
    <row r="22" spans="2:30" s="1" customFormat="1" ht="16.5" customHeight="1">
      <c r="B22" s="157"/>
      <c r="C22" s="208">
        <v>87</v>
      </c>
      <c r="D22" s="208">
        <v>255567</v>
      </c>
      <c r="E22" s="208">
        <v>4676</v>
      </c>
      <c r="F22" s="77" t="s">
        <v>137</v>
      </c>
      <c r="G22" s="79" t="s">
        <v>124</v>
      </c>
      <c r="H22" s="221">
        <v>30</v>
      </c>
      <c r="I22" s="435" t="s">
        <v>120</v>
      </c>
      <c r="J22" s="223">
        <f aca="true" t="shared" si="0" ref="J22:J36">H22*$I$16</f>
        <v>22.29</v>
      </c>
      <c r="K22" s="431">
        <v>41259.169444444444</v>
      </c>
      <c r="L22" s="431">
        <v>41259.18194444444</v>
      </c>
      <c r="M22" s="224">
        <f aca="true" t="shared" si="1" ref="M22:M36">IF(F22="","",(L22-K22)*24)</f>
        <v>0.2999999999301508</v>
      </c>
      <c r="N22" s="225">
        <f aca="true" t="shared" si="2" ref="N22:N36">IF(F22="","",ROUND((L22-K22)*24*60,0))</f>
        <v>18</v>
      </c>
      <c r="O22" s="226" t="s">
        <v>133</v>
      </c>
      <c r="P22" s="423" t="str">
        <f aca="true" t="shared" si="3" ref="P22:P36">IF(F22="","",IF(OR(O22="P",O22="RP"),"--","NO"))</f>
        <v>NO</v>
      </c>
      <c r="Q22" s="424">
        <v>60</v>
      </c>
      <c r="R22" s="423" t="s">
        <v>76</v>
      </c>
      <c r="S22" s="105">
        <f aca="true" t="shared" si="4" ref="S22:S36">$I$17*IF(OR(O22="P",O22="RP"),0.1,1)*IF(R22="SI",1,0.1)</f>
        <v>60</v>
      </c>
      <c r="T22" s="228" t="str">
        <f aca="true" t="shared" si="5" ref="T22:T36">IF(O22="P",J22*S22*ROUND(N22/60,2),"--")</f>
        <v>--</v>
      </c>
      <c r="U22" s="229" t="str">
        <f aca="true" t="shared" si="6" ref="U22:U36">IF(O22="RP",J22*S22*ROUND(N22/60,2)*Q22/100,"--")</f>
        <v>--</v>
      </c>
      <c r="V22" s="230" t="str">
        <f aca="true" t="shared" si="7" ref="V22:V36">IF(AND(O22="F",P22="NO"),J22*S22,"--")</f>
        <v>--</v>
      </c>
      <c r="W22" s="231" t="str">
        <f aca="true" t="shared" si="8" ref="W22:W36">IF(O22="F",J22*S22*ROUND(N22/60,2),"--")</f>
        <v>--</v>
      </c>
      <c r="X22" s="232">
        <f aca="true" t="shared" si="9" ref="X22:X36">IF(AND(O22="R",P22="NO"),J22*S22*Q22/100,"--")</f>
        <v>802.4399999999998</v>
      </c>
      <c r="Y22" s="233">
        <f aca="true" t="shared" si="10" ref="Y22:Y36">IF(O22="R",J22*S22*ROUND(N22/60,2)*Q22/100,"--")</f>
        <v>240.73199999999997</v>
      </c>
      <c r="Z22" s="234" t="str">
        <f aca="true" t="shared" si="11" ref="Z22:Z36">IF(O22="RF",J22*S22*ROUND(N22/60,2),"--")</f>
        <v>--</v>
      </c>
      <c r="AA22" s="235" t="str">
        <f aca="true" t="shared" si="12" ref="AA22:AA36">IF(O22="RR",J22*S22*ROUND(N22/60,2)*Q22/100,"--")</f>
        <v>--</v>
      </c>
      <c r="AB22" s="423" t="s">
        <v>76</v>
      </c>
      <c r="AC22" s="236">
        <f aca="true" t="shared" si="13" ref="AC22:AC35">IF(F22="","",SUM(T22:AA22)*IF(AB22="SI",1,2)*IF(AND(Q22&lt;&gt;"",O22="RF"),Q22/100,1))</f>
        <v>1043.1719999999998</v>
      </c>
      <c r="AD22" s="237"/>
    </row>
    <row r="23" spans="2:30" s="1" customFormat="1" ht="16.5" customHeight="1">
      <c r="B23" s="157"/>
      <c r="C23" s="208">
        <v>88</v>
      </c>
      <c r="D23" s="208">
        <v>255571</v>
      </c>
      <c r="E23" s="208">
        <v>2286</v>
      </c>
      <c r="F23" s="77" t="s">
        <v>138</v>
      </c>
      <c r="G23" s="79" t="s">
        <v>139</v>
      </c>
      <c r="H23" s="221">
        <v>15</v>
      </c>
      <c r="I23" s="90" t="s">
        <v>120</v>
      </c>
      <c r="J23" s="223">
        <f t="shared" si="0"/>
        <v>11.145</v>
      </c>
      <c r="K23" s="431">
        <v>41259.35763888889</v>
      </c>
      <c r="L23" s="431">
        <v>41259.65972222222</v>
      </c>
      <c r="M23" s="224">
        <f t="shared" si="1"/>
        <v>7.249999999883585</v>
      </c>
      <c r="N23" s="225">
        <f t="shared" si="2"/>
        <v>435</v>
      </c>
      <c r="O23" s="226" t="s">
        <v>79</v>
      </c>
      <c r="P23" s="423" t="str">
        <f t="shared" si="3"/>
        <v>--</v>
      </c>
      <c r="Q23" s="423" t="s">
        <v>77</v>
      </c>
      <c r="R23" s="423" t="str">
        <f aca="true" t="shared" si="14" ref="R23:R35">IF(F23="","","NO")</f>
        <v>NO</v>
      </c>
      <c r="S23" s="105">
        <f t="shared" si="4"/>
        <v>0.6000000000000001</v>
      </c>
      <c r="T23" s="228">
        <f t="shared" si="5"/>
        <v>48.48075000000001</v>
      </c>
      <c r="U23" s="229" t="str">
        <f t="shared" si="6"/>
        <v>--</v>
      </c>
      <c r="V23" s="230" t="str">
        <f t="shared" si="7"/>
        <v>--</v>
      </c>
      <c r="W23" s="231" t="str">
        <f t="shared" si="8"/>
        <v>--</v>
      </c>
      <c r="X23" s="232" t="str">
        <f t="shared" si="9"/>
        <v>--</v>
      </c>
      <c r="Y23" s="233" t="str">
        <f t="shared" si="10"/>
        <v>--</v>
      </c>
      <c r="Z23" s="234" t="str">
        <f t="shared" si="11"/>
        <v>--</v>
      </c>
      <c r="AA23" s="235" t="str">
        <f t="shared" si="12"/>
        <v>--</v>
      </c>
      <c r="AB23" s="423" t="s">
        <v>76</v>
      </c>
      <c r="AC23" s="236">
        <f t="shared" si="13"/>
        <v>48.48075000000001</v>
      </c>
      <c r="AD23" s="237"/>
    </row>
    <row r="24" spans="2:30" s="1" customFormat="1" ht="16.5" customHeight="1">
      <c r="B24" s="157"/>
      <c r="C24" s="208">
        <v>89</v>
      </c>
      <c r="D24" s="208">
        <v>255572</v>
      </c>
      <c r="E24" s="208">
        <v>2489</v>
      </c>
      <c r="F24" s="77" t="s">
        <v>140</v>
      </c>
      <c r="G24" s="79" t="s">
        <v>119</v>
      </c>
      <c r="H24" s="221">
        <v>15</v>
      </c>
      <c r="I24" s="90" t="s">
        <v>120</v>
      </c>
      <c r="J24" s="223">
        <f t="shared" si="0"/>
        <v>11.145</v>
      </c>
      <c r="K24" s="431">
        <v>41259.430555555555</v>
      </c>
      <c r="L24" s="431">
        <v>41259.51666666667</v>
      </c>
      <c r="M24" s="224">
        <f t="shared" si="1"/>
        <v>2.06666666676756</v>
      </c>
      <c r="N24" s="225">
        <f t="shared" si="2"/>
        <v>124</v>
      </c>
      <c r="O24" s="226" t="s">
        <v>79</v>
      </c>
      <c r="P24" s="423" t="str">
        <f t="shared" si="3"/>
        <v>--</v>
      </c>
      <c r="Q24" s="423" t="s">
        <v>77</v>
      </c>
      <c r="R24" s="423" t="str">
        <f t="shared" si="14"/>
        <v>NO</v>
      </c>
      <c r="S24" s="105">
        <f t="shared" si="4"/>
        <v>0.6000000000000001</v>
      </c>
      <c r="T24" s="228">
        <f t="shared" si="5"/>
        <v>13.84209</v>
      </c>
      <c r="U24" s="229" t="str">
        <f t="shared" si="6"/>
        <v>--</v>
      </c>
      <c r="V24" s="230" t="str">
        <f t="shared" si="7"/>
        <v>--</v>
      </c>
      <c r="W24" s="231" t="str">
        <f t="shared" si="8"/>
        <v>--</v>
      </c>
      <c r="X24" s="232" t="str">
        <f t="shared" si="9"/>
        <v>--</v>
      </c>
      <c r="Y24" s="233" t="str">
        <f t="shared" si="10"/>
        <v>--</v>
      </c>
      <c r="Z24" s="234" t="str">
        <f t="shared" si="11"/>
        <v>--</v>
      </c>
      <c r="AA24" s="235" t="str">
        <f t="shared" si="12"/>
        <v>--</v>
      </c>
      <c r="AB24" s="423" t="s">
        <v>76</v>
      </c>
      <c r="AC24" s="236">
        <f t="shared" si="13"/>
        <v>13.84209</v>
      </c>
      <c r="AD24" s="158"/>
    </row>
    <row r="25" spans="2:30" s="1" customFormat="1" ht="16.5" customHeight="1">
      <c r="B25" s="157"/>
      <c r="C25" s="208">
        <v>90</v>
      </c>
      <c r="D25" s="208">
        <v>256264</v>
      </c>
      <c r="E25" s="208">
        <v>2665</v>
      </c>
      <c r="F25" s="77" t="s">
        <v>141</v>
      </c>
      <c r="G25" s="79" t="s">
        <v>142</v>
      </c>
      <c r="H25" s="221">
        <v>30</v>
      </c>
      <c r="I25" s="90" t="s">
        <v>120</v>
      </c>
      <c r="J25" s="223">
        <f t="shared" si="0"/>
        <v>22.29</v>
      </c>
      <c r="K25" s="431">
        <v>41260.24513888889</v>
      </c>
      <c r="L25" s="431">
        <v>41260.28680555556</v>
      </c>
      <c r="M25" s="224">
        <f t="shared" si="1"/>
        <v>1.0000000001164153</v>
      </c>
      <c r="N25" s="225">
        <f t="shared" si="2"/>
        <v>60</v>
      </c>
      <c r="O25" s="226" t="s">
        <v>75</v>
      </c>
      <c r="P25" s="423" t="str">
        <f t="shared" si="3"/>
        <v>NO</v>
      </c>
      <c r="Q25" s="423" t="s">
        <v>77</v>
      </c>
      <c r="R25" s="423" t="s">
        <v>76</v>
      </c>
      <c r="S25" s="105">
        <f t="shared" si="4"/>
        <v>60</v>
      </c>
      <c r="T25" s="228" t="str">
        <f t="shared" si="5"/>
        <v>--</v>
      </c>
      <c r="U25" s="229" t="str">
        <f t="shared" si="6"/>
        <v>--</v>
      </c>
      <c r="V25" s="230">
        <f t="shared" si="7"/>
        <v>1337.3999999999999</v>
      </c>
      <c r="W25" s="231">
        <f t="shared" si="8"/>
        <v>1337.3999999999999</v>
      </c>
      <c r="X25" s="232" t="str">
        <f t="shared" si="9"/>
        <v>--</v>
      </c>
      <c r="Y25" s="233" t="str">
        <f t="shared" si="10"/>
        <v>--</v>
      </c>
      <c r="Z25" s="234" t="str">
        <f t="shared" si="11"/>
        <v>--</v>
      </c>
      <c r="AA25" s="235" t="str">
        <f t="shared" si="12"/>
        <v>--</v>
      </c>
      <c r="AB25" s="423" t="s">
        <v>76</v>
      </c>
      <c r="AC25" s="236">
        <f t="shared" si="13"/>
        <v>2674.7999999999997</v>
      </c>
      <c r="AD25" s="158"/>
    </row>
    <row r="26" spans="2:30" s="1" customFormat="1" ht="16.5" customHeight="1">
      <c r="B26" s="157"/>
      <c r="C26" s="208">
        <v>91</v>
      </c>
      <c r="D26" s="208">
        <v>256277</v>
      </c>
      <c r="E26" s="208">
        <v>4433</v>
      </c>
      <c r="F26" s="77" t="s">
        <v>143</v>
      </c>
      <c r="G26" s="79" t="s">
        <v>144</v>
      </c>
      <c r="H26" s="221">
        <v>40</v>
      </c>
      <c r="I26" s="90" t="s">
        <v>145</v>
      </c>
      <c r="J26" s="223">
        <f t="shared" si="0"/>
        <v>29.72</v>
      </c>
      <c r="K26" s="431">
        <v>41261.43125</v>
      </c>
      <c r="L26" s="431">
        <v>41261.48055555556</v>
      </c>
      <c r="M26" s="224">
        <f t="shared" si="1"/>
        <v>1.1833333333488554</v>
      </c>
      <c r="N26" s="225">
        <f t="shared" si="2"/>
        <v>71</v>
      </c>
      <c r="O26" s="226" t="s">
        <v>79</v>
      </c>
      <c r="P26" s="423" t="str">
        <f t="shared" si="3"/>
        <v>--</v>
      </c>
      <c r="Q26" s="423" t="s">
        <v>77</v>
      </c>
      <c r="R26" s="423" t="str">
        <f t="shared" si="14"/>
        <v>NO</v>
      </c>
      <c r="S26" s="105">
        <f t="shared" si="4"/>
        <v>0.6000000000000001</v>
      </c>
      <c r="T26" s="228">
        <f t="shared" si="5"/>
        <v>21.04176</v>
      </c>
      <c r="U26" s="229" t="str">
        <f t="shared" si="6"/>
        <v>--</v>
      </c>
      <c r="V26" s="230" t="str">
        <f t="shared" si="7"/>
        <v>--</v>
      </c>
      <c r="W26" s="231" t="str">
        <f t="shared" si="8"/>
        <v>--</v>
      </c>
      <c r="X26" s="232" t="str">
        <f t="shared" si="9"/>
        <v>--</v>
      </c>
      <c r="Y26" s="233" t="str">
        <f t="shared" si="10"/>
        <v>--</v>
      </c>
      <c r="Z26" s="234" t="str">
        <f t="shared" si="11"/>
        <v>--</v>
      </c>
      <c r="AA26" s="235" t="str">
        <f t="shared" si="12"/>
        <v>--</v>
      </c>
      <c r="AB26" s="423" t="s">
        <v>76</v>
      </c>
      <c r="AC26" s="236">
        <f t="shared" si="13"/>
        <v>21.04176</v>
      </c>
      <c r="AD26" s="158"/>
    </row>
    <row r="27" spans="2:30" s="1" customFormat="1" ht="16.5" customHeight="1">
      <c r="B27" s="157"/>
      <c r="C27" s="208">
        <v>92</v>
      </c>
      <c r="D27" s="208">
        <v>256284</v>
      </c>
      <c r="E27" s="208">
        <v>2364</v>
      </c>
      <c r="F27" s="77" t="s">
        <v>129</v>
      </c>
      <c r="G27" s="79" t="s">
        <v>119</v>
      </c>
      <c r="H27" s="221">
        <v>15</v>
      </c>
      <c r="I27" s="90" t="s">
        <v>120</v>
      </c>
      <c r="J27" s="223">
        <f t="shared" si="0"/>
        <v>11.145</v>
      </c>
      <c r="K27" s="431">
        <v>41262.375</v>
      </c>
      <c r="L27" s="431">
        <v>41264.520833333336</v>
      </c>
      <c r="M27" s="224">
        <f t="shared" si="1"/>
        <v>51.50000000005821</v>
      </c>
      <c r="N27" s="225">
        <f t="shared" si="2"/>
        <v>3090</v>
      </c>
      <c r="O27" s="226" t="s">
        <v>79</v>
      </c>
      <c r="P27" s="423" t="str">
        <f t="shared" si="3"/>
        <v>--</v>
      </c>
      <c r="Q27" s="423" t="s">
        <v>77</v>
      </c>
      <c r="R27" s="423" t="str">
        <f t="shared" si="14"/>
        <v>NO</v>
      </c>
      <c r="S27" s="105">
        <f t="shared" si="4"/>
        <v>0.6000000000000001</v>
      </c>
      <c r="T27" s="228">
        <f t="shared" si="5"/>
        <v>344.38050000000004</v>
      </c>
      <c r="U27" s="229" t="str">
        <f t="shared" si="6"/>
        <v>--</v>
      </c>
      <c r="V27" s="230" t="str">
        <f t="shared" si="7"/>
        <v>--</v>
      </c>
      <c r="W27" s="231" t="str">
        <f t="shared" si="8"/>
        <v>--</v>
      </c>
      <c r="X27" s="232" t="str">
        <f t="shared" si="9"/>
        <v>--</v>
      </c>
      <c r="Y27" s="233" t="str">
        <f t="shared" si="10"/>
        <v>--</v>
      </c>
      <c r="Z27" s="234" t="str">
        <f t="shared" si="11"/>
        <v>--</v>
      </c>
      <c r="AA27" s="235" t="str">
        <f t="shared" si="12"/>
        <v>--</v>
      </c>
      <c r="AB27" s="423" t="s">
        <v>76</v>
      </c>
      <c r="AC27" s="236">
        <f t="shared" si="13"/>
        <v>344.38050000000004</v>
      </c>
      <c r="AD27" s="158"/>
    </row>
    <row r="28" spans="2:30" s="1" customFormat="1" ht="16.5" customHeight="1">
      <c r="B28" s="157"/>
      <c r="C28" s="208">
        <v>93</v>
      </c>
      <c r="D28" s="208">
        <v>256290</v>
      </c>
      <c r="E28" s="208">
        <v>2186</v>
      </c>
      <c r="F28" s="77" t="s">
        <v>146</v>
      </c>
      <c r="G28" s="79" t="s">
        <v>122</v>
      </c>
      <c r="H28" s="221">
        <v>5</v>
      </c>
      <c r="I28" s="435" t="s">
        <v>230</v>
      </c>
      <c r="J28" s="223">
        <f t="shared" si="0"/>
        <v>3.715</v>
      </c>
      <c r="K28" s="431">
        <v>41264.302777777775</v>
      </c>
      <c r="L28" s="431">
        <v>41264.40694444445</v>
      </c>
      <c r="M28" s="224">
        <f t="shared" si="1"/>
        <v>2.5000000001164153</v>
      </c>
      <c r="N28" s="225">
        <f t="shared" si="2"/>
        <v>150</v>
      </c>
      <c r="O28" s="226" t="s">
        <v>79</v>
      </c>
      <c r="P28" s="423" t="str">
        <f t="shared" si="3"/>
        <v>--</v>
      </c>
      <c r="Q28" s="423" t="s">
        <v>77</v>
      </c>
      <c r="R28" s="423" t="str">
        <f t="shared" si="14"/>
        <v>NO</v>
      </c>
      <c r="S28" s="105">
        <f t="shared" si="4"/>
        <v>0.6000000000000001</v>
      </c>
      <c r="T28" s="228">
        <f t="shared" si="5"/>
        <v>5.5725</v>
      </c>
      <c r="U28" s="229" t="str">
        <f t="shared" si="6"/>
        <v>--</v>
      </c>
      <c r="V28" s="230" t="str">
        <f t="shared" si="7"/>
        <v>--</v>
      </c>
      <c r="W28" s="231" t="str">
        <f t="shared" si="8"/>
        <v>--</v>
      </c>
      <c r="X28" s="232" t="str">
        <f t="shared" si="9"/>
        <v>--</v>
      </c>
      <c r="Y28" s="233" t="str">
        <f t="shared" si="10"/>
        <v>--</v>
      </c>
      <c r="Z28" s="234" t="str">
        <f t="shared" si="11"/>
        <v>--</v>
      </c>
      <c r="AA28" s="235" t="str">
        <f t="shared" si="12"/>
        <v>--</v>
      </c>
      <c r="AB28" s="423" t="s">
        <v>76</v>
      </c>
      <c r="AC28" s="236">
        <f t="shared" si="13"/>
        <v>5.5725</v>
      </c>
      <c r="AD28" s="158"/>
    </row>
    <row r="29" spans="2:30" s="1" customFormat="1" ht="16.5" customHeight="1">
      <c r="B29" s="157"/>
      <c r="C29" s="208">
        <v>94</v>
      </c>
      <c r="D29" s="208">
        <v>256322</v>
      </c>
      <c r="E29" s="208">
        <v>2561</v>
      </c>
      <c r="F29" s="77" t="s">
        <v>147</v>
      </c>
      <c r="G29" s="79" t="s">
        <v>126</v>
      </c>
      <c r="H29" s="221">
        <v>10</v>
      </c>
      <c r="I29" s="435" t="s">
        <v>232</v>
      </c>
      <c r="J29" s="223">
        <f t="shared" si="0"/>
        <v>7.43</v>
      </c>
      <c r="K29" s="431">
        <v>41267.48611111111</v>
      </c>
      <c r="L29" s="431">
        <v>41267.541666666664</v>
      </c>
      <c r="M29" s="224">
        <f t="shared" si="1"/>
        <v>1.3333333333139308</v>
      </c>
      <c r="N29" s="225">
        <f t="shared" si="2"/>
        <v>80</v>
      </c>
      <c r="O29" s="226" t="s">
        <v>75</v>
      </c>
      <c r="P29" s="423" t="str">
        <f t="shared" si="3"/>
        <v>NO</v>
      </c>
      <c r="Q29" s="423" t="s">
        <v>77</v>
      </c>
      <c r="R29" s="423" t="str">
        <f t="shared" si="14"/>
        <v>NO</v>
      </c>
      <c r="S29" s="105">
        <f t="shared" si="4"/>
        <v>6</v>
      </c>
      <c r="T29" s="228" t="str">
        <f t="shared" si="5"/>
        <v>--</v>
      </c>
      <c r="U29" s="229" t="str">
        <f t="shared" si="6"/>
        <v>--</v>
      </c>
      <c r="V29" s="230">
        <f t="shared" si="7"/>
        <v>44.58</v>
      </c>
      <c r="W29" s="231">
        <f t="shared" si="8"/>
        <v>59.2914</v>
      </c>
      <c r="X29" s="232" t="str">
        <f t="shared" si="9"/>
        <v>--</v>
      </c>
      <c r="Y29" s="233" t="str">
        <f t="shared" si="10"/>
        <v>--</v>
      </c>
      <c r="Z29" s="234" t="str">
        <f t="shared" si="11"/>
        <v>--</v>
      </c>
      <c r="AA29" s="235" t="str">
        <f t="shared" si="12"/>
        <v>--</v>
      </c>
      <c r="AB29" s="423" t="s">
        <v>76</v>
      </c>
      <c r="AC29" s="236">
        <f t="shared" si="13"/>
        <v>103.8714</v>
      </c>
      <c r="AD29" s="158"/>
    </row>
    <row r="30" spans="2:30" s="1" customFormat="1" ht="16.5" customHeight="1">
      <c r="B30" s="157"/>
      <c r="C30" s="208">
        <v>95</v>
      </c>
      <c r="D30" s="208">
        <v>256325</v>
      </c>
      <c r="E30" s="208">
        <v>2459</v>
      </c>
      <c r="F30" s="77" t="s">
        <v>148</v>
      </c>
      <c r="G30" s="79" t="s">
        <v>119</v>
      </c>
      <c r="H30" s="221">
        <v>15</v>
      </c>
      <c r="I30" s="90" t="s">
        <v>120</v>
      </c>
      <c r="J30" s="223">
        <f t="shared" si="0"/>
        <v>11.145</v>
      </c>
      <c r="K30" s="431">
        <v>41267.54236111111</v>
      </c>
      <c r="L30" s="431">
        <v>41267.65902777778</v>
      </c>
      <c r="M30" s="224">
        <f t="shared" si="1"/>
        <v>2.800000000046566</v>
      </c>
      <c r="N30" s="225">
        <f t="shared" si="2"/>
        <v>168</v>
      </c>
      <c r="O30" s="226" t="s">
        <v>75</v>
      </c>
      <c r="P30" s="423" t="str">
        <f t="shared" si="3"/>
        <v>NO</v>
      </c>
      <c r="Q30" s="423" t="s">
        <v>77</v>
      </c>
      <c r="R30" s="423" t="str">
        <f t="shared" si="14"/>
        <v>NO</v>
      </c>
      <c r="S30" s="105">
        <f t="shared" si="4"/>
        <v>6</v>
      </c>
      <c r="T30" s="228" t="str">
        <f t="shared" si="5"/>
        <v>--</v>
      </c>
      <c r="U30" s="229" t="str">
        <f t="shared" si="6"/>
        <v>--</v>
      </c>
      <c r="V30" s="230">
        <f t="shared" si="7"/>
        <v>66.87</v>
      </c>
      <c r="W30" s="231">
        <f t="shared" si="8"/>
        <v>187.236</v>
      </c>
      <c r="X30" s="232" t="str">
        <f t="shared" si="9"/>
        <v>--</v>
      </c>
      <c r="Y30" s="233" t="str">
        <f t="shared" si="10"/>
        <v>--</v>
      </c>
      <c r="Z30" s="234" t="str">
        <f t="shared" si="11"/>
        <v>--</v>
      </c>
      <c r="AA30" s="235" t="str">
        <f t="shared" si="12"/>
        <v>--</v>
      </c>
      <c r="AB30" s="423" t="s">
        <v>76</v>
      </c>
      <c r="AC30" s="236">
        <f t="shared" si="13"/>
        <v>254.106</v>
      </c>
      <c r="AD30" s="158"/>
    </row>
    <row r="31" spans="2:30" s="1" customFormat="1" ht="16.5" customHeight="1">
      <c r="B31" s="157"/>
      <c r="C31" s="208">
        <v>96</v>
      </c>
      <c r="D31" s="208">
        <v>256380</v>
      </c>
      <c r="E31" s="208">
        <v>2430</v>
      </c>
      <c r="F31" s="77" t="s">
        <v>149</v>
      </c>
      <c r="G31" s="79" t="s">
        <v>119</v>
      </c>
      <c r="H31" s="221">
        <v>15</v>
      </c>
      <c r="I31" s="90" t="s">
        <v>120</v>
      </c>
      <c r="J31" s="223">
        <f t="shared" si="0"/>
        <v>11.145</v>
      </c>
      <c r="K31" s="431">
        <v>41267.68819444445</v>
      </c>
      <c r="L31" s="431">
        <v>41267.779861111114</v>
      </c>
      <c r="M31" s="224">
        <f t="shared" si="1"/>
        <v>2.2000000000116415</v>
      </c>
      <c r="N31" s="225">
        <f t="shared" si="2"/>
        <v>132</v>
      </c>
      <c r="O31" s="226" t="s">
        <v>75</v>
      </c>
      <c r="P31" s="423" t="str">
        <f t="shared" si="3"/>
        <v>NO</v>
      </c>
      <c r="Q31" s="423" t="s">
        <v>77</v>
      </c>
      <c r="R31" s="423" t="str">
        <f t="shared" si="14"/>
        <v>NO</v>
      </c>
      <c r="S31" s="105">
        <f t="shared" si="4"/>
        <v>6</v>
      </c>
      <c r="T31" s="228" t="str">
        <f t="shared" si="5"/>
        <v>--</v>
      </c>
      <c r="U31" s="229" t="str">
        <f t="shared" si="6"/>
        <v>--</v>
      </c>
      <c r="V31" s="230">
        <f t="shared" si="7"/>
        <v>66.87</v>
      </c>
      <c r="W31" s="231">
        <f t="shared" si="8"/>
        <v>147.11400000000003</v>
      </c>
      <c r="X31" s="232" t="str">
        <f t="shared" si="9"/>
        <v>--</v>
      </c>
      <c r="Y31" s="233" t="str">
        <f t="shared" si="10"/>
        <v>--</v>
      </c>
      <c r="Z31" s="234" t="str">
        <f t="shared" si="11"/>
        <v>--</v>
      </c>
      <c r="AA31" s="235" t="str">
        <f t="shared" si="12"/>
        <v>--</v>
      </c>
      <c r="AB31" s="423" t="s">
        <v>76</v>
      </c>
      <c r="AC31" s="236">
        <f t="shared" si="13"/>
        <v>213.98400000000004</v>
      </c>
      <c r="AD31" s="158"/>
    </row>
    <row r="32" spans="2:30" s="1" customFormat="1" ht="16.5" customHeight="1">
      <c r="B32" s="157"/>
      <c r="C32" s="208">
        <v>97</v>
      </c>
      <c r="D32" s="208">
        <v>256388</v>
      </c>
      <c r="E32" s="208">
        <v>4973</v>
      </c>
      <c r="F32" s="77" t="s">
        <v>150</v>
      </c>
      <c r="G32" s="79" t="s">
        <v>124</v>
      </c>
      <c r="H32" s="221">
        <v>30</v>
      </c>
      <c r="I32" s="435" t="s">
        <v>120</v>
      </c>
      <c r="J32" s="223">
        <f t="shared" si="0"/>
        <v>22.29</v>
      </c>
      <c r="K32" s="431">
        <v>41267.99930555555</v>
      </c>
      <c r="L32" s="431">
        <v>41268.02847222222</v>
      </c>
      <c r="M32" s="224">
        <f t="shared" si="1"/>
        <v>0.7000000000116415</v>
      </c>
      <c r="N32" s="225">
        <f t="shared" si="2"/>
        <v>42</v>
      </c>
      <c r="O32" s="226" t="s">
        <v>75</v>
      </c>
      <c r="P32" s="423" t="str">
        <f t="shared" si="3"/>
        <v>NO</v>
      </c>
      <c r="Q32" s="423" t="s">
        <v>77</v>
      </c>
      <c r="R32" s="423" t="s">
        <v>76</v>
      </c>
      <c r="S32" s="105">
        <f t="shared" si="4"/>
        <v>60</v>
      </c>
      <c r="T32" s="228" t="str">
        <f t="shared" si="5"/>
        <v>--</v>
      </c>
      <c r="U32" s="229" t="str">
        <f t="shared" si="6"/>
        <v>--</v>
      </c>
      <c r="V32" s="230">
        <f t="shared" si="7"/>
        <v>1337.3999999999999</v>
      </c>
      <c r="W32" s="231">
        <f t="shared" si="8"/>
        <v>936.1799999999998</v>
      </c>
      <c r="X32" s="232" t="str">
        <f t="shared" si="9"/>
        <v>--</v>
      </c>
      <c r="Y32" s="233" t="str">
        <f t="shared" si="10"/>
        <v>--</v>
      </c>
      <c r="Z32" s="234" t="str">
        <f t="shared" si="11"/>
        <v>--</v>
      </c>
      <c r="AA32" s="235" t="str">
        <f t="shared" si="12"/>
        <v>--</v>
      </c>
      <c r="AB32" s="423" t="s">
        <v>76</v>
      </c>
      <c r="AC32" s="236">
        <f t="shared" si="13"/>
        <v>2273.58</v>
      </c>
      <c r="AD32" s="158"/>
    </row>
    <row r="33" spans="2:30" s="1" customFormat="1" ht="16.5" customHeight="1">
      <c r="B33" s="157"/>
      <c r="C33" s="208">
        <v>98</v>
      </c>
      <c r="D33" s="208">
        <v>256395</v>
      </c>
      <c r="E33" s="208">
        <v>2139</v>
      </c>
      <c r="F33" s="77" t="s">
        <v>125</v>
      </c>
      <c r="G33" s="79" t="s">
        <v>151</v>
      </c>
      <c r="H33" s="221">
        <v>5</v>
      </c>
      <c r="I33" s="435" t="s">
        <v>230</v>
      </c>
      <c r="J33" s="223">
        <f t="shared" si="0"/>
        <v>3.715</v>
      </c>
      <c r="K33" s="431">
        <v>41269.404861111114</v>
      </c>
      <c r="L33" s="431">
        <v>41269.60972222222</v>
      </c>
      <c r="M33" s="224">
        <f t="shared" si="1"/>
        <v>4.916666666627862</v>
      </c>
      <c r="N33" s="225">
        <f t="shared" si="2"/>
        <v>295</v>
      </c>
      <c r="O33" s="226" t="s">
        <v>79</v>
      </c>
      <c r="P33" s="423" t="str">
        <f t="shared" si="3"/>
        <v>--</v>
      </c>
      <c r="Q33" s="423" t="s">
        <v>77</v>
      </c>
      <c r="R33" s="423" t="str">
        <f t="shared" si="14"/>
        <v>NO</v>
      </c>
      <c r="S33" s="105">
        <f t="shared" si="4"/>
        <v>0.6000000000000001</v>
      </c>
      <c r="T33" s="228">
        <f t="shared" si="5"/>
        <v>10.96668</v>
      </c>
      <c r="U33" s="229" t="str">
        <f t="shared" si="6"/>
        <v>--</v>
      </c>
      <c r="V33" s="230" t="str">
        <f t="shared" si="7"/>
        <v>--</v>
      </c>
      <c r="W33" s="231" t="str">
        <f t="shared" si="8"/>
        <v>--</v>
      </c>
      <c r="X33" s="232" t="str">
        <f t="shared" si="9"/>
        <v>--</v>
      </c>
      <c r="Y33" s="233" t="str">
        <f t="shared" si="10"/>
        <v>--</v>
      </c>
      <c r="Z33" s="234" t="str">
        <f t="shared" si="11"/>
        <v>--</v>
      </c>
      <c r="AA33" s="235" t="str">
        <f t="shared" si="12"/>
        <v>--</v>
      </c>
      <c r="AB33" s="423" t="s">
        <v>76</v>
      </c>
      <c r="AC33" s="236">
        <f t="shared" si="13"/>
        <v>10.96668</v>
      </c>
      <c r="AD33" s="158"/>
    </row>
    <row r="34" spans="2:30" s="1" customFormat="1" ht="16.5" customHeight="1">
      <c r="B34" s="157"/>
      <c r="C34" s="208">
        <v>99</v>
      </c>
      <c r="D34" s="208">
        <v>256398</v>
      </c>
      <c r="E34" s="208">
        <v>2139</v>
      </c>
      <c r="F34" s="77" t="s">
        <v>125</v>
      </c>
      <c r="G34" s="79" t="s">
        <v>151</v>
      </c>
      <c r="H34" s="221">
        <v>5</v>
      </c>
      <c r="I34" s="435" t="s">
        <v>230</v>
      </c>
      <c r="J34" s="223">
        <f t="shared" si="0"/>
        <v>3.715</v>
      </c>
      <c r="K34" s="431">
        <v>41270.33472222222</v>
      </c>
      <c r="L34" s="431">
        <v>41270.57916666667</v>
      </c>
      <c r="M34" s="224">
        <f t="shared" si="1"/>
        <v>5.866666666755918</v>
      </c>
      <c r="N34" s="225">
        <f t="shared" si="2"/>
        <v>352</v>
      </c>
      <c r="O34" s="226" t="s">
        <v>79</v>
      </c>
      <c r="P34" s="423" t="str">
        <f t="shared" si="3"/>
        <v>--</v>
      </c>
      <c r="Q34" s="423" t="s">
        <v>77</v>
      </c>
      <c r="R34" s="423" t="str">
        <f t="shared" si="14"/>
        <v>NO</v>
      </c>
      <c r="S34" s="105">
        <f t="shared" si="4"/>
        <v>0.6000000000000001</v>
      </c>
      <c r="T34" s="228">
        <f t="shared" si="5"/>
        <v>13.084230000000002</v>
      </c>
      <c r="U34" s="229" t="str">
        <f t="shared" si="6"/>
        <v>--</v>
      </c>
      <c r="V34" s="230" t="str">
        <f t="shared" si="7"/>
        <v>--</v>
      </c>
      <c r="W34" s="231" t="str">
        <f t="shared" si="8"/>
        <v>--</v>
      </c>
      <c r="X34" s="232" t="str">
        <f t="shared" si="9"/>
        <v>--</v>
      </c>
      <c r="Y34" s="233" t="str">
        <f t="shared" si="10"/>
        <v>--</v>
      </c>
      <c r="Z34" s="234" t="str">
        <f t="shared" si="11"/>
        <v>--</v>
      </c>
      <c r="AA34" s="235" t="str">
        <f t="shared" si="12"/>
        <v>--</v>
      </c>
      <c r="AB34" s="423" t="s">
        <v>76</v>
      </c>
      <c r="AC34" s="236">
        <f t="shared" si="13"/>
        <v>13.084230000000002</v>
      </c>
      <c r="AD34" s="237"/>
    </row>
    <row r="35" spans="2:30" s="1" customFormat="1" ht="16.5" customHeight="1">
      <c r="B35" s="157"/>
      <c r="C35" s="208">
        <v>100</v>
      </c>
      <c r="D35" s="208">
        <v>256400</v>
      </c>
      <c r="E35" s="208">
        <v>4963</v>
      </c>
      <c r="F35" s="77" t="s">
        <v>152</v>
      </c>
      <c r="G35" s="79" t="s">
        <v>124</v>
      </c>
      <c r="H35" s="221">
        <v>30</v>
      </c>
      <c r="I35" s="435" t="s">
        <v>120</v>
      </c>
      <c r="J35" s="223">
        <f t="shared" si="0"/>
        <v>22.29</v>
      </c>
      <c r="K35" s="431">
        <v>41270.38958333333</v>
      </c>
      <c r="L35" s="431">
        <v>41270.55694444444</v>
      </c>
      <c r="M35" s="224">
        <f t="shared" si="1"/>
        <v>4.016666666662786</v>
      </c>
      <c r="N35" s="225">
        <f t="shared" si="2"/>
        <v>241</v>
      </c>
      <c r="O35" s="226" t="s">
        <v>79</v>
      </c>
      <c r="P35" s="423" t="str">
        <f t="shared" si="3"/>
        <v>--</v>
      </c>
      <c r="Q35" s="423" t="s">
        <v>77</v>
      </c>
      <c r="R35" s="423" t="str">
        <f t="shared" si="14"/>
        <v>NO</v>
      </c>
      <c r="S35" s="105">
        <f t="shared" si="4"/>
        <v>0.6000000000000001</v>
      </c>
      <c r="T35" s="228">
        <f t="shared" si="5"/>
        <v>53.76348</v>
      </c>
      <c r="U35" s="229" t="str">
        <f t="shared" si="6"/>
        <v>--</v>
      </c>
      <c r="V35" s="230" t="str">
        <f t="shared" si="7"/>
        <v>--</v>
      </c>
      <c r="W35" s="231" t="str">
        <f t="shared" si="8"/>
        <v>--</v>
      </c>
      <c r="X35" s="232" t="str">
        <f t="shared" si="9"/>
        <v>--</v>
      </c>
      <c r="Y35" s="233" t="str">
        <f t="shared" si="10"/>
        <v>--</v>
      </c>
      <c r="Z35" s="234" t="str">
        <f t="shared" si="11"/>
        <v>--</v>
      </c>
      <c r="AA35" s="235" t="str">
        <f t="shared" si="12"/>
        <v>--</v>
      </c>
      <c r="AB35" s="423" t="s">
        <v>76</v>
      </c>
      <c r="AC35" s="236">
        <f t="shared" si="13"/>
        <v>53.76348</v>
      </c>
      <c r="AD35" s="237"/>
    </row>
    <row r="36" spans="2:30" s="1" customFormat="1" ht="16.5" customHeight="1">
      <c r="B36" s="157"/>
      <c r="C36" s="208" t="s">
        <v>299</v>
      </c>
      <c r="D36" s="208">
        <v>256404</v>
      </c>
      <c r="E36" s="208">
        <v>4679</v>
      </c>
      <c r="F36" s="77" t="s">
        <v>153</v>
      </c>
      <c r="G36" s="79" t="s">
        <v>122</v>
      </c>
      <c r="H36" s="221">
        <v>30</v>
      </c>
      <c r="I36" s="90" t="s">
        <v>120</v>
      </c>
      <c r="J36" s="223">
        <f t="shared" si="0"/>
        <v>22.29</v>
      </c>
      <c r="K36" s="431">
        <v>41271.44236111111</v>
      </c>
      <c r="L36" s="431">
        <v>41271.458333333336</v>
      </c>
      <c r="M36" s="224">
        <f t="shared" si="1"/>
        <v>0.3833333333604969</v>
      </c>
      <c r="N36" s="225">
        <f t="shared" si="2"/>
        <v>23</v>
      </c>
      <c r="O36" s="226" t="s">
        <v>133</v>
      </c>
      <c r="P36" s="423" t="str">
        <f t="shared" si="3"/>
        <v>NO</v>
      </c>
      <c r="Q36" s="424">
        <v>40</v>
      </c>
      <c r="R36" s="423" t="s">
        <v>76</v>
      </c>
      <c r="S36" s="105">
        <f t="shared" si="4"/>
        <v>60</v>
      </c>
      <c r="T36" s="228" t="str">
        <f t="shared" si="5"/>
        <v>--</v>
      </c>
      <c r="U36" s="229" t="str">
        <f t="shared" si="6"/>
        <v>--</v>
      </c>
      <c r="V36" s="230" t="str">
        <f t="shared" si="7"/>
        <v>--</v>
      </c>
      <c r="W36" s="231" t="str">
        <f t="shared" si="8"/>
        <v>--</v>
      </c>
      <c r="X36" s="232">
        <f t="shared" si="9"/>
        <v>534.9599999999999</v>
      </c>
      <c r="Y36" s="233">
        <f t="shared" si="10"/>
        <v>203.28479999999996</v>
      </c>
      <c r="Z36" s="234" t="str">
        <f t="shared" si="11"/>
        <v>--</v>
      </c>
      <c r="AA36" s="235" t="str">
        <f t="shared" si="12"/>
        <v>--</v>
      </c>
      <c r="AB36" s="423" t="s">
        <v>76</v>
      </c>
      <c r="AC36" s="236">
        <v>0</v>
      </c>
      <c r="AD36" s="158"/>
    </row>
    <row r="37" spans="2:30" s="1" customFormat="1" ht="16.5" customHeight="1" thickBot="1">
      <c r="B37" s="157"/>
      <c r="C37" s="317"/>
      <c r="D37" s="317"/>
      <c r="E37" s="317"/>
      <c r="F37" s="317"/>
      <c r="G37" s="317"/>
      <c r="H37" s="317"/>
      <c r="I37" s="317"/>
      <c r="J37" s="239"/>
      <c r="K37" s="407"/>
      <c r="L37" s="407"/>
      <c r="M37" s="238"/>
      <c r="N37" s="238"/>
      <c r="O37" s="317"/>
      <c r="P37" s="317"/>
      <c r="Q37" s="317"/>
      <c r="R37" s="317"/>
      <c r="S37" s="318"/>
      <c r="T37" s="319"/>
      <c r="U37" s="320"/>
      <c r="V37" s="321"/>
      <c r="W37" s="322"/>
      <c r="X37" s="323"/>
      <c r="Y37" s="324"/>
      <c r="Z37" s="325"/>
      <c r="AA37" s="326"/>
      <c r="AB37" s="317"/>
      <c r="AC37" s="240"/>
      <c r="AD37" s="158"/>
    </row>
    <row r="38" spans="2:30" s="1" customFormat="1" ht="16.5" customHeight="1" thickBot="1" thickTop="1">
      <c r="B38" s="157"/>
      <c r="C38" s="437" t="s">
        <v>237</v>
      </c>
      <c r="D38" s="436" t="s">
        <v>239</v>
      </c>
      <c r="E38" s="128"/>
      <c r="F38" s="1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41">
        <f>SUM(T20:T37)</f>
        <v>511.13199000000003</v>
      </c>
      <c r="U38" s="242">
        <f>SUM(U20:U37)</f>
        <v>0</v>
      </c>
      <c r="V38" s="243">
        <f>SUM(V20:V37)</f>
        <v>2853.12</v>
      </c>
      <c r="W38" s="244">
        <f>SUM(W22:W37)</f>
        <v>2667.2214</v>
      </c>
      <c r="X38" s="245">
        <f>SUM(X20:X37)</f>
        <v>1337.3999999999996</v>
      </c>
      <c r="Y38" s="245">
        <f>SUM(Y22:Y37)</f>
        <v>444.01679999999993</v>
      </c>
      <c r="Z38" s="246">
        <f>SUM(Z20:Z37)</f>
        <v>0</v>
      </c>
      <c r="AA38" s="247">
        <f>SUM(AA22:AA37)</f>
        <v>0</v>
      </c>
      <c r="AB38" s="248"/>
      <c r="AC38" s="417">
        <f>ROUND(SUM(AC20:AC37),2)</f>
        <v>178244.15</v>
      </c>
      <c r="AD38" s="158"/>
    </row>
    <row r="39" spans="2:30" s="126" customFormat="1" ht="14.25" customHeight="1" thickTop="1">
      <c r="B39" s="127"/>
      <c r="C39" s="769" t="s">
        <v>299</v>
      </c>
      <c r="D39" s="436" t="s">
        <v>298</v>
      </c>
      <c r="E39" s="769"/>
      <c r="F39" s="129"/>
      <c r="G39" s="130"/>
      <c r="H39" s="131"/>
      <c r="I39" s="131"/>
      <c r="J39" s="132"/>
      <c r="K39" s="132"/>
      <c r="L39" s="132"/>
      <c r="M39" s="132"/>
      <c r="N39" s="132"/>
      <c r="O39" s="132"/>
      <c r="P39" s="133"/>
      <c r="Q39" s="133"/>
      <c r="R39" s="134"/>
      <c r="S39" s="134"/>
      <c r="T39" s="135"/>
      <c r="U39" s="135"/>
      <c r="V39" s="136"/>
      <c r="W39" s="136"/>
      <c r="X39" s="136"/>
      <c r="Y39" s="136"/>
      <c r="Z39" s="136"/>
      <c r="AA39" s="136"/>
      <c r="AB39" s="136"/>
      <c r="AC39" s="137"/>
      <c r="AD39" s="138"/>
    </row>
    <row r="40" spans="2:30" s="126" customFormat="1" ht="9">
      <c r="B40" s="249"/>
      <c r="C40" s="128"/>
      <c r="D40" s="128"/>
      <c r="E40" s="128"/>
      <c r="F40" s="129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1"/>
      <c r="U40" s="251"/>
      <c r="V40" s="251"/>
      <c r="W40" s="251"/>
      <c r="X40" s="251"/>
      <c r="Y40" s="251"/>
      <c r="Z40" s="251"/>
      <c r="AA40" s="251"/>
      <c r="AB40" s="250"/>
      <c r="AC40" s="252"/>
      <c r="AD40" s="253"/>
    </row>
    <row r="41" spans="2:30" s="1" customFormat="1" ht="16.5" customHeight="1" thickBot="1">
      <c r="B41" s="254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6"/>
    </row>
    <row r="42" spans="2:30" ht="16.5" customHeight="1" thickTop="1"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8"/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0" zoomScaleNormal="70" zoomScalePageLayoutView="0" workbookViewId="0" topLeftCell="F16">
      <selection activeCell="Z42" sqref="Z42"/>
    </sheetView>
  </sheetViews>
  <sheetFormatPr defaultColWidth="11.421875" defaultRowHeight="12.75"/>
  <cols>
    <col min="1" max="1" width="19.710937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9"/>
      <c r="W1" s="313"/>
    </row>
    <row r="2" spans="1:23" s="3" customFormat="1" ht="26.25">
      <c r="A2" s="259"/>
      <c r="B2" s="16" t="str">
        <f>'TOT-1212'!B2</f>
        <v>ANEXO I al Memorándum  D.T.E.E.  N° 335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1"/>
    </row>
    <row r="5" spans="1:2" s="9" customFormat="1" ht="11.25">
      <c r="A5" s="8" t="s">
        <v>4</v>
      </c>
      <c r="B5" s="261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2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'TOT-1212'!B14</f>
        <v>Desde el 01 al 31 de diciembre de 2012</v>
      </c>
      <c r="C12" s="263"/>
      <c r="D12" s="263"/>
      <c r="E12" s="263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4" t="s">
        <v>48</v>
      </c>
      <c r="G14" s="316">
        <v>19.787</v>
      </c>
      <c r="H14" s="266">
        <f>60*'TOT-1212'!B13</f>
        <v>60</v>
      </c>
      <c r="I14" s="34"/>
      <c r="J14" s="176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4" t="s">
        <v>49</v>
      </c>
      <c r="G15" s="265">
        <v>9.893</v>
      </c>
      <c r="H15" s="266">
        <f>50*'TOT-1212'!B13</f>
        <v>50</v>
      </c>
      <c r="J15" s="176" t="str">
        <f>IF(H15=50," ",IF(H15=100,"    Coeficiente duplicado por tasa de falla &gt;4 Sal. x año/100 km.","    REVISAR COEFICIENTE"))</f>
        <v> </v>
      </c>
      <c r="S15" s="7"/>
      <c r="T15" s="7"/>
      <c r="U15" s="7"/>
      <c r="V15" s="267"/>
      <c r="W15" s="14"/>
    </row>
    <row r="16" spans="2:23" s="1" customFormat="1" ht="16.5" customHeight="1" thickBot="1" thickTop="1">
      <c r="B16" s="13"/>
      <c r="C16" s="7"/>
      <c r="D16" s="7"/>
      <c r="E16" s="7"/>
      <c r="F16" s="268" t="s">
        <v>50</v>
      </c>
      <c r="G16" s="269">
        <v>7.419</v>
      </c>
      <c r="H16" s="270">
        <f>50*'TOT-1212'!B13</f>
        <v>50</v>
      </c>
      <c r="J16" s="176" t="str">
        <f>IF(H16=50," ",IF(H16=100,"    Coeficiente duplicado por tasa de falla &gt;4 Sal. x año/100 km.","    REVISAR COEFICIENTE"))</f>
        <v> </v>
      </c>
      <c r="K16" s="271"/>
      <c r="L16" s="271"/>
      <c r="M16" s="7"/>
      <c r="P16" s="272"/>
      <c r="Q16" s="273"/>
      <c r="R16" s="15"/>
      <c r="S16" s="7"/>
      <c r="T16" s="7"/>
      <c r="U16" s="7"/>
      <c r="V16" s="267"/>
      <c r="W16" s="14"/>
    </row>
    <row r="17" spans="2:23" s="1" customFormat="1" ht="16.5" customHeight="1" thickBot="1" thickTop="1">
      <c r="B17" s="13"/>
      <c r="C17" s="7"/>
      <c r="D17" s="7"/>
      <c r="E17" s="7"/>
      <c r="F17" s="274" t="s">
        <v>51</v>
      </c>
      <c r="G17" s="269">
        <v>7.419</v>
      </c>
      <c r="H17" s="275">
        <f>40*'TOT-1212'!B13</f>
        <v>40</v>
      </c>
      <c r="J17" s="176" t="str">
        <f>IF(H17=40," ",IF(H17=80,"    Coeficiente duplicado por tasa de falla &gt;4 Sal. x año/100 km.","    REVISAR COEFICIENTE"))</f>
        <v> </v>
      </c>
      <c r="K17" s="271"/>
      <c r="L17" s="271"/>
      <c r="M17" s="7"/>
      <c r="P17" s="272"/>
      <c r="Q17" s="273"/>
      <c r="R17" s="15"/>
      <c r="S17" s="7"/>
      <c r="T17" s="7"/>
      <c r="U17" s="7"/>
      <c r="V17" s="267"/>
      <c r="W17" s="14"/>
    </row>
    <row r="18" spans="2:23" s="1" customFormat="1" ht="16.5" customHeight="1" thickBot="1" thickTop="1">
      <c r="B18" s="13"/>
      <c r="C18" s="421">
        <v>3</v>
      </c>
      <c r="D18" s="421">
        <v>4</v>
      </c>
      <c r="E18" s="421">
        <v>5</v>
      </c>
      <c r="F18" s="421">
        <v>6</v>
      </c>
      <c r="G18" s="421">
        <v>7</v>
      </c>
      <c r="H18" s="421">
        <v>8</v>
      </c>
      <c r="I18" s="421">
        <v>9</v>
      </c>
      <c r="J18" s="421">
        <v>10</v>
      </c>
      <c r="K18" s="421">
        <v>11</v>
      </c>
      <c r="L18" s="421">
        <v>12</v>
      </c>
      <c r="M18" s="421">
        <v>13</v>
      </c>
      <c r="N18" s="421">
        <v>14</v>
      </c>
      <c r="O18" s="421">
        <v>15</v>
      </c>
      <c r="P18" s="421">
        <v>16</v>
      </c>
      <c r="Q18" s="421">
        <v>17</v>
      </c>
      <c r="R18" s="421">
        <v>18</v>
      </c>
      <c r="S18" s="421">
        <v>19</v>
      </c>
      <c r="T18" s="421">
        <v>20</v>
      </c>
      <c r="U18" s="421">
        <v>21</v>
      </c>
      <c r="V18" s="421">
        <v>22</v>
      </c>
      <c r="W18" s="14"/>
    </row>
    <row r="19" spans="2:23" s="276" customFormat="1" ht="34.5" customHeight="1" thickBot="1" thickTop="1">
      <c r="B19" s="277"/>
      <c r="C19" s="420" t="s">
        <v>13</v>
      </c>
      <c r="D19" s="420" t="s">
        <v>70</v>
      </c>
      <c r="E19" s="420" t="s">
        <v>71</v>
      </c>
      <c r="F19" s="180" t="s">
        <v>35</v>
      </c>
      <c r="G19" s="181" t="s">
        <v>36</v>
      </c>
      <c r="H19" s="183" t="s">
        <v>14</v>
      </c>
      <c r="I19" s="49" t="s">
        <v>16</v>
      </c>
      <c r="J19" s="181" t="s">
        <v>17</v>
      </c>
      <c r="K19" s="181" t="s">
        <v>18</v>
      </c>
      <c r="L19" s="180" t="s">
        <v>38</v>
      </c>
      <c r="M19" s="180" t="s">
        <v>39</v>
      </c>
      <c r="N19" s="48" t="s">
        <v>54</v>
      </c>
      <c r="O19" s="181" t="s">
        <v>40</v>
      </c>
      <c r="P19" s="278" t="s">
        <v>52</v>
      </c>
      <c r="Q19" s="279" t="s">
        <v>53</v>
      </c>
      <c r="R19" s="280" t="s">
        <v>43</v>
      </c>
      <c r="S19" s="281"/>
      <c r="T19" s="282" t="s">
        <v>27</v>
      </c>
      <c r="U19" s="183" t="s">
        <v>29</v>
      </c>
      <c r="V19" s="183" t="s">
        <v>30</v>
      </c>
      <c r="W19" s="283"/>
    </row>
    <row r="20" spans="2:23" s="1" customFormat="1" ht="16.5" customHeight="1" thickTop="1">
      <c r="B20" s="13"/>
      <c r="C20" s="197"/>
      <c r="D20" s="419"/>
      <c r="E20" s="419"/>
      <c r="F20" s="195"/>
      <c r="G20" s="195"/>
      <c r="H20" s="284"/>
      <c r="I20" s="285"/>
      <c r="J20" s="405"/>
      <c r="K20" s="408"/>
      <c r="L20" s="199"/>
      <c r="M20" s="199"/>
      <c r="N20" s="196"/>
      <c r="O20" s="196"/>
      <c r="P20" s="286"/>
      <c r="Q20" s="287"/>
      <c r="R20" s="288"/>
      <c r="S20" s="289"/>
      <c r="T20" s="290"/>
      <c r="U20" s="291"/>
      <c r="V20" s="207"/>
      <c r="W20" s="158"/>
    </row>
    <row r="21" spans="2:23" s="1" customFormat="1" ht="16.5" customHeight="1">
      <c r="B21" s="13"/>
      <c r="C21" s="209"/>
      <c r="D21" s="208"/>
      <c r="E21" s="208"/>
      <c r="F21" s="292"/>
      <c r="G21" s="292"/>
      <c r="H21" s="293"/>
      <c r="I21" s="294"/>
      <c r="J21" s="433"/>
      <c r="K21" s="434"/>
      <c r="L21" s="224"/>
      <c r="M21" s="295"/>
      <c r="N21" s="226"/>
      <c r="O21" s="226"/>
      <c r="P21" s="296"/>
      <c r="Q21" s="297"/>
      <c r="R21" s="298"/>
      <c r="S21" s="299"/>
      <c r="T21" s="300"/>
      <c r="U21" s="301"/>
      <c r="V21" s="302"/>
      <c r="W21" s="158"/>
    </row>
    <row r="22" spans="2:23" s="1" customFormat="1" ht="16.5" customHeight="1">
      <c r="B22" s="13"/>
      <c r="C22" s="209" t="s">
        <v>300</v>
      </c>
      <c r="D22" s="208">
        <v>254793</v>
      </c>
      <c r="E22" s="208">
        <v>2269</v>
      </c>
      <c r="F22" s="292" t="s">
        <v>143</v>
      </c>
      <c r="G22" s="292" t="s">
        <v>154</v>
      </c>
      <c r="H22" s="293">
        <v>66</v>
      </c>
      <c r="I22" s="294">
        <f aca="true" t="shared" si="0" ref="I22:I42">IF(H22=220,$G$14,IF(AND(H22&lt;=132,H22&gt;=66),$G$15,IF(AND(H22&lt;66,H22&gt;=33),$G$16,$G$17)))</f>
        <v>9.893</v>
      </c>
      <c r="J22" s="433">
        <v>41245.84861111111</v>
      </c>
      <c r="K22" s="434">
        <v>41246.42222222222</v>
      </c>
      <c r="L22" s="224">
        <f aca="true" t="shared" si="1" ref="L22:L42">IF(F22="","",(K22-J22)*24)</f>
        <v>13.766666666662786</v>
      </c>
      <c r="M22" s="295">
        <f aca="true" t="shared" si="2" ref="M22:M42">IF(F22="","",ROUND((K22-J22)*24*60,0))</f>
        <v>826</v>
      </c>
      <c r="N22" s="226" t="s">
        <v>75</v>
      </c>
      <c r="O22" s="427" t="str">
        <f aca="true" t="shared" si="3" ref="O22:O42">IF(F22="","",IF(OR(N22="P",N22="RP"),"--","NO"))</f>
        <v>NO</v>
      </c>
      <c r="P22" s="296">
        <f aca="true" t="shared" si="4" ref="P22:P42">IF(H22=220,$H$14,IF(AND(H22&lt;=132,H22&gt;=66),$H$15,IF(AND(H22&lt;66,H22&gt;13.2),$H$16,$H$17)))</f>
        <v>50</v>
      </c>
      <c r="Q22" s="297" t="str">
        <f aca="true" t="shared" si="5" ref="Q22:Q42">IF(N22="P",I22*P22*ROUND(M22/60,2)*0.1,"--")</f>
        <v>--</v>
      </c>
      <c r="R22" s="298">
        <f aca="true" t="shared" si="6" ref="R22:R42">IF(AND(N22="F",O22="NO"),I22*P22,"--")</f>
        <v>494.65000000000003</v>
      </c>
      <c r="S22" s="299">
        <f aca="true" t="shared" si="7" ref="S22:S42">IF(N22="F",I22*P22*ROUND(M22/60,2),"--")</f>
        <v>6811.3305</v>
      </c>
      <c r="T22" s="300" t="str">
        <f aca="true" t="shared" si="8" ref="T22:T42">IF(N22="RF",I22*P22*ROUND(M22/60,2),"--")</f>
        <v>--</v>
      </c>
      <c r="U22" s="428" t="s">
        <v>76</v>
      </c>
      <c r="V22" s="304">
        <v>0</v>
      </c>
      <c r="W22" s="237"/>
    </row>
    <row r="23" spans="2:23" s="1" customFormat="1" ht="16.5" customHeight="1">
      <c r="B23" s="13"/>
      <c r="C23" s="209">
        <v>103</v>
      </c>
      <c r="D23" s="208">
        <v>254794</v>
      </c>
      <c r="E23" s="208">
        <v>2281</v>
      </c>
      <c r="F23" s="292" t="s">
        <v>155</v>
      </c>
      <c r="G23" s="292" t="s">
        <v>156</v>
      </c>
      <c r="H23" s="293">
        <v>13.199999809265137</v>
      </c>
      <c r="I23" s="294">
        <f t="shared" si="0"/>
        <v>7.419</v>
      </c>
      <c r="J23" s="433">
        <v>41245.88333333333</v>
      </c>
      <c r="K23" s="434">
        <v>41245.972916666666</v>
      </c>
      <c r="L23" s="224">
        <f t="shared" si="1"/>
        <v>2.150000000023283</v>
      </c>
      <c r="M23" s="295">
        <f t="shared" si="2"/>
        <v>129</v>
      </c>
      <c r="N23" s="226" t="s">
        <v>75</v>
      </c>
      <c r="O23" s="427" t="str">
        <f t="shared" si="3"/>
        <v>NO</v>
      </c>
      <c r="P23" s="296">
        <f t="shared" si="4"/>
        <v>40</v>
      </c>
      <c r="Q23" s="297" t="str">
        <f t="shared" si="5"/>
        <v>--</v>
      </c>
      <c r="R23" s="298">
        <f t="shared" si="6"/>
        <v>296.76</v>
      </c>
      <c r="S23" s="299">
        <f t="shared" si="7"/>
        <v>638.034</v>
      </c>
      <c r="T23" s="300" t="str">
        <f t="shared" si="8"/>
        <v>--</v>
      </c>
      <c r="U23" s="428" t="s">
        <v>76</v>
      </c>
      <c r="V23" s="304">
        <f aca="true" t="shared" si="9" ref="V23:V42">IF(F23="","",SUM(Q23:T23)*IF(U23="SI",1,2)*IF(H23="500/220",0,1))</f>
        <v>934.794</v>
      </c>
      <c r="W23" s="237"/>
    </row>
    <row r="24" spans="2:23" s="1" customFormat="1" ht="16.5" customHeight="1">
      <c r="B24" s="13"/>
      <c r="C24" s="209">
        <v>104</v>
      </c>
      <c r="D24" s="208">
        <v>254795</v>
      </c>
      <c r="E24" s="208">
        <v>2285</v>
      </c>
      <c r="F24" s="292" t="s">
        <v>155</v>
      </c>
      <c r="G24" s="292" t="s">
        <v>157</v>
      </c>
      <c r="H24" s="293">
        <v>13.199999809265137</v>
      </c>
      <c r="I24" s="294">
        <f t="shared" si="0"/>
        <v>7.419</v>
      </c>
      <c r="J24" s="433">
        <v>41245.88333333333</v>
      </c>
      <c r="K24" s="434">
        <v>41246.01388888889</v>
      </c>
      <c r="L24" s="224">
        <f t="shared" si="1"/>
        <v>3.1333333334187046</v>
      </c>
      <c r="M24" s="295">
        <f t="shared" si="2"/>
        <v>188</v>
      </c>
      <c r="N24" s="226" t="s">
        <v>75</v>
      </c>
      <c r="O24" s="427" t="str">
        <f t="shared" si="3"/>
        <v>NO</v>
      </c>
      <c r="P24" s="296">
        <f t="shared" si="4"/>
        <v>40</v>
      </c>
      <c r="Q24" s="297" t="str">
        <f t="shared" si="5"/>
        <v>--</v>
      </c>
      <c r="R24" s="298">
        <f t="shared" si="6"/>
        <v>296.76</v>
      </c>
      <c r="S24" s="299">
        <f t="shared" si="7"/>
        <v>928.8588</v>
      </c>
      <c r="T24" s="300" t="str">
        <f t="shared" si="8"/>
        <v>--</v>
      </c>
      <c r="U24" s="428" t="s">
        <v>76</v>
      </c>
      <c r="V24" s="304">
        <f t="shared" si="9"/>
        <v>1225.6188</v>
      </c>
      <c r="W24" s="237"/>
    </row>
    <row r="25" spans="2:23" s="1" customFormat="1" ht="16.5" customHeight="1">
      <c r="B25" s="13"/>
      <c r="C25" s="209">
        <v>105</v>
      </c>
      <c r="D25" s="208">
        <v>254796</v>
      </c>
      <c r="E25" s="208">
        <v>2284</v>
      </c>
      <c r="F25" s="292" t="s">
        <v>155</v>
      </c>
      <c r="G25" s="292" t="s">
        <v>158</v>
      </c>
      <c r="H25" s="293">
        <v>13.199999809265137</v>
      </c>
      <c r="I25" s="294">
        <f t="shared" si="0"/>
        <v>7.419</v>
      </c>
      <c r="J25" s="433">
        <v>41245.88333333333</v>
      </c>
      <c r="K25" s="434">
        <v>41245.99930555555</v>
      </c>
      <c r="L25" s="224">
        <f t="shared" si="1"/>
        <v>2.7833333333255723</v>
      </c>
      <c r="M25" s="295">
        <f t="shared" si="2"/>
        <v>167</v>
      </c>
      <c r="N25" s="226" t="s">
        <v>75</v>
      </c>
      <c r="O25" s="427" t="str">
        <f t="shared" si="3"/>
        <v>NO</v>
      </c>
      <c r="P25" s="296">
        <f t="shared" si="4"/>
        <v>40</v>
      </c>
      <c r="Q25" s="297" t="str">
        <f t="shared" si="5"/>
        <v>--</v>
      </c>
      <c r="R25" s="298">
        <f t="shared" si="6"/>
        <v>296.76</v>
      </c>
      <c r="S25" s="299">
        <f t="shared" si="7"/>
        <v>824.9927999999999</v>
      </c>
      <c r="T25" s="300" t="str">
        <f t="shared" si="8"/>
        <v>--</v>
      </c>
      <c r="U25" s="428" t="s">
        <v>76</v>
      </c>
      <c r="V25" s="304">
        <f t="shared" si="9"/>
        <v>1121.7527999999998</v>
      </c>
      <c r="W25" s="237"/>
    </row>
    <row r="26" spans="2:23" s="1" customFormat="1" ht="16.5" customHeight="1">
      <c r="B26" s="13"/>
      <c r="C26" s="209">
        <v>108</v>
      </c>
      <c r="D26" s="208">
        <v>255294</v>
      </c>
      <c r="E26" s="208">
        <v>2045</v>
      </c>
      <c r="F26" s="292" t="s">
        <v>159</v>
      </c>
      <c r="G26" s="292" t="s">
        <v>160</v>
      </c>
      <c r="H26" s="293">
        <v>33</v>
      </c>
      <c r="I26" s="294">
        <f t="shared" si="0"/>
        <v>7.419</v>
      </c>
      <c r="J26" s="433">
        <v>41246.38263888889</v>
      </c>
      <c r="K26" s="434">
        <v>41246.77291666667</v>
      </c>
      <c r="L26" s="224">
        <f t="shared" si="1"/>
        <v>9.366666666639503</v>
      </c>
      <c r="M26" s="295">
        <f t="shared" si="2"/>
        <v>562</v>
      </c>
      <c r="N26" s="226" t="s">
        <v>79</v>
      </c>
      <c r="O26" s="427" t="str">
        <f t="shared" si="3"/>
        <v>--</v>
      </c>
      <c r="P26" s="296">
        <f t="shared" si="4"/>
        <v>50</v>
      </c>
      <c r="Q26" s="297">
        <f t="shared" si="5"/>
        <v>347.58015</v>
      </c>
      <c r="R26" s="298" t="str">
        <f t="shared" si="6"/>
        <v>--</v>
      </c>
      <c r="S26" s="299" t="str">
        <f t="shared" si="7"/>
        <v>--</v>
      </c>
      <c r="T26" s="300" t="str">
        <f t="shared" si="8"/>
        <v>--</v>
      </c>
      <c r="U26" s="428" t="s">
        <v>76</v>
      </c>
      <c r="V26" s="304">
        <f t="shared" si="9"/>
        <v>347.58015</v>
      </c>
      <c r="W26" s="237"/>
    </row>
    <row r="27" spans="2:23" s="1" customFormat="1" ht="16.5" customHeight="1">
      <c r="B27" s="13"/>
      <c r="C27" s="209">
        <v>109</v>
      </c>
      <c r="D27" s="208">
        <v>255295</v>
      </c>
      <c r="E27" s="208">
        <v>2425</v>
      </c>
      <c r="F27" s="292" t="s">
        <v>161</v>
      </c>
      <c r="G27" s="292" t="s">
        <v>162</v>
      </c>
      <c r="H27" s="293">
        <v>33</v>
      </c>
      <c r="I27" s="294">
        <f t="shared" si="0"/>
        <v>7.419</v>
      </c>
      <c r="J27" s="433">
        <v>41246.388194444444</v>
      </c>
      <c r="K27" s="434">
        <v>41246.561111111114</v>
      </c>
      <c r="L27" s="224">
        <f t="shared" si="1"/>
        <v>4.150000000081491</v>
      </c>
      <c r="M27" s="295">
        <f t="shared" si="2"/>
        <v>249</v>
      </c>
      <c r="N27" s="226" t="s">
        <v>79</v>
      </c>
      <c r="O27" s="427" t="str">
        <f t="shared" si="3"/>
        <v>--</v>
      </c>
      <c r="P27" s="296">
        <f t="shared" si="4"/>
        <v>50</v>
      </c>
      <c r="Q27" s="297">
        <f t="shared" si="5"/>
        <v>153.94425</v>
      </c>
      <c r="R27" s="298" t="str">
        <f t="shared" si="6"/>
        <v>--</v>
      </c>
      <c r="S27" s="299" t="str">
        <f t="shared" si="7"/>
        <v>--</v>
      </c>
      <c r="T27" s="300" t="str">
        <f t="shared" si="8"/>
        <v>--</v>
      </c>
      <c r="U27" s="428" t="s">
        <v>76</v>
      </c>
      <c r="V27" s="304">
        <f t="shared" si="9"/>
        <v>153.94425</v>
      </c>
      <c r="W27" s="237"/>
    </row>
    <row r="28" spans="2:23" s="1" customFormat="1" ht="16.5" customHeight="1">
      <c r="B28" s="13"/>
      <c r="C28" s="209">
        <v>110</v>
      </c>
      <c r="D28" s="208">
        <v>255296</v>
      </c>
      <c r="E28" s="208">
        <v>2633</v>
      </c>
      <c r="F28" s="292" t="s">
        <v>159</v>
      </c>
      <c r="G28" s="292" t="s">
        <v>163</v>
      </c>
      <c r="H28" s="303">
        <v>33</v>
      </c>
      <c r="I28" s="294">
        <f t="shared" si="0"/>
        <v>7.419</v>
      </c>
      <c r="J28" s="433">
        <v>41246.395833333336</v>
      </c>
      <c r="K28" s="434">
        <v>41246.69652777778</v>
      </c>
      <c r="L28" s="224">
        <f t="shared" si="1"/>
        <v>7.21666666661622</v>
      </c>
      <c r="M28" s="295">
        <f t="shared" si="2"/>
        <v>433</v>
      </c>
      <c r="N28" s="226" t="s">
        <v>79</v>
      </c>
      <c r="O28" s="427" t="str">
        <f t="shared" si="3"/>
        <v>--</v>
      </c>
      <c r="P28" s="296">
        <f t="shared" si="4"/>
        <v>50</v>
      </c>
      <c r="Q28" s="297">
        <f t="shared" si="5"/>
        <v>267.8259</v>
      </c>
      <c r="R28" s="298" t="str">
        <f t="shared" si="6"/>
        <v>--</v>
      </c>
      <c r="S28" s="299" t="str">
        <f t="shared" si="7"/>
        <v>--</v>
      </c>
      <c r="T28" s="300" t="str">
        <f t="shared" si="8"/>
        <v>--</v>
      </c>
      <c r="U28" s="428" t="s">
        <v>76</v>
      </c>
      <c r="V28" s="304">
        <f t="shared" si="9"/>
        <v>267.8259</v>
      </c>
      <c r="W28" s="237"/>
    </row>
    <row r="29" spans="2:23" s="1" customFormat="1" ht="16.5" customHeight="1">
      <c r="B29" s="13"/>
      <c r="C29" s="209">
        <v>111</v>
      </c>
      <c r="D29" s="208">
        <v>255301</v>
      </c>
      <c r="E29" s="208">
        <v>2274</v>
      </c>
      <c r="F29" s="292" t="s">
        <v>143</v>
      </c>
      <c r="G29" s="292" t="s">
        <v>164</v>
      </c>
      <c r="H29" s="293">
        <v>13.199999809265137</v>
      </c>
      <c r="I29" s="294">
        <f t="shared" si="0"/>
        <v>7.419</v>
      </c>
      <c r="J29" s="433">
        <v>41247.27222222222</v>
      </c>
      <c r="K29" s="434">
        <v>41247.376388888886</v>
      </c>
      <c r="L29" s="224">
        <f t="shared" si="1"/>
        <v>2.4999999999417923</v>
      </c>
      <c r="M29" s="295">
        <f t="shared" si="2"/>
        <v>150</v>
      </c>
      <c r="N29" s="226" t="s">
        <v>79</v>
      </c>
      <c r="O29" s="427" t="str">
        <f t="shared" si="3"/>
        <v>--</v>
      </c>
      <c r="P29" s="296">
        <f t="shared" si="4"/>
        <v>40</v>
      </c>
      <c r="Q29" s="297">
        <f t="shared" si="5"/>
        <v>74.19</v>
      </c>
      <c r="R29" s="298" t="str">
        <f t="shared" si="6"/>
        <v>--</v>
      </c>
      <c r="S29" s="299" t="str">
        <f t="shared" si="7"/>
        <v>--</v>
      </c>
      <c r="T29" s="300" t="str">
        <f t="shared" si="8"/>
        <v>--</v>
      </c>
      <c r="U29" s="428" t="s">
        <v>76</v>
      </c>
      <c r="V29" s="304">
        <f t="shared" si="9"/>
        <v>74.19</v>
      </c>
      <c r="W29" s="237"/>
    </row>
    <row r="30" spans="2:23" s="1" customFormat="1" ht="16.5" customHeight="1">
      <c r="B30" s="13"/>
      <c r="C30" s="209">
        <v>112</v>
      </c>
      <c r="D30" s="208">
        <v>255303</v>
      </c>
      <c r="E30" s="208">
        <v>2424</v>
      </c>
      <c r="F30" s="292" t="s">
        <v>161</v>
      </c>
      <c r="G30" s="292" t="s">
        <v>165</v>
      </c>
      <c r="H30" s="293">
        <v>33</v>
      </c>
      <c r="I30" s="294">
        <f t="shared" si="0"/>
        <v>7.419</v>
      </c>
      <c r="J30" s="433">
        <v>41247.356944444444</v>
      </c>
      <c r="K30" s="434">
        <v>41247.59930555556</v>
      </c>
      <c r="L30" s="224">
        <f t="shared" si="1"/>
        <v>5.81666666676756</v>
      </c>
      <c r="M30" s="295">
        <f t="shared" si="2"/>
        <v>349</v>
      </c>
      <c r="N30" s="226" t="s">
        <v>79</v>
      </c>
      <c r="O30" s="427" t="str">
        <f t="shared" si="3"/>
        <v>--</v>
      </c>
      <c r="P30" s="296">
        <f t="shared" si="4"/>
        <v>50</v>
      </c>
      <c r="Q30" s="297">
        <f t="shared" si="5"/>
        <v>215.89290000000003</v>
      </c>
      <c r="R30" s="298" t="str">
        <f t="shared" si="6"/>
        <v>--</v>
      </c>
      <c r="S30" s="299" t="str">
        <f t="shared" si="7"/>
        <v>--</v>
      </c>
      <c r="T30" s="300" t="str">
        <f t="shared" si="8"/>
        <v>--</v>
      </c>
      <c r="U30" s="428" t="s">
        <v>76</v>
      </c>
      <c r="V30" s="304">
        <f t="shared" si="9"/>
        <v>215.89290000000003</v>
      </c>
      <c r="W30" s="237"/>
    </row>
    <row r="31" spans="2:23" s="1" customFormat="1" ht="16.5" customHeight="1">
      <c r="B31" s="13"/>
      <c r="C31" s="209">
        <v>113</v>
      </c>
      <c r="D31" s="208">
        <v>255304</v>
      </c>
      <c r="E31" s="208">
        <v>2372</v>
      </c>
      <c r="F31" s="292" t="s">
        <v>129</v>
      </c>
      <c r="G31" s="292" t="s">
        <v>166</v>
      </c>
      <c r="H31" s="293">
        <v>13.199999809265137</v>
      </c>
      <c r="I31" s="294">
        <f t="shared" si="0"/>
        <v>7.419</v>
      </c>
      <c r="J31" s="433">
        <v>41247.37847222222</v>
      </c>
      <c r="K31" s="434">
        <v>41247.629166666666</v>
      </c>
      <c r="L31" s="224">
        <f t="shared" si="1"/>
        <v>6.016666666720994</v>
      </c>
      <c r="M31" s="295">
        <f t="shared" si="2"/>
        <v>361</v>
      </c>
      <c r="N31" s="226" t="s">
        <v>79</v>
      </c>
      <c r="O31" s="427" t="str">
        <f t="shared" si="3"/>
        <v>--</v>
      </c>
      <c r="P31" s="296">
        <f t="shared" si="4"/>
        <v>40</v>
      </c>
      <c r="Q31" s="297">
        <f t="shared" si="5"/>
        <v>178.64952</v>
      </c>
      <c r="R31" s="298" t="str">
        <f t="shared" si="6"/>
        <v>--</v>
      </c>
      <c r="S31" s="299" t="str">
        <f t="shared" si="7"/>
        <v>--</v>
      </c>
      <c r="T31" s="300" t="str">
        <f t="shared" si="8"/>
        <v>--</v>
      </c>
      <c r="U31" s="428" t="s">
        <v>76</v>
      </c>
      <c r="V31" s="304">
        <f t="shared" si="9"/>
        <v>178.64952</v>
      </c>
      <c r="W31" s="237"/>
    </row>
    <row r="32" spans="2:23" s="1" customFormat="1" ht="16.5" customHeight="1">
      <c r="B32" s="13"/>
      <c r="C32" s="209">
        <v>114</v>
      </c>
      <c r="D32" s="208">
        <v>255306</v>
      </c>
      <c r="E32" s="208">
        <v>3667</v>
      </c>
      <c r="F32" s="292" t="s">
        <v>159</v>
      </c>
      <c r="G32" s="292" t="s">
        <v>167</v>
      </c>
      <c r="H32" s="293">
        <v>132</v>
      </c>
      <c r="I32" s="294">
        <f t="shared" si="0"/>
        <v>9.893</v>
      </c>
      <c r="J32" s="433">
        <v>41247.38402777778</v>
      </c>
      <c r="K32" s="434">
        <v>41247.71388888889</v>
      </c>
      <c r="L32" s="224">
        <f t="shared" si="1"/>
        <v>7.916666666627862</v>
      </c>
      <c r="M32" s="295">
        <f t="shared" si="2"/>
        <v>475</v>
      </c>
      <c r="N32" s="226" t="s">
        <v>79</v>
      </c>
      <c r="O32" s="427" t="str">
        <f t="shared" si="3"/>
        <v>--</v>
      </c>
      <c r="P32" s="296">
        <f t="shared" si="4"/>
        <v>50</v>
      </c>
      <c r="Q32" s="297">
        <f t="shared" si="5"/>
        <v>391.7628</v>
      </c>
      <c r="R32" s="298" t="str">
        <f t="shared" si="6"/>
        <v>--</v>
      </c>
      <c r="S32" s="299" t="str">
        <f t="shared" si="7"/>
        <v>--</v>
      </c>
      <c r="T32" s="300" t="str">
        <f t="shared" si="8"/>
        <v>--</v>
      </c>
      <c r="U32" s="428" t="s">
        <v>76</v>
      </c>
      <c r="V32" s="304">
        <f t="shared" si="9"/>
        <v>391.7628</v>
      </c>
      <c r="W32" s="237"/>
    </row>
    <row r="33" spans="2:23" s="1" customFormat="1" ht="16.5" customHeight="1">
      <c r="B33" s="13"/>
      <c r="C33" s="209">
        <v>115</v>
      </c>
      <c r="D33" s="208">
        <v>255307</v>
      </c>
      <c r="E33" s="208">
        <v>2633</v>
      </c>
      <c r="F33" s="292" t="s">
        <v>159</v>
      </c>
      <c r="G33" s="292" t="s">
        <v>163</v>
      </c>
      <c r="H33" s="293">
        <v>33</v>
      </c>
      <c r="I33" s="294">
        <f t="shared" si="0"/>
        <v>7.419</v>
      </c>
      <c r="J33" s="433">
        <v>41247.3875</v>
      </c>
      <c r="K33" s="434">
        <v>41247.70763888889</v>
      </c>
      <c r="L33" s="224">
        <f t="shared" si="1"/>
        <v>7.683333333407063</v>
      </c>
      <c r="M33" s="295">
        <f t="shared" si="2"/>
        <v>461</v>
      </c>
      <c r="N33" s="226" t="s">
        <v>79</v>
      </c>
      <c r="O33" s="427" t="str">
        <f t="shared" si="3"/>
        <v>--</v>
      </c>
      <c r="P33" s="296">
        <f t="shared" si="4"/>
        <v>50</v>
      </c>
      <c r="Q33" s="297">
        <f t="shared" si="5"/>
        <v>284.8896</v>
      </c>
      <c r="R33" s="298" t="str">
        <f t="shared" si="6"/>
        <v>--</v>
      </c>
      <c r="S33" s="299" t="str">
        <f t="shared" si="7"/>
        <v>--</v>
      </c>
      <c r="T33" s="300" t="str">
        <f t="shared" si="8"/>
        <v>--</v>
      </c>
      <c r="U33" s="428" t="s">
        <v>76</v>
      </c>
      <c r="V33" s="304">
        <f t="shared" si="9"/>
        <v>284.8896</v>
      </c>
      <c r="W33" s="237"/>
    </row>
    <row r="34" spans="2:23" s="1" customFormat="1" ht="16.5" customHeight="1">
      <c r="B34" s="13"/>
      <c r="C34" s="209">
        <v>116</v>
      </c>
      <c r="D34" s="208">
        <v>255309</v>
      </c>
      <c r="E34" s="208">
        <v>2275</v>
      </c>
      <c r="F34" s="292" t="s">
        <v>143</v>
      </c>
      <c r="G34" s="292" t="s">
        <v>168</v>
      </c>
      <c r="H34" s="293">
        <v>13.199999809265137</v>
      </c>
      <c r="I34" s="294">
        <f t="shared" si="0"/>
        <v>7.419</v>
      </c>
      <c r="J34" s="433">
        <v>41247.41111111111</v>
      </c>
      <c r="K34" s="434">
        <v>41247.47083333333</v>
      </c>
      <c r="L34" s="224">
        <f t="shared" si="1"/>
        <v>1.4333333332906477</v>
      </c>
      <c r="M34" s="295">
        <f t="shared" si="2"/>
        <v>86</v>
      </c>
      <c r="N34" s="226" t="s">
        <v>79</v>
      </c>
      <c r="O34" s="427" t="str">
        <f t="shared" si="3"/>
        <v>--</v>
      </c>
      <c r="P34" s="296">
        <f t="shared" si="4"/>
        <v>40</v>
      </c>
      <c r="Q34" s="297">
        <f t="shared" si="5"/>
        <v>42.436679999999996</v>
      </c>
      <c r="R34" s="298" t="str">
        <f t="shared" si="6"/>
        <v>--</v>
      </c>
      <c r="S34" s="299" t="str">
        <f t="shared" si="7"/>
        <v>--</v>
      </c>
      <c r="T34" s="300" t="str">
        <f t="shared" si="8"/>
        <v>--</v>
      </c>
      <c r="U34" s="428" t="s">
        <v>76</v>
      </c>
      <c r="V34" s="304">
        <f t="shared" si="9"/>
        <v>42.436679999999996</v>
      </c>
      <c r="W34" s="237"/>
    </row>
    <row r="35" spans="2:23" s="1" customFormat="1" ht="16.5" customHeight="1">
      <c r="B35" s="13"/>
      <c r="C35" s="209">
        <v>117</v>
      </c>
      <c r="D35" s="208">
        <v>255312</v>
      </c>
      <c r="E35" s="208">
        <v>3667</v>
      </c>
      <c r="F35" s="292" t="s">
        <v>159</v>
      </c>
      <c r="G35" s="292" t="s">
        <v>167</v>
      </c>
      <c r="H35" s="293">
        <v>132</v>
      </c>
      <c r="I35" s="294">
        <f t="shared" si="0"/>
        <v>9.893</v>
      </c>
      <c r="J35" s="433">
        <v>41248.35625</v>
      </c>
      <c r="K35" s="434">
        <v>41248.74722222222</v>
      </c>
      <c r="L35" s="224">
        <f t="shared" si="1"/>
        <v>9.383333333360497</v>
      </c>
      <c r="M35" s="295">
        <f t="shared" si="2"/>
        <v>563</v>
      </c>
      <c r="N35" s="226" t="s">
        <v>79</v>
      </c>
      <c r="O35" s="427" t="str">
        <f t="shared" si="3"/>
        <v>--</v>
      </c>
      <c r="P35" s="296">
        <f t="shared" si="4"/>
        <v>50</v>
      </c>
      <c r="Q35" s="297">
        <f t="shared" si="5"/>
        <v>463.9817000000001</v>
      </c>
      <c r="R35" s="298" t="str">
        <f t="shared" si="6"/>
        <v>--</v>
      </c>
      <c r="S35" s="299" t="str">
        <f t="shared" si="7"/>
        <v>--</v>
      </c>
      <c r="T35" s="300" t="str">
        <f t="shared" si="8"/>
        <v>--</v>
      </c>
      <c r="U35" s="428" t="s">
        <v>76</v>
      </c>
      <c r="V35" s="304">
        <f t="shared" si="9"/>
        <v>463.9817000000001</v>
      </c>
      <c r="W35" s="237"/>
    </row>
    <row r="36" spans="2:23" s="1" customFormat="1" ht="16.5" customHeight="1">
      <c r="B36" s="13"/>
      <c r="C36" s="209">
        <v>118</v>
      </c>
      <c r="D36" s="208">
        <v>255313</v>
      </c>
      <c r="E36" s="208">
        <v>2633</v>
      </c>
      <c r="F36" s="292" t="s">
        <v>159</v>
      </c>
      <c r="G36" s="292" t="s">
        <v>163</v>
      </c>
      <c r="H36" s="293">
        <v>33</v>
      </c>
      <c r="I36" s="294">
        <f t="shared" si="0"/>
        <v>7.419</v>
      </c>
      <c r="J36" s="433">
        <v>41248.38888888889</v>
      </c>
      <c r="K36" s="434">
        <v>41248.74236111111</v>
      </c>
      <c r="L36" s="224">
        <f t="shared" si="1"/>
        <v>8.483333333220799</v>
      </c>
      <c r="M36" s="295">
        <f t="shared" si="2"/>
        <v>509</v>
      </c>
      <c r="N36" s="226" t="s">
        <v>79</v>
      </c>
      <c r="O36" s="427" t="str">
        <f t="shared" si="3"/>
        <v>--</v>
      </c>
      <c r="P36" s="296">
        <f t="shared" si="4"/>
        <v>50</v>
      </c>
      <c r="Q36" s="297">
        <f t="shared" si="5"/>
        <v>314.5656</v>
      </c>
      <c r="R36" s="298" t="str">
        <f t="shared" si="6"/>
        <v>--</v>
      </c>
      <c r="S36" s="299" t="str">
        <f t="shared" si="7"/>
        <v>--</v>
      </c>
      <c r="T36" s="300" t="str">
        <f t="shared" si="8"/>
        <v>--</v>
      </c>
      <c r="U36" s="428" t="s">
        <v>76</v>
      </c>
      <c r="V36" s="304">
        <f t="shared" si="9"/>
        <v>314.5656</v>
      </c>
      <c r="W36" s="237"/>
    </row>
    <row r="37" spans="2:23" s="1" customFormat="1" ht="16.5" customHeight="1">
      <c r="B37" s="13"/>
      <c r="C37" s="209">
        <v>119</v>
      </c>
      <c r="D37" s="208">
        <v>255314</v>
      </c>
      <c r="E37" s="208">
        <v>4957</v>
      </c>
      <c r="F37" s="292" t="s">
        <v>143</v>
      </c>
      <c r="G37" s="292" t="s">
        <v>169</v>
      </c>
      <c r="H37" s="293">
        <v>33</v>
      </c>
      <c r="I37" s="294">
        <f t="shared" si="0"/>
        <v>7.419</v>
      </c>
      <c r="J37" s="433">
        <v>41248.39097222222</v>
      </c>
      <c r="K37" s="434">
        <v>41248.56875</v>
      </c>
      <c r="L37" s="224">
        <f t="shared" si="1"/>
        <v>4.2666666666045785</v>
      </c>
      <c r="M37" s="295">
        <f t="shared" si="2"/>
        <v>256</v>
      </c>
      <c r="N37" s="226" t="s">
        <v>79</v>
      </c>
      <c r="O37" s="427" t="str">
        <f t="shared" si="3"/>
        <v>--</v>
      </c>
      <c r="P37" s="296">
        <f t="shared" si="4"/>
        <v>50</v>
      </c>
      <c r="Q37" s="297">
        <f t="shared" si="5"/>
        <v>158.39565</v>
      </c>
      <c r="R37" s="298" t="str">
        <f t="shared" si="6"/>
        <v>--</v>
      </c>
      <c r="S37" s="299" t="str">
        <f t="shared" si="7"/>
        <v>--</v>
      </c>
      <c r="T37" s="300" t="str">
        <f t="shared" si="8"/>
        <v>--</v>
      </c>
      <c r="U37" s="428" t="s">
        <v>76</v>
      </c>
      <c r="V37" s="304">
        <f t="shared" si="9"/>
        <v>158.39565</v>
      </c>
      <c r="W37" s="237"/>
    </row>
    <row r="38" spans="2:23" s="1" customFormat="1" ht="16.5" customHeight="1">
      <c r="B38" s="13"/>
      <c r="C38" s="209">
        <v>120</v>
      </c>
      <c r="D38" s="208">
        <v>255315</v>
      </c>
      <c r="E38" s="208">
        <v>2367</v>
      </c>
      <c r="F38" s="292" t="s">
        <v>129</v>
      </c>
      <c r="G38" s="292" t="s">
        <v>170</v>
      </c>
      <c r="H38" s="293">
        <v>33</v>
      </c>
      <c r="I38" s="294">
        <f t="shared" si="0"/>
        <v>7.419</v>
      </c>
      <c r="J38" s="433">
        <v>41248.402083333334</v>
      </c>
      <c r="K38" s="434">
        <v>41248.6875</v>
      </c>
      <c r="L38" s="224">
        <f t="shared" si="1"/>
        <v>6.849999999976717</v>
      </c>
      <c r="M38" s="295">
        <f t="shared" si="2"/>
        <v>411</v>
      </c>
      <c r="N38" s="226" t="s">
        <v>79</v>
      </c>
      <c r="O38" s="427" t="str">
        <f t="shared" si="3"/>
        <v>--</v>
      </c>
      <c r="P38" s="296">
        <f t="shared" si="4"/>
        <v>50</v>
      </c>
      <c r="Q38" s="297">
        <f t="shared" si="5"/>
        <v>254.10074999999998</v>
      </c>
      <c r="R38" s="298" t="str">
        <f t="shared" si="6"/>
        <v>--</v>
      </c>
      <c r="S38" s="299" t="str">
        <f t="shared" si="7"/>
        <v>--</v>
      </c>
      <c r="T38" s="300" t="str">
        <f t="shared" si="8"/>
        <v>--</v>
      </c>
      <c r="U38" s="428" t="s">
        <v>76</v>
      </c>
      <c r="V38" s="304">
        <f t="shared" si="9"/>
        <v>254.10074999999998</v>
      </c>
      <c r="W38" s="237"/>
    </row>
    <row r="39" spans="2:23" s="1" customFormat="1" ht="16.5" customHeight="1">
      <c r="B39" s="13"/>
      <c r="C39" s="209">
        <v>121</v>
      </c>
      <c r="D39" s="208">
        <v>255316</v>
      </c>
      <c r="E39" s="208">
        <v>2057</v>
      </c>
      <c r="F39" s="292" t="s">
        <v>171</v>
      </c>
      <c r="G39" s="292" t="s">
        <v>172</v>
      </c>
      <c r="H39" s="293">
        <v>33</v>
      </c>
      <c r="I39" s="294">
        <f t="shared" si="0"/>
        <v>7.419</v>
      </c>
      <c r="J39" s="433">
        <v>41248.40972222222</v>
      </c>
      <c r="K39" s="434">
        <v>41248.51875</v>
      </c>
      <c r="L39" s="224">
        <f t="shared" si="1"/>
        <v>2.616666666814126</v>
      </c>
      <c r="M39" s="295">
        <f t="shared" si="2"/>
        <v>157</v>
      </c>
      <c r="N39" s="226" t="s">
        <v>79</v>
      </c>
      <c r="O39" s="427" t="str">
        <f t="shared" si="3"/>
        <v>--</v>
      </c>
      <c r="P39" s="296">
        <f t="shared" si="4"/>
        <v>50</v>
      </c>
      <c r="Q39" s="297">
        <f t="shared" si="5"/>
        <v>97.1889</v>
      </c>
      <c r="R39" s="298" t="str">
        <f t="shared" si="6"/>
        <v>--</v>
      </c>
      <c r="S39" s="299" t="str">
        <f t="shared" si="7"/>
        <v>--</v>
      </c>
      <c r="T39" s="300" t="str">
        <f t="shared" si="8"/>
        <v>--</v>
      </c>
      <c r="U39" s="428" t="s">
        <v>76</v>
      </c>
      <c r="V39" s="304">
        <f t="shared" si="9"/>
        <v>97.1889</v>
      </c>
      <c r="W39" s="237"/>
    </row>
    <row r="40" spans="2:23" s="1" customFormat="1" ht="16.5" customHeight="1">
      <c r="B40" s="13"/>
      <c r="C40" s="209">
        <v>122</v>
      </c>
      <c r="D40" s="208">
        <v>255317</v>
      </c>
      <c r="E40" s="208">
        <v>4296</v>
      </c>
      <c r="F40" s="292" t="s">
        <v>173</v>
      </c>
      <c r="G40" s="292" t="s">
        <v>174</v>
      </c>
      <c r="H40" s="293">
        <v>33</v>
      </c>
      <c r="I40" s="294">
        <f t="shared" si="0"/>
        <v>7.419</v>
      </c>
      <c r="J40" s="433">
        <v>41248.44027777778</v>
      </c>
      <c r="K40" s="434">
        <v>41248.694444444445</v>
      </c>
      <c r="L40" s="224">
        <f t="shared" si="1"/>
        <v>6.099999999976717</v>
      </c>
      <c r="M40" s="295">
        <f t="shared" si="2"/>
        <v>366</v>
      </c>
      <c r="N40" s="226" t="s">
        <v>79</v>
      </c>
      <c r="O40" s="427" t="str">
        <f t="shared" si="3"/>
        <v>--</v>
      </c>
      <c r="P40" s="296">
        <f t="shared" si="4"/>
        <v>50</v>
      </c>
      <c r="Q40" s="297">
        <f t="shared" si="5"/>
        <v>226.27949999999998</v>
      </c>
      <c r="R40" s="298" t="str">
        <f t="shared" si="6"/>
        <v>--</v>
      </c>
      <c r="S40" s="299" t="str">
        <f t="shared" si="7"/>
        <v>--</v>
      </c>
      <c r="T40" s="300" t="str">
        <f t="shared" si="8"/>
        <v>--</v>
      </c>
      <c r="U40" s="428" t="s">
        <v>76</v>
      </c>
      <c r="V40" s="304">
        <f t="shared" si="9"/>
        <v>226.27949999999998</v>
      </c>
      <c r="W40" s="237"/>
    </row>
    <row r="41" spans="2:23" s="1" customFormat="1" ht="16.5" customHeight="1">
      <c r="B41" s="13"/>
      <c r="C41" s="209">
        <v>123</v>
      </c>
      <c r="D41" s="208">
        <v>255328</v>
      </c>
      <c r="E41" s="208">
        <v>2566</v>
      </c>
      <c r="F41" s="292" t="s">
        <v>176</v>
      </c>
      <c r="G41" s="292" t="s">
        <v>177</v>
      </c>
      <c r="H41" s="293">
        <v>13.199999809265137</v>
      </c>
      <c r="I41" s="294">
        <f t="shared" si="0"/>
        <v>7.419</v>
      </c>
      <c r="J41" s="433">
        <v>41248.506944444445</v>
      </c>
      <c r="K41" s="434">
        <v>41248.52916666667</v>
      </c>
      <c r="L41" s="224">
        <f t="shared" si="1"/>
        <v>0.5333333333255723</v>
      </c>
      <c r="M41" s="295">
        <f t="shared" si="2"/>
        <v>32</v>
      </c>
      <c r="N41" s="226" t="s">
        <v>79</v>
      </c>
      <c r="O41" s="427" t="str">
        <f t="shared" si="3"/>
        <v>--</v>
      </c>
      <c r="P41" s="296">
        <f t="shared" si="4"/>
        <v>40</v>
      </c>
      <c r="Q41" s="297">
        <f t="shared" si="5"/>
        <v>15.728280000000002</v>
      </c>
      <c r="R41" s="298" t="str">
        <f t="shared" si="6"/>
        <v>--</v>
      </c>
      <c r="S41" s="299" t="str">
        <f t="shared" si="7"/>
        <v>--</v>
      </c>
      <c r="T41" s="300" t="str">
        <f t="shared" si="8"/>
        <v>--</v>
      </c>
      <c r="U41" s="428" t="s">
        <v>76</v>
      </c>
      <c r="V41" s="304">
        <f t="shared" si="9"/>
        <v>15.728280000000002</v>
      </c>
      <c r="W41" s="237"/>
    </row>
    <row r="42" spans="2:23" s="1" customFormat="1" ht="16.5" customHeight="1">
      <c r="B42" s="13"/>
      <c r="C42" s="209"/>
      <c r="D42" s="208"/>
      <c r="E42" s="208"/>
      <c r="F42" s="292"/>
      <c r="G42" s="292"/>
      <c r="H42" s="293"/>
      <c r="I42" s="294">
        <f t="shared" si="0"/>
        <v>7.419</v>
      </c>
      <c r="J42" s="433"/>
      <c r="K42" s="434"/>
      <c r="L42" s="224">
        <f t="shared" si="1"/>
      </c>
      <c r="M42" s="295">
        <f t="shared" si="2"/>
      </c>
      <c r="N42" s="226"/>
      <c r="O42" s="427">
        <f t="shared" si="3"/>
      </c>
      <c r="P42" s="296">
        <f t="shared" si="4"/>
        <v>40</v>
      </c>
      <c r="Q42" s="297" t="str">
        <f t="shared" si="5"/>
        <v>--</v>
      </c>
      <c r="R42" s="298" t="str">
        <f t="shared" si="6"/>
        <v>--</v>
      </c>
      <c r="S42" s="299" t="str">
        <f t="shared" si="7"/>
        <v>--</v>
      </c>
      <c r="T42" s="300" t="str">
        <f t="shared" si="8"/>
        <v>--</v>
      </c>
      <c r="U42" s="428">
        <f>IF(F42="","","SI")</f>
      </c>
      <c r="V42" s="304">
        <f t="shared" si="9"/>
      </c>
      <c r="W42" s="237"/>
    </row>
    <row r="43" spans="2:23" s="1" customFormat="1" ht="16.5" customHeight="1" thickBot="1">
      <c r="B43" s="13"/>
      <c r="C43" s="317"/>
      <c r="D43" s="317"/>
      <c r="E43" s="317"/>
      <c r="F43" s="317"/>
      <c r="G43" s="317"/>
      <c r="H43" s="317"/>
      <c r="I43" s="305"/>
      <c r="J43" s="407"/>
      <c r="K43" s="407"/>
      <c r="L43" s="238"/>
      <c r="M43" s="238"/>
      <c r="N43" s="317"/>
      <c r="O43" s="317"/>
      <c r="P43" s="327"/>
      <c r="Q43" s="328"/>
      <c r="R43" s="329"/>
      <c r="S43" s="330"/>
      <c r="T43" s="331"/>
      <c r="U43" s="317"/>
      <c r="V43" s="306"/>
      <c r="W43" s="237"/>
    </row>
    <row r="44" spans="2:23" s="1" customFormat="1" ht="16.5" customHeight="1" thickBot="1" thickTop="1">
      <c r="B44" s="13"/>
      <c r="C44" s="437" t="s">
        <v>237</v>
      </c>
      <c r="D44" s="436" t="s">
        <v>236</v>
      </c>
      <c r="E44" s="128"/>
      <c r="F44" s="113"/>
      <c r="G44" s="2"/>
      <c r="H44" s="2"/>
      <c r="I44" s="2"/>
      <c r="J44" s="2"/>
      <c r="K44" s="2"/>
      <c r="L44" s="2"/>
      <c r="M44" s="2"/>
      <c r="N44" s="2"/>
      <c r="O44" s="2"/>
      <c r="P44" s="2"/>
      <c r="Q44" s="307">
        <f>SUM(Q20:Q43)</f>
        <v>3487.4121800000003</v>
      </c>
      <c r="R44" s="308">
        <f>SUM(R20:R43)</f>
        <v>1384.93</v>
      </c>
      <c r="S44" s="308">
        <f>SUM(S20:S43)</f>
        <v>9203.2161</v>
      </c>
      <c r="T44" s="309">
        <f>SUM(T20:T43)</f>
        <v>0</v>
      </c>
      <c r="U44" s="310"/>
      <c r="V44" s="418">
        <f>ROUND(SUM(V20:V43),2)</f>
        <v>6769.58</v>
      </c>
      <c r="W44" s="237"/>
    </row>
    <row r="45" spans="2:23" s="126" customFormat="1" ht="14.25" customHeight="1" thickTop="1">
      <c r="B45" s="127"/>
      <c r="C45" s="769" t="s">
        <v>300</v>
      </c>
      <c r="D45" s="436" t="s">
        <v>298</v>
      </c>
      <c r="E45" s="769"/>
      <c r="F45" s="129"/>
      <c r="G45" s="130"/>
      <c r="H45" s="131"/>
      <c r="I45" s="131"/>
      <c r="J45" s="132"/>
      <c r="K45" s="132"/>
      <c r="L45" s="132"/>
      <c r="M45" s="132"/>
      <c r="N45" s="132"/>
      <c r="O45" s="132"/>
      <c r="P45" s="133"/>
      <c r="Q45" s="133"/>
      <c r="R45" s="134"/>
      <c r="S45" s="134"/>
      <c r="T45" s="135"/>
      <c r="U45" s="135"/>
      <c r="V45" s="136"/>
      <c r="W45" s="253"/>
    </row>
    <row r="46" spans="2:23" s="126" customFormat="1" ht="9">
      <c r="B46" s="127"/>
      <c r="C46" s="128"/>
      <c r="D46" s="128"/>
      <c r="E46" s="128"/>
      <c r="F46" s="129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1"/>
      <c r="V46" s="311"/>
      <c r="W46" s="253"/>
    </row>
    <row r="47" spans="2:23" s="1" customFormat="1" ht="16.5" customHeight="1" thickBot="1">
      <c r="B47" s="139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6"/>
    </row>
    <row r="48" spans="2:23" ht="16.5" customHeight="1" thickTop="1"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</row>
    <row r="49" spans="3:6" ht="16.5" customHeight="1">
      <c r="C49" s="312"/>
      <c r="D49" s="312"/>
      <c r="E49" s="312"/>
      <c r="F49" s="312"/>
    </row>
    <row r="50" ht="16.5" customHeight="1"/>
    <row r="51" ht="16.5" customHeight="1"/>
    <row r="52" ht="16.5" customHeight="1"/>
    <row r="53" ht="16.5" customHeight="1"/>
    <row r="54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2014-06-04T13:59:44Z</cp:lastPrinted>
  <dcterms:created xsi:type="dcterms:W3CDTF">1998-09-02T21:36:20Z</dcterms:created>
  <dcterms:modified xsi:type="dcterms:W3CDTF">2014-06-09T19:40:17Z</dcterms:modified>
  <cp:category/>
  <cp:version/>
  <cp:contentType/>
  <cp:contentStatus/>
</cp:coreProperties>
</file>