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28" activeTab="0"/>
  </bookViews>
  <sheets>
    <sheet name="TOT-0515" sheetId="1" r:id="rId1"/>
    <sheet name="LI-05 (1)" sheetId="2" r:id="rId2"/>
    <sheet name="LI-EDERSA-05 (1)" sheetId="3" r:id="rId3"/>
    <sheet name="TR-05 (1)" sheetId="4" r:id="rId4"/>
    <sheet name="TR-EDERSA-05 (1)" sheetId="5" r:id="rId5"/>
    <sheet name="SUP-EDERSA" sheetId="6" r:id="rId6"/>
  </sheets>
  <definedNames/>
  <calcPr fullCalcOnLoad="1"/>
</workbook>
</file>

<file path=xl/comments6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<sst xmlns="http://schemas.openxmlformats.org/spreadsheetml/2006/main" count="286" uniqueCount="152">
  <si>
    <t>SISTEMA DE TRANSPORTE DE ENERGÍA ELÉCTRICA POR DISTRIBUCIÓN TRONCAL</t>
  </si>
  <si>
    <t>TRANSPA S.A.</t>
  </si>
  <si>
    <t>TOTAL</t>
  </si>
  <si>
    <t>SALIDAS</t>
  </si>
  <si>
    <t>PUNTA COLORADA - SIERRA GRANDE</t>
  </si>
  <si>
    <t>S.A. OESTE - SIERRA GRANDE</t>
  </si>
  <si>
    <t>S.A. OESTE - VIEDMA</t>
  </si>
  <si>
    <t>VIEDMA - CARMEN DE PATAGONES</t>
  </si>
  <si>
    <t>TRAFO 2</t>
  </si>
  <si>
    <t>TRAFO 1</t>
  </si>
  <si>
    <t>PUNTA COLORADA</t>
  </si>
  <si>
    <t>SAN ANTONIO ESTE</t>
  </si>
  <si>
    <t>SAN ANTONIO OESTE</t>
  </si>
  <si>
    <t>SIERRA GRANDE</t>
  </si>
  <si>
    <t>VIEDMA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</si>
  <si>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</si>
  <si>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</si>
  <si>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</si>
  <si>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</si>
  <si>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</si>
  <si>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</si>
  <si>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</si>
  <si>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</si>
  <si>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</si>
  <si>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</si>
  <si>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2.-</t>
  </si>
  <si>
    <t>CONEXIÓN</t>
  </si>
  <si>
    <t>2.1.-</t>
  </si>
  <si>
    <t>Transformación</t>
  </si>
  <si>
    <t>2.1.1.-</t>
  </si>
  <si>
    <t>2.1.2.-</t>
  </si>
  <si>
    <t>3.-</t>
  </si>
  <si>
    <t>SUPERVISIÓN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</si>
  <si>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</si>
  <si>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</si>
  <si>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</si>
  <si>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</si>
  <si>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</si>
  <si>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</si>
  <si>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</si>
  <si>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</si>
  <si>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</si>
  <si>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</si>
  <si>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</si>
  <si>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</si>
  <si>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</si>
  <si>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</si>
  <si>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</si>
  <si>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</si>
  <si>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</si>
  <si>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</si>
  <si>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</si>
  <si>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</si>
  <si>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</si>
  <si>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</si>
  <si>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</si>
  <si>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</si>
  <si>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</si>
  <si>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</si>
  <si>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</si>
  <si>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</si>
  <si>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</si>
  <si>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</si>
  <si>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</si>
  <si>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</si>
  <si>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</si>
  <si>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</si>
  <si>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</si>
  <si>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</si>
  <si>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</si>
  <si>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</si>
  <si>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</si>
  <si>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</si>
  <si>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</si>
  <si>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</si>
  <si>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 xml:space="preserve"> 2.1.2.- Transportista Independiente E.D.E.R.S.A.</t>
  </si>
  <si>
    <t xml:space="preserve">Salida en 132 kV o 66 kV = </t>
  </si>
  <si>
    <t xml:space="preserve">Salida en 33 kV </t>
  </si>
  <si>
    <t>Salida en 13,2 kV =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</si>
  <si>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</si>
  <si>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</si>
  <si>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</si>
  <si>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</si>
  <si>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</si>
  <si>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</si>
  <si>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</si>
  <si>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</si>
  <si>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TRANSFORMACIÓN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</si>
  <si>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</si>
  <si>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</si>
  <si>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</si>
  <si>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</si>
  <si>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</si>
  <si>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</si>
  <si>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</si>
  <si>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</si>
  <si>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</si>
  <si>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</si>
  <si>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</si>
  <si>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</si>
  <si>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</si>
  <si>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</si>
  <si>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</si>
  <si>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</si>
  <si>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</si>
  <si>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</si>
  <si>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</si>
  <si>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</si>
  <si>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</si>
  <si>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</si>
  <si>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</si>
  <si>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</si>
  <si>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</si>
  <si>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</si>
  <si>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</si>
  <si>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</si>
  <si>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</si>
  <si>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</si>
  <si>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1.2.- Transportista Independiente E.D.E.R.S.A.</t>
  </si>
  <si>
    <t>ID EQUIPO</t>
  </si>
  <si>
    <t>INDISP</t>
  </si>
  <si>
    <t xml:space="preserve">        DE LA ELECTRICIDAD</t>
  </si>
  <si>
    <t xml:space="preserve">           ENTE NACIONAL REGULADOR </t>
  </si>
  <si>
    <t>Desde el 01 al 31 de mayo de 2015</t>
  </si>
  <si>
    <t>P</t>
  </si>
  <si>
    <t>SI</t>
  </si>
  <si>
    <t>0,000</t>
  </si>
  <si>
    <t>FUTALEUFU - PTO. MADRYN 2</t>
  </si>
  <si>
    <t>TRELEW - FLORENTINO AMEGHINO</t>
  </si>
  <si>
    <t>F</t>
  </si>
  <si>
    <t>FLORENTINO AMEGHINO - ESTACION PATAGONIA</t>
  </si>
  <si>
    <t>S.A. OESTE - S.A. ESTE</t>
  </si>
  <si>
    <t>S.A. ESTE - VIEDMA</t>
  </si>
  <si>
    <t>132/33/13,2</t>
  </si>
  <si>
    <t>RAWSON</t>
  </si>
  <si>
    <t>PICO TRUNCADO 1</t>
  </si>
  <si>
    <t>TRAFO 4</t>
  </si>
  <si>
    <t>COMODORO RIVADAVIA A1</t>
  </si>
  <si>
    <t>S. ANTONIO ESTE</t>
  </si>
  <si>
    <t>P - PROGRAMADA</t>
  </si>
  <si>
    <t>P - PROGRAMADA  ; F - FORZADA</t>
  </si>
  <si>
    <t>(DTE 0515)</t>
  </si>
  <si>
    <t xml:space="preserve"> - </t>
  </si>
  <si>
    <t>3.1.-</t>
  </si>
  <si>
    <t>3.1.- SUPERVISIÓN - Transportista Independiente E.D.E.R.S.A.</t>
  </si>
  <si>
    <t>RM * =</t>
  </si>
  <si>
    <r>
      <rPr>
        <b/>
        <sz val="11"/>
        <rFont val="Times New Roman"/>
        <family val="1"/>
      </rPr>
      <t>RM *</t>
    </r>
    <r>
      <rPr>
        <sz val="11"/>
        <rFont val="Times New Roman"/>
        <family val="1"/>
      </rPr>
      <t xml:space="preserve"> = VALOR EMPLEADO PARA CALCULAR "</t>
    </r>
    <r>
      <rPr>
        <b/>
        <sz val="11"/>
        <rFont val="Times New Roman"/>
        <family val="1"/>
      </rPr>
      <t>CS</t>
    </r>
    <r>
      <rPr>
        <sz val="11"/>
        <rFont val="Times New Roman"/>
        <family val="1"/>
      </rPr>
      <t>"</t>
    </r>
  </si>
  <si>
    <t>F - FORZADA</t>
  </si>
  <si>
    <t>Valores remuneratorios  de acuerdo al Acuerdo Instrumental del Acta Acuerdo -  Nota ENRE Nº 113898</t>
  </si>
  <si>
    <t xml:space="preserve">                   DE LA ELECTRICIDAD</t>
  </si>
  <si>
    <t>TOTAL DE PENALIZACIONES A APLICAR</t>
  </si>
  <si>
    <t>ANEXO V al Memorándum  D.T.E.E.  N°  326 /2016             .-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</si>
</sst>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</numFmts>
  <fonts count="10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2"/>
    </font>
    <font>
      <b/>
      <sz val="20"/>
      <name val="Times New Roman"/>
      <family val="1"/>
    </font>
    <font>
      <sz val="16"/>
      <name val="MS Sans Serif"/>
      <family val="2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2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2"/>
    </font>
    <font>
      <sz val="10"/>
      <color indexed="9"/>
      <name val="Times New Roman"/>
      <family val="1"/>
    </font>
    <font>
      <b/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MS Sans Serif"/>
      <family val="2"/>
    </font>
    <font>
      <b/>
      <sz val="10"/>
      <color indexed="48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0" applyNumberFormat="0" applyBorder="0" applyAlignment="0" applyProtection="0"/>
    <xf numFmtId="0" fontId="89" fillId="21" borderId="1" applyNumberFormat="0" applyAlignment="0" applyProtection="0"/>
    <xf numFmtId="0" fontId="90" fillId="22" borderId="2" applyNumberFormat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0" applyNumberFormat="0" applyFill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94" fillId="2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5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7" fillId="21" borderId="6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7" applyNumberFormat="0" applyFill="0" applyAlignment="0" applyProtection="0"/>
    <xf numFmtId="0" fontId="93" fillId="0" borderId="8" applyNumberFormat="0" applyFill="0" applyAlignment="0" applyProtection="0"/>
    <xf numFmtId="0" fontId="102" fillId="0" borderId="9" applyNumberFormat="0" applyFill="0" applyAlignment="0" applyProtection="0"/>
  </cellStyleXfs>
  <cellXfs count="6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2" fontId="7" fillId="0" borderId="12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68" fontId="7" fillId="0" borderId="12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15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7" fontId="7" fillId="0" borderId="24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0" fillId="0" borderId="15" xfId="0" applyFont="1" applyFill="1" applyBorder="1" applyAlignment="1">
      <alignment/>
    </xf>
    <xf numFmtId="168" fontId="10" fillId="0" borderId="2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Fill="1" applyBorder="1" applyAlignment="1">
      <alignment/>
    </xf>
    <xf numFmtId="0" fontId="0" fillId="0" borderId="0" xfId="0" applyAlignment="1">
      <alignment horizontal="centerContinuous"/>
    </xf>
    <xf numFmtId="0" fontId="14" fillId="0" borderId="10" xfId="0" applyFont="1" applyBorder="1" applyAlignment="1" applyProtection="1">
      <alignment horizontal="centerContinuous"/>
      <protection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26" xfId="0" applyFont="1" applyBorder="1" applyAlignment="1">
      <alignment horizontal="center" vertical="center"/>
    </xf>
    <xf numFmtId="0" fontId="25" fillId="0" borderId="26" xfId="0" applyFont="1" applyBorder="1" applyAlignment="1" applyProtection="1">
      <alignment horizontal="center" vertical="center"/>
      <protection/>
    </xf>
    <xf numFmtId="0" fontId="25" fillId="0" borderId="26" xfId="0" applyFont="1" applyBorder="1" applyAlignment="1" applyProtection="1">
      <alignment horizontal="center" vertical="center" wrapText="1"/>
      <protection/>
    </xf>
    <xf numFmtId="0" fontId="25" fillId="0" borderId="27" xfId="0" applyFont="1" applyBorder="1" applyAlignment="1" applyProtection="1">
      <alignment horizontal="center" vertical="center" wrapText="1"/>
      <protection/>
    </xf>
    <xf numFmtId="0" fontId="25" fillId="0" borderId="28" xfId="0" applyFont="1" applyBorder="1" applyAlignment="1" applyProtection="1">
      <alignment horizontal="center" vertical="center" wrapText="1"/>
      <protection/>
    </xf>
    <xf numFmtId="0" fontId="25" fillId="0" borderId="26" xfId="0" applyFont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9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 applyProtection="1">
      <alignment horizontal="centerContinuous"/>
      <protection/>
    </xf>
    <xf numFmtId="0" fontId="16" fillId="0" borderId="11" xfId="0" applyFont="1" applyBorder="1" applyAlignment="1">
      <alignment horizontal="centerContinuous"/>
    </xf>
    <xf numFmtId="0" fontId="16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1" fillId="0" borderId="0" xfId="0" applyFont="1" applyAlignment="1">
      <alignment horizontal="centerContinuous"/>
    </xf>
    <xf numFmtId="0" fontId="28" fillId="0" borderId="0" xfId="0" applyFont="1" applyFill="1" applyBorder="1" applyAlignment="1" applyProtection="1">
      <alignment horizontal="centerContinuous"/>
      <protection/>
    </xf>
    <xf numFmtId="0" fontId="29" fillId="0" borderId="0" xfId="0" applyNumberFormat="1" applyFont="1" applyAlignment="1">
      <alignment horizontal="left"/>
    </xf>
    <xf numFmtId="0" fontId="29" fillId="0" borderId="0" xfId="0" applyFont="1" applyBorder="1" applyAlignment="1">
      <alignment/>
    </xf>
    <xf numFmtId="0" fontId="32" fillId="0" borderId="0" xfId="0" applyFont="1" applyFill="1" applyBorder="1" applyAlignment="1" applyProtection="1">
      <alignment horizontal="left"/>
      <protection/>
    </xf>
    <xf numFmtId="0" fontId="27" fillId="0" borderId="0" xfId="0" applyFont="1" applyBorder="1" applyAlignment="1">
      <alignment/>
    </xf>
    <xf numFmtId="0" fontId="3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6" fillId="0" borderId="0" xfId="0" applyNumberFormat="1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6" fillId="0" borderId="10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28" xfId="0" applyFont="1" applyBorder="1" applyAlignment="1">
      <alignment horizontal="center"/>
    </xf>
    <xf numFmtId="7" fontId="8" fillId="0" borderId="29" xfId="0" applyNumberFormat="1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4" fontId="19" fillId="0" borderId="0" xfId="0" applyNumberFormat="1" applyFont="1" applyFill="1" applyBorder="1" applyAlignment="1">
      <alignment/>
    </xf>
    <xf numFmtId="7" fontId="19" fillId="0" borderId="0" xfId="0" applyNumberFormat="1" applyFont="1" applyBorder="1" applyAlignment="1">
      <alignment/>
    </xf>
    <xf numFmtId="168" fontId="19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Continuous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2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/>
    </xf>
    <xf numFmtId="164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6" fillId="0" borderId="11" xfId="0" applyFont="1" applyFill="1" applyBorder="1" applyAlignment="1">
      <alignment horizontal="centerContinuous"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 applyProtection="1" quotePrefix="1">
      <alignment horizontal="left"/>
      <protection/>
    </xf>
    <xf numFmtId="0" fontId="0" fillId="0" borderId="27" xfId="0" applyFont="1" applyFill="1" applyBorder="1" applyAlignment="1" applyProtection="1">
      <alignment horizontal="center"/>
      <protection/>
    </xf>
    <xf numFmtId="164" fontId="0" fillId="0" borderId="26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28" xfId="0" applyFont="1" applyFill="1" applyBorder="1" applyAlignment="1">
      <alignment horizontal="center" vertical="center"/>
    </xf>
    <xf numFmtId="0" fontId="25" fillId="0" borderId="26" xfId="0" applyFont="1" applyFill="1" applyBorder="1" applyAlignment="1" applyProtection="1">
      <alignment horizontal="center" vertical="center"/>
      <protection/>
    </xf>
    <xf numFmtId="0" fontId="25" fillId="0" borderId="26" xfId="0" applyFont="1" applyFill="1" applyBorder="1" applyAlignment="1" applyProtection="1" quotePrefix="1">
      <alignment horizontal="center" vertical="center" wrapText="1"/>
      <protection/>
    </xf>
    <xf numFmtId="0" fontId="2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 applyProtection="1" quotePrefix="1">
      <alignment horizontal="center" vertical="center"/>
      <protection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5" fillId="0" borderId="28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2" fillId="0" borderId="0" xfId="0" applyFont="1" applyFill="1" applyAlignment="1">
      <alignment/>
    </xf>
    <xf numFmtId="0" fontId="29" fillId="0" borderId="0" xfId="0" applyFont="1" applyAlignment="1">
      <alignment horizontal="centerContinuous"/>
    </xf>
    <xf numFmtId="0" fontId="36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28" xfId="0" applyFont="1" applyFill="1" applyBorder="1" applyAlignment="1">
      <alignment horizontal="center"/>
    </xf>
    <xf numFmtId="0" fontId="14" fillId="0" borderId="10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1" fillId="0" borderId="29" xfId="0" applyFont="1" applyBorder="1" applyAlignment="1" applyProtection="1">
      <alignment horizontal="centerContinuous"/>
      <protection/>
    </xf>
    <xf numFmtId="167" fontId="0" fillId="0" borderId="29" xfId="0" applyNumberFormat="1" applyFont="1" applyBorder="1" applyAlignment="1">
      <alignment horizontal="centerContinuous"/>
    </xf>
    <xf numFmtId="0" fontId="38" fillId="0" borderId="3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 vertical="top"/>
      <protection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38" fillId="0" borderId="0" xfId="0" applyFont="1" applyBorder="1" applyAlignment="1" applyProtection="1">
      <alignment horizontal="center"/>
      <protection/>
    </xf>
    <xf numFmtId="2" fontId="38" fillId="0" borderId="0" xfId="0" applyNumberFormat="1" applyFont="1" applyBorder="1" applyAlignment="1" applyProtection="1">
      <alignment horizontal="center"/>
      <protection/>
    </xf>
    <xf numFmtId="168" fontId="38" fillId="0" borderId="0" xfId="0" applyNumberFormat="1" applyFont="1" applyBorder="1" applyAlignment="1" applyProtection="1">
      <alignment horizontal="center"/>
      <protection/>
    </xf>
    <xf numFmtId="168" fontId="38" fillId="0" borderId="0" xfId="0" applyNumberFormat="1" applyFont="1" applyBorder="1" applyAlignment="1" applyProtection="1" quotePrefix="1">
      <alignment horizontal="center"/>
      <protection/>
    </xf>
    <xf numFmtId="2" fontId="42" fillId="0" borderId="0" xfId="0" applyNumberFormat="1" applyFont="1" applyBorder="1" applyAlignment="1">
      <alignment horizontal="center"/>
    </xf>
    <xf numFmtId="168" fontId="43" fillId="0" borderId="0" xfId="0" applyNumberFormat="1" applyFont="1" applyBorder="1" applyAlignment="1" applyProtection="1" quotePrefix="1">
      <alignment horizontal="center"/>
      <protection/>
    </xf>
    <xf numFmtId="4" fontId="43" fillId="0" borderId="0" xfId="0" applyNumberFormat="1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2" fontId="41" fillId="0" borderId="11" xfId="0" applyNumberFormat="1" applyFont="1" applyBorder="1" applyAlignment="1">
      <alignment horizontal="center"/>
    </xf>
    <xf numFmtId="0" fontId="41" fillId="0" borderId="0" xfId="0" applyFont="1" applyAlignment="1">
      <alignment/>
    </xf>
    <xf numFmtId="7" fontId="11" fillId="0" borderId="26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7" fontId="38" fillId="0" borderId="0" xfId="0" applyNumberFormat="1" applyFont="1" applyFill="1" applyBorder="1" applyAlignment="1">
      <alignment horizontal="center"/>
    </xf>
    <xf numFmtId="7" fontId="44" fillId="0" borderId="0" xfId="0" applyNumberFormat="1" applyFont="1" applyFill="1" applyBorder="1" applyAlignment="1">
      <alignment horizontal="right"/>
    </xf>
    <xf numFmtId="0" fontId="38" fillId="0" borderId="11" xfId="0" applyFont="1" applyFill="1" applyBorder="1" applyAlignment="1">
      <alignment/>
    </xf>
    <xf numFmtId="0" fontId="45" fillId="33" borderId="26" xfId="0" applyFont="1" applyFill="1" applyBorder="1" applyAlignment="1" applyProtection="1">
      <alignment horizontal="center" vertical="center"/>
      <protection/>
    </xf>
    <xf numFmtId="0" fontId="46" fillId="33" borderId="15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168" fontId="47" fillId="33" borderId="12" xfId="0" applyNumberFormat="1" applyFont="1" applyFill="1" applyBorder="1" applyAlignment="1" applyProtection="1">
      <alignment horizontal="center"/>
      <protection/>
    </xf>
    <xf numFmtId="168" fontId="47" fillId="33" borderId="13" xfId="0" applyNumberFormat="1" applyFont="1" applyFill="1" applyBorder="1" applyAlignment="1" applyProtection="1">
      <alignment horizontal="center"/>
      <protection/>
    </xf>
    <xf numFmtId="0" fontId="47" fillId="33" borderId="15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10" fillId="0" borderId="10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7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11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3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51" fillId="34" borderId="26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51" fillId="35" borderId="26" xfId="0" applyFont="1" applyFill="1" applyBorder="1" applyAlignment="1">
      <alignment horizontal="center" vertical="center" wrapText="1"/>
    </xf>
    <xf numFmtId="0" fontId="52" fillId="35" borderId="15" xfId="0" applyFont="1" applyFill="1" applyBorder="1" applyAlignment="1">
      <alignment/>
    </xf>
    <xf numFmtId="0" fontId="52" fillId="35" borderId="12" xfId="0" applyFont="1" applyFill="1" applyBorder="1" applyAlignment="1">
      <alignment/>
    </xf>
    <xf numFmtId="0" fontId="26" fillId="36" borderId="26" xfId="0" applyFont="1" applyFill="1" applyBorder="1" applyAlignment="1" applyProtection="1">
      <alignment horizontal="centerContinuous" vertical="center" wrapText="1"/>
      <protection/>
    </xf>
    <xf numFmtId="0" fontId="24" fillId="36" borderId="27" xfId="0" applyFont="1" applyFill="1" applyBorder="1" applyAlignment="1">
      <alignment horizontal="centerContinuous"/>
    </xf>
    <xf numFmtId="0" fontId="26" fillId="36" borderId="29" xfId="0" applyFont="1" applyFill="1" applyBorder="1" applyAlignment="1">
      <alignment horizontal="centerContinuous" vertical="center"/>
    </xf>
    <xf numFmtId="0" fontId="54" fillId="36" borderId="31" xfId="0" applyFont="1" applyFill="1" applyBorder="1" applyAlignment="1">
      <alignment horizontal="center"/>
    </xf>
    <xf numFmtId="0" fontId="54" fillId="36" borderId="32" xfId="0" applyFont="1" applyFill="1" applyBorder="1" applyAlignment="1">
      <alignment/>
    </xf>
    <xf numFmtId="0" fontId="54" fillId="36" borderId="33" xfId="0" applyFont="1" applyFill="1" applyBorder="1" applyAlignment="1">
      <alignment/>
    </xf>
    <xf numFmtId="0" fontId="54" fillId="36" borderId="34" xfId="0" applyFont="1" applyFill="1" applyBorder="1" applyAlignment="1">
      <alignment horizontal="center"/>
    </xf>
    <xf numFmtId="0" fontId="54" fillId="36" borderId="35" xfId="0" applyFont="1" applyFill="1" applyBorder="1" applyAlignment="1">
      <alignment/>
    </xf>
    <xf numFmtId="0" fontId="54" fillId="36" borderId="2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26" fillId="37" borderId="26" xfId="0" applyFont="1" applyFill="1" applyBorder="1" applyAlignment="1" applyProtection="1">
      <alignment horizontal="centerContinuous" vertical="center" wrapText="1"/>
      <protection/>
    </xf>
    <xf numFmtId="0" fontId="24" fillId="37" borderId="27" xfId="0" applyFont="1" applyFill="1" applyBorder="1" applyAlignment="1">
      <alignment horizontal="centerContinuous"/>
    </xf>
    <xf numFmtId="0" fontId="26" fillId="37" borderId="29" xfId="0" applyFont="1" applyFill="1" applyBorder="1" applyAlignment="1">
      <alignment horizontal="centerContinuous" vertical="center"/>
    </xf>
    <xf numFmtId="0" fontId="54" fillId="37" borderId="31" xfId="0" applyFont="1" applyFill="1" applyBorder="1" applyAlignment="1">
      <alignment horizontal="center"/>
    </xf>
    <xf numFmtId="0" fontId="54" fillId="37" borderId="32" xfId="0" applyFont="1" applyFill="1" applyBorder="1" applyAlignment="1">
      <alignment/>
    </xf>
    <xf numFmtId="0" fontId="54" fillId="37" borderId="33" xfId="0" applyFont="1" applyFill="1" applyBorder="1" applyAlignment="1">
      <alignment/>
    </xf>
    <xf numFmtId="0" fontId="54" fillId="37" borderId="34" xfId="0" applyFont="1" applyFill="1" applyBorder="1" applyAlignment="1">
      <alignment horizontal="center"/>
    </xf>
    <xf numFmtId="0" fontId="54" fillId="37" borderId="35" xfId="0" applyFont="1" applyFill="1" applyBorder="1" applyAlignment="1">
      <alignment/>
    </xf>
    <xf numFmtId="0" fontId="54" fillId="37" borderId="25" xfId="0" applyFont="1" applyFill="1" applyBorder="1" applyAlignment="1">
      <alignment/>
    </xf>
    <xf numFmtId="0" fontId="26" fillId="38" borderId="26" xfId="0" applyFont="1" applyFill="1" applyBorder="1" applyAlignment="1">
      <alignment horizontal="center" vertical="center" wrapText="1"/>
    </xf>
    <xf numFmtId="0" fontId="54" fillId="38" borderId="15" xfId="0" applyFont="1" applyFill="1" applyBorder="1" applyAlignment="1">
      <alignment/>
    </xf>
    <xf numFmtId="0" fontId="54" fillId="38" borderId="12" xfId="0" applyFont="1" applyFill="1" applyBorder="1" applyAlignment="1">
      <alignment/>
    </xf>
    <xf numFmtId="0" fontId="51" fillId="39" borderId="26" xfId="0" applyFont="1" applyFill="1" applyBorder="1" applyAlignment="1">
      <alignment horizontal="center" vertical="center" wrapText="1"/>
    </xf>
    <xf numFmtId="0" fontId="52" fillId="39" borderId="15" xfId="0" applyFont="1" applyFill="1" applyBorder="1" applyAlignment="1">
      <alignment/>
    </xf>
    <xf numFmtId="0" fontId="52" fillId="39" borderId="12" xfId="0" applyFont="1" applyFill="1" applyBorder="1" applyAlignment="1">
      <alignment/>
    </xf>
    <xf numFmtId="2" fontId="50" fillId="34" borderId="26" xfId="0" applyNumberFormat="1" applyFont="1" applyFill="1" applyBorder="1" applyAlignment="1">
      <alignment horizontal="center"/>
    </xf>
    <xf numFmtId="2" fontId="50" fillId="35" borderId="26" xfId="0" applyNumberFormat="1" applyFont="1" applyFill="1" applyBorder="1" applyAlignment="1">
      <alignment horizontal="center"/>
    </xf>
    <xf numFmtId="168" fontId="55" fillId="36" borderId="26" xfId="0" applyNumberFormat="1" applyFont="1" applyFill="1" applyBorder="1" applyAlignment="1" applyProtection="1" quotePrefix="1">
      <alignment horizontal="center"/>
      <protection/>
    </xf>
    <xf numFmtId="4" fontId="55" fillId="36" borderId="26" xfId="0" applyNumberFormat="1" applyFont="1" applyFill="1" applyBorder="1" applyAlignment="1">
      <alignment horizontal="center"/>
    </xf>
    <xf numFmtId="168" fontId="55" fillId="37" borderId="26" xfId="0" applyNumberFormat="1" applyFont="1" applyFill="1" applyBorder="1" applyAlignment="1" applyProtection="1" quotePrefix="1">
      <alignment horizontal="center"/>
      <protection/>
    </xf>
    <xf numFmtId="4" fontId="55" fillId="37" borderId="26" xfId="0" applyNumberFormat="1" applyFont="1" applyFill="1" applyBorder="1" applyAlignment="1">
      <alignment horizontal="center"/>
    </xf>
    <xf numFmtId="168" fontId="55" fillId="38" borderId="26" xfId="0" applyNumberFormat="1" applyFont="1" applyFill="1" applyBorder="1" applyAlignment="1" applyProtection="1" quotePrefix="1">
      <alignment horizontal="center"/>
      <protection/>
    </xf>
    <xf numFmtId="4" fontId="50" fillId="39" borderId="26" xfId="0" applyNumberFormat="1" applyFont="1" applyFill="1" applyBorder="1" applyAlignment="1">
      <alignment horizontal="center"/>
    </xf>
    <xf numFmtId="0" fontId="51" fillId="39" borderId="26" xfId="0" applyFont="1" applyFill="1" applyBorder="1" applyAlignment="1" applyProtection="1">
      <alignment horizontal="center" vertical="center"/>
      <protection/>
    </xf>
    <xf numFmtId="0" fontId="50" fillId="39" borderId="15" xfId="0" applyFont="1" applyFill="1" applyBorder="1" applyAlignment="1">
      <alignment/>
    </xf>
    <xf numFmtId="0" fontId="50" fillId="39" borderId="12" xfId="0" applyFont="1" applyFill="1" applyBorder="1" applyAlignment="1">
      <alignment/>
    </xf>
    <xf numFmtId="4" fontId="50" fillId="39" borderId="12" xfId="0" applyNumberFormat="1" applyFont="1" applyFill="1" applyBorder="1" applyAlignment="1" applyProtection="1">
      <alignment horizontal="center"/>
      <protection/>
    </xf>
    <xf numFmtId="0" fontId="50" fillId="39" borderId="13" xfId="0" applyFont="1" applyFill="1" applyBorder="1" applyAlignment="1">
      <alignment/>
    </xf>
    <xf numFmtId="0" fontId="55" fillId="38" borderId="15" xfId="0" applyFont="1" applyFill="1" applyBorder="1" applyAlignment="1">
      <alignment/>
    </xf>
    <xf numFmtId="0" fontId="55" fillId="38" borderId="12" xfId="0" applyFont="1" applyFill="1" applyBorder="1" applyAlignment="1">
      <alignment/>
    </xf>
    <xf numFmtId="2" fontId="55" fillId="38" borderId="12" xfId="0" applyNumberFormat="1" applyFont="1" applyFill="1" applyBorder="1" applyAlignment="1">
      <alignment horizontal="center"/>
    </xf>
    <xf numFmtId="0" fontId="55" fillId="38" borderId="13" xfId="0" applyFont="1" applyFill="1" applyBorder="1" applyAlignment="1">
      <alignment/>
    </xf>
    <xf numFmtId="7" fontId="55" fillId="38" borderId="26" xfId="0" applyNumberFormat="1" applyFont="1" applyFill="1" applyBorder="1" applyAlignment="1">
      <alignment horizontal="center"/>
    </xf>
    <xf numFmtId="0" fontId="26" fillId="40" borderId="26" xfId="0" applyFont="1" applyFill="1" applyBorder="1" applyAlignment="1">
      <alignment horizontal="center" vertical="center" wrapText="1"/>
    </xf>
    <xf numFmtId="0" fontId="55" fillId="40" borderId="15" xfId="0" applyFont="1" applyFill="1" applyBorder="1" applyAlignment="1">
      <alignment/>
    </xf>
    <xf numFmtId="0" fontId="55" fillId="40" borderId="12" xfId="0" applyFont="1" applyFill="1" applyBorder="1" applyAlignment="1">
      <alignment/>
    </xf>
    <xf numFmtId="2" fontId="55" fillId="40" borderId="12" xfId="0" applyNumberFormat="1" applyFont="1" applyFill="1" applyBorder="1" applyAlignment="1">
      <alignment horizontal="center"/>
    </xf>
    <xf numFmtId="0" fontId="55" fillId="40" borderId="13" xfId="0" applyFont="1" applyFill="1" applyBorder="1" applyAlignment="1">
      <alignment/>
    </xf>
    <xf numFmtId="7" fontId="55" fillId="40" borderId="26" xfId="0" applyNumberFormat="1" applyFont="1" applyFill="1" applyBorder="1" applyAlignment="1">
      <alignment horizontal="center"/>
    </xf>
    <xf numFmtId="0" fontId="51" fillId="41" borderId="28" xfId="0" applyFont="1" applyFill="1" applyBorder="1" applyAlignment="1" applyProtection="1">
      <alignment horizontal="centerContinuous" vertical="center" wrapText="1"/>
      <protection/>
    </xf>
    <xf numFmtId="0" fontId="51" fillId="41" borderId="29" xfId="0" applyFont="1" applyFill="1" applyBorder="1" applyAlignment="1">
      <alignment horizontal="centerContinuous" vertical="center"/>
    </xf>
    <xf numFmtId="0" fontId="50" fillId="41" borderId="31" xfId="0" applyFont="1" applyFill="1" applyBorder="1" applyAlignment="1">
      <alignment horizontal="center"/>
    </xf>
    <xf numFmtId="0" fontId="50" fillId="41" borderId="33" xfId="0" applyFont="1" applyFill="1" applyBorder="1" applyAlignment="1">
      <alignment/>
    </xf>
    <xf numFmtId="0" fontId="50" fillId="41" borderId="34" xfId="0" applyFont="1" applyFill="1" applyBorder="1" applyAlignment="1">
      <alignment horizontal="center"/>
    </xf>
    <xf numFmtId="0" fontId="50" fillId="41" borderId="25" xfId="0" applyFont="1" applyFill="1" applyBorder="1" applyAlignment="1">
      <alignment/>
    </xf>
    <xf numFmtId="168" fontId="50" fillId="41" borderId="34" xfId="0" applyNumberFormat="1" applyFont="1" applyFill="1" applyBorder="1" applyAlignment="1" applyProtection="1" quotePrefix="1">
      <alignment horizontal="center"/>
      <protection/>
    </xf>
    <xf numFmtId="168" fontId="50" fillId="41" borderId="36" xfId="0" applyNumberFormat="1" applyFont="1" applyFill="1" applyBorder="1" applyAlignment="1" applyProtection="1" quotePrefix="1">
      <alignment horizontal="center"/>
      <protection/>
    </xf>
    <xf numFmtId="7" fontId="50" fillId="41" borderId="26" xfId="0" applyNumberFormat="1" applyFont="1" applyFill="1" applyBorder="1" applyAlignment="1">
      <alignment horizontal="center"/>
    </xf>
    <xf numFmtId="0" fontId="51" fillId="34" borderId="28" xfId="0" applyFont="1" applyFill="1" applyBorder="1" applyAlignment="1" applyProtection="1">
      <alignment horizontal="centerContinuous" vertical="center" wrapText="1"/>
      <protection/>
    </xf>
    <xf numFmtId="0" fontId="51" fillId="34" borderId="29" xfId="0" applyFont="1" applyFill="1" applyBorder="1" applyAlignment="1">
      <alignment horizontal="centerContinuous" vertical="center"/>
    </xf>
    <xf numFmtId="0" fontId="50" fillId="34" borderId="31" xfId="0" applyFont="1" applyFill="1" applyBorder="1" applyAlignment="1">
      <alignment horizontal="center"/>
    </xf>
    <xf numFmtId="0" fontId="50" fillId="34" borderId="33" xfId="0" applyFont="1" applyFill="1" applyBorder="1" applyAlignment="1">
      <alignment/>
    </xf>
    <xf numFmtId="0" fontId="50" fillId="34" borderId="34" xfId="0" applyFont="1" applyFill="1" applyBorder="1" applyAlignment="1">
      <alignment horizontal="center"/>
    </xf>
    <xf numFmtId="0" fontId="50" fillId="34" borderId="25" xfId="0" applyFont="1" applyFill="1" applyBorder="1" applyAlignment="1">
      <alignment/>
    </xf>
    <xf numFmtId="168" fontId="50" fillId="34" borderId="34" xfId="0" applyNumberFormat="1" applyFont="1" applyFill="1" applyBorder="1" applyAlignment="1" applyProtection="1" quotePrefix="1">
      <alignment horizontal="center"/>
      <protection/>
    </xf>
    <xf numFmtId="168" fontId="50" fillId="34" borderId="36" xfId="0" applyNumberFormat="1" applyFont="1" applyFill="1" applyBorder="1" applyAlignment="1" applyProtection="1" quotePrefix="1">
      <alignment horizontal="center"/>
      <protection/>
    </xf>
    <xf numFmtId="7" fontId="50" fillId="34" borderId="26" xfId="0" applyNumberFormat="1" applyFont="1" applyFill="1" applyBorder="1" applyAlignment="1">
      <alignment horizontal="center"/>
    </xf>
    <xf numFmtId="0" fontId="48" fillId="36" borderId="26" xfId="0" applyFont="1" applyFill="1" applyBorder="1" applyAlignment="1">
      <alignment horizontal="center" vertical="center" wrapText="1"/>
    </xf>
    <xf numFmtId="0" fontId="49" fillId="36" borderId="15" xfId="0" applyFont="1" applyFill="1" applyBorder="1" applyAlignment="1">
      <alignment/>
    </xf>
    <xf numFmtId="0" fontId="49" fillId="36" borderId="12" xfId="0" applyFont="1" applyFill="1" applyBorder="1" applyAlignment="1">
      <alignment/>
    </xf>
    <xf numFmtId="168" fontId="49" fillId="36" borderId="12" xfId="0" applyNumberFormat="1" applyFont="1" applyFill="1" applyBorder="1" applyAlignment="1" applyProtection="1" quotePrefix="1">
      <alignment horizontal="center"/>
      <protection/>
    </xf>
    <xf numFmtId="0" fontId="49" fillId="36" borderId="13" xfId="0" applyFont="1" applyFill="1" applyBorder="1" applyAlignment="1">
      <alignment/>
    </xf>
    <xf numFmtId="7" fontId="49" fillId="36" borderId="26" xfId="0" applyNumberFormat="1" applyFont="1" applyFill="1" applyBorder="1" applyAlignment="1">
      <alignment horizontal="center"/>
    </xf>
    <xf numFmtId="0" fontId="26" fillId="37" borderId="26" xfId="0" applyFont="1" applyFill="1" applyBorder="1" applyAlignment="1">
      <alignment horizontal="center" vertical="center" wrapText="1"/>
    </xf>
    <xf numFmtId="0" fontId="55" fillId="37" borderId="15" xfId="0" applyFont="1" applyFill="1" applyBorder="1" applyAlignment="1">
      <alignment/>
    </xf>
    <xf numFmtId="0" fontId="55" fillId="37" borderId="12" xfId="0" applyFont="1" applyFill="1" applyBorder="1" applyAlignment="1">
      <alignment/>
    </xf>
    <xf numFmtId="168" fontId="55" fillId="37" borderId="12" xfId="0" applyNumberFormat="1" applyFont="1" applyFill="1" applyBorder="1" applyAlignment="1" applyProtection="1" quotePrefix="1">
      <alignment horizontal="center"/>
      <protection/>
    </xf>
    <xf numFmtId="0" fontId="55" fillId="37" borderId="13" xfId="0" applyFont="1" applyFill="1" applyBorder="1" applyAlignment="1">
      <alignment/>
    </xf>
    <xf numFmtId="7" fontId="55" fillId="37" borderId="26" xfId="0" applyNumberFormat="1" applyFont="1" applyFill="1" applyBorder="1" applyAlignment="1">
      <alignment horizontal="center"/>
    </xf>
    <xf numFmtId="0" fontId="50" fillId="41" borderId="37" xfId="0" applyFont="1" applyFill="1" applyBorder="1" applyAlignment="1">
      <alignment/>
    </xf>
    <xf numFmtId="0" fontId="50" fillId="41" borderId="38" xfId="0" applyFont="1" applyFill="1" applyBorder="1" applyAlignment="1">
      <alignment/>
    </xf>
    <xf numFmtId="0" fontId="50" fillId="34" borderId="37" xfId="0" applyFont="1" applyFill="1" applyBorder="1" applyAlignment="1">
      <alignment/>
    </xf>
    <xf numFmtId="0" fontId="50" fillId="34" borderId="38" xfId="0" applyFont="1" applyFill="1" applyBorder="1" applyAlignment="1">
      <alignment/>
    </xf>
    <xf numFmtId="0" fontId="56" fillId="0" borderId="17" xfId="0" applyFont="1" applyBorder="1" applyAlignment="1">
      <alignment/>
    </xf>
    <xf numFmtId="0" fontId="57" fillId="33" borderId="15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168" fontId="58" fillId="33" borderId="12" xfId="0" applyNumberFormat="1" applyFont="1" applyFill="1" applyBorder="1" applyAlignment="1" applyProtection="1">
      <alignment horizontal="center"/>
      <protection/>
    </xf>
    <xf numFmtId="168" fontId="58" fillId="33" borderId="13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>
      <alignment/>
    </xf>
    <xf numFmtId="173" fontId="10" fillId="0" borderId="0" xfId="0" applyNumberFormat="1" applyFont="1" applyBorder="1" applyAlignment="1">
      <alignment horizontal="center"/>
    </xf>
    <xf numFmtId="0" fontId="56" fillId="0" borderId="18" xfId="0" applyFont="1" applyBorder="1" applyAlignment="1">
      <alignment/>
    </xf>
    <xf numFmtId="0" fontId="0" fillId="0" borderId="23" xfId="0" applyBorder="1" applyAlignment="1">
      <alignment horizontal="center"/>
    </xf>
    <xf numFmtId="7" fontId="0" fillId="0" borderId="15" xfId="0" applyNumberFormat="1" applyBorder="1" applyAlignment="1">
      <alignment/>
    </xf>
    <xf numFmtId="0" fontId="59" fillId="0" borderId="0" xfId="0" applyFont="1" applyAlignment="1">
      <alignment horizontal="right" vertical="top"/>
    </xf>
    <xf numFmtId="0" fontId="18" fillId="0" borderId="0" xfId="0" applyFont="1" applyBorder="1" applyAlignment="1">
      <alignment/>
    </xf>
    <xf numFmtId="0" fontId="15" fillId="0" borderId="10" xfId="0" applyFont="1" applyBorder="1" applyAlignment="1">
      <alignment horizontal="centerContinuous"/>
    </xf>
    <xf numFmtId="0" fontId="36" fillId="0" borderId="0" xfId="0" applyFont="1" applyFill="1" applyBorder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36" fillId="0" borderId="11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39" xfId="0" applyFont="1" applyBorder="1" applyAlignment="1">
      <alignment horizontal="centerContinuous"/>
    </xf>
    <xf numFmtId="0" fontId="10" fillId="0" borderId="40" xfId="0" applyFont="1" applyFill="1" applyBorder="1" applyAlignment="1">
      <alignment/>
    </xf>
    <xf numFmtId="0" fontId="10" fillId="0" borderId="41" xfId="0" applyFont="1" applyBorder="1" applyAlignment="1" applyProtection="1">
      <alignment horizontal="right"/>
      <protection/>
    </xf>
    <xf numFmtId="173" fontId="10" fillId="0" borderId="42" xfId="0" applyNumberFormat="1" applyFont="1" applyBorder="1" applyAlignment="1">
      <alignment horizontal="center"/>
    </xf>
    <xf numFmtId="171" fontId="24" fillId="0" borderId="43" xfId="0" applyNumberFormat="1" applyFont="1" applyBorder="1" applyAlignment="1">
      <alignment horizontal="centerContinuous"/>
    </xf>
    <xf numFmtId="0" fontId="10" fillId="0" borderId="44" xfId="0" applyFont="1" applyBorder="1" applyAlignment="1">
      <alignment horizontal="centerContinuous"/>
    </xf>
    <xf numFmtId="0" fontId="10" fillId="0" borderId="45" xfId="0" applyFont="1" applyFill="1" applyBorder="1" applyAlignment="1">
      <alignment/>
    </xf>
    <xf numFmtId="168" fontId="10" fillId="0" borderId="46" xfId="0" applyNumberFormat="1" applyFont="1" applyBorder="1" applyAlignment="1" applyProtection="1">
      <alignment horizontal="right"/>
      <protection/>
    </xf>
    <xf numFmtId="171" fontId="10" fillId="0" borderId="47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171" fontId="24" fillId="0" borderId="46" xfId="0" applyNumberFormat="1" applyFont="1" applyBorder="1" applyAlignment="1">
      <alignment horizontal="centerContinuous"/>
    </xf>
    <xf numFmtId="0" fontId="10" fillId="0" borderId="48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8" fillId="0" borderId="0" xfId="0" applyFont="1" applyBorder="1" applyAlignment="1" applyProtection="1">
      <alignment horizontal="left"/>
      <protection/>
    </xf>
    <xf numFmtId="7" fontId="10" fillId="0" borderId="49" xfId="0" applyNumberFormat="1" applyFont="1" applyBorder="1" applyAlignment="1">
      <alignment horizontal="center"/>
    </xf>
    <xf numFmtId="0" fontId="8" fillId="0" borderId="28" xfId="0" applyFont="1" applyBorder="1" applyAlignment="1" applyProtection="1">
      <alignment horizontal="center"/>
      <protection/>
    </xf>
    <xf numFmtId="0" fontId="10" fillId="0" borderId="50" xfId="0" applyFont="1" applyBorder="1" applyAlignment="1" applyProtection="1">
      <alignment horizontal="center"/>
      <protection/>
    </xf>
    <xf numFmtId="0" fontId="10" fillId="0" borderId="43" xfId="0" applyFont="1" applyBorder="1" applyAlignment="1" applyProtection="1">
      <alignment horizontal="center"/>
      <protection/>
    </xf>
    <xf numFmtId="2" fontId="10" fillId="0" borderId="43" xfId="0" applyNumberFormat="1" applyFont="1" applyBorder="1" applyAlignment="1" applyProtection="1">
      <alignment horizontal="center"/>
      <protection/>
    </xf>
    <xf numFmtId="168" fontId="10" fillId="0" borderId="43" xfId="0" applyNumberFormat="1" applyFont="1" applyBorder="1" applyAlignment="1" applyProtection="1">
      <alignment horizontal="center"/>
      <protection/>
    </xf>
    <xf numFmtId="7" fontId="18" fillId="0" borderId="51" xfId="0" applyNumberFormat="1" applyFont="1" applyBorder="1" applyAlignment="1">
      <alignment horizontal="center"/>
    </xf>
    <xf numFmtId="0" fontId="10" fillId="0" borderId="52" xfId="0" applyFont="1" applyBorder="1" applyAlignment="1" applyProtection="1">
      <alignment horizontal="center"/>
      <protection/>
    </xf>
    <xf numFmtId="0" fontId="10" fillId="0" borderId="53" xfId="0" applyFont="1" applyBorder="1" applyAlignment="1" applyProtection="1">
      <alignment horizontal="center"/>
      <protection/>
    </xf>
    <xf numFmtId="2" fontId="10" fillId="0" borderId="53" xfId="0" applyNumberFormat="1" applyFont="1" applyBorder="1" applyAlignment="1" applyProtection="1">
      <alignment horizontal="center"/>
      <protection/>
    </xf>
    <xf numFmtId="168" fontId="10" fillId="0" borderId="53" xfId="0" applyNumberFormat="1" applyFont="1" applyBorder="1" applyAlignment="1" applyProtection="1">
      <alignment horizontal="center"/>
      <protection/>
    </xf>
    <xf numFmtId="7" fontId="10" fillId="0" borderId="53" xfId="0" applyNumberFormat="1" applyFont="1" applyBorder="1" applyAlignment="1" applyProtection="1">
      <alignment horizontal="center"/>
      <protection/>
    </xf>
    <xf numFmtId="7" fontId="10" fillId="0" borderId="53" xfId="0" applyNumberFormat="1" applyFont="1" applyBorder="1" applyAlignment="1" applyProtection="1">
      <alignment horizontal="centerContinuous"/>
      <protection/>
    </xf>
    <xf numFmtId="0" fontId="10" fillId="0" borderId="53" xfId="0" applyFont="1" applyBorder="1" applyAlignment="1" applyProtection="1">
      <alignment horizontal="centerContinuous"/>
      <protection/>
    </xf>
    <xf numFmtId="0" fontId="10" fillId="0" borderId="53" xfId="0" applyFont="1" applyBorder="1" applyAlignment="1" applyProtection="1">
      <alignment horizontal="right"/>
      <protection/>
    </xf>
    <xf numFmtId="7" fontId="10" fillId="0" borderId="54" xfId="0" applyNumberFormat="1" applyFont="1" applyBorder="1" applyAlignment="1" applyProtection="1">
      <alignment horizontal="center"/>
      <protection/>
    </xf>
    <xf numFmtId="0" fontId="10" fillId="0" borderId="55" xfId="0" applyFont="1" applyBorder="1" applyAlignment="1" applyProtection="1">
      <alignment horizontal="center"/>
      <protection/>
    </xf>
    <xf numFmtId="0" fontId="10" fillId="0" borderId="49" xfId="0" applyFont="1" applyBorder="1" applyAlignment="1" applyProtection="1">
      <alignment horizontal="center"/>
      <protection/>
    </xf>
    <xf numFmtId="2" fontId="10" fillId="0" borderId="49" xfId="0" applyNumberFormat="1" applyFont="1" applyBorder="1" applyAlignment="1" applyProtection="1">
      <alignment horizontal="center"/>
      <protection/>
    </xf>
    <xf numFmtId="168" fontId="10" fillId="0" borderId="49" xfId="0" applyNumberFormat="1" applyFont="1" applyBorder="1" applyAlignment="1" applyProtection="1">
      <alignment horizontal="center"/>
      <protection/>
    </xf>
    <xf numFmtId="7" fontId="10" fillId="0" borderId="49" xfId="0" applyNumberFormat="1" applyFont="1" applyBorder="1" applyAlignment="1" applyProtection="1">
      <alignment horizontal="center"/>
      <protection/>
    </xf>
    <xf numFmtId="7" fontId="10" fillId="0" borderId="49" xfId="0" applyNumberFormat="1" applyFont="1" applyBorder="1" applyAlignment="1" applyProtection="1">
      <alignment horizontal="centerContinuous"/>
      <protection/>
    </xf>
    <xf numFmtId="0" fontId="10" fillId="0" borderId="49" xfId="0" applyFont="1" applyBorder="1" applyAlignment="1" applyProtection="1">
      <alignment horizontal="centerContinuous"/>
      <protection/>
    </xf>
    <xf numFmtId="0" fontId="10" fillId="0" borderId="49" xfId="0" applyFont="1" applyBorder="1" applyAlignment="1" applyProtection="1">
      <alignment horizontal="right"/>
      <protection/>
    </xf>
    <xf numFmtId="7" fontId="10" fillId="0" borderId="56" xfId="0" applyNumberFormat="1" applyFont="1" applyBorder="1" applyAlignment="1" applyProtection="1">
      <alignment horizontal="center"/>
      <protection/>
    </xf>
    <xf numFmtId="7" fontId="10" fillId="0" borderId="51" xfId="0" applyNumberFormat="1" applyFont="1" applyBorder="1" applyAlignment="1" applyProtection="1">
      <alignment horizontal="center"/>
      <protection/>
    </xf>
    <xf numFmtId="0" fontId="0" fillId="0" borderId="50" xfId="0" applyBorder="1" applyAlignment="1">
      <alignment horizontal="centerContinuous"/>
    </xf>
    <xf numFmtId="0" fontId="10" fillId="0" borderId="43" xfId="0" applyFont="1" applyBorder="1" applyAlignment="1" applyProtection="1">
      <alignment horizontal="centerContinuous"/>
      <protection/>
    </xf>
    <xf numFmtId="0" fontId="0" fillId="0" borderId="43" xfId="0" applyBorder="1" applyAlignment="1">
      <alignment horizontal="center"/>
    </xf>
    <xf numFmtId="168" fontId="10" fillId="0" borderId="50" xfId="0" applyNumberFormat="1" applyFont="1" applyBorder="1" applyAlignment="1" applyProtection="1">
      <alignment horizontal="centerContinuous"/>
      <protection/>
    </xf>
    <xf numFmtId="2" fontId="21" fillId="0" borderId="57" xfId="0" applyNumberFormat="1" applyFont="1" applyBorder="1" applyAlignment="1">
      <alignment horizontal="centerContinuous"/>
    </xf>
    <xf numFmtId="7" fontId="10" fillId="0" borderId="52" xfId="0" applyNumberFormat="1" applyFont="1" applyBorder="1" applyAlignment="1">
      <alignment horizontal="centerContinuous"/>
    </xf>
    <xf numFmtId="168" fontId="10" fillId="0" borderId="53" xfId="0" applyNumberFormat="1" applyFont="1" applyBorder="1" applyAlignment="1" applyProtection="1" quotePrefix="1">
      <alignment horizontal="center"/>
      <protection/>
    </xf>
    <xf numFmtId="7" fontId="10" fillId="0" borderId="52" xfId="0" applyNumberFormat="1" applyFont="1" applyBorder="1" applyAlignment="1" applyProtection="1">
      <alignment horizontal="centerContinuous"/>
      <protection/>
    </xf>
    <xf numFmtId="2" fontId="21" fillId="0" borderId="58" xfId="0" applyNumberFormat="1" applyFont="1" applyBorder="1" applyAlignment="1">
      <alignment horizontal="centerContinuous"/>
    </xf>
    <xf numFmtId="0" fontId="10" fillId="0" borderId="59" xfId="0" applyFont="1" applyBorder="1" applyAlignment="1" applyProtection="1">
      <alignment horizontal="center"/>
      <protection/>
    </xf>
    <xf numFmtId="7" fontId="10" fillId="0" borderId="60" xfId="0" applyNumberFormat="1" applyFont="1" applyBorder="1" applyAlignment="1" applyProtection="1">
      <alignment horizontal="center"/>
      <protection/>
    </xf>
    <xf numFmtId="7" fontId="10" fillId="0" borderId="59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59" xfId="0" applyNumberFormat="1" applyFont="1" applyBorder="1" applyAlignment="1" applyProtection="1">
      <alignment horizontal="centerContinuous"/>
      <protection/>
    </xf>
    <xf numFmtId="2" fontId="21" fillId="0" borderId="61" xfId="0" applyNumberFormat="1" applyFont="1" applyBorder="1" applyAlignment="1">
      <alignment horizontal="centerContinuous"/>
    </xf>
    <xf numFmtId="7" fontId="10" fillId="0" borderId="55" xfId="0" applyNumberFormat="1" applyFont="1" applyBorder="1" applyAlignment="1">
      <alignment horizontal="centerContinuous"/>
    </xf>
    <xf numFmtId="168" fontId="10" fillId="0" borderId="49" xfId="0" applyNumberFormat="1" applyFont="1" applyBorder="1" applyAlignment="1" applyProtection="1" quotePrefix="1">
      <alignment horizontal="center"/>
      <protection/>
    </xf>
    <xf numFmtId="7" fontId="10" fillId="0" borderId="55" xfId="0" applyNumberFormat="1" applyFont="1" applyBorder="1" applyAlignment="1" applyProtection="1">
      <alignment horizontal="centerContinuous"/>
      <protection/>
    </xf>
    <xf numFmtId="2" fontId="21" fillId="0" borderId="35" xfId="0" applyNumberFormat="1" applyFont="1" applyBorder="1" applyAlignment="1">
      <alignment horizontal="centerContinuous"/>
    </xf>
    <xf numFmtId="7" fontId="10" fillId="0" borderId="50" xfId="0" applyNumberFormat="1" applyFont="1" applyBorder="1" applyAlignment="1" applyProtection="1">
      <alignment horizontal="centerContinuous"/>
      <protection/>
    </xf>
    <xf numFmtId="5" fontId="8" fillId="0" borderId="28" xfId="0" applyNumberFormat="1" applyFont="1" applyBorder="1" applyAlignment="1" applyProtection="1">
      <alignment horizontal="center"/>
      <protection/>
    </xf>
    <xf numFmtId="7" fontId="8" fillId="0" borderId="29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3" fillId="0" borderId="29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29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43" xfId="0" applyNumberFormat="1" applyFont="1" applyBorder="1" applyAlignment="1" applyProtection="1">
      <alignment horizontal="centerContinuous"/>
      <protection/>
    </xf>
    <xf numFmtId="2" fontId="10" fillId="0" borderId="57" xfId="0" applyNumberFormat="1" applyFont="1" applyBorder="1" applyAlignment="1" applyProtection="1">
      <alignment horizontal="centerContinuous"/>
      <protection/>
    </xf>
    <xf numFmtId="2" fontId="10" fillId="0" borderId="53" xfId="0" applyNumberFormat="1" applyFont="1" applyBorder="1" applyAlignment="1" applyProtection="1">
      <alignment horizontal="centerContinuous"/>
      <protection/>
    </xf>
    <xf numFmtId="2" fontId="10" fillId="0" borderId="58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61" xfId="0" applyNumberFormat="1" applyFont="1" applyBorder="1" applyAlignment="1" applyProtection="1">
      <alignment horizontal="centerContinuous"/>
      <protection/>
    </xf>
    <xf numFmtId="2" fontId="10" fillId="0" borderId="49" xfId="0" applyNumberFormat="1" applyFont="1" applyBorder="1" applyAlignment="1" applyProtection="1">
      <alignment horizontal="centerContinuous"/>
      <protection/>
    </xf>
    <xf numFmtId="2" fontId="10" fillId="0" borderId="35" xfId="0" applyNumberFormat="1" applyFont="1" applyBorder="1" applyAlignment="1" applyProtection="1">
      <alignment horizontal="centerContinuous"/>
      <protection/>
    </xf>
    <xf numFmtId="0" fontId="59" fillId="0" borderId="0" xfId="0" applyFont="1" applyFill="1" applyAlignment="1">
      <alignment horizontal="right" vertical="top"/>
    </xf>
    <xf numFmtId="0" fontId="0" fillId="0" borderId="28" xfId="0" applyFont="1" applyBorder="1" applyAlignment="1" applyProtection="1">
      <alignment horizontal="center" vertical="center"/>
      <protection/>
    </xf>
    <xf numFmtId="173" fontId="0" fillId="0" borderId="28" xfId="0" applyNumberFormat="1" applyFont="1" applyBorder="1" applyAlignment="1">
      <alignment horizontal="centerContinuous" vertical="center"/>
    </xf>
    <xf numFmtId="0" fontId="1" fillId="0" borderId="29" xfId="0" applyFont="1" applyBorder="1" applyAlignment="1" applyProtection="1">
      <alignment horizontal="centerContinuous" vertical="center"/>
      <protection/>
    </xf>
    <xf numFmtId="167" fontId="0" fillId="0" borderId="29" xfId="0" applyNumberFormat="1" applyFont="1" applyBorder="1" applyAlignment="1">
      <alignment horizontal="centerContinuous" vertical="center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62" xfId="0" applyFont="1" applyBorder="1" applyAlignment="1" applyProtection="1">
      <alignment horizontal="center"/>
      <protection locked="0"/>
    </xf>
    <xf numFmtId="0" fontId="7" fillId="0" borderId="63" xfId="0" applyFont="1" applyBorder="1" applyAlignment="1" applyProtection="1">
      <alignment horizontal="center"/>
      <protection locked="0"/>
    </xf>
    <xf numFmtId="2" fontId="7" fillId="0" borderId="64" xfId="0" applyNumberFormat="1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/>
      <protection locked="0"/>
    </xf>
    <xf numFmtId="0" fontId="7" fillId="0" borderId="66" xfId="0" applyFont="1" applyBorder="1" applyAlignment="1" applyProtection="1">
      <alignment horizontal="center"/>
      <protection locked="0"/>
    </xf>
    <xf numFmtId="2" fontId="7" fillId="0" borderId="66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22" fontId="7" fillId="0" borderId="12" xfId="0" applyNumberFormat="1" applyFont="1" applyBorder="1" applyAlignment="1" applyProtection="1">
      <alignment horizontal="center"/>
      <protection locked="0"/>
    </xf>
    <xf numFmtId="168" fontId="7" fillId="0" borderId="12" xfId="0" applyNumberFormat="1" applyFont="1" applyBorder="1" applyAlignment="1" applyProtection="1">
      <alignment horizontal="center"/>
      <protection locked="0"/>
    </xf>
    <xf numFmtId="22" fontId="7" fillId="0" borderId="13" xfId="0" applyNumberFormat="1" applyFont="1" applyBorder="1" applyAlignment="1" applyProtection="1">
      <alignment horizontal="center"/>
      <protection locked="0"/>
    </xf>
    <xf numFmtId="168" fontId="50" fillId="34" borderId="13" xfId="0" applyNumberFormat="1" applyFont="1" applyFill="1" applyBorder="1" applyAlignment="1" applyProtection="1" quotePrefix="1">
      <alignment horizontal="center"/>
      <protection locked="0"/>
    </xf>
    <xf numFmtId="168" fontId="50" fillId="35" borderId="13" xfId="0" applyNumberFormat="1" applyFont="1" applyFill="1" applyBorder="1" applyAlignment="1" applyProtection="1" quotePrefix="1">
      <alignment horizontal="center"/>
      <protection locked="0"/>
    </xf>
    <xf numFmtId="168" fontId="55" fillId="36" borderId="37" xfId="0" applyNumberFormat="1" applyFont="1" applyFill="1" applyBorder="1" applyAlignment="1" applyProtection="1" quotePrefix="1">
      <alignment horizontal="center"/>
      <protection locked="0"/>
    </xf>
    <xf numFmtId="4" fontId="55" fillId="36" borderId="67" xfId="0" applyNumberFormat="1" applyFont="1" applyFill="1" applyBorder="1" applyAlignment="1" applyProtection="1">
      <alignment horizontal="center"/>
      <protection locked="0"/>
    </xf>
    <xf numFmtId="4" fontId="55" fillId="36" borderId="68" xfId="0" applyNumberFormat="1" applyFont="1" applyFill="1" applyBorder="1" applyAlignment="1" applyProtection="1">
      <alignment horizontal="center"/>
      <protection locked="0"/>
    </xf>
    <xf numFmtId="168" fontId="55" fillId="37" borderId="37" xfId="0" applyNumberFormat="1" applyFont="1" applyFill="1" applyBorder="1" applyAlignment="1" applyProtection="1" quotePrefix="1">
      <alignment horizontal="center"/>
      <protection locked="0"/>
    </xf>
    <xf numFmtId="4" fontId="55" fillId="37" borderId="67" xfId="0" applyNumberFormat="1" applyFont="1" applyFill="1" applyBorder="1" applyAlignment="1" applyProtection="1">
      <alignment horizontal="center"/>
      <protection locked="0"/>
    </xf>
    <xf numFmtId="4" fontId="55" fillId="37" borderId="68" xfId="0" applyNumberFormat="1" applyFont="1" applyFill="1" applyBorder="1" applyAlignment="1" applyProtection="1">
      <alignment horizontal="center"/>
      <protection locked="0"/>
    </xf>
    <xf numFmtId="4" fontId="55" fillId="38" borderId="13" xfId="0" applyNumberFormat="1" applyFont="1" applyFill="1" applyBorder="1" applyAlignment="1" applyProtection="1">
      <alignment horizontal="center"/>
      <protection locked="0"/>
    </xf>
    <xf numFmtId="4" fontId="50" fillId="39" borderId="13" xfId="0" applyNumberFormat="1" applyFont="1" applyFill="1" applyBorder="1" applyAlignment="1" applyProtection="1">
      <alignment horizontal="center"/>
      <protection locked="0"/>
    </xf>
    <xf numFmtId="4" fontId="7" fillId="0" borderId="13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52" fillId="34" borderId="12" xfId="0" applyFont="1" applyFill="1" applyBorder="1" applyAlignment="1" applyProtection="1">
      <alignment/>
      <protection locked="0"/>
    </xf>
    <xf numFmtId="0" fontId="52" fillId="35" borderId="12" xfId="0" applyFont="1" applyFill="1" applyBorder="1" applyAlignment="1" applyProtection="1">
      <alignment/>
      <protection locked="0"/>
    </xf>
    <xf numFmtId="0" fontId="54" fillId="36" borderId="34" xfId="0" applyFont="1" applyFill="1" applyBorder="1" applyAlignment="1" applyProtection="1">
      <alignment horizontal="center"/>
      <protection locked="0"/>
    </xf>
    <xf numFmtId="0" fontId="54" fillId="36" borderId="35" xfId="0" applyFont="1" applyFill="1" applyBorder="1" applyAlignment="1" applyProtection="1">
      <alignment/>
      <protection locked="0"/>
    </xf>
    <xf numFmtId="0" fontId="54" fillId="36" borderId="25" xfId="0" applyFont="1" applyFill="1" applyBorder="1" applyAlignment="1" applyProtection="1">
      <alignment/>
      <protection locked="0"/>
    </xf>
    <xf numFmtId="0" fontId="54" fillId="37" borderId="34" xfId="0" applyFont="1" applyFill="1" applyBorder="1" applyAlignment="1" applyProtection="1">
      <alignment horizontal="center"/>
      <protection locked="0"/>
    </xf>
    <xf numFmtId="0" fontId="54" fillId="37" borderId="35" xfId="0" applyFont="1" applyFill="1" applyBorder="1" applyAlignment="1" applyProtection="1">
      <alignment/>
      <protection locked="0"/>
    </xf>
    <xf numFmtId="0" fontId="54" fillId="37" borderId="25" xfId="0" applyFont="1" applyFill="1" applyBorder="1" applyAlignment="1" applyProtection="1">
      <alignment/>
      <protection locked="0"/>
    </xf>
    <xf numFmtId="0" fontId="54" fillId="38" borderId="12" xfId="0" applyFont="1" applyFill="1" applyBorder="1" applyAlignment="1" applyProtection="1">
      <alignment/>
      <protection locked="0"/>
    </xf>
    <xf numFmtId="0" fontId="52" fillId="39" borderId="12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27" fillId="0" borderId="0" xfId="0" applyFont="1" applyFill="1" applyAlignment="1" applyProtection="1">
      <alignment/>
      <protection/>
    </xf>
    <xf numFmtId="0" fontId="59" fillId="0" borderId="0" xfId="0" applyFont="1" applyFill="1" applyAlignment="1" applyProtection="1">
      <alignment horizontal="right" vertical="top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1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11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14" fillId="0" borderId="0" xfId="0" applyFont="1" applyFill="1" applyBorder="1" applyAlignment="1" applyProtection="1">
      <alignment horizontal="centerContinuous"/>
      <protection/>
    </xf>
    <xf numFmtId="0" fontId="16" fillId="0" borderId="0" xfId="0" applyFont="1" applyAlignment="1" applyProtection="1">
      <alignment horizontal="centerContinuous"/>
      <protection/>
    </xf>
    <xf numFmtId="0" fontId="16" fillId="0" borderId="11" xfId="0" applyFont="1" applyFill="1" applyBorder="1" applyAlignment="1" applyProtection="1">
      <alignment horizontal="centerContinuous"/>
      <protection/>
    </xf>
    <xf numFmtId="0" fontId="16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5" fillId="0" borderId="10" xfId="0" applyFont="1" applyFill="1" applyBorder="1" applyAlignment="1" applyProtection="1">
      <alignment/>
      <protection/>
    </xf>
    <xf numFmtId="0" fontId="26" fillId="38" borderId="26" xfId="0" applyFont="1" applyFill="1" applyBorder="1" applyAlignment="1" applyProtection="1">
      <alignment horizontal="center" vertical="center" wrapText="1"/>
      <protection/>
    </xf>
    <xf numFmtId="0" fontId="26" fillId="40" borderId="26" xfId="0" applyFont="1" applyFill="1" applyBorder="1" applyAlignment="1" applyProtection="1">
      <alignment horizontal="center" vertical="center" wrapText="1"/>
      <protection/>
    </xf>
    <xf numFmtId="0" fontId="51" fillId="41" borderId="29" xfId="0" applyFont="1" applyFill="1" applyBorder="1" applyAlignment="1" applyProtection="1">
      <alignment horizontal="centerContinuous" vertical="center"/>
      <protection/>
    </xf>
    <xf numFmtId="0" fontId="51" fillId="34" borderId="29" xfId="0" applyFont="1" applyFill="1" applyBorder="1" applyAlignment="1" applyProtection="1">
      <alignment horizontal="centerContinuous" vertical="center"/>
      <protection/>
    </xf>
    <xf numFmtId="0" fontId="48" fillId="36" borderId="26" xfId="0" applyFont="1" applyFill="1" applyBorder="1" applyAlignment="1" applyProtection="1">
      <alignment horizontal="center" vertical="center" wrapText="1"/>
      <protection/>
    </xf>
    <xf numFmtId="0" fontId="26" fillId="37" borderId="26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0" fontId="47" fillId="33" borderId="15" xfId="0" applyFont="1" applyFill="1" applyBorder="1" applyAlignment="1" applyProtection="1">
      <alignment/>
      <protection/>
    </xf>
    <xf numFmtId="0" fontId="50" fillId="39" borderId="15" xfId="0" applyFont="1" applyFill="1" applyBorder="1" applyAlignment="1" applyProtection="1">
      <alignment/>
      <protection/>
    </xf>
    <xf numFmtId="0" fontId="55" fillId="38" borderId="15" xfId="0" applyFont="1" applyFill="1" applyBorder="1" applyAlignment="1" applyProtection="1">
      <alignment/>
      <protection/>
    </xf>
    <xf numFmtId="0" fontId="55" fillId="40" borderId="15" xfId="0" applyFont="1" applyFill="1" applyBorder="1" applyAlignment="1" applyProtection="1">
      <alignment/>
      <protection/>
    </xf>
    <xf numFmtId="0" fontId="50" fillId="41" borderId="31" xfId="0" applyFont="1" applyFill="1" applyBorder="1" applyAlignment="1" applyProtection="1">
      <alignment horizontal="center"/>
      <protection/>
    </xf>
    <xf numFmtId="0" fontId="50" fillId="41" borderId="33" xfId="0" applyFont="1" applyFill="1" applyBorder="1" applyAlignment="1" applyProtection="1">
      <alignment/>
      <protection/>
    </xf>
    <xf numFmtId="0" fontId="50" fillId="34" borderId="31" xfId="0" applyFont="1" applyFill="1" applyBorder="1" applyAlignment="1" applyProtection="1">
      <alignment horizontal="center"/>
      <protection/>
    </xf>
    <xf numFmtId="0" fontId="50" fillId="34" borderId="33" xfId="0" applyFont="1" applyFill="1" applyBorder="1" applyAlignment="1" applyProtection="1">
      <alignment/>
      <protection/>
    </xf>
    <xf numFmtId="0" fontId="49" fillId="36" borderId="15" xfId="0" applyFont="1" applyFill="1" applyBorder="1" applyAlignment="1" applyProtection="1">
      <alignment/>
      <protection/>
    </xf>
    <xf numFmtId="0" fontId="55" fillId="37" borderId="15" xfId="0" applyFont="1" applyFill="1" applyBorder="1" applyAlignment="1" applyProtection="1">
      <alignment/>
      <protection/>
    </xf>
    <xf numFmtId="7" fontId="10" fillId="0" borderId="15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50" fillId="39" borderId="12" xfId="0" applyFont="1" applyFill="1" applyBorder="1" applyAlignment="1" applyProtection="1">
      <alignment/>
      <protection/>
    </xf>
    <xf numFmtId="0" fontId="55" fillId="38" borderId="12" xfId="0" applyFont="1" applyFill="1" applyBorder="1" applyAlignment="1" applyProtection="1">
      <alignment/>
      <protection/>
    </xf>
    <xf numFmtId="0" fontId="55" fillId="40" borderId="12" xfId="0" applyFont="1" applyFill="1" applyBorder="1" applyAlignment="1" applyProtection="1">
      <alignment/>
      <protection/>
    </xf>
    <xf numFmtId="0" fontId="50" fillId="41" borderId="34" xfId="0" applyFont="1" applyFill="1" applyBorder="1" applyAlignment="1" applyProtection="1">
      <alignment horizontal="center"/>
      <protection/>
    </xf>
    <xf numFmtId="0" fontId="50" fillId="41" borderId="25" xfId="0" applyFont="1" applyFill="1" applyBorder="1" applyAlignment="1" applyProtection="1">
      <alignment/>
      <protection/>
    </xf>
    <xf numFmtId="0" fontId="50" fillId="34" borderId="34" xfId="0" applyFont="1" applyFill="1" applyBorder="1" applyAlignment="1" applyProtection="1">
      <alignment horizontal="center"/>
      <protection/>
    </xf>
    <xf numFmtId="0" fontId="50" fillId="34" borderId="25" xfId="0" applyFont="1" applyFill="1" applyBorder="1" applyAlignment="1" applyProtection="1">
      <alignment/>
      <protection/>
    </xf>
    <xf numFmtId="0" fontId="49" fillId="36" borderId="12" xfId="0" applyFont="1" applyFill="1" applyBorder="1" applyAlignment="1" applyProtection="1">
      <alignment/>
      <protection/>
    </xf>
    <xf numFmtId="0" fontId="55" fillId="37" borderId="12" xfId="0" applyFont="1" applyFill="1" applyBorder="1" applyAlignment="1" applyProtection="1">
      <alignment/>
      <protection/>
    </xf>
    <xf numFmtId="0" fontId="10" fillId="0" borderId="25" xfId="0" applyFont="1" applyFill="1" applyBorder="1" applyAlignment="1" applyProtection="1">
      <alignment/>
      <protection/>
    </xf>
    <xf numFmtId="168" fontId="10" fillId="0" borderId="25" xfId="0" applyNumberFormat="1" applyFont="1" applyFill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/>
      <protection/>
    </xf>
    <xf numFmtId="0" fontId="47" fillId="33" borderId="13" xfId="0" applyFont="1" applyFill="1" applyBorder="1" applyAlignment="1" applyProtection="1">
      <alignment/>
      <protection/>
    </xf>
    <xf numFmtId="0" fontId="10" fillId="0" borderId="24" xfId="0" applyFont="1" applyFill="1" applyBorder="1" applyAlignment="1" applyProtection="1">
      <alignment/>
      <protection/>
    </xf>
    <xf numFmtId="0" fontId="38" fillId="0" borderId="30" xfId="0" applyFont="1" applyBorder="1" applyAlignment="1" applyProtection="1">
      <alignment horizontal="center"/>
      <protection/>
    </xf>
    <xf numFmtId="7" fontId="55" fillId="38" borderId="26" xfId="0" applyNumberFormat="1" applyFont="1" applyFill="1" applyBorder="1" applyAlignment="1" applyProtection="1">
      <alignment horizontal="center"/>
      <protection/>
    </xf>
    <xf numFmtId="7" fontId="55" fillId="40" borderId="26" xfId="0" applyNumberFormat="1" applyFont="1" applyFill="1" applyBorder="1" applyAlignment="1" applyProtection="1">
      <alignment horizontal="center"/>
      <protection/>
    </xf>
    <xf numFmtId="7" fontId="50" fillId="41" borderId="26" xfId="0" applyNumberFormat="1" applyFont="1" applyFill="1" applyBorder="1" applyAlignment="1" applyProtection="1">
      <alignment horizontal="center"/>
      <protection/>
    </xf>
    <xf numFmtId="7" fontId="50" fillId="34" borderId="26" xfId="0" applyNumberFormat="1" applyFont="1" applyFill="1" applyBorder="1" applyAlignment="1" applyProtection="1">
      <alignment horizontal="center"/>
      <protection/>
    </xf>
    <xf numFmtId="7" fontId="49" fillId="36" borderId="26" xfId="0" applyNumberFormat="1" applyFont="1" applyFill="1" applyBorder="1" applyAlignment="1" applyProtection="1">
      <alignment horizontal="center"/>
      <protection/>
    </xf>
    <xf numFmtId="7" fontId="55" fillId="37" borderId="26" xfId="0" applyNumberFormat="1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/>
      <protection/>
    </xf>
    <xf numFmtId="7" fontId="11" fillId="0" borderId="26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Alignment="1" applyProtection="1">
      <alignment/>
      <protection/>
    </xf>
    <xf numFmtId="0" fontId="38" fillId="0" borderId="1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/>
      <protection/>
    </xf>
    <xf numFmtId="7" fontId="38" fillId="0" borderId="0" xfId="0" applyNumberFormat="1" applyFont="1" applyFill="1" applyBorder="1" applyAlignment="1" applyProtection="1">
      <alignment horizontal="center"/>
      <protection/>
    </xf>
    <xf numFmtId="7" fontId="44" fillId="0" borderId="0" xfId="0" applyNumberFormat="1" applyFont="1" applyFill="1" applyBorder="1" applyAlignment="1" applyProtection="1">
      <alignment horizontal="right"/>
      <protection/>
    </xf>
    <xf numFmtId="0" fontId="38" fillId="0" borderId="11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 locked="0"/>
    </xf>
    <xf numFmtId="165" fontId="7" fillId="0" borderId="62" xfId="0" applyNumberFormat="1" applyFont="1" applyBorder="1" applyAlignment="1" applyProtection="1" quotePrefix="1">
      <alignment horizontal="center"/>
      <protection locked="0"/>
    </xf>
    <xf numFmtId="2" fontId="7" fillId="0" borderId="62" xfId="0" applyNumberFormat="1" applyFont="1" applyBorder="1" applyAlignment="1" applyProtection="1" quotePrefix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22" fontId="7" fillId="0" borderId="12" xfId="0" applyNumberFormat="1" applyFont="1" applyFill="1" applyBorder="1" applyAlignment="1" applyProtection="1">
      <alignment horizontal="center"/>
      <protection locked="0"/>
    </xf>
    <xf numFmtId="168" fontId="7" fillId="0" borderId="12" xfId="0" applyNumberFormat="1" applyFont="1" applyFill="1" applyBorder="1" applyAlignment="1" applyProtection="1">
      <alignment horizontal="center"/>
      <protection locked="0"/>
    </xf>
    <xf numFmtId="0" fontId="50" fillId="39" borderId="13" xfId="0" applyFont="1" applyFill="1" applyBorder="1" applyAlignment="1" applyProtection="1">
      <alignment/>
      <protection locked="0"/>
    </xf>
    <xf numFmtId="0" fontId="55" fillId="38" borderId="13" xfId="0" applyFont="1" applyFill="1" applyBorder="1" applyAlignment="1" applyProtection="1">
      <alignment/>
      <protection locked="0"/>
    </xf>
    <xf numFmtId="0" fontId="55" fillId="40" borderId="13" xfId="0" applyFont="1" applyFill="1" applyBorder="1" applyAlignment="1" applyProtection="1">
      <alignment/>
      <protection locked="0"/>
    </xf>
    <xf numFmtId="0" fontId="50" fillId="41" borderId="37" xfId="0" applyFont="1" applyFill="1" applyBorder="1" applyAlignment="1" applyProtection="1">
      <alignment/>
      <protection locked="0"/>
    </xf>
    <xf numFmtId="0" fontId="50" fillId="41" borderId="38" xfId="0" applyFont="1" applyFill="1" applyBorder="1" applyAlignment="1" applyProtection="1">
      <alignment/>
      <protection locked="0"/>
    </xf>
    <xf numFmtId="0" fontId="50" fillId="34" borderId="37" xfId="0" applyFont="1" applyFill="1" applyBorder="1" applyAlignment="1" applyProtection="1">
      <alignment/>
      <protection locked="0"/>
    </xf>
    <xf numFmtId="0" fontId="50" fillId="34" borderId="38" xfId="0" applyFont="1" applyFill="1" applyBorder="1" applyAlignment="1" applyProtection="1">
      <alignment/>
      <protection locked="0"/>
    </xf>
    <xf numFmtId="0" fontId="49" fillId="36" borderId="13" xfId="0" applyFont="1" applyFill="1" applyBorder="1" applyAlignment="1" applyProtection="1">
      <alignment/>
      <protection locked="0"/>
    </xf>
    <xf numFmtId="0" fontId="55" fillId="37" borderId="13" xfId="0" applyFont="1" applyFill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0" fontId="64" fillId="0" borderId="0" xfId="0" applyNumberFormat="1" applyFont="1" applyBorder="1" applyAlignment="1">
      <alignment horizontal="left"/>
    </xf>
    <xf numFmtId="168" fontId="11" fillId="0" borderId="43" xfId="0" applyNumberFormat="1" applyFont="1" applyBorder="1" applyAlignment="1" applyProtection="1">
      <alignment horizontal="center"/>
      <protection/>
    </xf>
    <xf numFmtId="168" fontId="62" fillId="0" borderId="0" xfId="0" applyNumberFormat="1" applyFont="1" applyBorder="1" applyAlignment="1" applyProtection="1" quotePrefix="1">
      <alignment horizontal="left"/>
      <protection/>
    </xf>
    <xf numFmtId="168" fontId="62" fillId="0" borderId="53" xfId="0" applyNumberFormat="1" applyFont="1" applyBorder="1" applyAlignment="1" applyProtection="1" quotePrefix="1">
      <alignment horizontal="left"/>
      <protection/>
    </xf>
    <xf numFmtId="168" fontId="62" fillId="0" borderId="49" xfId="0" applyNumberFormat="1" applyFont="1" applyBorder="1" applyAlignment="1" applyProtection="1" quotePrefix="1">
      <alignment horizontal="left"/>
      <protection/>
    </xf>
    <xf numFmtId="168" fontId="11" fillId="0" borderId="43" xfId="0" applyNumberFormat="1" applyFont="1" applyBorder="1" applyAlignment="1" applyProtection="1">
      <alignment horizontal="left"/>
      <protection/>
    </xf>
    <xf numFmtId="177" fontId="11" fillId="0" borderId="43" xfId="0" applyNumberFormat="1" applyFont="1" applyBorder="1" applyAlignment="1" applyProtection="1">
      <alignment horizontal="right"/>
      <protection/>
    </xf>
    <xf numFmtId="177" fontId="11" fillId="0" borderId="51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Continuous" vertical="center"/>
    </xf>
    <xf numFmtId="167" fontId="0" fillId="0" borderId="0" xfId="0" applyNumberFormat="1" applyFont="1" applyBorder="1" applyAlignment="1">
      <alignment horizontal="centerContinuous"/>
    </xf>
    <xf numFmtId="2" fontId="7" fillId="0" borderId="62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Continuous"/>
    </xf>
    <xf numFmtId="0" fontId="7" fillId="0" borderId="62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28" fillId="0" borderId="0" xfId="0" applyFont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left"/>
      <protection/>
    </xf>
    <xf numFmtId="8" fontId="11" fillId="0" borderId="26" xfId="51" applyNumberFormat="1" applyFont="1" applyBorder="1" applyAlignment="1">
      <alignment horizontal="right"/>
    </xf>
    <xf numFmtId="168" fontId="7" fillId="0" borderId="12" xfId="0" applyNumberFormat="1" applyFont="1" applyBorder="1" applyAlignment="1" applyProtection="1" quotePrefix="1">
      <alignment horizontal="center"/>
      <protection/>
    </xf>
    <xf numFmtId="2" fontId="50" fillId="34" borderId="12" xfId="0" applyNumberFormat="1" applyFont="1" applyFill="1" applyBorder="1" applyAlignment="1" applyProtection="1">
      <alignment horizontal="center"/>
      <protection/>
    </xf>
    <xf numFmtId="2" fontId="50" fillId="35" borderId="12" xfId="0" applyNumberFormat="1" applyFont="1" applyFill="1" applyBorder="1" applyAlignment="1" applyProtection="1">
      <alignment horizontal="center"/>
      <protection/>
    </xf>
    <xf numFmtId="168" fontId="55" fillId="36" borderId="34" xfId="0" applyNumberFormat="1" applyFont="1" applyFill="1" applyBorder="1" applyAlignment="1" applyProtection="1" quotePrefix="1">
      <alignment horizontal="center"/>
      <protection/>
    </xf>
    <xf numFmtId="168" fontId="55" fillId="36" borderId="35" xfId="0" applyNumberFormat="1" applyFont="1" applyFill="1" applyBorder="1" applyAlignment="1" applyProtection="1" quotePrefix="1">
      <alignment horizontal="center"/>
      <protection/>
    </xf>
    <xf numFmtId="4" fontId="55" fillId="36" borderId="25" xfId="0" applyNumberFormat="1" applyFont="1" applyFill="1" applyBorder="1" applyAlignment="1" applyProtection="1">
      <alignment horizontal="center"/>
      <protection/>
    </xf>
    <xf numFmtId="168" fontId="55" fillId="37" borderId="34" xfId="0" applyNumberFormat="1" applyFont="1" applyFill="1" applyBorder="1" applyAlignment="1" applyProtection="1" quotePrefix="1">
      <alignment horizontal="center"/>
      <protection/>
    </xf>
    <xf numFmtId="168" fontId="55" fillId="37" borderId="35" xfId="0" applyNumberFormat="1" applyFont="1" applyFill="1" applyBorder="1" applyAlignment="1" applyProtection="1" quotePrefix="1">
      <alignment horizontal="center"/>
      <protection/>
    </xf>
    <xf numFmtId="4" fontId="55" fillId="37" borderId="25" xfId="0" applyNumberFormat="1" applyFont="1" applyFill="1" applyBorder="1" applyAlignment="1" applyProtection="1">
      <alignment horizontal="center"/>
      <protection/>
    </xf>
    <xf numFmtId="4" fontId="55" fillId="38" borderId="12" xfId="0" applyNumberFormat="1" applyFont="1" applyFill="1" applyBorder="1" applyAlignment="1" applyProtection="1">
      <alignment horizontal="center"/>
      <protection/>
    </xf>
    <xf numFmtId="4" fontId="50" fillId="39" borderId="12" xfId="0" applyNumberFormat="1" applyFont="1" applyFill="1" applyBorder="1" applyAlignment="1" applyProtection="1">
      <alignment horizontal="center"/>
      <protection/>
    </xf>
    <xf numFmtId="4" fontId="7" fillId="0" borderId="12" xfId="0" applyNumberFormat="1" applyFont="1" applyBorder="1" applyAlignment="1" applyProtection="1">
      <alignment horizontal="center"/>
      <protection/>
    </xf>
    <xf numFmtId="168" fontId="7" fillId="0" borderId="12" xfId="0" applyNumberFormat="1" applyFont="1" applyFill="1" applyBorder="1" applyAlignment="1" applyProtection="1" quotePrefix="1">
      <alignment horizontal="center"/>
      <protection/>
    </xf>
    <xf numFmtId="2" fontId="55" fillId="38" borderId="12" xfId="0" applyNumberFormat="1" applyFont="1" applyFill="1" applyBorder="1" applyAlignment="1" applyProtection="1">
      <alignment horizontal="center"/>
      <protection/>
    </xf>
    <xf numFmtId="2" fontId="55" fillId="40" borderId="12" xfId="0" applyNumberFormat="1" applyFont="1" applyFill="1" applyBorder="1" applyAlignment="1" applyProtection="1">
      <alignment horizontal="center"/>
      <protection/>
    </xf>
    <xf numFmtId="168" fontId="7" fillId="0" borderId="12" xfId="0" applyNumberFormat="1" applyFont="1" applyBorder="1" applyAlignment="1" applyProtection="1">
      <alignment horizontal="center"/>
      <protection/>
    </xf>
    <xf numFmtId="0" fontId="53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69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 applyProtection="1">
      <alignment/>
      <protection/>
    </xf>
    <xf numFmtId="0" fontId="53" fillId="0" borderId="10" xfId="0" applyFont="1" applyFill="1" applyBorder="1" applyAlignment="1" applyProtection="1">
      <alignment/>
      <protection/>
    </xf>
    <xf numFmtId="0" fontId="53" fillId="0" borderId="69" xfId="0" applyFont="1" applyFill="1" applyBorder="1" applyAlignment="1" applyProtection="1">
      <alignment/>
      <protection/>
    </xf>
    <xf numFmtId="0" fontId="53" fillId="0" borderId="11" xfId="0" applyFont="1" applyFill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3" fillId="0" borderId="0" xfId="0" applyFont="1" applyFill="1" applyAlignment="1">
      <alignment/>
    </xf>
    <xf numFmtId="0" fontId="53" fillId="0" borderId="10" xfId="0" applyFont="1" applyFill="1" applyBorder="1" applyAlignment="1">
      <alignment/>
    </xf>
    <xf numFmtId="0" fontId="53" fillId="0" borderId="69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7" fillId="0" borderId="62" xfId="0" applyNumberFormat="1" applyFont="1" applyBorder="1" applyAlignment="1" applyProtection="1">
      <alignment horizontal="center"/>
      <protection locked="0"/>
    </xf>
    <xf numFmtId="165" fontId="7" fillId="0" borderId="62" xfId="0" applyNumberFormat="1" applyFont="1" applyBorder="1" applyAlignment="1" applyProtection="1">
      <alignment horizontal="center"/>
      <protection locked="0"/>
    </xf>
    <xf numFmtId="0" fontId="69" fillId="0" borderId="0" xfId="0" applyFont="1" applyBorder="1" applyAlignment="1">
      <alignment horizontal="left"/>
    </xf>
    <xf numFmtId="0" fontId="69" fillId="0" borderId="0" xfId="0" applyFont="1" applyBorder="1" applyAlignment="1" applyProtection="1">
      <alignment horizontal="left"/>
      <protection/>
    </xf>
    <xf numFmtId="173" fontId="0" fillId="0" borderId="28" xfId="0" applyNumberFormat="1" applyFont="1" applyBorder="1" applyAlignment="1">
      <alignment horizontal="centerContinuous" vertical="center"/>
    </xf>
    <xf numFmtId="0" fontId="0" fillId="0" borderId="70" xfId="0" applyFont="1" applyBorder="1" applyAlignment="1" applyProtection="1">
      <alignment horizontal="left"/>
      <protection/>
    </xf>
    <xf numFmtId="171" fontId="0" fillId="0" borderId="71" xfId="0" applyNumberFormat="1" applyFont="1" applyBorder="1" applyAlignment="1" applyProtection="1">
      <alignment horizontal="centerContinuous"/>
      <protection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838450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685800</xdr:colOff>
      <xdr:row>0</xdr:row>
      <xdr:rowOff>0</xdr:rowOff>
    </xdr:from>
    <xdr:to>
      <xdr:col>1</xdr:col>
      <xdr:colOff>361950</xdr:colOff>
      <xdr:row>1</xdr:row>
      <xdr:rowOff>333375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S46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9" customWidth="1"/>
    <col min="2" max="2" width="7.7109375" style="9" customWidth="1"/>
    <col min="3" max="3" width="9.8515625" style="9" customWidth="1"/>
    <col min="4" max="4" width="10.7109375" style="9" customWidth="1"/>
    <col min="5" max="5" width="10.57421875" style="9" customWidth="1"/>
    <col min="6" max="6" width="15.7109375" style="9" customWidth="1"/>
    <col min="7" max="7" width="24.28125" style="9" customWidth="1"/>
    <col min="8" max="8" width="11.00390625" style="9" customWidth="1"/>
    <col min="9" max="9" width="15.7109375" style="9" customWidth="1"/>
    <col min="10" max="10" width="15.00390625" style="9" customWidth="1"/>
    <col min="11" max="11" width="15.7109375" style="9" customWidth="1"/>
    <col min="12" max="13" width="11.421875" style="9" customWidth="1"/>
    <col min="14" max="14" width="14.140625" style="9" customWidth="1"/>
    <col min="15" max="15" width="11.421875" style="9" customWidth="1"/>
    <col min="16" max="16" width="14.7109375" style="9" customWidth="1"/>
    <col min="17" max="17" width="11.421875" style="9" customWidth="1"/>
    <col min="18" max="18" width="12.00390625" style="9" customWidth="1"/>
    <col min="19" max="16384" width="11.421875" style="9" customWidth="1"/>
  </cols>
  <sheetData>
    <row r="1" spans="2:11" s="97" customFormat="1" ht="26.25">
      <c r="B1" s="98"/>
      <c r="K1" s="366"/>
    </row>
    <row r="2" spans="2:10" s="97" customFormat="1" ht="26.25">
      <c r="B2" s="98" t="s">
        <v>151</v>
      </c>
      <c r="C2" s="115"/>
      <c r="D2" s="99"/>
      <c r="E2" s="99"/>
      <c r="F2" s="99"/>
      <c r="G2" s="99"/>
      <c r="H2" s="99"/>
      <c r="I2" s="99"/>
      <c r="J2" s="99"/>
    </row>
    <row r="3" spans="3:19" ht="12.75">
      <c r="C3"/>
      <c r="D3" s="32"/>
      <c r="E3" s="32"/>
      <c r="F3" s="32"/>
      <c r="G3" s="32"/>
      <c r="H3" s="32"/>
      <c r="I3" s="32"/>
      <c r="J3" s="32"/>
      <c r="P3" s="7"/>
      <c r="Q3" s="7"/>
      <c r="R3" s="7"/>
      <c r="S3" s="7"/>
    </row>
    <row r="4" spans="1:19" s="100" customFormat="1" ht="11.25">
      <c r="A4" s="116" t="s">
        <v>17</v>
      </c>
      <c r="B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1:19" s="100" customFormat="1" ht="11.25">
      <c r="A5" s="116" t="s">
        <v>18</v>
      </c>
      <c r="B5" s="117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</row>
    <row r="6" spans="2:19" s="97" customFormat="1" ht="26.25">
      <c r="B6" s="119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</row>
    <row r="7" spans="2:19" s="102" customFormat="1" ht="21">
      <c r="B7" s="155" t="s">
        <v>0</v>
      </c>
      <c r="C7" s="121"/>
      <c r="D7" s="122"/>
      <c r="E7" s="122"/>
      <c r="F7" s="123"/>
      <c r="G7" s="123"/>
      <c r="H7" s="123"/>
      <c r="I7" s="123"/>
      <c r="J7" s="123"/>
      <c r="K7" s="38"/>
      <c r="L7" s="38"/>
      <c r="M7" s="38"/>
      <c r="N7" s="38"/>
      <c r="O7" s="38"/>
      <c r="P7" s="38"/>
      <c r="Q7" s="38"/>
      <c r="R7" s="38"/>
      <c r="S7" s="38"/>
    </row>
    <row r="8" spans="9:19" ht="12.75"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2:19" s="102" customFormat="1" ht="21">
      <c r="B9" s="155" t="s">
        <v>1</v>
      </c>
      <c r="C9" s="121"/>
      <c r="D9" s="122"/>
      <c r="E9" s="122"/>
      <c r="F9" s="122"/>
      <c r="G9" s="122"/>
      <c r="H9" s="122"/>
      <c r="I9" s="123"/>
      <c r="J9" s="123"/>
      <c r="K9" s="38"/>
      <c r="L9" s="38"/>
      <c r="M9" s="38"/>
      <c r="N9" s="38"/>
      <c r="O9" s="38"/>
      <c r="P9" s="38"/>
      <c r="Q9" s="38"/>
      <c r="R9" s="38"/>
      <c r="S9" s="38"/>
    </row>
    <row r="10" spans="4:19" ht="12.75">
      <c r="D10" s="124"/>
      <c r="E10" s="124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2:19" s="102" customFormat="1" ht="20.25">
      <c r="B11" s="155" t="s">
        <v>150</v>
      </c>
      <c r="C11" s="75"/>
      <c r="D11" s="33"/>
      <c r="E11" s="33"/>
      <c r="F11" s="122"/>
      <c r="G11" s="122"/>
      <c r="H11" s="122"/>
      <c r="I11" s="123"/>
      <c r="J11" s="123"/>
      <c r="K11" s="38"/>
      <c r="L11" s="38"/>
      <c r="M11" s="38"/>
      <c r="N11" s="38"/>
      <c r="O11" s="38"/>
      <c r="P11" s="38"/>
      <c r="Q11" s="38"/>
      <c r="R11" s="38"/>
      <c r="S11" s="38"/>
    </row>
    <row r="12" spans="4:19" s="125" customFormat="1" ht="16.5" thickBot="1">
      <c r="D12" s="6"/>
      <c r="E12" s="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</row>
    <row r="13" spans="2:19" s="125" customFormat="1" ht="16.5" thickTop="1">
      <c r="B13" s="356">
        <v>1</v>
      </c>
      <c r="C13" s="363"/>
      <c r="D13" s="127"/>
      <c r="E13" s="127"/>
      <c r="F13" s="127"/>
      <c r="G13" s="127"/>
      <c r="H13" s="127"/>
      <c r="I13" s="127"/>
      <c r="J13" s="128"/>
      <c r="K13" s="126"/>
      <c r="L13" s="126"/>
      <c r="M13" s="126"/>
      <c r="N13" s="126"/>
      <c r="O13" s="126"/>
      <c r="P13" s="126"/>
      <c r="Q13" s="126"/>
      <c r="R13" s="126"/>
      <c r="S13" s="126"/>
    </row>
    <row r="14" spans="2:19" s="109" customFormat="1" ht="19.5">
      <c r="B14" s="209" t="s">
        <v>123</v>
      </c>
      <c r="C14" s="129"/>
      <c r="D14" s="130"/>
      <c r="E14" s="131"/>
      <c r="F14" s="131"/>
      <c r="G14" s="131"/>
      <c r="H14" s="131"/>
      <c r="I14" s="105"/>
      <c r="J14" s="108"/>
      <c r="K14" s="40"/>
      <c r="L14" s="40"/>
      <c r="M14" s="40"/>
      <c r="N14" s="40"/>
      <c r="O14" s="40"/>
      <c r="P14" s="40"/>
      <c r="Q14" s="40"/>
      <c r="R14" s="40"/>
      <c r="S14" s="40"/>
    </row>
    <row r="15" spans="2:19" s="109" customFormat="1" ht="9" customHeight="1">
      <c r="B15" s="132"/>
      <c r="C15" s="133"/>
      <c r="D15" s="133"/>
      <c r="E15" s="40"/>
      <c r="F15" s="134"/>
      <c r="G15" s="134"/>
      <c r="H15" s="134"/>
      <c r="I15" s="40"/>
      <c r="J15" s="135"/>
      <c r="K15" s="40"/>
      <c r="L15" s="40"/>
      <c r="M15" s="40"/>
      <c r="N15" s="40"/>
      <c r="O15" s="40"/>
      <c r="P15" s="40"/>
      <c r="Q15" s="40"/>
      <c r="R15" s="40"/>
      <c r="S15" s="40"/>
    </row>
    <row r="16" spans="2:18" s="109" customFormat="1" ht="9" customHeight="1">
      <c r="B16" s="209">
        <f>IF(B13=2,"Sanciones duplicadas por tasa de falla &gt; 4 Sal. x año/100km.","")</f>
      </c>
      <c r="C16" s="212"/>
      <c r="D16" s="212"/>
      <c r="E16" s="105"/>
      <c r="F16" s="131"/>
      <c r="G16" s="131"/>
      <c r="H16" s="105"/>
      <c r="I16" s="75"/>
      <c r="J16" s="108"/>
      <c r="K16" s="40"/>
      <c r="L16" s="40"/>
      <c r="M16" s="40"/>
      <c r="N16" s="40"/>
      <c r="O16" s="40"/>
      <c r="P16" s="40"/>
      <c r="Q16" s="40"/>
      <c r="R16" s="40"/>
    </row>
    <row r="17" spans="2:18" s="109" customFormat="1" ht="9" customHeight="1">
      <c r="B17" s="132"/>
      <c r="C17" s="133"/>
      <c r="D17" s="133"/>
      <c r="E17" s="40"/>
      <c r="F17" s="134"/>
      <c r="G17" s="134"/>
      <c r="H17" s="40"/>
      <c r="I17"/>
      <c r="J17" s="135"/>
      <c r="K17" s="40"/>
      <c r="L17" s="40"/>
      <c r="M17" s="40"/>
      <c r="N17" s="40"/>
      <c r="O17" s="40"/>
      <c r="P17" s="40"/>
      <c r="Q17" s="40"/>
      <c r="R17" s="40"/>
    </row>
    <row r="18" spans="2:19" s="109" customFormat="1" ht="19.5">
      <c r="B18" s="132"/>
      <c r="C18" s="136" t="s">
        <v>19</v>
      </c>
      <c r="D18" s="137" t="s">
        <v>20</v>
      </c>
      <c r="E18" s="40"/>
      <c r="F18" s="134"/>
      <c r="G18" s="134"/>
      <c r="H18" s="134"/>
      <c r="I18" s="39"/>
      <c r="J18" s="135"/>
      <c r="K18" s="40"/>
      <c r="L18" s="40"/>
      <c r="M18" s="40"/>
      <c r="N18" s="40"/>
      <c r="O18" s="40"/>
      <c r="P18" s="40"/>
      <c r="Q18" s="40"/>
      <c r="R18" s="40"/>
      <c r="S18" s="40"/>
    </row>
    <row r="19" spans="2:19" s="109" customFormat="1" ht="19.5">
      <c r="B19" s="132"/>
      <c r="C19"/>
      <c r="D19" s="136" t="s">
        <v>21</v>
      </c>
      <c r="E19" s="137" t="s">
        <v>22</v>
      </c>
      <c r="F19" s="134"/>
      <c r="G19" s="134"/>
      <c r="H19" s="134"/>
      <c r="I19" s="39">
        <f>'LI-05 (1)'!AA40</f>
        <v>13231.48</v>
      </c>
      <c r="J19" s="135"/>
      <c r="K19" s="40"/>
      <c r="L19" s="40"/>
      <c r="M19" s="40"/>
      <c r="N19" s="40"/>
      <c r="O19" s="40"/>
      <c r="P19" s="40"/>
      <c r="Q19" s="40"/>
      <c r="R19" s="40"/>
      <c r="S19" s="40"/>
    </row>
    <row r="20" spans="2:19" s="109" customFormat="1" ht="19.5">
      <c r="B20" s="132"/>
      <c r="C20" s="136"/>
      <c r="D20" s="136" t="s">
        <v>23</v>
      </c>
      <c r="E20" s="137" t="s">
        <v>24</v>
      </c>
      <c r="F20" s="134"/>
      <c r="G20" s="134"/>
      <c r="H20" s="134"/>
      <c r="I20" s="39">
        <f>'LI-EDERSA-05 (1)'!AA43</f>
        <v>18591.7</v>
      </c>
      <c r="J20" s="135"/>
      <c r="K20" s="40"/>
      <c r="L20" s="40"/>
      <c r="M20" s="40"/>
      <c r="N20" s="40"/>
      <c r="O20" s="40"/>
      <c r="P20" s="40"/>
      <c r="Q20" s="40"/>
      <c r="R20" s="40"/>
      <c r="S20" s="40"/>
    </row>
    <row r="21" spans="2:19" ht="13.5">
      <c r="B21" s="37"/>
      <c r="C21" s="138"/>
      <c r="D21" s="139"/>
      <c r="E21" s="7"/>
      <c r="F21" s="140"/>
      <c r="G21" s="140"/>
      <c r="H21" s="140"/>
      <c r="I21" s="141"/>
      <c r="J21" s="10"/>
      <c r="K21" s="7"/>
      <c r="L21" s="7"/>
      <c r="M21" s="7"/>
      <c r="N21" s="7"/>
      <c r="O21" s="7"/>
      <c r="P21" s="7"/>
      <c r="Q21" s="7"/>
      <c r="R21" s="7"/>
      <c r="S21" s="7"/>
    </row>
    <row r="22" spans="2:19" s="109" customFormat="1" ht="19.5">
      <c r="B22" s="132"/>
      <c r="C22" s="136" t="s">
        <v>25</v>
      </c>
      <c r="D22" s="137" t="s">
        <v>26</v>
      </c>
      <c r="E22" s="40"/>
      <c r="F22" s="134"/>
      <c r="G22" s="134"/>
      <c r="H22" s="134"/>
      <c r="I22" s="39"/>
      <c r="J22" s="135"/>
      <c r="K22" s="40"/>
      <c r="L22" s="40"/>
      <c r="M22" s="40"/>
      <c r="N22" s="40"/>
      <c r="O22" s="40"/>
      <c r="P22" s="40"/>
      <c r="Q22" s="40"/>
      <c r="R22" s="40"/>
      <c r="S22" s="40"/>
    </row>
    <row r="23" spans="2:19" ht="8.25" customHeight="1">
      <c r="B23" s="37"/>
      <c r="C23" s="138"/>
      <c r="D23" s="138"/>
      <c r="E23" s="7"/>
      <c r="F23" s="140"/>
      <c r="G23" s="140"/>
      <c r="H23" s="140"/>
      <c r="I23" s="142"/>
      <c r="J23" s="10"/>
      <c r="K23" s="7"/>
      <c r="L23" s="7"/>
      <c r="M23" s="7"/>
      <c r="N23" s="7"/>
      <c r="O23" s="7"/>
      <c r="P23" s="7"/>
      <c r="Q23" s="7"/>
      <c r="R23" s="7"/>
      <c r="S23" s="7"/>
    </row>
    <row r="24" spans="2:19" s="109" customFormat="1" ht="19.5">
      <c r="B24" s="132"/>
      <c r="C24" s="136"/>
      <c r="D24" s="136" t="s">
        <v>27</v>
      </c>
      <c r="E24" s="8" t="s">
        <v>28</v>
      </c>
      <c r="F24" s="134"/>
      <c r="G24" s="134"/>
      <c r="H24" s="134"/>
      <c r="I24" s="39"/>
      <c r="J24" s="135"/>
      <c r="K24" s="40"/>
      <c r="L24" s="40"/>
      <c r="M24" s="40"/>
      <c r="N24" s="40"/>
      <c r="O24" s="40"/>
      <c r="P24" s="40"/>
      <c r="Q24" s="40"/>
      <c r="R24" s="40"/>
      <c r="S24" s="40"/>
    </row>
    <row r="25" spans="2:19" s="109" customFormat="1" ht="19.5">
      <c r="B25" s="132"/>
      <c r="C25" s="136"/>
      <c r="D25" s="136"/>
      <c r="E25" s="136" t="s">
        <v>29</v>
      </c>
      <c r="F25" s="137" t="s">
        <v>22</v>
      </c>
      <c r="G25" s="134"/>
      <c r="H25" s="134"/>
      <c r="I25" s="39">
        <f>'TR-05 (1)'!AC36</f>
        <v>228.92</v>
      </c>
      <c r="J25" s="135"/>
      <c r="K25" s="40"/>
      <c r="L25" s="40"/>
      <c r="M25" s="40"/>
      <c r="N25" s="40"/>
      <c r="O25" s="40"/>
      <c r="P25" s="40"/>
      <c r="Q25" s="40"/>
      <c r="R25" s="40"/>
      <c r="S25" s="40"/>
    </row>
    <row r="26" spans="2:19" s="109" customFormat="1" ht="19.5">
      <c r="B26" s="132"/>
      <c r="C26" s="136"/>
      <c r="D26" s="136"/>
      <c r="E26" s="136" t="s">
        <v>30</v>
      </c>
      <c r="F26" s="137" t="s">
        <v>24</v>
      </c>
      <c r="G26" s="134"/>
      <c r="H26" s="134"/>
      <c r="I26" s="39">
        <f>'TR-EDERSA-05 (1)'!AC45</f>
        <v>130.67</v>
      </c>
      <c r="J26" s="135"/>
      <c r="K26" s="40"/>
      <c r="L26" s="40"/>
      <c r="M26" s="40"/>
      <c r="N26" s="40"/>
      <c r="O26" s="40"/>
      <c r="P26" s="40"/>
      <c r="Q26" s="40"/>
      <c r="R26" s="40"/>
      <c r="S26" s="40"/>
    </row>
    <row r="27" spans="2:19" ht="13.5">
      <c r="B27" s="37"/>
      <c r="C27" s="138"/>
      <c r="D27" s="138"/>
      <c r="E27" s="7"/>
      <c r="F27" s="140"/>
      <c r="G27" s="140"/>
      <c r="H27" s="140"/>
      <c r="I27" s="142"/>
      <c r="J27" s="10"/>
      <c r="K27" s="7"/>
      <c r="L27" s="7"/>
      <c r="M27" s="7"/>
      <c r="N27" s="7"/>
      <c r="O27" s="7"/>
      <c r="P27" s="7"/>
      <c r="Q27" s="7"/>
      <c r="R27" s="7"/>
      <c r="S27" s="7"/>
    </row>
    <row r="28" spans="2:19" ht="13.5">
      <c r="B28" s="37"/>
      <c r="C28" s="138"/>
      <c r="D28" s="139"/>
      <c r="E28" s="7"/>
      <c r="F28" s="140"/>
      <c r="G28" s="140"/>
      <c r="H28" s="140"/>
      <c r="I28" s="141"/>
      <c r="J28" s="10"/>
      <c r="K28" s="7"/>
      <c r="L28" s="7"/>
      <c r="M28" s="7"/>
      <c r="N28" s="7"/>
      <c r="O28" s="7"/>
      <c r="P28" s="7"/>
      <c r="Q28" s="7"/>
      <c r="R28" s="7"/>
      <c r="S28" s="7"/>
    </row>
    <row r="29" spans="2:19" s="109" customFormat="1" ht="19.5">
      <c r="B29" s="132"/>
      <c r="C29" s="133" t="s">
        <v>31</v>
      </c>
      <c r="D29" s="8" t="s">
        <v>32</v>
      </c>
      <c r="E29" s="134"/>
      <c r="F29"/>
      <c r="G29" s="134"/>
      <c r="H29" s="134"/>
      <c r="I29" s="39"/>
      <c r="J29" s="135"/>
      <c r="K29" s="40"/>
      <c r="L29" s="40"/>
      <c r="M29" s="40"/>
      <c r="N29" s="40"/>
      <c r="O29" s="40"/>
      <c r="P29" s="40"/>
      <c r="Q29" s="40"/>
      <c r="R29" s="40"/>
      <c r="S29" s="40"/>
    </row>
    <row r="30" spans="2:19" s="109" customFormat="1" ht="19.5">
      <c r="B30" s="132"/>
      <c r="C30" s="136"/>
      <c r="D30" s="133" t="s">
        <v>143</v>
      </c>
      <c r="E30" s="137" t="s">
        <v>24</v>
      </c>
      <c r="F30"/>
      <c r="G30" s="134"/>
      <c r="H30" s="134"/>
      <c r="I30" s="39">
        <f>'SUP-EDERSA'!I57</f>
        <v>5085.154715202995</v>
      </c>
      <c r="J30" s="135"/>
      <c r="K30" s="40"/>
      <c r="L30" s="40"/>
      <c r="M30" s="40"/>
      <c r="N30" s="40"/>
      <c r="O30" s="40"/>
      <c r="P30" s="40"/>
      <c r="Q30" s="40"/>
      <c r="R30" s="40"/>
      <c r="S30" s="40"/>
    </row>
    <row r="31" spans="2:19" s="109" customFormat="1" ht="20.25" thickBot="1">
      <c r="B31" s="132"/>
      <c r="C31" s="133"/>
      <c r="D31" s="133"/>
      <c r="E31" s="40"/>
      <c r="F31" s="134"/>
      <c r="G31" s="134"/>
      <c r="H31" s="134"/>
      <c r="I31" s="40"/>
      <c r="J31" s="135"/>
      <c r="K31" s="40"/>
      <c r="L31" s="40"/>
      <c r="M31" s="40"/>
      <c r="N31" s="40"/>
      <c r="O31" s="40"/>
      <c r="P31" s="40"/>
      <c r="Q31" s="40"/>
      <c r="R31" s="40"/>
      <c r="S31" s="40"/>
    </row>
    <row r="32" spans="2:19" s="109" customFormat="1" ht="20.25" thickBot="1" thickTop="1">
      <c r="B32" s="132"/>
      <c r="C32" s="136"/>
      <c r="D32" s="136"/>
      <c r="F32" s="143" t="s">
        <v>33</v>
      </c>
      <c r="G32" s="144">
        <f>SUM(I18:I30)</f>
        <v>37267.92471520299</v>
      </c>
      <c r="H32" s="211"/>
      <c r="J32" s="135"/>
      <c r="K32" s="40"/>
      <c r="L32" s="40"/>
      <c r="M32" s="40"/>
      <c r="N32" s="40"/>
      <c r="O32" s="40"/>
      <c r="P32" s="40"/>
      <c r="Q32" s="40"/>
      <c r="R32" s="40"/>
      <c r="S32" s="40"/>
    </row>
    <row r="33" spans="2:19" s="109" customFormat="1" ht="8.25" customHeight="1" thickTop="1">
      <c r="B33" s="132"/>
      <c r="C33" s="136"/>
      <c r="D33" s="136"/>
      <c r="F33" s="608"/>
      <c r="G33" s="211"/>
      <c r="H33" s="211"/>
      <c r="J33" s="135"/>
      <c r="K33" s="40"/>
      <c r="L33" s="40"/>
      <c r="M33" s="40"/>
      <c r="N33" s="40"/>
      <c r="O33" s="40"/>
      <c r="P33" s="40"/>
      <c r="Q33" s="40"/>
      <c r="R33" s="40"/>
      <c r="S33" s="40"/>
    </row>
    <row r="34" spans="2:19" s="109" customFormat="1" ht="18.75">
      <c r="B34" s="132"/>
      <c r="C34" s="609" t="s">
        <v>148</v>
      </c>
      <c r="D34" s="136"/>
      <c r="F34" s="608"/>
      <c r="G34" s="211"/>
      <c r="H34" s="211"/>
      <c r="J34" s="135"/>
      <c r="K34" s="40"/>
      <c r="L34" s="40"/>
      <c r="M34" s="40"/>
      <c r="N34" s="40"/>
      <c r="O34" s="40"/>
      <c r="P34" s="40"/>
      <c r="Q34" s="40"/>
      <c r="R34" s="40"/>
      <c r="S34" s="40"/>
    </row>
    <row r="35" spans="2:19" s="125" customFormat="1" ht="6.75" customHeight="1" thickBot="1">
      <c r="B35" s="145"/>
      <c r="C35" s="146"/>
      <c r="D35" s="146"/>
      <c r="E35" s="147"/>
      <c r="F35" s="147"/>
      <c r="G35" s="147"/>
      <c r="H35" s="147"/>
      <c r="I35" s="147"/>
      <c r="J35" s="148"/>
      <c r="K35" s="126"/>
      <c r="L35" s="126"/>
      <c r="M35" s="74"/>
      <c r="N35" s="149"/>
      <c r="O35" s="149"/>
      <c r="P35" s="150"/>
      <c r="Q35" s="151"/>
      <c r="R35" s="126"/>
      <c r="S35" s="126"/>
    </row>
    <row r="36" spans="4:19" ht="13.5" thickTop="1">
      <c r="D36" s="7"/>
      <c r="F36" s="7"/>
      <c r="G36" s="7"/>
      <c r="H36" s="7"/>
      <c r="I36" s="7"/>
      <c r="J36" s="7"/>
      <c r="K36" s="7"/>
      <c r="L36" s="7"/>
      <c r="M36" s="27"/>
      <c r="N36" s="152"/>
      <c r="O36" s="152"/>
      <c r="P36" s="7"/>
      <c r="Q36" s="29"/>
      <c r="R36" s="7"/>
      <c r="S36" s="7"/>
    </row>
    <row r="37" spans="4:19" ht="12.75">
      <c r="D37" s="7"/>
      <c r="F37" s="7"/>
      <c r="G37" s="7"/>
      <c r="H37" s="7"/>
      <c r="I37" s="7"/>
      <c r="J37" s="7"/>
      <c r="K37" s="7"/>
      <c r="L37" s="7"/>
      <c r="M37" s="7"/>
      <c r="N37" s="153"/>
      <c r="O37" s="153"/>
      <c r="P37" s="154"/>
      <c r="Q37" s="29"/>
      <c r="R37" s="7"/>
      <c r="S37" s="7"/>
    </row>
    <row r="38" spans="4:19" ht="12.75">
      <c r="D38" s="7"/>
      <c r="E38" s="7"/>
      <c r="F38" s="7"/>
      <c r="G38" s="7"/>
      <c r="H38" s="7"/>
      <c r="I38" s="7"/>
      <c r="J38" s="7"/>
      <c r="K38" s="7"/>
      <c r="L38" s="7"/>
      <c r="M38" s="7"/>
      <c r="N38" s="153"/>
      <c r="O38" s="153"/>
      <c r="P38" s="154"/>
      <c r="Q38" s="29"/>
      <c r="R38" s="7"/>
      <c r="S38" s="7"/>
    </row>
    <row r="39" spans="4:19" ht="12.75">
      <c r="D39" s="7"/>
      <c r="E39" s="7"/>
      <c r="L39" s="7"/>
      <c r="M39" s="7"/>
      <c r="N39" s="7"/>
      <c r="O39" s="7"/>
      <c r="P39" s="7"/>
      <c r="Q39" s="7"/>
      <c r="R39" s="7"/>
      <c r="S39" s="7"/>
    </row>
    <row r="40" spans="4:19" ht="12.75">
      <c r="D40" s="7"/>
      <c r="E40" s="7"/>
      <c r="P40" s="7"/>
      <c r="Q40" s="7"/>
      <c r="R40" s="7"/>
      <c r="S40" s="7"/>
    </row>
    <row r="41" spans="4:19" ht="12.75">
      <c r="D41" s="7"/>
      <c r="E41" s="7"/>
      <c r="P41" s="7"/>
      <c r="Q41" s="7"/>
      <c r="R41" s="7"/>
      <c r="S41" s="7"/>
    </row>
    <row r="42" spans="4:19" ht="12.75">
      <c r="D42" s="7"/>
      <c r="E42" s="7"/>
      <c r="P42" s="7"/>
      <c r="Q42" s="7"/>
      <c r="R42" s="7"/>
      <c r="S42" s="7"/>
    </row>
    <row r="43" spans="4:19" ht="12.75">
      <c r="D43" s="7"/>
      <c r="E43" s="7"/>
      <c r="P43" s="7"/>
      <c r="Q43" s="7"/>
      <c r="R43" s="7"/>
      <c r="S43" s="7"/>
    </row>
    <row r="44" spans="4:19" ht="12.75">
      <c r="D44" s="7"/>
      <c r="E44" s="7"/>
      <c r="P44" s="7"/>
      <c r="Q44" s="7"/>
      <c r="R44" s="7"/>
      <c r="S44" s="7"/>
    </row>
    <row r="45" spans="16:19" ht="12.75">
      <c r="P45" s="7"/>
      <c r="Q45" s="7"/>
      <c r="R45" s="7"/>
      <c r="S45" s="7"/>
    </row>
    <row r="46" spans="16:19" ht="12.75">
      <c r="P46" s="7"/>
      <c r="Q46" s="7"/>
      <c r="R46" s="7"/>
      <c r="S46" s="7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85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B88"/>
  <sheetViews>
    <sheetView zoomScale="75" zoomScaleNormal="75" zoomScalePageLayoutView="0" workbookViewId="0" topLeftCell="A1">
      <selection activeCell="G18" sqref="G18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46.7109375" style="0" customWidth="1"/>
    <col min="7" max="7" width="9.7109375" style="0" customWidth="1"/>
    <col min="8" max="8" width="9.421875" style="0" customWidth="1"/>
    <col min="9" max="9" width="12.7109375" style="0" hidden="1" customWidth="1"/>
    <col min="10" max="10" width="16.421875" style="0" customWidth="1"/>
    <col min="11" max="11" width="16.28125" style="0" customWidth="1"/>
    <col min="12" max="14" width="9.710937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97" customFormat="1" ht="26.25">
      <c r="AB1" s="366"/>
    </row>
    <row r="2" spans="2:28" s="97" customFormat="1" ht="26.25">
      <c r="B2" s="98" t="str">
        <f>+'TOT-0515'!B2</f>
        <v>ANEXO V al Memorándum  D.T.E.E.  N°  326 /2016             .-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="9" customFormat="1" ht="12.75"/>
    <row r="4" spans="1:3" s="100" customFormat="1" ht="11.25">
      <c r="A4" s="626" t="s">
        <v>17</v>
      </c>
      <c r="C4" s="625"/>
    </row>
    <row r="5" spans="1:3" s="100" customFormat="1" ht="11.25">
      <c r="A5" s="626" t="s">
        <v>121</v>
      </c>
      <c r="C5" s="625"/>
    </row>
    <row r="6" s="9" customFormat="1" ht="13.5" thickBot="1"/>
    <row r="7" spans="1:28" s="9" customFormat="1" ht="13.5" thickTop="1">
      <c r="A7" s="7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6"/>
    </row>
    <row r="8" spans="1:28" s="102" customFormat="1" ht="20.25">
      <c r="A8" s="38"/>
      <c r="B8" s="101"/>
      <c r="C8" s="38"/>
      <c r="D8" s="38"/>
      <c r="E8" s="38"/>
      <c r="F8" s="19" t="s">
        <v>34</v>
      </c>
      <c r="G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103"/>
    </row>
    <row r="9" spans="1:28" s="9" customFormat="1" ht="12.75">
      <c r="A9" s="7"/>
      <c r="B9" s="37"/>
      <c r="C9" s="7"/>
      <c r="D9" s="7"/>
      <c r="E9" s="7"/>
      <c r="F9" s="114"/>
      <c r="G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0"/>
    </row>
    <row r="10" spans="1:28" s="102" customFormat="1" ht="20.25">
      <c r="A10" s="38"/>
      <c r="B10" s="101"/>
      <c r="C10" s="38"/>
      <c r="D10" s="38"/>
      <c r="E10" s="38"/>
      <c r="F10" s="19" t="s">
        <v>35</v>
      </c>
      <c r="G10" s="19"/>
      <c r="H10" s="38"/>
      <c r="I10" s="104"/>
      <c r="J10" s="104"/>
      <c r="K10" s="104"/>
      <c r="L10" s="104"/>
      <c r="M10" s="104"/>
      <c r="N10" s="104"/>
      <c r="O10" s="104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103"/>
    </row>
    <row r="11" spans="1:28" s="9" customFormat="1" ht="12.75">
      <c r="A11" s="7"/>
      <c r="B11" s="37"/>
      <c r="C11" s="7"/>
      <c r="D11" s="7"/>
      <c r="E11" s="7"/>
      <c r="F11" s="113"/>
      <c r="G11" s="111"/>
      <c r="H11" s="7"/>
      <c r="I11" s="110"/>
      <c r="J11" s="110"/>
      <c r="K11" s="110"/>
      <c r="L11" s="110"/>
      <c r="M11" s="110"/>
      <c r="N11" s="110"/>
      <c r="O11" s="110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0"/>
    </row>
    <row r="12" spans="1:28" s="102" customFormat="1" ht="20.25">
      <c r="A12" s="38"/>
      <c r="B12" s="101"/>
      <c r="C12" s="38"/>
      <c r="D12" s="38"/>
      <c r="E12" s="38"/>
      <c r="F12" s="19" t="s">
        <v>36</v>
      </c>
      <c r="G12" s="19"/>
      <c r="H12" s="38"/>
      <c r="I12" s="104"/>
      <c r="J12" s="104"/>
      <c r="K12" s="104"/>
      <c r="L12" s="104"/>
      <c r="M12" s="104"/>
      <c r="N12" s="104"/>
      <c r="O12" s="104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103"/>
    </row>
    <row r="13" spans="1:28" s="9" customFormat="1" ht="12.75">
      <c r="A13" s="7"/>
      <c r="B13" s="37"/>
      <c r="C13" s="7"/>
      <c r="D13" s="7"/>
      <c r="E13" s="7"/>
      <c r="F13" s="113"/>
      <c r="G13" s="111"/>
      <c r="H13" s="7"/>
      <c r="I13" s="110"/>
      <c r="J13" s="110"/>
      <c r="K13" s="110"/>
      <c r="L13" s="110"/>
      <c r="M13" s="110"/>
      <c r="N13" s="110"/>
      <c r="O13" s="11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0"/>
    </row>
    <row r="14" spans="1:28" s="109" customFormat="1" ht="19.5">
      <c r="A14" s="40"/>
      <c r="B14" s="76" t="str">
        <f>+'TOT-0515'!B14</f>
        <v>Desde el 01 al 31 de mayo de 2015</v>
      </c>
      <c r="C14" s="105"/>
      <c r="D14" s="105"/>
      <c r="E14" s="105"/>
      <c r="F14" s="105"/>
      <c r="G14" s="106"/>
      <c r="H14" s="106"/>
      <c r="I14" s="107"/>
      <c r="J14" s="107"/>
      <c r="K14" s="107"/>
      <c r="L14" s="107"/>
      <c r="M14" s="107"/>
      <c r="N14" s="107"/>
      <c r="O14" s="107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8"/>
    </row>
    <row r="15" spans="1:28" s="9" customFormat="1" ht="13.5" thickBot="1">
      <c r="A15" s="7"/>
      <c r="B15" s="37"/>
      <c r="C15" s="7"/>
      <c r="D15" s="7"/>
      <c r="E15" s="7"/>
      <c r="F15" s="7"/>
      <c r="G15" s="111"/>
      <c r="H15" s="112"/>
      <c r="I15" s="110"/>
      <c r="J15" s="110"/>
      <c r="K15" s="110"/>
      <c r="L15" s="110"/>
      <c r="M15" s="110"/>
      <c r="N15" s="110"/>
      <c r="O15" s="1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0"/>
    </row>
    <row r="16" spans="1:28" s="83" customFormat="1" ht="16.5" customHeight="1" thickBot="1" thickTop="1">
      <c r="A16" s="80"/>
      <c r="B16" s="81"/>
      <c r="C16" s="80"/>
      <c r="D16" s="80"/>
      <c r="E16" s="80"/>
      <c r="F16" s="454" t="s">
        <v>37</v>
      </c>
      <c r="G16" s="455">
        <v>254.839</v>
      </c>
      <c r="H16" s="456"/>
      <c r="I16" s="84"/>
      <c r="J16" s="84"/>
      <c r="K16" s="84"/>
      <c r="L16" s="84"/>
      <c r="M16" s="84"/>
      <c r="N16" s="84"/>
      <c r="O16" s="84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2"/>
    </row>
    <row r="17" spans="1:28" s="83" customFormat="1" ht="16.5" customHeight="1" thickBot="1" thickTop="1">
      <c r="A17" s="80"/>
      <c r="B17" s="81"/>
      <c r="C17" s="80"/>
      <c r="D17" s="80"/>
      <c r="E17" s="80"/>
      <c r="F17" s="454" t="s">
        <v>38</v>
      </c>
      <c r="G17" s="455">
        <v>243.513</v>
      </c>
      <c r="H17" s="457"/>
      <c r="I17" s="80"/>
      <c r="K17" s="85" t="s">
        <v>39</v>
      </c>
      <c r="L17" s="86">
        <f>30*'TOT-0515'!B13</f>
        <v>30</v>
      </c>
      <c r="M17" s="210" t="str">
        <f>IF(L17=30," ",IF(L17=60,"Coeficiente duplicado por tasa de falla &gt;4 Sal. x año/100 km.","REVISAR COEFICIENTE"))</f>
        <v> </v>
      </c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2"/>
    </row>
    <row r="18" spans="1:28" s="648" customFormat="1" ht="14.25" thickBot="1" thickTop="1">
      <c r="A18" s="644"/>
      <c r="B18" s="645"/>
      <c r="C18" s="646">
        <v>3</v>
      </c>
      <c r="D18" s="646">
        <v>4</v>
      </c>
      <c r="E18" s="646">
        <v>5</v>
      </c>
      <c r="F18" s="646">
        <v>6</v>
      </c>
      <c r="G18" s="646">
        <v>7</v>
      </c>
      <c r="H18" s="646">
        <v>8</v>
      </c>
      <c r="I18" s="646">
        <v>9</v>
      </c>
      <c r="J18" s="646">
        <v>10</v>
      </c>
      <c r="K18" s="646">
        <v>11</v>
      </c>
      <c r="L18" s="646">
        <v>12</v>
      </c>
      <c r="M18" s="646">
        <v>13</v>
      </c>
      <c r="N18" s="646">
        <v>14</v>
      </c>
      <c r="O18" s="646">
        <v>15</v>
      </c>
      <c r="P18" s="646">
        <v>16</v>
      </c>
      <c r="Q18" s="646">
        <v>17</v>
      </c>
      <c r="R18" s="646">
        <v>18</v>
      </c>
      <c r="S18" s="646">
        <v>19</v>
      </c>
      <c r="T18" s="646">
        <v>20</v>
      </c>
      <c r="U18" s="646">
        <v>21</v>
      </c>
      <c r="V18" s="646">
        <v>22</v>
      </c>
      <c r="W18" s="646">
        <v>23</v>
      </c>
      <c r="X18" s="646">
        <v>24</v>
      </c>
      <c r="Y18" s="646">
        <v>25</v>
      </c>
      <c r="Z18" s="646">
        <v>26</v>
      </c>
      <c r="AA18" s="646">
        <v>27</v>
      </c>
      <c r="AB18" s="647"/>
    </row>
    <row r="19" spans="1:28" s="96" customFormat="1" ht="33.75" customHeight="1" thickBot="1" thickTop="1">
      <c r="A19" s="87"/>
      <c r="B19" s="88"/>
      <c r="C19" s="89" t="s">
        <v>40</v>
      </c>
      <c r="D19" s="89" t="s">
        <v>120</v>
      </c>
      <c r="E19" s="89" t="s">
        <v>119</v>
      </c>
      <c r="F19" s="90" t="s">
        <v>20</v>
      </c>
      <c r="G19" s="91" t="s">
        <v>41</v>
      </c>
      <c r="H19" s="92" t="s">
        <v>42</v>
      </c>
      <c r="I19" s="239" t="s">
        <v>43</v>
      </c>
      <c r="J19" s="90" t="s">
        <v>44</v>
      </c>
      <c r="K19" s="90" t="s">
        <v>45</v>
      </c>
      <c r="L19" s="91" t="s">
        <v>46</v>
      </c>
      <c r="M19" s="91" t="s">
        <v>47</v>
      </c>
      <c r="N19" s="93" t="s">
        <v>48</v>
      </c>
      <c r="O19" s="91" t="s">
        <v>49</v>
      </c>
      <c r="P19" s="266" t="s">
        <v>50</v>
      </c>
      <c r="Q19" s="269" t="s">
        <v>51</v>
      </c>
      <c r="R19" s="272" t="s">
        <v>52</v>
      </c>
      <c r="S19" s="273"/>
      <c r="T19" s="274"/>
      <c r="U19" s="283" t="s">
        <v>53</v>
      </c>
      <c r="V19" s="284"/>
      <c r="W19" s="285"/>
      <c r="X19" s="292" t="s">
        <v>54</v>
      </c>
      <c r="Y19" s="295" t="s">
        <v>55</v>
      </c>
      <c r="Z19" s="94" t="s">
        <v>56</v>
      </c>
      <c r="AA19" s="94" t="s">
        <v>57</v>
      </c>
      <c r="AB19" s="95"/>
    </row>
    <row r="20" spans="1:28" ht="16.5" customHeight="1" thickTop="1">
      <c r="A20" s="1"/>
      <c r="B20" s="2"/>
      <c r="C20" s="44"/>
      <c r="D20" s="624"/>
      <c r="E20" s="624"/>
      <c r="F20" s="364"/>
      <c r="G20" s="46"/>
      <c r="H20" s="46"/>
      <c r="I20" s="357"/>
      <c r="J20" s="46"/>
      <c r="K20" s="47"/>
      <c r="L20" s="47"/>
      <c r="M20" s="47"/>
      <c r="N20" s="45"/>
      <c r="O20" s="46"/>
      <c r="P20" s="267"/>
      <c r="Q20" s="270"/>
      <c r="R20" s="275"/>
      <c r="S20" s="276"/>
      <c r="T20" s="277"/>
      <c r="U20" s="286"/>
      <c r="V20" s="287"/>
      <c r="W20" s="288"/>
      <c r="X20" s="293"/>
      <c r="Y20" s="296"/>
      <c r="Z20" s="281"/>
      <c r="AA20" s="365"/>
      <c r="AB20" s="3"/>
    </row>
    <row r="21" spans="1:28" ht="16.5" customHeight="1">
      <c r="A21" s="1"/>
      <c r="B21" s="2"/>
      <c r="C21" s="480"/>
      <c r="D21" s="622"/>
      <c r="E21" s="622"/>
      <c r="F21" s="480"/>
      <c r="G21" s="481"/>
      <c r="H21" s="481"/>
      <c r="I21" s="358"/>
      <c r="J21" s="480"/>
      <c r="K21" s="482"/>
      <c r="L21" s="79"/>
      <c r="M21" s="79"/>
      <c r="N21" s="483"/>
      <c r="O21" s="480"/>
      <c r="P21" s="484"/>
      <c r="Q21" s="485"/>
      <c r="R21" s="486"/>
      <c r="S21" s="487"/>
      <c r="T21" s="488"/>
      <c r="U21" s="489"/>
      <c r="V21" s="490"/>
      <c r="W21" s="491"/>
      <c r="X21" s="492"/>
      <c r="Y21" s="493"/>
      <c r="Z21" s="494"/>
      <c r="AA21" s="79"/>
      <c r="AB21" s="3"/>
    </row>
    <row r="22" spans="1:28" ht="16.5" customHeight="1">
      <c r="A22" s="1"/>
      <c r="B22" s="2"/>
      <c r="C22" s="458">
        <v>1</v>
      </c>
      <c r="D22" s="458">
        <v>288427</v>
      </c>
      <c r="E22" s="458">
        <v>1638</v>
      </c>
      <c r="F22" s="459" t="s">
        <v>127</v>
      </c>
      <c r="G22" s="460">
        <v>330</v>
      </c>
      <c r="H22" s="461">
        <v>550</v>
      </c>
      <c r="I22" s="359">
        <f aca="true" t="shared" si="0" ref="I22:I35">IF(H22&gt;25,H22,25)*IF(G22=330,$G$16,$G$17)/100</f>
        <v>1401.6145000000001</v>
      </c>
      <c r="J22" s="466">
        <v>42130.39375</v>
      </c>
      <c r="K22" s="466">
        <v>42130.7</v>
      </c>
      <c r="L22" s="11">
        <f aca="true" t="shared" si="1" ref="L22:L35">IF(F22="","",(K22-J22)*24)</f>
        <v>7.349999999860302</v>
      </c>
      <c r="M22" s="12">
        <f aca="true" t="shared" si="2" ref="M22:M35">IF(F22="","",ROUND((K22-J22)*24*60,0))</f>
        <v>441</v>
      </c>
      <c r="N22" s="467" t="s">
        <v>124</v>
      </c>
      <c r="O22" s="643" t="s">
        <v>126</v>
      </c>
      <c r="P22" s="629">
        <f aca="true" t="shared" si="3" ref="P22:P35">IF(N22="P",ROUND(M22/60,2)*I22*$L$17*0.01,"--")</f>
        <v>3090.5599725</v>
      </c>
      <c r="Q22" s="630" t="str">
        <f aca="true" t="shared" si="4" ref="Q22:Q35">IF(N22="RP",ROUND(M22/60,2)*I22*$L$17*0.01*O22/100,"--")</f>
        <v>--</v>
      </c>
      <c r="R22" s="631" t="str">
        <f aca="true" t="shared" si="5" ref="R22:R35">IF(N22="F",I22*$L$17,"--")</f>
        <v>--</v>
      </c>
      <c r="S22" s="632" t="str">
        <f aca="true" t="shared" si="6" ref="S22:S35">IF(AND(M22&gt;10,N22="F"),I22*$L$17*IF(M22&gt;180,3,ROUND(M22/60,2)),"--")</f>
        <v>--</v>
      </c>
      <c r="T22" s="633" t="str">
        <f aca="true" t="shared" si="7" ref="T22:T35">IF(AND(M22&gt;180,N22="F"),(ROUND(M22/60,2)-3)*I22*$L$17*0.1,"--")</f>
        <v>--</v>
      </c>
      <c r="U22" s="634" t="str">
        <f aca="true" t="shared" si="8" ref="U22:U35">IF(N22="R",I22*$L$17*O22/100,"--")</f>
        <v>--</v>
      </c>
      <c r="V22" s="635" t="str">
        <f aca="true" t="shared" si="9" ref="V22:V35">IF(AND(M22&gt;10,N22="R"),I22*$L$17*O22/100*IF(M22&gt;180,3,ROUND(M22/60,2)),"--")</f>
        <v>--</v>
      </c>
      <c r="W22" s="636" t="str">
        <f aca="true" t="shared" si="10" ref="W22:W35">IF(AND(M22&gt;180,N22="R"),(ROUND(M22/60,2)-3)*O22/100*I22*$L$17*0.1,"--")</f>
        <v>--</v>
      </c>
      <c r="X22" s="637" t="str">
        <f aca="true" t="shared" si="11" ref="X22:X35">IF(N22="RF",ROUND(M22/60,2)*I22*$L$17*0.1,"--")</f>
        <v>--</v>
      </c>
      <c r="Y22" s="638" t="str">
        <f aca="true" t="shared" si="12" ref="Y22:Y35">IF(N22="RR",ROUND(M22/60,2)*O22/100*I22*$L$17*0.1,"--")</f>
        <v>--</v>
      </c>
      <c r="Z22" s="639" t="s">
        <v>125</v>
      </c>
      <c r="AA22" s="48">
        <f aca="true" t="shared" si="13" ref="AA22:AA35">IF(F22="","",SUM(P22:Y22)*IF(Z22="SI",1,2))</f>
        <v>3090.5599725</v>
      </c>
      <c r="AB22" s="3"/>
    </row>
    <row r="23" spans="1:28" ht="16.5" customHeight="1">
      <c r="A23" s="1"/>
      <c r="B23" s="2"/>
      <c r="C23" s="458">
        <v>2</v>
      </c>
      <c r="D23" s="458">
        <v>288430</v>
      </c>
      <c r="E23" s="458">
        <v>1628</v>
      </c>
      <c r="F23" s="459" t="s">
        <v>128</v>
      </c>
      <c r="G23" s="460">
        <v>132</v>
      </c>
      <c r="H23" s="461">
        <v>112</v>
      </c>
      <c r="I23" s="359">
        <f t="shared" si="0"/>
        <v>272.73456000000004</v>
      </c>
      <c r="J23" s="466">
        <v>42134.00902777778</v>
      </c>
      <c r="K23" s="466">
        <v>42134.01180555556</v>
      </c>
      <c r="L23" s="11">
        <f t="shared" si="1"/>
        <v>0.06666666670935228</v>
      </c>
      <c r="M23" s="12">
        <f t="shared" si="2"/>
        <v>4</v>
      </c>
      <c r="N23" s="467" t="s">
        <v>129</v>
      </c>
      <c r="O23" s="643" t="s">
        <v>126</v>
      </c>
      <c r="P23" s="629" t="str">
        <f t="shared" si="3"/>
        <v>--</v>
      </c>
      <c r="Q23" s="630" t="str">
        <f t="shared" si="4"/>
        <v>--</v>
      </c>
      <c r="R23" s="631">
        <f t="shared" si="5"/>
        <v>8182.036800000002</v>
      </c>
      <c r="S23" s="632" t="str">
        <f t="shared" si="6"/>
        <v>--</v>
      </c>
      <c r="T23" s="633" t="str">
        <f t="shared" si="7"/>
        <v>--</v>
      </c>
      <c r="U23" s="634" t="str">
        <f t="shared" si="8"/>
        <v>--</v>
      </c>
      <c r="V23" s="635" t="str">
        <f t="shared" si="9"/>
        <v>--</v>
      </c>
      <c r="W23" s="636" t="str">
        <f t="shared" si="10"/>
        <v>--</v>
      </c>
      <c r="X23" s="637" t="str">
        <f t="shared" si="11"/>
        <v>--</v>
      </c>
      <c r="Y23" s="638" t="str">
        <f t="shared" si="12"/>
        <v>--</v>
      </c>
      <c r="Z23" s="639" t="s">
        <v>125</v>
      </c>
      <c r="AA23" s="48">
        <f t="shared" si="13"/>
        <v>8182.036800000002</v>
      </c>
      <c r="AB23" s="3"/>
    </row>
    <row r="24" spans="1:28" ht="16.5" customHeight="1">
      <c r="A24" s="1"/>
      <c r="B24" s="2"/>
      <c r="C24" s="458">
        <v>3</v>
      </c>
      <c r="D24" s="458">
        <v>289047</v>
      </c>
      <c r="E24" s="458">
        <v>2034</v>
      </c>
      <c r="F24" s="459" t="s">
        <v>130</v>
      </c>
      <c r="G24" s="460">
        <v>132</v>
      </c>
      <c r="H24" s="461">
        <v>299.6000061035156</v>
      </c>
      <c r="I24" s="359">
        <f t="shared" si="0"/>
        <v>729.564962862854</v>
      </c>
      <c r="J24" s="466">
        <v>42151.32708333333</v>
      </c>
      <c r="K24" s="466">
        <v>42151.7</v>
      </c>
      <c r="L24" s="11">
        <f t="shared" si="1"/>
        <v>8.950000000011642</v>
      </c>
      <c r="M24" s="12">
        <f t="shared" si="2"/>
        <v>537</v>
      </c>
      <c r="N24" s="467" t="s">
        <v>124</v>
      </c>
      <c r="O24" s="643" t="s">
        <v>126</v>
      </c>
      <c r="P24" s="629">
        <f t="shared" si="3"/>
        <v>1958.8819252867627</v>
      </c>
      <c r="Q24" s="630" t="str">
        <f t="shared" si="4"/>
        <v>--</v>
      </c>
      <c r="R24" s="631" t="str">
        <f t="shared" si="5"/>
        <v>--</v>
      </c>
      <c r="S24" s="632" t="str">
        <f t="shared" si="6"/>
        <v>--</v>
      </c>
      <c r="T24" s="633" t="str">
        <f t="shared" si="7"/>
        <v>--</v>
      </c>
      <c r="U24" s="634" t="str">
        <f t="shared" si="8"/>
        <v>--</v>
      </c>
      <c r="V24" s="635" t="str">
        <f t="shared" si="9"/>
        <v>--</v>
      </c>
      <c r="W24" s="636" t="str">
        <f t="shared" si="10"/>
        <v>--</v>
      </c>
      <c r="X24" s="637" t="str">
        <f t="shared" si="11"/>
        <v>--</v>
      </c>
      <c r="Y24" s="638" t="str">
        <f t="shared" si="12"/>
        <v>--</v>
      </c>
      <c r="Z24" s="639" t="s">
        <v>125</v>
      </c>
      <c r="AA24" s="48">
        <f t="shared" si="13"/>
        <v>1958.8819252867627</v>
      </c>
      <c r="AB24" s="3"/>
    </row>
    <row r="25" spans="1:28" ht="16.5" customHeight="1">
      <c r="A25" s="1"/>
      <c r="B25" s="2"/>
      <c r="C25" s="458"/>
      <c r="D25" s="458"/>
      <c r="E25" s="458"/>
      <c r="F25" s="459"/>
      <c r="G25" s="460"/>
      <c r="H25" s="461"/>
      <c r="I25" s="359">
        <f t="shared" si="0"/>
        <v>60.87825</v>
      </c>
      <c r="J25" s="466"/>
      <c r="K25" s="466"/>
      <c r="L25" s="11">
        <f t="shared" si="1"/>
      </c>
      <c r="M25" s="12">
        <f t="shared" si="2"/>
      </c>
      <c r="N25" s="467"/>
      <c r="O25" s="628">
        <f aca="true" t="shared" si="14" ref="O25:O35">IF(F25="","","--")</f>
      </c>
      <c r="P25" s="629" t="str">
        <f t="shared" si="3"/>
        <v>--</v>
      </c>
      <c r="Q25" s="630" t="str">
        <f t="shared" si="4"/>
        <v>--</v>
      </c>
      <c r="R25" s="631" t="str">
        <f t="shared" si="5"/>
        <v>--</v>
      </c>
      <c r="S25" s="632" t="str">
        <f t="shared" si="6"/>
        <v>--</v>
      </c>
      <c r="T25" s="633" t="str">
        <f t="shared" si="7"/>
        <v>--</v>
      </c>
      <c r="U25" s="634" t="str">
        <f t="shared" si="8"/>
        <v>--</v>
      </c>
      <c r="V25" s="635" t="str">
        <f t="shared" si="9"/>
        <v>--</v>
      </c>
      <c r="W25" s="636" t="str">
        <f t="shared" si="10"/>
        <v>--</v>
      </c>
      <c r="X25" s="637" t="str">
        <f t="shared" si="11"/>
        <v>--</v>
      </c>
      <c r="Y25" s="638" t="str">
        <f t="shared" si="12"/>
        <v>--</v>
      </c>
      <c r="Z25" s="639">
        <f aca="true" t="shared" si="15" ref="Z25:Z35">IF(F25="","","SI")</f>
      </c>
      <c r="AA25" s="48">
        <f t="shared" si="13"/>
      </c>
      <c r="AB25" s="3"/>
    </row>
    <row r="26" spans="1:28" ht="16.5" customHeight="1">
      <c r="A26" s="1"/>
      <c r="B26" s="2"/>
      <c r="C26" s="458"/>
      <c r="D26" s="458"/>
      <c r="E26" s="458"/>
      <c r="F26" s="459"/>
      <c r="G26" s="460"/>
      <c r="H26" s="461"/>
      <c r="I26" s="359">
        <f t="shared" si="0"/>
        <v>60.87825</v>
      </c>
      <c r="J26" s="466"/>
      <c r="K26" s="466"/>
      <c r="L26" s="11">
        <f t="shared" si="1"/>
      </c>
      <c r="M26" s="12">
        <f t="shared" si="2"/>
      </c>
      <c r="N26" s="467"/>
      <c r="O26" s="628">
        <f t="shared" si="14"/>
      </c>
      <c r="P26" s="629" t="str">
        <f t="shared" si="3"/>
        <v>--</v>
      </c>
      <c r="Q26" s="630" t="str">
        <f t="shared" si="4"/>
        <v>--</v>
      </c>
      <c r="R26" s="631" t="str">
        <f t="shared" si="5"/>
        <v>--</v>
      </c>
      <c r="S26" s="632" t="str">
        <f t="shared" si="6"/>
        <v>--</v>
      </c>
      <c r="T26" s="633" t="str">
        <f t="shared" si="7"/>
        <v>--</v>
      </c>
      <c r="U26" s="634" t="str">
        <f t="shared" si="8"/>
        <v>--</v>
      </c>
      <c r="V26" s="635" t="str">
        <f t="shared" si="9"/>
        <v>--</v>
      </c>
      <c r="W26" s="636" t="str">
        <f t="shared" si="10"/>
        <v>--</v>
      </c>
      <c r="X26" s="637" t="str">
        <f t="shared" si="11"/>
        <v>--</v>
      </c>
      <c r="Y26" s="638" t="str">
        <f t="shared" si="12"/>
        <v>--</v>
      </c>
      <c r="Z26" s="639">
        <f t="shared" si="15"/>
      </c>
      <c r="AA26" s="48">
        <f t="shared" si="13"/>
      </c>
      <c r="AB26" s="3"/>
    </row>
    <row r="27" spans="1:28" ht="16.5" customHeight="1">
      <c r="A27" s="1"/>
      <c r="B27" s="2"/>
      <c r="C27" s="458"/>
      <c r="D27" s="458"/>
      <c r="E27" s="458"/>
      <c r="F27" s="459"/>
      <c r="G27" s="460"/>
      <c r="H27" s="461"/>
      <c r="I27" s="359">
        <f t="shared" si="0"/>
        <v>60.87825</v>
      </c>
      <c r="J27" s="466"/>
      <c r="K27" s="466"/>
      <c r="L27" s="11">
        <f t="shared" si="1"/>
      </c>
      <c r="M27" s="12">
        <f t="shared" si="2"/>
      </c>
      <c r="N27" s="467"/>
      <c r="O27" s="628">
        <f t="shared" si="14"/>
      </c>
      <c r="P27" s="629" t="str">
        <f t="shared" si="3"/>
        <v>--</v>
      </c>
      <c r="Q27" s="630" t="str">
        <f t="shared" si="4"/>
        <v>--</v>
      </c>
      <c r="R27" s="631" t="str">
        <f t="shared" si="5"/>
        <v>--</v>
      </c>
      <c r="S27" s="632" t="str">
        <f t="shared" si="6"/>
        <v>--</v>
      </c>
      <c r="T27" s="633" t="str">
        <f t="shared" si="7"/>
        <v>--</v>
      </c>
      <c r="U27" s="634" t="str">
        <f t="shared" si="8"/>
        <v>--</v>
      </c>
      <c r="V27" s="635" t="str">
        <f t="shared" si="9"/>
        <v>--</v>
      </c>
      <c r="W27" s="636" t="str">
        <f t="shared" si="10"/>
        <v>--</v>
      </c>
      <c r="X27" s="637" t="str">
        <f t="shared" si="11"/>
        <v>--</v>
      </c>
      <c r="Y27" s="638" t="str">
        <f t="shared" si="12"/>
        <v>--</v>
      </c>
      <c r="Z27" s="639">
        <f t="shared" si="15"/>
      </c>
      <c r="AA27" s="48">
        <f t="shared" si="13"/>
      </c>
      <c r="AB27" s="3"/>
    </row>
    <row r="28" spans="1:28" ht="16.5" customHeight="1">
      <c r="A28" s="1"/>
      <c r="B28" s="2"/>
      <c r="C28" s="458"/>
      <c r="D28" s="458"/>
      <c r="E28" s="458"/>
      <c r="F28" s="459"/>
      <c r="G28" s="460"/>
      <c r="H28" s="461"/>
      <c r="I28" s="359">
        <f t="shared" si="0"/>
        <v>60.87825</v>
      </c>
      <c r="J28" s="466"/>
      <c r="K28" s="466"/>
      <c r="L28" s="11">
        <f t="shared" si="1"/>
      </c>
      <c r="M28" s="12">
        <f t="shared" si="2"/>
      </c>
      <c r="N28" s="467"/>
      <c r="O28" s="628">
        <f t="shared" si="14"/>
      </c>
      <c r="P28" s="629" t="str">
        <f t="shared" si="3"/>
        <v>--</v>
      </c>
      <c r="Q28" s="630" t="str">
        <f t="shared" si="4"/>
        <v>--</v>
      </c>
      <c r="R28" s="631" t="str">
        <f t="shared" si="5"/>
        <v>--</v>
      </c>
      <c r="S28" s="632" t="str">
        <f t="shared" si="6"/>
        <v>--</v>
      </c>
      <c r="T28" s="633" t="str">
        <f t="shared" si="7"/>
        <v>--</v>
      </c>
      <c r="U28" s="634" t="str">
        <f t="shared" si="8"/>
        <v>--</v>
      </c>
      <c r="V28" s="635" t="str">
        <f t="shared" si="9"/>
        <v>--</v>
      </c>
      <c r="W28" s="636" t="str">
        <f t="shared" si="10"/>
        <v>--</v>
      </c>
      <c r="X28" s="637" t="str">
        <f t="shared" si="11"/>
        <v>--</v>
      </c>
      <c r="Y28" s="638" t="str">
        <f t="shared" si="12"/>
        <v>--</v>
      </c>
      <c r="Z28" s="639">
        <f t="shared" si="15"/>
      </c>
      <c r="AA28" s="48">
        <f t="shared" si="13"/>
      </c>
      <c r="AB28" s="3"/>
    </row>
    <row r="29" spans="1:28" ht="16.5" customHeight="1">
      <c r="A29" s="1"/>
      <c r="B29" s="2"/>
      <c r="C29" s="458"/>
      <c r="D29" s="458"/>
      <c r="E29" s="458"/>
      <c r="F29" s="459"/>
      <c r="G29" s="460"/>
      <c r="H29" s="461"/>
      <c r="I29" s="359">
        <f t="shared" si="0"/>
        <v>60.87825</v>
      </c>
      <c r="J29" s="466"/>
      <c r="K29" s="466"/>
      <c r="L29" s="11">
        <f t="shared" si="1"/>
      </c>
      <c r="M29" s="12">
        <f t="shared" si="2"/>
      </c>
      <c r="N29" s="467"/>
      <c r="O29" s="628">
        <f t="shared" si="14"/>
      </c>
      <c r="P29" s="629" t="str">
        <f t="shared" si="3"/>
        <v>--</v>
      </c>
      <c r="Q29" s="630" t="str">
        <f t="shared" si="4"/>
        <v>--</v>
      </c>
      <c r="R29" s="631" t="str">
        <f t="shared" si="5"/>
        <v>--</v>
      </c>
      <c r="S29" s="632" t="str">
        <f t="shared" si="6"/>
        <v>--</v>
      </c>
      <c r="T29" s="633" t="str">
        <f t="shared" si="7"/>
        <v>--</v>
      </c>
      <c r="U29" s="634" t="str">
        <f t="shared" si="8"/>
        <v>--</v>
      </c>
      <c r="V29" s="635" t="str">
        <f t="shared" si="9"/>
        <v>--</v>
      </c>
      <c r="W29" s="636" t="str">
        <f t="shared" si="10"/>
        <v>--</v>
      </c>
      <c r="X29" s="637" t="str">
        <f t="shared" si="11"/>
        <v>--</v>
      </c>
      <c r="Y29" s="638" t="str">
        <f t="shared" si="12"/>
        <v>--</v>
      </c>
      <c r="Z29" s="639">
        <f t="shared" si="15"/>
      </c>
      <c r="AA29" s="48">
        <f t="shared" si="13"/>
      </c>
      <c r="AB29" s="3"/>
    </row>
    <row r="30" spans="1:28" ht="16.5" customHeight="1">
      <c r="A30" s="1"/>
      <c r="B30" s="2"/>
      <c r="C30" s="458"/>
      <c r="D30" s="458"/>
      <c r="E30" s="458"/>
      <c r="F30" s="459"/>
      <c r="G30" s="460"/>
      <c r="H30" s="461"/>
      <c r="I30" s="359">
        <f t="shared" si="0"/>
        <v>60.87825</v>
      </c>
      <c r="J30" s="466"/>
      <c r="K30" s="466"/>
      <c r="L30" s="11">
        <f t="shared" si="1"/>
      </c>
      <c r="M30" s="12">
        <f t="shared" si="2"/>
      </c>
      <c r="N30" s="467"/>
      <c r="O30" s="628">
        <f t="shared" si="14"/>
      </c>
      <c r="P30" s="629" t="str">
        <f t="shared" si="3"/>
        <v>--</v>
      </c>
      <c r="Q30" s="630" t="str">
        <f t="shared" si="4"/>
        <v>--</v>
      </c>
      <c r="R30" s="631" t="str">
        <f t="shared" si="5"/>
        <v>--</v>
      </c>
      <c r="S30" s="632" t="str">
        <f t="shared" si="6"/>
        <v>--</v>
      </c>
      <c r="T30" s="633" t="str">
        <f t="shared" si="7"/>
        <v>--</v>
      </c>
      <c r="U30" s="634" t="str">
        <f t="shared" si="8"/>
        <v>--</v>
      </c>
      <c r="V30" s="635" t="str">
        <f t="shared" si="9"/>
        <v>--</v>
      </c>
      <c r="W30" s="636" t="str">
        <f t="shared" si="10"/>
        <v>--</v>
      </c>
      <c r="X30" s="637" t="str">
        <f t="shared" si="11"/>
        <v>--</v>
      </c>
      <c r="Y30" s="638" t="str">
        <f t="shared" si="12"/>
        <v>--</v>
      </c>
      <c r="Z30" s="639">
        <f t="shared" si="15"/>
      </c>
      <c r="AA30" s="48">
        <f t="shared" si="13"/>
      </c>
      <c r="AB30" s="3"/>
    </row>
    <row r="31" spans="1:28" ht="16.5" customHeight="1">
      <c r="A31" s="1"/>
      <c r="B31" s="2"/>
      <c r="C31" s="458"/>
      <c r="D31" s="458"/>
      <c r="E31" s="458"/>
      <c r="F31" s="459"/>
      <c r="G31" s="460"/>
      <c r="H31" s="461"/>
      <c r="I31" s="359">
        <f t="shared" si="0"/>
        <v>60.87825</v>
      </c>
      <c r="J31" s="466"/>
      <c r="K31" s="466"/>
      <c r="L31" s="11">
        <f t="shared" si="1"/>
      </c>
      <c r="M31" s="12">
        <f t="shared" si="2"/>
      </c>
      <c r="N31" s="467"/>
      <c r="O31" s="628">
        <f t="shared" si="14"/>
      </c>
      <c r="P31" s="629" t="str">
        <f t="shared" si="3"/>
        <v>--</v>
      </c>
      <c r="Q31" s="630" t="str">
        <f t="shared" si="4"/>
        <v>--</v>
      </c>
      <c r="R31" s="631" t="str">
        <f t="shared" si="5"/>
        <v>--</v>
      </c>
      <c r="S31" s="632" t="str">
        <f t="shared" si="6"/>
        <v>--</v>
      </c>
      <c r="T31" s="633" t="str">
        <f t="shared" si="7"/>
        <v>--</v>
      </c>
      <c r="U31" s="634" t="str">
        <f t="shared" si="8"/>
        <v>--</v>
      </c>
      <c r="V31" s="635" t="str">
        <f t="shared" si="9"/>
        <v>--</v>
      </c>
      <c r="W31" s="636" t="str">
        <f t="shared" si="10"/>
        <v>--</v>
      </c>
      <c r="X31" s="637" t="str">
        <f t="shared" si="11"/>
        <v>--</v>
      </c>
      <c r="Y31" s="638" t="str">
        <f t="shared" si="12"/>
        <v>--</v>
      </c>
      <c r="Z31" s="639">
        <f t="shared" si="15"/>
      </c>
      <c r="AA31" s="48">
        <f t="shared" si="13"/>
      </c>
      <c r="AB31" s="3"/>
    </row>
    <row r="32" spans="1:28" ht="16.5" customHeight="1">
      <c r="A32" s="1"/>
      <c r="B32" s="2"/>
      <c r="C32" s="458"/>
      <c r="D32" s="458"/>
      <c r="E32" s="458"/>
      <c r="F32" s="459"/>
      <c r="G32" s="460"/>
      <c r="H32" s="461"/>
      <c r="I32" s="359">
        <f t="shared" si="0"/>
        <v>60.87825</v>
      </c>
      <c r="J32" s="466"/>
      <c r="K32" s="466"/>
      <c r="L32" s="11">
        <f t="shared" si="1"/>
      </c>
      <c r="M32" s="12">
        <f t="shared" si="2"/>
      </c>
      <c r="N32" s="467"/>
      <c r="O32" s="628">
        <f t="shared" si="14"/>
      </c>
      <c r="P32" s="629" t="str">
        <f t="shared" si="3"/>
        <v>--</v>
      </c>
      <c r="Q32" s="630" t="str">
        <f t="shared" si="4"/>
        <v>--</v>
      </c>
      <c r="R32" s="631" t="str">
        <f t="shared" si="5"/>
        <v>--</v>
      </c>
      <c r="S32" s="632" t="str">
        <f t="shared" si="6"/>
        <v>--</v>
      </c>
      <c r="T32" s="633" t="str">
        <f t="shared" si="7"/>
        <v>--</v>
      </c>
      <c r="U32" s="634" t="str">
        <f t="shared" si="8"/>
        <v>--</v>
      </c>
      <c r="V32" s="635" t="str">
        <f t="shared" si="9"/>
        <v>--</v>
      </c>
      <c r="W32" s="636" t="str">
        <f t="shared" si="10"/>
        <v>--</v>
      </c>
      <c r="X32" s="637" t="str">
        <f t="shared" si="11"/>
        <v>--</v>
      </c>
      <c r="Y32" s="638" t="str">
        <f t="shared" si="12"/>
        <v>--</v>
      </c>
      <c r="Z32" s="639">
        <f t="shared" si="15"/>
      </c>
      <c r="AA32" s="48">
        <f t="shared" si="13"/>
      </c>
      <c r="AB32" s="3"/>
    </row>
    <row r="33" spans="1:28" ht="16.5" customHeight="1">
      <c r="A33" s="1"/>
      <c r="B33" s="2"/>
      <c r="C33" s="458"/>
      <c r="D33" s="458"/>
      <c r="E33" s="458"/>
      <c r="F33" s="459"/>
      <c r="G33" s="460"/>
      <c r="H33" s="461"/>
      <c r="I33" s="359">
        <f t="shared" si="0"/>
        <v>60.87825</v>
      </c>
      <c r="J33" s="466"/>
      <c r="K33" s="466"/>
      <c r="L33" s="11">
        <f t="shared" si="1"/>
      </c>
      <c r="M33" s="12">
        <f t="shared" si="2"/>
      </c>
      <c r="N33" s="467"/>
      <c r="O33" s="628">
        <f t="shared" si="14"/>
      </c>
      <c r="P33" s="629" t="str">
        <f t="shared" si="3"/>
        <v>--</v>
      </c>
      <c r="Q33" s="630" t="str">
        <f t="shared" si="4"/>
        <v>--</v>
      </c>
      <c r="R33" s="631" t="str">
        <f t="shared" si="5"/>
        <v>--</v>
      </c>
      <c r="S33" s="632" t="str">
        <f t="shared" si="6"/>
        <v>--</v>
      </c>
      <c r="T33" s="633" t="str">
        <f t="shared" si="7"/>
        <v>--</v>
      </c>
      <c r="U33" s="634" t="str">
        <f t="shared" si="8"/>
        <v>--</v>
      </c>
      <c r="V33" s="635" t="str">
        <f t="shared" si="9"/>
        <v>--</v>
      </c>
      <c r="W33" s="636" t="str">
        <f t="shared" si="10"/>
        <v>--</v>
      </c>
      <c r="X33" s="637" t="str">
        <f t="shared" si="11"/>
        <v>--</v>
      </c>
      <c r="Y33" s="638" t="str">
        <f t="shared" si="12"/>
        <v>--</v>
      </c>
      <c r="Z33" s="639">
        <f t="shared" si="15"/>
      </c>
      <c r="AA33" s="48">
        <f t="shared" si="13"/>
      </c>
      <c r="AB33" s="3"/>
    </row>
    <row r="34" spans="1:28" ht="16.5" customHeight="1">
      <c r="A34" s="1"/>
      <c r="B34" s="2"/>
      <c r="C34" s="458"/>
      <c r="D34" s="458"/>
      <c r="E34" s="458"/>
      <c r="F34" s="459"/>
      <c r="G34" s="460"/>
      <c r="H34" s="461"/>
      <c r="I34" s="359">
        <f t="shared" si="0"/>
        <v>60.87825</v>
      </c>
      <c r="J34" s="466"/>
      <c r="K34" s="466"/>
      <c r="L34" s="11">
        <f t="shared" si="1"/>
      </c>
      <c r="M34" s="12">
        <f t="shared" si="2"/>
      </c>
      <c r="N34" s="467"/>
      <c r="O34" s="628">
        <f t="shared" si="14"/>
      </c>
      <c r="P34" s="629" t="str">
        <f t="shared" si="3"/>
        <v>--</v>
      </c>
      <c r="Q34" s="630" t="str">
        <f t="shared" si="4"/>
        <v>--</v>
      </c>
      <c r="R34" s="631" t="str">
        <f t="shared" si="5"/>
        <v>--</v>
      </c>
      <c r="S34" s="632" t="str">
        <f t="shared" si="6"/>
        <v>--</v>
      </c>
      <c r="T34" s="633" t="str">
        <f t="shared" si="7"/>
        <v>--</v>
      </c>
      <c r="U34" s="634" t="str">
        <f t="shared" si="8"/>
        <v>--</v>
      </c>
      <c r="V34" s="635" t="str">
        <f t="shared" si="9"/>
        <v>--</v>
      </c>
      <c r="W34" s="636" t="str">
        <f t="shared" si="10"/>
        <v>--</v>
      </c>
      <c r="X34" s="637" t="str">
        <f t="shared" si="11"/>
        <v>--</v>
      </c>
      <c r="Y34" s="638" t="str">
        <f t="shared" si="12"/>
        <v>--</v>
      </c>
      <c r="Z34" s="639">
        <f t="shared" si="15"/>
      </c>
      <c r="AA34" s="48">
        <f t="shared" si="13"/>
      </c>
      <c r="AB34" s="3"/>
    </row>
    <row r="35" spans="2:28" ht="16.5" customHeight="1">
      <c r="B35" s="49"/>
      <c r="C35" s="458"/>
      <c r="D35" s="458"/>
      <c r="E35" s="458"/>
      <c r="F35" s="459"/>
      <c r="G35" s="460"/>
      <c r="H35" s="461"/>
      <c r="I35" s="359">
        <f t="shared" si="0"/>
        <v>60.87825</v>
      </c>
      <c r="J35" s="466"/>
      <c r="K35" s="466"/>
      <c r="L35" s="11">
        <f t="shared" si="1"/>
      </c>
      <c r="M35" s="12">
        <f t="shared" si="2"/>
      </c>
      <c r="N35" s="467"/>
      <c r="O35" s="628">
        <f t="shared" si="14"/>
      </c>
      <c r="P35" s="629" t="str">
        <f t="shared" si="3"/>
        <v>--</v>
      </c>
      <c r="Q35" s="630" t="str">
        <f t="shared" si="4"/>
        <v>--</v>
      </c>
      <c r="R35" s="631" t="str">
        <f t="shared" si="5"/>
        <v>--</v>
      </c>
      <c r="S35" s="632" t="str">
        <f t="shared" si="6"/>
        <v>--</v>
      </c>
      <c r="T35" s="633" t="str">
        <f t="shared" si="7"/>
        <v>--</v>
      </c>
      <c r="U35" s="634" t="str">
        <f t="shared" si="8"/>
        <v>--</v>
      </c>
      <c r="V35" s="635" t="str">
        <f t="shared" si="9"/>
        <v>--</v>
      </c>
      <c r="W35" s="636" t="str">
        <f t="shared" si="10"/>
        <v>--</v>
      </c>
      <c r="X35" s="637" t="str">
        <f t="shared" si="11"/>
        <v>--</v>
      </c>
      <c r="Y35" s="638" t="str">
        <f t="shared" si="12"/>
        <v>--</v>
      </c>
      <c r="Z35" s="639">
        <f t="shared" si="15"/>
      </c>
      <c r="AA35" s="48">
        <f t="shared" si="13"/>
      </c>
      <c r="AB35" s="3"/>
    </row>
    <row r="36" spans="2:28" ht="16.5" customHeight="1">
      <c r="B36" s="49"/>
      <c r="C36" s="458"/>
      <c r="D36" s="458"/>
      <c r="E36" s="458"/>
      <c r="F36" s="459"/>
      <c r="G36" s="460"/>
      <c r="H36" s="461"/>
      <c r="I36" s="359">
        <f>IF(H36&gt;25,H36,25)*IF(G36=330,$G$16,$G$17)/100</f>
        <v>60.87825</v>
      </c>
      <c r="J36" s="466"/>
      <c r="K36" s="466"/>
      <c r="L36" s="11">
        <f>IF(F36="","",(K36-J36)*24)</f>
      </c>
      <c r="M36" s="12">
        <f>IF(F36="","",ROUND((K36-J36)*24*60,0))</f>
      </c>
      <c r="N36" s="467"/>
      <c r="O36" s="628">
        <f>IF(F36="","","--")</f>
      </c>
      <c r="P36" s="629" t="str">
        <f>IF(N36="P",ROUND(M36/60,2)*I36*$L$17*0.01,"--")</f>
        <v>--</v>
      </c>
      <c r="Q36" s="630" t="str">
        <f>IF(N36="RP",ROUND(M36/60,2)*I36*$L$17*0.01*O36/100,"--")</f>
        <v>--</v>
      </c>
      <c r="R36" s="631" t="str">
        <f>IF(N36="F",I36*$L$17,"--")</f>
        <v>--</v>
      </c>
      <c r="S36" s="632" t="str">
        <f>IF(AND(M36&gt;10,N36="F"),I36*$L$17*IF(M36&gt;180,3,ROUND(M36/60,2)),"--")</f>
        <v>--</v>
      </c>
      <c r="T36" s="633" t="str">
        <f>IF(AND(M36&gt;180,N36="F"),(ROUND(M36/60,2)-3)*I36*$L$17*0.1,"--")</f>
        <v>--</v>
      </c>
      <c r="U36" s="634" t="str">
        <f>IF(N36="R",I36*$L$17*O36/100,"--")</f>
        <v>--</v>
      </c>
      <c r="V36" s="635" t="str">
        <f>IF(AND(M36&gt;10,N36="R"),I36*$L$17*O36/100*IF(M36&gt;180,3,ROUND(M36/60,2)),"--")</f>
        <v>--</v>
      </c>
      <c r="W36" s="636" t="str">
        <f>IF(AND(M36&gt;180,N36="R"),(ROUND(M36/60,2)-3)*O36/100*I36*$L$17*0.1,"--")</f>
        <v>--</v>
      </c>
      <c r="X36" s="637" t="str">
        <f>IF(N36="RF",ROUND(M36/60,2)*I36*$L$17*0.1,"--")</f>
        <v>--</v>
      </c>
      <c r="Y36" s="638" t="str">
        <f>IF(N36="RR",ROUND(M36/60,2)*O36/100*I36*$L$17*0.1,"--")</f>
        <v>--</v>
      </c>
      <c r="Z36" s="639">
        <f>IF(F36="","","SI")</f>
      </c>
      <c r="AA36" s="48">
        <f>IF(F36="","",SUM(P36:Y36)*IF(Z36="SI",1,2))</f>
      </c>
      <c r="AB36" s="3"/>
    </row>
    <row r="37" spans="2:28" ht="16.5" customHeight="1">
      <c r="B37" s="49"/>
      <c r="C37" s="458"/>
      <c r="D37" s="458"/>
      <c r="E37" s="458"/>
      <c r="F37" s="459"/>
      <c r="G37" s="460"/>
      <c r="H37" s="461"/>
      <c r="I37" s="359">
        <f>IF(H37&gt;25,H37,25)*IF(G37=330,$G$16,$G$17)/100</f>
        <v>60.87825</v>
      </c>
      <c r="J37" s="466"/>
      <c r="K37" s="466"/>
      <c r="L37" s="11">
        <f>IF(F37="","",(K37-J37)*24)</f>
      </c>
      <c r="M37" s="12">
        <f>IF(F37="","",ROUND((K37-J37)*24*60,0))</f>
      </c>
      <c r="N37" s="467"/>
      <c r="O37" s="628">
        <f>IF(F37="","","--")</f>
      </c>
      <c r="P37" s="629" t="str">
        <f>IF(N37="P",ROUND(M37/60,2)*I37*$L$17*0.01,"--")</f>
        <v>--</v>
      </c>
      <c r="Q37" s="630" t="str">
        <f>IF(N37="RP",ROUND(M37/60,2)*I37*$L$17*0.01*O37/100,"--")</f>
        <v>--</v>
      </c>
      <c r="R37" s="631" t="str">
        <f>IF(N37="F",I37*$L$17,"--")</f>
        <v>--</v>
      </c>
      <c r="S37" s="632" t="str">
        <f>IF(AND(M37&gt;10,N37="F"),I37*$L$17*IF(M37&gt;180,3,ROUND(M37/60,2)),"--")</f>
        <v>--</v>
      </c>
      <c r="T37" s="633" t="str">
        <f>IF(AND(M37&gt;180,N37="F"),(ROUND(M37/60,2)-3)*I37*$L$17*0.1,"--")</f>
        <v>--</v>
      </c>
      <c r="U37" s="634" t="str">
        <f>IF(N37="R",I37*$L$17*O37/100,"--")</f>
        <v>--</v>
      </c>
      <c r="V37" s="635" t="str">
        <f>IF(AND(M37&gt;10,N37="R"),I37*$L$17*O37/100*IF(M37&gt;180,3,ROUND(M37/60,2)),"--")</f>
        <v>--</v>
      </c>
      <c r="W37" s="636" t="str">
        <f>IF(AND(M37&gt;180,N37="R"),(ROUND(M37/60,2)-3)*O37/100*I37*$L$17*0.1,"--")</f>
        <v>--</v>
      </c>
      <c r="X37" s="637" t="str">
        <f>IF(N37="RF",ROUND(M37/60,2)*I37*$L$17*0.1,"--")</f>
        <v>--</v>
      </c>
      <c r="Y37" s="638" t="str">
        <f>IF(N37="RR",ROUND(M37/60,2)*O37/100*I37*$L$17*0.1,"--")</f>
        <v>--</v>
      </c>
      <c r="Z37" s="639">
        <f>IF(F37="","","SI")</f>
      </c>
      <c r="AA37" s="48">
        <f>IF(F37="","",SUM(P37:Y37)*IF(Z37="SI",1,2))</f>
      </c>
      <c r="AB37" s="3"/>
    </row>
    <row r="38" spans="2:28" ht="16.5" customHeight="1">
      <c r="B38" s="49"/>
      <c r="C38" s="458"/>
      <c r="D38" s="458"/>
      <c r="E38" s="458"/>
      <c r="F38" s="459"/>
      <c r="G38" s="460"/>
      <c r="H38" s="461"/>
      <c r="I38" s="359">
        <f>IF(H38&gt;25,H38,25)*IF(G38=330,$G$16,$G$17)/100</f>
        <v>60.87825</v>
      </c>
      <c r="J38" s="466"/>
      <c r="K38" s="466"/>
      <c r="L38" s="11">
        <f>IF(F38="","",(K38-J38)*24)</f>
      </c>
      <c r="M38" s="12">
        <f>IF(F38="","",ROUND((K38-J38)*24*60,0))</f>
      </c>
      <c r="N38" s="467"/>
      <c r="O38" s="628">
        <f>IF(F38="","","--")</f>
      </c>
      <c r="P38" s="629" t="str">
        <f>IF(N38="P",ROUND(M38/60,2)*I38*$L$17*0.01,"--")</f>
        <v>--</v>
      </c>
      <c r="Q38" s="630" t="str">
        <f>IF(N38="RP",ROUND(M38/60,2)*I38*$L$17*0.01*O38/100,"--")</f>
        <v>--</v>
      </c>
      <c r="R38" s="631" t="str">
        <f>IF(N38="F",I38*$L$17,"--")</f>
        <v>--</v>
      </c>
      <c r="S38" s="632" t="str">
        <f>IF(AND(M38&gt;10,N38="F"),I38*$L$17*IF(M38&gt;180,3,ROUND(M38/60,2)),"--")</f>
        <v>--</v>
      </c>
      <c r="T38" s="633" t="str">
        <f>IF(AND(M38&gt;180,N38="F"),(ROUND(M38/60,2)-3)*I38*$L$17*0.1,"--")</f>
        <v>--</v>
      </c>
      <c r="U38" s="634" t="str">
        <f>IF(N38="R",I38*$L$17*O38/100,"--")</f>
        <v>--</v>
      </c>
      <c r="V38" s="635" t="str">
        <f>IF(AND(M38&gt;10,N38="R"),I38*$L$17*O38/100*IF(M38&gt;180,3,ROUND(M38/60,2)),"--")</f>
        <v>--</v>
      </c>
      <c r="W38" s="636" t="str">
        <f>IF(AND(M38&gt;180,N38="R"),(ROUND(M38/60,2)-3)*O38/100*I38*$L$17*0.1,"--")</f>
        <v>--</v>
      </c>
      <c r="X38" s="637" t="str">
        <f>IF(N38="RF",ROUND(M38/60,2)*I38*$L$17*0.1,"--")</f>
        <v>--</v>
      </c>
      <c r="Y38" s="638" t="str">
        <f>IF(N38="RR",ROUND(M38/60,2)*O38/100*I38*$L$17*0.1,"--")</f>
        <v>--</v>
      </c>
      <c r="Z38" s="639">
        <f>IF(F38="","","SI")</f>
      </c>
      <c r="AA38" s="48">
        <f>IF(F38="","",SUM(P38:Y38)*IF(Z38="SI",1,2))</f>
      </c>
      <c r="AB38" s="3"/>
    </row>
    <row r="39" spans="1:28" ht="16.5" customHeight="1" thickBot="1">
      <c r="A39" s="1"/>
      <c r="B39" s="2"/>
      <c r="C39" s="462"/>
      <c r="D39" s="462"/>
      <c r="E39" s="462"/>
      <c r="F39" s="463"/>
      <c r="G39" s="464"/>
      <c r="H39" s="465"/>
      <c r="I39" s="360"/>
      <c r="J39" s="465"/>
      <c r="K39" s="465"/>
      <c r="L39" s="13"/>
      <c r="M39" s="13"/>
      <c r="N39" s="465"/>
      <c r="O39" s="468"/>
      <c r="P39" s="469"/>
      <c r="Q39" s="470"/>
      <c r="R39" s="471"/>
      <c r="S39" s="472"/>
      <c r="T39" s="473"/>
      <c r="U39" s="474"/>
      <c r="V39" s="475"/>
      <c r="W39" s="476"/>
      <c r="X39" s="477"/>
      <c r="Y39" s="478"/>
      <c r="Z39" s="479"/>
      <c r="AA39" s="50"/>
      <c r="AB39" s="3"/>
    </row>
    <row r="40" spans="1:28" ht="16.5" customHeight="1" thickBot="1" thickTop="1">
      <c r="A40" s="1"/>
      <c r="B40" s="2"/>
      <c r="C40" s="215" t="s">
        <v>58</v>
      </c>
      <c r="D40" s="660" t="s">
        <v>140</v>
      </c>
      <c r="E40" s="623"/>
      <c r="F40" s="216"/>
      <c r="G40" s="14"/>
      <c r="H40" s="15"/>
      <c r="I40" s="51"/>
      <c r="J40" s="51"/>
      <c r="K40" s="51"/>
      <c r="L40" s="51"/>
      <c r="M40" s="51"/>
      <c r="N40" s="51"/>
      <c r="O40" s="52"/>
      <c r="P40" s="298">
        <f aca="true" t="shared" si="16" ref="P40:Y40">ROUND(SUM(P20:P39),2)</f>
        <v>5049.44</v>
      </c>
      <c r="Q40" s="299">
        <f t="shared" si="16"/>
        <v>0</v>
      </c>
      <c r="R40" s="300">
        <f t="shared" si="16"/>
        <v>8182.04</v>
      </c>
      <c r="S40" s="300">
        <f t="shared" si="16"/>
        <v>0</v>
      </c>
      <c r="T40" s="301">
        <f t="shared" si="16"/>
        <v>0</v>
      </c>
      <c r="U40" s="302">
        <f t="shared" si="16"/>
        <v>0</v>
      </c>
      <c r="V40" s="302">
        <f t="shared" si="16"/>
        <v>0</v>
      </c>
      <c r="W40" s="303">
        <f t="shared" si="16"/>
        <v>0</v>
      </c>
      <c r="X40" s="304">
        <f t="shared" si="16"/>
        <v>0</v>
      </c>
      <c r="Y40" s="305">
        <f t="shared" si="16"/>
        <v>0</v>
      </c>
      <c r="Z40" s="53"/>
      <c r="AA40" s="627">
        <f>ROUND(SUM(AA20:AA39),2)</f>
        <v>13231.48</v>
      </c>
      <c r="AB40" s="54"/>
    </row>
    <row r="41" spans="1:28" s="230" customFormat="1" ht="9.75" thickTop="1">
      <c r="A41" s="219"/>
      <c r="B41" s="220"/>
      <c r="C41" s="217"/>
      <c r="D41" s="217"/>
      <c r="E41" s="217"/>
      <c r="F41" s="218"/>
      <c r="G41" s="221"/>
      <c r="H41" s="222"/>
      <c r="I41" s="223"/>
      <c r="J41" s="223"/>
      <c r="K41" s="223"/>
      <c r="L41" s="223"/>
      <c r="M41" s="223"/>
      <c r="N41" s="223"/>
      <c r="O41" s="224"/>
      <c r="P41" s="225"/>
      <c r="Q41" s="225"/>
      <c r="R41" s="226"/>
      <c r="S41" s="226"/>
      <c r="T41" s="227"/>
      <c r="U41" s="227"/>
      <c r="V41" s="227"/>
      <c r="W41" s="227"/>
      <c r="X41" s="227"/>
      <c r="Y41" s="227"/>
      <c r="Z41" s="227"/>
      <c r="AA41" s="228"/>
      <c r="AB41" s="229"/>
    </row>
    <row r="42" spans="1:28" s="9" customFormat="1" ht="16.5" customHeight="1" thickBot="1">
      <c r="A42" s="7"/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3"/>
    </row>
    <row r="43" spans="1:28" ht="13.5" thickTop="1">
      <c r="A43" s="1"/>
      <c r="B43" s="1"/>
      <c r="AB43" s="1"/>
    </row>
    <row r="88" spans="1:2" ht="12.75">
      <c r="A88" s="1"/>
      <c r="B88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AB91"/>
  <sheetViews>
    <sheetView zoomScale="75" zoomScaleNormal="75" zoomScalePageLayoutView="0" workbookViewId="0" topLeftCell="A2">
      <selection activeCell="G16" sqref="G16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97" customFormat="1" ht="26.25">
      <c r="AB1" s="366"/>
    </row>
    <row r="2" spans="2:28" s="97" customFormat="1" ht="26.25">
      <c r="B2" s="98" t="str">
        <f>+'TOT-0515'!B2</f>
        <v>ANEXO V al Memorándum  D.T.E.E.  N°  326 /2016             .-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="9" customFormat="1" ht="12.75"/>
    <row r="4" spans="1:4" s="100" customFormat="1" ht="11.25">
      <c r="A4" s="626" t="s">
        <v>17</v>
      </c>
      <c r="C4" s="625"/>
      <c r="D4" s="625"/>
    </row>
    <row r="5" spans="1:4" s="100" customFormat="1" ht="11.25">
      <c r="A5" s="626" t="s">
        <v>121</v>
      </c>
      <c r="C5" s="625"/>
      <c r="D5" s="625"/>
    </row>
    <row r="6" s="9" customFormat="1" ht="13.5" thickBot="1"/>
    <row r="7" spans="1:28" s="9" customFormat="1" ht="13.5" thickTop="1">
      <c r="A7" s="7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6"/>
    </row>
    <row r="8" spans="1:28" s="102" customFormat="1" ht="20.25">
      <c r="A8" s="38"/>
      <c r="B8" s="101"/>
      <c r="C8" s="38"/>
      <c r="D8" s="38"/>
      <c r="E8" s="38"/>
      <c r="F8" s="19" t="s">
        <v>34</v>
      </c>
      <c r="G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103"/>
    </row>
    <row r="9" spans="1:28" s="9" customFormat="1" ht="12.75">
      <c r="A9" s="7"/>
      <c r="B9" s="37"/>
      <c r="C9" s="7"/>
      <c r="D9" s="7"/>
      <c r="E9" s="7"/>
      <c r="F9" s="114"/>
      <c r="G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0"/>
    </row>
    <row r="10" spans="1:28" s="102" customFormat="1" ht="20.25">
      <c r="A10" s="38"/>
      <c r="B10" s="101"/>
      <c r="C10" s="38"/>
      <c r="D10" s="38"/>
      <c r="E10" s="38"/>
      <c r="F10" s="19" t="s">
        <v>118</v>
      </c>
      <c r="G10" s="19"/>
      <c r="H10" s="38"/>
      <c r="I10" s="104"/>
      <c r="J10" s="104"/>
      <c r="K10" s="104"/>
      <c r="L10" s="104"/>
      <c r="M10" s="104"/>
      <c r="N10" s="104"/>
      <c r="O10" s="104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103"/>
    </row>
    <row r="11" spans="1:28" s="9" customFormat="1" ht="12.75">
      <c r="A11" s="7"/>
      <c r="B11" s="37"/>
      <c r="C11" s="7"/>
      <c r="D11" s="7"/>
      <c r="E11" s="7"/>
      <c r="F11" s="113"/>
      <c r="G11" s="111"/>
      <c r="H11" s="7"/>
      <c r="I11" s="110"/>
      <c r="J11" s="110"/>
      <c r="K11" s="110"/>
      <c r="L11" s="110"/>
      <c r="M11" s="110"/>
      <c r="N11" s="110"/>
      <c r="O11" s="110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0"/>
    </row>
    <row r="12" spans="1:28" s="109" customFormat="1" ht="19.5">
      <c r="A12" s="40"/>
      <c r="B12" s="76" t="str">
        <f>+'TOT-0515'!B14</f>
        <v>Desde el 01 al 31 de mayo de 2015</v>
      </c>
      <c r="C12" s="105"/>
      <c r="D12" s="105"/>
      <c r="E12" s="105"/>
      <c r="F12" s="105"/>
      <c r="G12" s="106"/>
      <c r="H12" s="106"/>
      <c r="I12" s="107"/>
      <c r="J12" s="107"/>
      <c r="K12" s="107"/>
      <c r="L12" s="107"/>
      <c r="M12" s="107"/>
      <c r="N12" s="107"/>
      <c r="O12" s="107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8"/>
    </row>
    <row r="13" spans="1:28" s="109" customFormat="1" ht="7.5" customHeight="1">
      <c r="A13" s="40"/>
      <c r="B13" s="76"/>
      <c r="C13" s="105"/>
      <c r="D13" s="105"/>
      <c r="E13" s="105"/>
      <c r="F13" s="105"/>
      <c r="G13" s="106"/>
      <c r="H13" s="106"/>
      <c r="I13" s="107"/>
      <c r="J13" s="107"/>
      <c r="K13" s="107"/>
      <c r="L13" s="107"/>
      <c r="M13" s="107"/>
      <c r="N13" s="107"/>
      <c r="O13" s="107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8"/>
    </row>
    <row r="14" spans="1:28" s="9" customFormat="1" ht="7.5" customHeight="1" thickBot="1">
      <c r="A14" s="7"/>
      <c r="B14" s="37"/>
      <c r="C14" s="7"/>
      <c r="D14" s="7"/>
      <c r="E14" s="7"/>
      <c r="F14" s="7"/>
      <c r="G14" s="111"/>
      <c r="H14" s="112"/>
      <c r="I14" s="110"/>
      <c r="J14" s="110"/>
      <c r="K14" s="110"/>
      <c r="L14" s="110"/>
      <c r="M14" s="110"/>
      <c r="N14" s="110"/>
      <c r="O14" s="11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0"/>
    </row>
    <row r="15" spans="1:28" s="83" customFormat="1" ht="16.5" customHeight="1" thickBot="1" thickTop="1">
      <c r="A15" s="80"/>
      <c r="B15" s="81"/>
      <c r="C15" s="80"/>
      <c r="D15" s="80"/>
      <c r="E15" s="80"/>
      <c r="F15" s="454" t="s">
        <v>37</v>
      </c>
      <c r="G15" s="662" t="s">
        <v>142</v>
      </c>
      <c r="H15" s="213"/>
      <c r="I15" s="84"/>
      <c r="J15" s="84"/>
      <c r="K15" s="84"/>
      <c r="L15" s="84"/>
      <c r="M15" s="84"/>
      <c r="N15" s="84"/>
      <c r="O15" s="84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2"/>
    </row>
    <row r="16" spans="1:28" s="83" customFormat="1" ht="16.5" customHeight="1" thickBot="1" thickTop="1">
      <c r="A16" s="80"/>
      <c r="B16" s="81"/>
      <c r="C16" s="80"/>
      <c r="D16" s="80"/>
      <c r="E16" s="80"/>
      <c r="F16" s="454" t="s">
        <v>38</v>
      </c>
      <c r="G16" s="455">
        <v>69.722</v>
      </c>
      <c r="H16" s="214"/>
      <c r="I16" s="80"/>
      <c r="K16" s="85" t="s">
        <v>39</v>
      </c>
      <c r="L16" s="86">
        <f>30*'TOT-0515'!B13</f>
        <v>30</v>
      </c>
      <c r="M16" s="210" t="str">
        <f>IF(L16=30," ",IF(L16=60,"Coeficiente duplicado por tasa de falla &gt;4 Sal. x año/100 km.","REVISAR COEFICIENTE"))</f>
        <v> </v>
      </c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2"/>
    </row>
    <row r="17" spans="1:28" s="83" customFormat="1" ht="7.5" customHeight="1" thickTop="1">
      <c r="A17" s="80"/>
      <c r="B17" s="81"/>
      <c r="C17" s="80"/>
      <c r="D17" s="80"/>
      <c r="E17" s="80"/>
      <c r="F17" s="617"/>
      <c r="G17" s="618"/>
      <c r="H17" s="619"/>
      <c r="I17" s="80"/>
      <c r="K17" s="85"/>
      <c r="L17" s="86"/>
      <c r="M17" s="21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2"/>
    </row>
    <row r="18" spans="1:28" s="648" customFormat="1" ht="15" customHeight="1" thickBot="1">
      <c r="A18" s="644"/>
      <c r="B18" s="645"/>
      <c r="C18" s="646">
        <v>3</v>
      </c>
      <c r="D18" s="646">
        <v>4</v>
      </c>
      <c r="E18" s="646">
        <v>5</v>
      </c>
      <c r="F18" s="646">
        <v>6</v>
      </c>
      <c r="G18" s="646">
        <v>7</v>
      </c>
      <c r="H18" s="646">
        <v>8</v>
      </c>
      <c r="I18" s="646">
        <v>9</v>
      </c>
      <c r="J18" s="646">
        <v>10</v>
      </c>
      <c r="K18" s="646">
        <v>11</v>
      </c>
      <c r="L18" s="646">
        <v>12</v>
      </c>
      <c r="M18" s="646">
        <v>13</v>
      </c>
      <c r="N18" s="646">
        <v>14</v>
      </c>
      <c r="O18" s="646">
        <v>15</v>
      </c>
      <c r="P18" s="646">
        <v>16</v>
      </c>
      <c r="Q18" s="646">
        <v>17</v>
      </c>
      <c r="R18" s="646">
        <v>18</v>
      </c>
      <c r="S18" s="646">
        <v>19</v>
      </c>
      <c r="T18" s="646">
        <v>20</v>
      </c>
      <c r="U18" s="646">
        <v>21</v>
      </c>
      <c r="V18" s="646">
        <v>22</v>
      </c>
      <c r="W18" s="646">
        <v>23</v>
      </c>
      <c r="X18" s="646">
        <v>24</v>
      </c>
      <c r="Y18" s="646">
        <v>25</v>
      </c>
      <c r="Z18" s="646">
        <v>26</v>
      </c>
      <c r="AA18" s="646">
        <v>27</v>
      </c>
      <c r="AB18" s="647"/>
    </row>
    <row r="19" spans="1:28" s="96" customFormat="1" ht="33.75" customHeight="1" thickBot="1" thickTop="1">
      <c r="A19" s="87"/>
      <c r="B19" s="88"/>
      <c r="C19" s="89" t="s">
        <v>40</v>
      </c>
      <c r="D19" s="89" t="s">
        <v>120</v>
      </c>
      <c r="E19" s="89" t="s">
        <v>119</v>
      </c>
      <c r="F19" s="90" t="s">
        <v>20</v>
      </c>
      <c r="G19" s="91" t="s">
        <v>41</v>
      </c>
      <c r="H19" s="92" t="s">
        <v>42</v>
      </c>
      <c r="I19" s="239" t="s">
        <v>43</v>
      </c>
      <c r="J19" s="90" t="s">
        <v>44</v>
      </c>
      <c r="K19" s="90" t="s">
        <v>45</v>
      </c>
      <c r="L19" s="91" t="s">
        <v>46</v>
      </c>
      <c r="M19" s="91" t="s">
        <v>47</v>
      </c>
      <c r="N19" s="93" t="s">
        <v>48</v>
      </c>
      <c r="O19" s="91" t="s">
        <v>49</v>
      </c>
      <c r="P19" s="266" t="s">
        <v>50</v>
      </c>
      <c r="Q19" s="269" t="s">
        <v>51</v>
      </c>
      <c r="R19" s="272" t="s">
        <v>52</v>
      </c>
      <c r="S19" s="273"/>
      <c r="T19" s="274"/>
      <c r="U19" s="283" t="s">
        <v>53</v>
      </c>
      <c r="V19" s="284"/>
      <c r="W19" s="285"/>
      <c r="X19" s="292" t="s">
        <v>54</v>
      </c>
      <c r="Y19" s="295" t="s">
        <v>55</v>
      </c>
      <c r="Z19" s="94" t="s">
        <v>56</v>
      </c>
      <c r="AA19" s="94" t="s">
        <v>57</v>
      </c>
      <c r="AB19" s="95"/>
    </row>
    <row r="20" spans="1:28" ht="16.5" customHeight="1" thickTop="1">
      <c r="A20" s="1"/>
      <c r="B20" s="2"/>
      <c r="C20" s="44"/>
      <c r="D20" s="77"/>
      <c r="E20" s="77"/>
      <c r="F20" s="45"/>
      <c r="G20" s="46"/>
      <c r="H20" s="46"/>
      <c r="I20" s="240"/>
      <c r="J20" s="46"/>
      <c r="K20" s="47"/>
      <c r="L20" s="47"/>
      <c r="M20" s="47"/>
      <c r="N20" s="45"/>
      <c r="O20" s="46"/>
      <c r="P20" s="267"/>
      <c r="Q20" s="270"/>
      <c r="R20" s="275"/>
      <c r="S20" s="276"/>
      <c r="T20" s="277"/>
      <c r="U20" s="286"/>
      <c r="V20" s="287"/>
      <c r="W20" s="288"/>
      <c r="X20" s="293"/>
      <c r="Y20" s="296"/>
      <c r="Z20" s="281"/>
      <c r="AA20" s="47"/>
      <c r="AB20" s="3"/>
    </row>
    <row r="21" spans="1:28" ht="16.5" customHeight="1">
      <c r="A21" s="1"/>
      <c r="B21" s="2"/>
      <c r="C21" s="44"/>
      <c r="D21" s="44"/>
      <c r="E21" s="44"/>
      <c r="F21" s="44"/>
      <c r="G21" s="78"/>
      <c r="H21" s="78"/>
      <c r="I21" s="241"/>
      <c r="J21" s="44"/>
      <c r="K21" s="79"/>
      <c r="L21" s="79"/>
      <c r="M21" s="79"/>
      <c r="N21" s="77"/>
      <c r="O21" s="44"/>
      <c r="P21" s="268"/>
      <c r="Q21" s="271"/>
      <c r="R21" s="278"/>
      <c r="S21" s="279"/>
      <c r="T21" s="280"/>
      <c r="U21" s="289"/>
      <c r="V21" s="290"/>
      <c r="W21" s="291"/>
      <c r="X21" s="294"/>
      <c r="Y21" s="297"/>
      <c r="Z21" s="282"/>
      <c r="AA21" s="79"/>
      <c r="AB21" s="3"/>
    </row>
    <row r="22" spans="1:28" ht="16.5" customHeight="1">
      <c r="A22" s="1"/>
      <c r="B22" s="2"/>
      <c r="C22" s="458">
        <v>4</v>
      </c>
      <c r="D22" s="458">
        <v>288872</v>
      </c>
      <c r="E22" s="458">
        <v>1634</v>
      </c>
      <c r="F22" s="459" t="s">
        <v>131</v>
      </c>
      <c r="G22" s="460">
        <v>132</v>
      </c>
      <c r="H22" s="461">
        <v>23</v>
      </c>
      <c r="I22" s="242">
        <f>IF(H22&gt;25,H22,25)*IF(G22=330,$G$15,$G$16)/100</f>
        <v>17.4305</v>
      </c>
      <c r="J22" s="466">
        <v>42143.069444444445</v>
      </c>
      <c r="K22" s="466">
        <v>42143.50208333333</v>
      </c>
      <c r="L22" s="11">
        <f aca="true" t="shared" si="0" ref="L22:L41">IF(F22="","",(K22-J22)*24)</f>
        <v>10.38333333330229</v>
      </c>
      <c r="M22" s="12">
        <f aca="true" t="shared" si="1" ref="M22:M41">IF(F22="","",ROUND((K22-J22)*24*60,0))</f>
        <v>623</v>
      </c>
      <c r="N22" s="467" t="s">
        <v>129</v>
      </c>
      <c r="O22" s="643" t="s">
        <v>126</v>
      </c>
      <c r="P22" s="629" t="str">
        <f aca="true" t="shared" si="2" ref="P22:P41">IF(N22="P",ROUND(M22/60,2)*I22*$L$16*0.01,"--")</f>
        <v>--</v>
      </c>
      <c r="Q22" s="630" t="str">
        <f>IF(N22="RP",ROUND(M22/60,2)*I22*$L$16*0.01*O22/100,"--")</f>
        <v>--</v>
      </c>
      <c r="R22" s="631">
        <f aca="true" t="shared" si="3" ref="R22:R41">IF(N22="F",I22*$L$16,"--")</f>
        <v>522.915</v>
      </c>
      <c r="S22" s="632">
        <f aca="true" t="shared" si="4" ref="S22:S41">IF(AND(M22&gt;10,N22="F"),I22*$L$16*IF(M22&gt;180,3,ROUND(M22/60,2)),"--")</f>
        <v>1568.745</v>
      </c>
      <c r="T22" s="633">
        <f aca="true" t="shared" si="5" ref="T22:T41">IF(AND(M22&gt;180,N22="F"),(ROUND(M22/60,2)-3)*I22*$L$16*0.1,"--")</f>
        <v>385.91127000000006</v>
      </c>
      <c r="U22" s="634" t="str">
        <f aca="true" t="shared" si="6" ref="U22:U41">IF(N22="R",I22*$L$16*O22/100,"--")</f>
        <v>--</v>
      </c>
      <c r="V22" s="635" t="str">
        <f aca="true" t="shared" si="7" ref="V22:V41">IF(AND(M22&gt;10,N22="R"),I22*$L$16*O22/100*IF(M22&gt;180,3,ROUND(M22/60,2)),"--")</f>
        <v>--</v>
      </c>
      <c r="W22" s="636" t="str">
        <f aca="true" t="shared" si="8" ref="W22:W41">IF(AND(M22&gt;180,N22="R"),(ROUND(M22/60,2)-3)*O22/100*I22*$L$16*0.1,"--")</f>
        <v>--</v>
      </c>
      <c r="X22" s="637" t="str">
        <f aca="true" t="shared" si="9" ref="X22:X41">IF(N22="RF",ROUND(M22/60,2)*I22*$L$16*0.1,"--")</f>
        <v>--</v>
      </c>
      <c r="Y22" s="638" t="str">
        <f aca="true" t="shared" si="10" ref="Y22:Y41">IF(N22="RR",ROUND(M22/60,2)*O22/100*I22*$L$16*0.1,"--")</f>
        <v>--</v>
      </c>
      <c r="Z22" s="639" t="s">
        <v>125</v>
      </c>
      <c r="AA22" s="48">
        <f aca="true" t="shared" si="11" ref="AA22:AA41">IF(F22="","",SUM(P22:Y22)*IF(Z22="SI",1,2))</f>
        <v>2477.57127</v>
      </c>
      <c r="AB22" s="3"/>
    </row>
    <row r="23" spans="1:28" ht="16.5" customHeight="1">
      <c r="A23" s="1"/>
      <c r="B23" s="2"/>
      <c r="C23" s="458">
        <v>5</v>
      </c>
      <c r="D23" s="458">
        <v>288873</v>
      </c>
      <c r="E23" s="458">
        <v>1635</v>
      </c>
      <c r="F23" s="459" t="s">
        <v>132</v>
      </c>
      <c r="G23" s="460">
        <v>132</v>
      </c>
      <c r="H23" s="461">
        <v>162.60000610351562</v>
      </c>
      <c r="I23" s="242">
        <f aca="true" t="shared" si="12" ref="I23:I38">IF(H23&gt;25,H23,25)*IF(G23=330,$G$15,$G$16)/100</f>
        <v>113.36797625549316</v>
      </c>
      <c r="J23" s="466">
        <v>42143.069444444445</v>
      </c>
      <c r="K23" s="466">
        <v>42143.50208333333</v>
      </c>
      <c r="L23" s="11">
        <f t="shared" si="0"/>
        <v>10.38333333330229</v>
      </c>
      <c r="M23" s="12">
        <f t="shared" si="1"/>
        <v>623</v>
      </c>
      <c r="N23" s="467" t="s">
        <v>129</v>
      </c>
      <c r="O23" s="643" t="s">
        <v>126</v>
      </c>
      <c r="P23" s="629" t="str">
        <f t="shared" si="2"/>
        <v>--</v>
      </c>
      <c r="Q23" s="630" t="str">
        <f aca="true" t="shared" si="13" ref="Q23:Q38">IF(N23="RP",ROUND(M23/60,2)*I23*$L$16*0.01*O23/100,"--")</f>
        <v>--</v>
      </c>
      <c r="R23" s="631">
        <f t="shared" si="3"/>
        <v>3401.0392876647948</v>
      </c>
      <c r="S23" s="632">
        <f t="shared" si="4"/>
        <v>10203.117862994384</v>
      </c>
      <c r="T23" s="633">
        <f t="shared" si="5"/>
        <v>2509.9669942966193</v>
      </c>
      <c r="U23" s="634" t="str">
        <f t="shared" si="6"/>
        <v>--</v>
      </c>
      <c r="V23" s="635" t="str">
        <f t="shared" si="7"/>
        <v>--</v>
      </c>
      <c r="W23" s="636" t="str">
        <f t="shared" si="8"/>
        <v>--</v>
      </c>
      <c r="X23" s="637" t="str">
        <f t="shared" si="9"/>
        <v>--</v>
      </c>
      <c r="Y23" s="638" t="str">
        <f t="shared" si="10"/>
        <v>--</v>
      </c>
      <c r="Z23" s="639" t="s">
        <v>125</v>
      </c>
      <c r="AA23" s="48">
        <f t="shared" si="11"/>
        <v>16114.124144955798</v>
      </c>
      <c r="AB23" s="3"/>
    </row>
    <row r="24" spans="1:28" ht="16.5" customHeight="1">
      <c r="A24" s="1"/>
      <c r="B24" s="2"/>
      <c r="C24" s="458"/>
      <c r="D24" s="458"/>
      <c r="E24" s="458"/>
      <c r="F24" s="459"/>
      <c r="G24" s="460"/>
      <c r="H24" s="461"/>
      <c r="I24" s="242">
        <f t="shared" si="12"/>
        <v>17.4305</v>
      </c>
      <c r="J24" s="466"/>
      <c r="K24" s="466"/>
      <c r="L24" s="11">
        <f t="shared" si="0"/>
      </c>
      <c r="M24" s="12">
        <f t="shared" si="1"/>
      </c>
      <c r="N24" s="467"/>
      <c r="O24" s="628">
        <f aca="true" t="shared" si="14" ref="O24:O41">IF(F24="","","--")</f>
      </c>
      <c r="P24" s="629" t="str">
        <f t="shared" si="2"/>
        <v>--</v>
      </c>
      <c r="Q24" s="630" t="str">
        <f t="shared" si="13"/>
        <v>--</v>
      </c>
      <c r="R24" s="631" t="str">
        <f t="shared" si="3"/>
        <v>--</v>
      </c>
      <c r="S24" s="632" t="str">
        <f t="shared" si="4"/>
        <v>--</v>
      </c>
      <c r="T24" s="633" t="str">
        <f t="shared" si="5"/>
        <v>--</v>
      </c>
      <c r="U24" s="634" t="str">
        <f t="shared" si="6"/>
        <v>--</v>
      </c>
      <c r="V24" s="635" t="str">
        <f t="shared" si="7"/>
        <v>--</v>
      </c>
      <c r="W24" s="636" t="str">
        <f t="shared" si="8"/>
        <v>--</v>
      </c>
      <c r="X24" s="637" t="str">
        <f t="shared" si="9"/>
        <v>--</v>
      </c>
      <c r="Y24" s="638" t="str">
        <f t="shared" si="10"/>
        <v>--</v>
      </c>
      <c r="Z24" s="639">
        <f aca="true" t="shared" si="15" ref="Z24:Z41">IF(F24="","","SI")</f>
      </c>
      <c r="AA24" s="48">
        <f t="shared" si="11"/>
      </c>
      <c r="AB24" s="3"/>
    </row>
    <row r="25" spans="1:28" ht="16.5" customHeight="1">
      <c r="A25" s="1"/>
      <c r="B25" s="2"/>
      <c r="C25" s="458"/>
      <c r="D25" s="458"/>
      <c r="E25" s="458"/>
      <c r="F25" s="459"/>
      <c r="G25" s="460"/>
      <c r="H25" s="461"/>
      <c r="I25" s="242">
        <f t="shared" si="12"/>
        <v>17.4305</v>
      </c>
      <c r="J25" s="466"/>
      <c r="K25" s="466"/>
      <c r="L25" s="11">
        <f t="shared" si="0"/>
      </c>
      <c r="M25" s="12">
        <f t="shared" si="1"/>
      </c>
      <c r="N25" s="467"/>
      <c r="O25" s="628">
        <f t="shared" si="14"/>
      </c>
      <c r="P25" s="629" t="str">
        <f t="shared" si="2"/>
        <v>--</v>
      </c>
      <c r="Q25" s="630" t="str">
        <f t="shared" si="13"/>
        <v>--</v>
      </c>
      <c r="R25" s="631" t="str">
        <f t="shared" si="3"/>
        <v>--</v>
      </c>
      <c r="S25" s="632" t="str">
        <f t="shared" si="4"/>
        <v>--</v>
      </c>
      <c r="T25" s="633" t="str">
        <f t="shared" si="5"/>
        <v>--</v>
      </c>
      <c r="U25" s="634" t="str">
        <f t="shared" si="6"/>
        <v>--</v>
      </c>
      <c r="V25" s="635" t="str">
        <f t="shared" si="7"/>
        <v>--</v>
      </c>
      <c r="W25" s="636" t="str">
        <f t="shared" si="8"/>
        <v>--</v>
      </c>
      <c r="X25" s="637" t="str">
        <f t="shared" si="9"/>
        <v>--</v>
      </c>
      <c r="Y25" s="638" t="str">
        <f t="shared" si="10"/>
        <v>--</v>
      </c>
      <c r="Z25" s="639">
        <f t="shared" si="15"/>
      </c>
      <c r="AA25" s="48">
        <f t="shared" si="11"/>
      </c>
      <c r="AB25" s="3"/>
    </row>
    <row r="26" spans="1:28" ht="16.5" customHeight="1">
      <c r="A26" s="1"/>
      <c r="B26" s="2"/>
      <c r="C26" s="458"/>
      <c r="D26" s="458"/>
      <c r="E26" s="458"/>
      <c r="F26" s="459"/>
      <c r="G26" s="460"/>
      <c r="H26" s="461"/>
      <c r="I26" s="242">
        <f t="shared" si="12"/>
        <v>17.4305</v>
      </c>
      <c r="J26" s="466"/>
      <c r="K26" s="466"/>
      <c r="L26" s="11">
        <f t="shared" si="0"/>
      </c>
      <c r="M26" s="12">
        <f t="shared" si="1"/>
      </c>
      <c r="N26" s="467"/>
      <c r="O26" s="628">
        <f t="shared" si="14"/>
      </c>
      <c r="P26" s="629" t="str">
        <f t="shared" si="2"/>
        <v>--</v>
      </c>
      <c r="Q26" s="630" t="str">
        <f t="shared" si="13"/>
        <v>--</v>
      </c>
      <c r="R26" s="631" t="str">
        <f t="shared" si="3"/>
        <v>--</v>
      </c>
      <c r="S26" s="632" t="str">
        <f t="shared" si="4"/>
        <v>--</v>
      </c>
      <c r="T26" s="633" t="str">
        <f t="shared" si="5"/>
        <v>--</v>
      </c>
      <c r="U26" s="634" t="str">
        <f t="shared" si="6"/>
        <v>--</v>
      </c>
      <c r="V26" s="635" t="str">
        <f t="shared" si="7"/>
        <v>--</v>
      </c>
      <c r="W26" s="636" t="str">
        <f t="shared" si="8"/>
        <v>--</v>
      </c>
      <c r="X26" s="637" t="str">
        <f t="shared" si="9"/>
        <v>--</v>
      </c>
      <c r="Y26" s="638" t="str">
        <f t="shared" si="10"/>
        <v>--</v>
      </c>
      <c r="Z26" s="639">
        <f t="shared" si="15"/>
      </c>
      <c r="AA26" s="48">
        <f t="shared" si="11"/>
      </c>
      <c r="AB26" s="3"/>
    </row>
    <row r="27" spans="1:28" ht="16.5" customHeight="1">
      <c r="A27" s="1"/>
      <c r="B27" s="2"/>
      <c r="C27" s="458"/>
      <c r="D27" s="458"/>
      <c r="E27" s="458"/>
      <c r="F27" s="459"/>
      <c r="G27" s="460"/>
      <c r="H27" s="461"/>
      <c r="I27" s="242">
        <f t="shared" si="12"/>
        <v>17.4305</v>
      </c>
      <c r="J27" s="466"/>
      <c r="K27" s="466"/>
      <c r="L27" s="11">
        <f t="shared" si="0"/>
      </c>
      <c r="M27" s="12">
        <f t="shared" si="1"/>
      </c>
      <c r="N27" s="467"/>
      <c r="O27" s="628">
        <f t="shared" si="14"/>
      </c>
      <c r="P27" s="629" t="str">
        <f t="shared" si="2"/>
        <v>--</v>
      </c>
      <c r="Q27" s="630" t="str">
        <f t="shared" si="13"/>
        <v>--</v>
      </c>
      <c r="R27" s="631" t="str">
        <f t="shared" si="3"/>
        <v>--</v>
      </c>
      <c r="S27" s="632" t="str">
        <f t="shared" si="4"/>
        <v>--</v>
      </c>
      <c r="T27" s="633" t="str">
        <f t="shared" si="5"/>
        <v>--</v>
      </c>
      <c r="U27" s="634" t="str">
        <f t="shared" si="6"/>
        <v>--</v>
      </c>
      <c r="V27" s="635" t="str">
        <f t="shared" si="7"/>
        <v>--</v>
      </c>
      <c r="W27" s="636" t="str">
        <f t="shared" si="8"/>
        <v>--</v>
      </c>
      <c r="X27" s="637" t="str">
        <f t="shared" si="9"/>
        <v>--</v>
      </c>
      <c r="Y27" s="638" t="str">
        <f t="shared" si="10"/>
        <v>--</v>
      </c>
      <c r="Z27" s="639">
        <f t="shared" si="15"/>
      </c>
      <c r="AA27" s="48">
        <f t="shared" si="11"/>
      </c>
      <c r="AB27" s="3"/>
    </row>
    <row r="28" spans="1:28" ht="16.5" customHeight="1">
      <c r="A28" s="1"/>
      <c r="B28" s="2"/>
      <c r="C28" s="458"/>
      <c r="D28" s="458"/>
      <c r="E28" s="458"/>
      <c r="F28" s="459"/>
      <c r="G28" s="460"/>
      <c r="H28" s="461"/>
      <c r="I28" s="242">
        <f t="shared" si="12"/>
        <v>17.4305</v>
      </c>
      <c r="J28" s="466"/>
      <c r="K28" s="466"/>
      <c r="L28" s="11">
        <f t="shared" si="0"/>
      </c>
      <c r="M28" s="12">
        <f t="shared" si="1"/>
      </c>
      <c r="N28" s="467"/>
      <c r="O28" s="628">
        <f t="shared" si="14"/>
      </c>
      <c r="P28" s="629" t="str">
        <f t="shared" si="2"/>
        <v>--</v>
      </c>
      <c r="Q28" s="630" t="str">
        <f t="shared" si="13"/>
        <v>--</v>
      </c>
      <c r="R28" s="631" t="str">
        <f t="shared" si="3"/>
        <v>--</v>
      </c>
      <c r="S28" s="632" t="str">
        <f t="shared" si="4"/>
        <v>--</v>
      </c>
      <c r="T28" s="633" t="str">
        <f t="shared" si="5"/>
        <v>--</v>
      </c>
      <c r="U28" s="634" t="str">
        <f t="shared" si="6"/>
        <v>--</v>
      </c>
      <c r="V28" s="635" t="str">
        <f t="shared" si="7"/>
        <v>--</v>
      </c>
      <c r="W28" s="636" t="str">
        <f t="shared" si="8"/>
        <v>--</v>
      </c>
      <c r="X28" s="637" t="str">
        <f t="shared" si="9"/>
        <v>--</v>
      </c>
      <c r="Y28" s="638" t="str">
        <f t="shared" si="10"/>
        <v>--</v>
      </c>
      <c r="Z28" s="639">
        <f t="shared" si="15"/>
      </c>
      <c r="AA28" s="48">
        <f t="shared" si="11"/>
      </c>
      <c r="AB28" s="3"/>
    </row>
    <row r="29" spans="1:28" ht="16.5" customHeight="1">
      <c r="A29" s="1"/>
      <c r="B29" s="2"/>
      <c r="C29" s="458"/>
      <c r="D29" s="458"/>
      <c r="E29" s="458"/>
      <c r="F29" s="459"/>
      <c r="G29" s="460"/>
      <c r="H29" s="461"/>
      <c r="I29" s="242">
        <f t="shared" si="12"/>
        <v>17.4305</v>
      </c>
      <c r="J29" s="466"/>
      <c r="K29" s="466"/>
      <c r="L29" s="11">
        <f t="shared" si="0"/>
      </c>
      <c r="M29" s="12">
        <f t="shared" si="1"/>
      </c>
      <c r="N29" s="467"/>
      <c r="O29" s="628">
        <f t="shared" si="14"/>
      </c>
      <c r="P29" s="629" t="str">
        <f t="shared" si="2"/>
        <v>--</v>
      </c>
      <c r="Q29" s="630" t="str">
        <f t="shared" si="13"/>
        <v>--</v>
      </c>
      <c r="R29" s="631" t="str">
        <f t="shared" si="3"/>
        <v>--</v>
      </c>
      <c r="S29" s="632" t="str">
        <f t="shared" si="4"/>
        <v>--</v>
      </c>
      <c r="T29" s="633" t="str">
        <f t="shared" si="5"/>
        <v>--</v>
      </c>
      <c r="U29" s="634" t="str">
        <f t="shared" si="6"/>
        <v>--</v>
      </c>
      <c r="V29" s="635" t="str">
        <f t="shared" si="7"/>
        <v>--</v>
      </c>
      <c r="W29" s="636" t="str">
        <f t="shared" si="8"/>
        <v>--</v>
      </c>
      <c r="X29" s="637" t="str">
        <f t="shared" si="9"/>
        <v>--</v>
      </c>
      <c r="Y29" s="638" t="str">
        <f t="shared" si="10"/>
        <v>--</v>
      </c>
      <c r="Z29" s="639">
        <f t="shared" si="15"/>
      </c>
      <c r="AA29" s="48">
        <f t="shared" si="11"/>
      </c>
      <c r="AB29" s="3"/>
    </row>
    <row r="30" spans="1:28" ht="16.5" customHeight="1">
      <c r="A30" s="1"/>
      <c r="B30" s="2"/>
      <c r="C30" s="458"/>
      <c r="D30" s="458"/>
      <c r="E30" s="458"/>
      <c r="F30" s="459"/>
      <c r="G30" s="460"/>
      <c r="H30" s="461"/>
      <c r="I30" s="242">
        <f t="shared" si="12"/>
        <v>17.4305</v>
      </c>
      <c r="J30" s="466"/>
      <c r="K30" s="466"/>
      <c r="L30" s="11">
        <f t="shared" si="0"/>
      </c>
      <c r="M30" s="12">
        <f t="shared" si="1"/>
      </c>
      <c r="N30" s="467"/>
      <c r="O30" s="628">
        <f t="shared" si="14"/>
      </c>
      <c r="P30" s="629" t="str">
        <f t="shared" si="2"/>
        <v>--</v>
      </c>
      <c r="Q30" s="630" t="str">
        <f t="shared" si="13"/>
        <v>--</v>
      </c>
      <c r="R30" s="631" t="str">
        <f t="shared" si="3"/>
        <v>--</v>
      </c>
      <c r="S30" s="632" t="str">
        <f t="shared" si="4"/>
        <v>--</v>
      </c>
      <c r="T30" s="633" t="str">
        <f t="shared" si="5"/>
        <v>--</v>
      </c>
      <c r="U30" s="634" t="str">
        <f t="shared" si="6"/>
        <v>--</v>
      </c>
      <c r="V30" s="635" t="str">
        <f t="shared" si="7"/>
        <v>--</v>
      </c>
      <c r="W30" s="636" t="str">
        <f t="shared" si="8"/>
        <v>--</v>
      </c>
      <c r="X30" s="637" t="str">
        <f t="shared" si="9"/>
        <v>--</v>
      </c>
      <c r="Y30" s="638" t="str">
        <f t="shared" si="10"/>
        <v>--</v>
      </c>
      <c r="Z30" s="639">
        <f t="shared" si="15"/>
      </c>
      <c r="AA30" s="48">
        <f t="shared" si="11"/>
      </c>
      <c r="AB30" s="3"/>
    </row>
    <row r="31" spans="1:28" ht="16.5" customHeight="1">
      <c r="A31" s="1"/>
      <c r="B31" s="2"/>
      <c r="C31" s="458"/>
      <c r="D31" s="458"/>
      <c r="E31" s="458"/>
      <c r="F31" s="459"/>
      <c r="G31" s="460"/>
      <c r="H31" s="461"/>
      <c r="I31" s="242">
        <f t="shared" si="12"/>
        <v>17.4305</v>
      </c>
      <c r="J31" s="466"/>
      <c r="K31" s="466"/>
      <c r="L31" s="11">
        <f t="shared" si="0"/>
      </c>
      <c r="M31" s="12">
        <f t="shared" si="1"/>
      </c>
      <c r="N31" s="467"/>
      <c r="O31" s="628">
        <f t="shared" si="14"/>
      </c>
      <c r="P31" s="629" t="str">
        <f t="shared" si="2"/>
        <v>--</v>
      </c>
      <c r="Q31" s="630" t="str">
        <f t="shared" si="13"/>
        <v>--</v>
      </c>
      <c r="R31" s="631" t="str">
        <f t="shared" si="3"/>
        <v>--</v>
      </c>
      <c r="S31" s="632" t="str">
        <f t="shared" si="4"/>
        <v>--</v>
      </c>
      <c r="T31" s="633" t="str">
        <f t="shared" si="5"/>
        <v>--</v>
      </c>
      <c r="U31" s="634" t="str">
        <f t="shared" si="6"/>
        <v>--</v>
      </c>
      <c r="V31" s="635" t="str">
        <f t="shared" si="7"/>
        <v>--</v>
      </c>
      <c r="W31" s="636" t="str">
        <f t="shared" si="8"/>
        <v>--</v>
      </c>
      <c r="X31" s="637" t="str">
        <f t="shared" si="9"/>
        <v>--</v>
      </c>
      <c r="Y31" s="638" t="str">
        <f t="shared" si="10"/>
        <v>--</v>
      </c>
      <c r="Z31" s="639">
        <f t="shared" si="15"/>
      </c>
      <c r="AA31" s="48">
        <f t="shared" si="11"/>
      </c>
      <c r="AB31" s="3"/>
    </row>
    <row r="32" spans="1:28" ht="16.5" customHeight="1">
      <c r="A32" s="1"/>
      <c r="B32" s="2"/>
      <c r="C32" s="458"/>
      <c r="D32" s="458"/>
      <c r="E32" s="458"/>
      <c r="F32" s="459"/>
      <c r="G32" s="460"/>
      <c r="H32" s="461"/>
      <c r="I32" s="242">
        <f t="shared" si="12"/>
        <v>17.4305</v>
      </c>
      <c r="J32" s="466"/>
      <c r="K32" s="466"/>
      <c r="L32" s="11">
        <f t="shared" si="0"/>
      </c>
      <c r="M32" s="12">
        <f t="shared" si="1"/>
      </c>
      <c r="N32" s="467"/>
      <c r="O32" s="628">
        <f t="shared" si="14"/>
      </c>
      <c r="P32" s="629" t="str">
        <f t="shared" si="2"/>
        <v>--</v>
      </c>
      <c r="Q32" s="630" t="str">
        <f t="shared" si="13"/>
        <v>--</v>
      </c>
      <c r="R32" s="631" t="str">
        <f t="shared" si="3"/>
        <v>--</v>
      </c>
      <c r="S32" s="632" t="str">
        <f t="shared" si="4"/>
        <v>--</v>
      </c>
      <c r="T32" s="633" t="str">
        <f t="shared" si="5"/>
        <v>--</v>
      </c>
      <c r="U32" s="634" t="str">
        <f t="shared" si="6"/>
        <v>--</v>
      </c>
      <c r="V32" s="635" t="str">
        <f t="shared" si="7"/>
        <v>--</v>
      </c>
      <c r="W32" s="636" t="str">
        <f t="shared" si="8"/>
        <v>--</v>
      </c>
      <c r="X32" s="637" t="str">
        <f t="shared" si="9"/>
        <v>--</v>
      </c>
      <c r="Y32" s="638" t="str">
        <f t="shared" si="10"/>
        <v>--</v>
      </c>
      <c r="Z32" s="639">
        <f t="shared" si="15"/>
      </c>
      <c r="AA32" s="48">
        <f t="shared" si="11"/>
      </c>
      <c r="AB32" s="3"/>
    </row>
    <row r="33" spans="1:28" ht="16.5" customHeight="1">
      <c r="A33" s="1"/>
      <c r="B33" s="2"/>
      <c r="C33" s="458"/>
      <c r="D33" s="458"/>
      <c r="E33" s="458"/>
      <c r="F33" s="459"/>
      <c r="G33" s="460"/>
      <c r="H33" s="461"/>
      <c r="I33" s="242">
        <f t="shared" si="12"/>
        <v>17.4305</v>
      </c>
      <c r="J33" s="466"/>
      <c r="K33" s="466"/>
      <c r="L33" s="11">
        <f t="shared" si="0"/>
      </c>
      <c r="M33" s="12">
        <f t="shared" si="1"/>
      </c>
      <c r="N33" s="467"/>
      <c r="O33" s="628">
        <f t="shared" si="14"/>
      </c>
      <c r="P33" s="629" t="str">
        <f t="shared" si="2"/>
        <v>--</v>
      </c>
      <c r="Q33" s="630" t="str">
        <f t="shared" si="13"/>
        <v>--</v>
      </c>
      <c r="R33" s="631" t="str">
        <f t="shared" si="3"/>
        <v>--</v>
      </c>
      <c r="S33" s="632" t="str">
        <f t="shared" si="4"/>
        <v>--</v>
      </c>
      <c r="T33" s="633" t="str">
        <f t="shared" si="5"/>
        <v>--</v>
      </c>
      <c r="U33" s="634" t="str">
        <f t="shared" si="6"/>
        <v>--</v>
      </c>
      <c r="V33" s="635" t="str">
        <f t="shared" si="7"/>
        <v>--</v>
      </c>
      <c r="W33" s="636" t="str">
        <f t="shared" si="8"/>
        <v>--</v>
      </c>
      <c r="X33" s="637" t="str">
        <f t="shared" si="9"/>
        <v>--</v>
      </c>
      <c r="Y33" s="638" t="str">
        <f t="shared" si="10"/>
        <v>--</v>
      </c>
      <c r="Z33" s="639">
        <f t="shared" si="15"/>
      </c>
      <c r="AA33" s="48">
        <f t="shared" si="11"/>
      </c>
      <c r="AB33" s="3"/>
    </row>
    <row r="34" spans="1:28" ht="16.5" customHeight="1">
      <c r="A34" s="1"/>
      <c r="B34" s="2"/>
      <c r="C34" s="458"/>
      <c r="D34" s="458"/>
      <c r="E34" s="458"/>
      <c r="F34" s="459"/>
      <c r="G34" s="460"/>
      <c r="H34" s="461"/>
      <c r="I34" s="242">
        <f t="shared" si="12"/>
        <v>17.4305</v>
      </c>
      <c r="J34" s="466"/>
      <c r="K34" s="466"/>
      <c r="L34" s="11">
        <f t="shared" si="0"/>
      </c>
      <c r="M34" s="12">
        <f t="shared" si="1"/>
      </c>
      <c r="N34" s="467"/>
      <c r="O34" s="628">
        <f t="shared" si="14"/>
      </c>
      <c r="P34" s="629" t="str">
        <f t="shared" si="2"/>
        <v>--</v>
      </c>
      <c r="Q34" s="630" t="str">
        <f t="shared" si="13"/>
        <v>--</v>
      </c>
      <c r="R34" s="631" t="str">
        <f t="shared" si="3"/>
        <v>--</v>
      </c>
      <c r="S34" s="632" t="str">
        <f t="shared" si="4"/>
        <v>--</v>
      </c>
      <c r="T34" s="633" t="str">
        <f t="shared" si="5"/>
        <v>--</v>
      </c>
      <c r="U34" s="634" t="str">
        <f t="shared" si="6"/>
        <v>--</v>
      </c>
      <c r="V34" s="635" t="str">
        <f t="shared" si="7"/>
        <v>--</v>
      </c>
      <c r="W34" s="636" t="str">
        <f t="shared" si="8"/>
        <v>--</v>
      </c>
      <c r="X34" s="637" t="str">
        <f t="shared" si="9"/>
        <v>--</v>
      </c>
      <c r="Y34" s="638" t="str">
        <f t="shared" si="10"/>
        <v>--</v>
      </c>
      <c r="Z34" s="639">
        <f t="shared" si="15"/>
      </c>
      <c r="AA34" s="48">
        <f t="shared" si="11"/>
      </c>
      <c r="AB34" s="3"/>
    </row>
    <row r="35" spans="1:28" ht="16.5" customHeight="1">
      <c r="A35" s="1"/>
      <c r="B35" s="2"/>
      <c r="C35" s="458"/>
      <c r="D35" s="458"/>
      <c r="E35" s="458"/>
      <c r="F35" s="459"/>
      <c r="G35" s="460"/>
      <c r="H35" s="461"/>
      <c r="I35" s="242">
        <f t="shared" si="12"/>
        <v>17.4305</v>
      </c>
      <c r="J35" s="466"/>
      <c r="K35" s="466"/>
      <c r="L35" s="11">
        <f t="shared" si="0"/>
      </c>
      <c r="M35" s="12">
        <f t="shared" si="1"/>
      </c>
      <c r="N35" s="467"/>
      <c r="O35" s="628">
        <f t="shared" si="14"/>
      </c>
      <c r="P35" s="629" t="str">
        <f t="shared" si="2"/>
        <v>--</v>
      </c>
      <c r="Q35" s="630" t="str">
        <f t="shared" si="13"/>
        <v>--</v>
      </c>
      <c r="R35" s="631" t="str">
        <f t="shared" si="3"/>
        <v>--</v>
      </c>
      <c r="S35" s="632" t="str">
        <f t="shared" si="4"/>
        <v>--</v>
      </c>
      <c r="T35" s="633" t="str">
        <f t="shared" si="5"/>
        <v>--</v>
      </c>
      <c r="U35" s="634" t="str">
        <f t="shared" si="6"/>
        <v>--</v>
      </c>
      <c r="V35" s="635" t="str">
        <f t="shared" si="7"/>
        <v>--</v>
      </c>
      <c r="W35" s="636" t="str">
        <f t="shared" si="8"/>
        <v>--</v>
      </c>
      <c r="X35" s="637" t="str">
        <f t="shared" si="9"/>
        <v>--</v>
      </c>
      <c r="Y35" s="638" t="str">
        <f t="shared" si="10"/>
        <v>--</v>
      </c>
      <c r="Z35" s="639">
        <f t="shared" si="15"/>
      </c>
      <c r="AA35" s="48">
        <f t="shared" si="11"/>
      </c>
      <c r="AB35" s="3"/>
    </row>
    <row r="36" spans="1:28" ht="16.5" customHeight="1">
      <c r="A36" s="1"/>
      <c r="B36" s="2"/>
      <c r="C36" s="458"/>
      <c r="D36" s="458"/>
      <c r="E36" s="458"/>
      <c r="F36" s="459"/>
      <c r="G36" s="460"/>
      <c r="H36" s="461"/>
      <c r="I36" s="242">
        <f t="shared" si="12"/>
        <v>17.4305</v>
      </c>
      <c r="J36" s="466"/>
      <c r="K36" s="466"/>
      <c r="L36" s="11">
        <f t="shared" si="0"/>
      </c>
      <c r="M36" s="12">
        <f t="shared" si="1"/>
      </c>
      <c r="N36" s="467"/>
      <c r="O36" s="628">
        <f t="shared" si="14"/>
      </c>
      <c r="P36" s="629" t="str">
        <f t="shared" si="2"/>
        <v>--</v>
      </c>
      <c r="Q36" s="630" t="str">
        <f t="shared" si="13"/>
        <v>--</v>
      </c>
      <c r="R36" s="631" t="str">
        <f t="shared" si="3"/>
        <v>--</v>
      </c>
      <c r="S36" s="632" t="str">
        <f t="shared" si="4"/>
        <v>--</v>
      </c>
      <c r="T36" s="633" t="str">
        <f t="shared" si="5"/>
        <v>--</v>
      </c>
      <c r="U36" s="634" t="str">
        <f t="shared" si="6"/>
        <v>--</v>
      </c>
      <c r="V36" s="635" t="str">
        <f t="shared" si="7"/>
        <v>--</v>
      </c>
      <c r="W36" s="636" t="str">
        <f t="shared" si="8"/>
        <v>--</v>
      </c>
      <c r="X36" s="637" t="str">
        <f t="shared" si="9"/>
        <v>--</v>
      </c>
      <c r="Y36" s="638" t="str">
        <f t="shared" si="10"/>
        <v>--</v>
      </c>
      <c r="Z36" s="639">
        <f t="shared" si="15"/>
      </c>
      <c r="AA36" s="48">
        <f t="shared" si="11"/>
      </c>
      <c r="AB36" s="3"/>
    </row>
    <row r="37" spans="1:28" ht="16.5" customHeight="1">
      <c r="A37" s="1"/>
      <c r="B37" s="2"/>
      <c r="C37" s="458"/>
      <c r="D37" s="458"/>
      <c r="E37" s="458"/>
      <c r="F37" s="459"/>
      <c r="G37" s="460"/>
      <c r="H37" s="461"/>
      <c r="I37" s="242">
        <f t="shared" si="12"/>
        <v>17.4305</v>
      </c>
      <c r="J37" s="466"/>
      <c r="K37" s="466"/>
      <c r="L37" s="11">
        <f t="shared" si="0"/>
      </c>
      <c r="M37" s="12">
        <f t="shared" si="1"/>
      </c>
      <c r="N37" s="467"/>
      <c r="O37" s="628">
        <f t="shared" si="14"/>
      </c>
      <c r="P37" s="629" t="str">
        <f t="shared" si="2"/>
        <v>--</v>
      </c>
      <c r="Q37" s="630" t="str">
        <f t="shared" si="13"/>
        <v>--</v>
      </c>
      <c r="R37" s="631" t="str">
        <f t="shared" si="3"/>
        <v>--</v>
      </c>
      <c r="S37" s="632" t="str">
        <f t="shared" si="4"/>
        <v>--</v>
      </c>
      <c r="T37" s="633" t="str">
        <f t="shared" si="5"/>
        <v>--</v>
      </c>
      <c r="U37" s="634" t="str">
        <f t="shared" si="6"/>
        <v>--</v>
      </c>
      <c r="V37" s="635" t="str">
        <f t="shared" si="7"/>
        <v>--</v>
      </c>
      <c r="W37" s="636" t="str">
        <f t="shared" si="8"/>
        <v>--</v>
      </c>
      <c r="X37" s="637" t="str">
        <f t="shared" si="9"/>
        <v>--</v>
      </c>
      <c r="Y37" s="638" t="str">
        <f t="shared" si="10"/>
        <v>--</v>
      </c>
      <c r="Z37" s="639">
        <f t="shared" si="15"/>
      </c>
      <c r="AA37" s="48">
        <f t="shared" si="11"/>
      </c>
      <c r="AB37" s="3"/>
    </row>
    <row r="38" spans="2:28" ht="16.5" customHeight="1">
      <c r="B38" s="49"/>
      <c r="C38" s="458"/>
      <c r="D38" s="458"/>
      <c r="E38" s="458"/>
      <c r="F38" s="459"/>
      <c r="G38" s="460"/>
      <c r="H38" s="461"/>
      <c r="I38" s="242">
        <f t="shared" si="12"/>
        <v>17.4305</v>
      </c>
      <c r="J38" s="466"/>
      <c r="K38" s="466"/>
      <c r="L38" s="11">
        <f t="shared" si="0"/>
      </c>
      <c r="M38" s="12">
        <f t="shared" si="1"/>
      </c>
      <c r="N38" s="467"/>
      <c r="O38" s="628">
        <f t="shared" si="14"/>
      </c>
      <c r="P38" s="629" t="str">
        <f t="shared" si="2"/>
        <v>--</v>
      </c>
      <c r="Q38" s="630" t="str">
        <f t="shared" si="13"/>
        <v>--</v>
      </c>
      <c r="R38" s="631" t="str">
        <f t="shared" si="3"/>
        <v>--</v>
      </c>
      <c r="S38" s="632" t="str">
        <f t="shared" si="4"/>
        <v>--</v>
      </c>
      <c r="T38" s="633" t="str">
        <f t="shared" si="5"/>
        <v>--</v>
      </c>
      <c r="U38" s="634" t="str">
        <f t="shared" si="6"/>
        <v>--</v>
      </c>
      <c r="V38" s="635" t="str">
        <f t="shared" si="7"/>
        <v>--</v>
      </c>
      <c r="W38" s="636" t="str">
        <f t="shared" si="8"/>
        <v>--</v>
      </c>
      <c r="X38" s="637" t="str">
        <f t="shared" si="9"/>
        <v>--</v>
      </c>
      <c r="Y38" s="638" t="str">
        <f t="shared" si="10"/>
        <v>--</v>
      </c>
      <c r="Z38" s="639">
        <f t="shared" si="15"/>
      </c>
      <c r="AA38" s="48">
        <f t="shared" si="11"/>
      </c>
      <c r="AB38" s="3"/>
    </row>
    <row r="39" spans="2:28" ht="16.5" customHeight="1">
      <c r="B39" s="49"/>
      <c r="C39" s="458"/>
      <c r="D39" s="458"/>
      <c r="E39" s="458"/>
      <c r="F39" s="459"/>
      <c r="G39" s="460"/>
      <c r="H39" s="461"/>
      <c r="I39" s="242">
        <f>IF(H39&gt;25,H39,25)*IF(G39=330,$G$15,$G$16)/100</f>
        <v>17.4305</v>
      </c>
      <c r="J39" s="466"/>
      <c r="K39" s="466"/>
      <c r="L39" s="11">
        <f t="shared" si="0"/>
      </c>
      <c r="M39" s="12">
        <f t="shared" si="1"/>
      </c>
      <c r="N39" s="467"/>
      <c r="O39" s="628">
        <f t="shared" si="14"/>
      </c>
      <c r="P39" s="629" t="str">
        <f t="shared" si="2"/>
        <v>--</v>
      </c>
      <c r="Q39" s="630" t="str">
        <f>IF(N39="RP",ROUND(M39/60,2)*I39*$L$16*0.01*O39/100,"--")</f>
        <v>--</v>
      </c>
      <c r="R39" s="631" t="str">
        <f t="shared" si="3"/>
        <v>--</v>
      </c>
      <c r="S39" s="632" t="str">
        <f t="shared" si="4"/>
        <v>--</v>
      </c>
      <c r="T39" s="633" t="str">
        <f t="shared" si="5"/>
        <v>--</v>
      </c>
      <c r="U39" s="634" t="str">
        <f t="shared" si="6"/>
        <v>--</v>
      </c>
      <c r="V39" s="635" t="str">
        <f t="shared" si="7"/>
        <v>--</v>
      </c>
      <c r="W39" s="636" t="str">
        <f t="shared" si="8"/>
        <v>--</v>
      </c>
      <c r="X39" s="637" t="str">
        <f t="shared" si="9"/>
        <v>--</v>
      </c>
      <c r="Y39" s="638" t="str">
        <f t="shared" si="10"/>
        <v>--</v>
      </c>
      <c r="Z39" s="639">
        <f t="shared" si="15"/>
      </c>
      <c r="AA39" s="48">
        <f t="shared" si="11"/>
      </c>
      <c r="AB39" s="3"/>
    </row>
    <row r="40" spans="2:28" ht="16.5" customHeight="1">
      <c r="B40" s="49"/>
      <c r="C40" s="458"/>
      <c r="D40" s="458"/>
      <c r="E40" s="458"/>
      <c r="F40" s="459"/>
      <c r="G40" s="460"/>
      <c r="H40" s="461"/>
      <c r="I40" s="242">
        <f>IF(H40&gt;25,H40,25)*IF(G40=330,$G$15,$G$16)/100</f>
        <v>17.4305</v>
      </c>
      <c r="J40" s="466"/>
      <c r="K40" s="466"/>
      <c r="L40" s="11">
        <f t="shared" si="0"/>
      </c>
      <c r="M40" s="12">
        <f t="shared" si="1"/>
      </c>
      <c r="N40" s="467"/>
      <c r="O40" s="628">
        <f t="shared" si="14"/>
      </c>
      <c r="P40" s="629" t="str">
        <f t="shared" si="2"/>
        <v>--</v>
      </c>
      <c r="Q40" s="630" t="str">
        <f>IF(N40="RP",ROUND(M40/60,2)*I40*$L$16*0.01*O40/100,"--")</f>
        <v>--</v>
      </c>
      <c r="R40" s="631" t="str">
        <f t="shared" si="3"/>
        <v>--</v>
      </c>
      <c r="S40" s="632" t="str">
        <f t="shared" si="4"/>
        <v>--</v>
      </c>
      <c r="T40" s="633" t="str">
        <f t="shared" si="5"/>
        <v>--</v>
      </c>
      <c r="U40" s="634" t="str">
        <f t="shared" si="6"/>
        <v>--</v>
      </c>
      <c r="V40" s="635" t="str">
        <f t="shared" si="7"/>
        <v>--</v>
      </c>
      <c r="W40" s="636" t="str">
        <f t="shared" si="8"/>
        <v>--</v>
      </c>
      <c r="X40" s="637" t="str">
        <f t="shared" si="9"/>
        <v>--</v>
      </c>
      <c r="Y40" s="638" t="str">
        <f t="shared" si="10"/>
        <v>--</v>
      </c>
      <c r="Z40" s="639">
        <f t="shared" si="15"/>
      </c>
      <c r="AA40" s="48">
        <f t="shared" si="11"/>
      </c>
      <c r="AB40" s="3"/>
    </row>
    <row r="41" spans="2:28" ht="16.5" customHeight="1">
      <c r="B41" s="49"/>
      <c r="C41" s="458"/>
      <c r="D41" s="458"/>
      <c r="E41" s="458"/>
      <c r="F41" s="459"/>
      <c r="G41" s="460"/>
      <c r="H41" s="461"/>
      <c r="I41" s="242">
        <f>IF(H41&gt;25,H41,25)*IF(G41=330,$G$15,$G$16)/100</f>
        <v>17.4305</v>
      </c>
      <c r="J41" s="466"/>
      <c r="K41" s="466"/>
      <c r="L41" s="11">
        <f t="shared" si="0"/>
      </c>
      <c r="M41" s="12">
        <f t="shared" si="1"/>
      </c>
      <c r="N41" s="467"/>
      <c r="O41" s="628">
        <f t="shared" si="14"/>
      </c>
      <c r="P41" s="629" t="str">
        <f t="shared" si="2"/>
        <v>--</v>
      </c>
      <c r="Q41" s="630" t="str">
        <f>IF(N41="RP",ROUND(M41/60,2)*I41*$L$16*0.01*O41/100,"--")</f>
        <v>--</v>
      </c>
      <c r="R41" s="631" t="str">
        <f t="shared" si="3"/>
        <v>--</v>
      </c>
      <c r="S41" s="632" t="str">
        <f t="shared" si="4"/>
        <v>--</v>
      </c>
      <c r="T41" s="633" t="str">
        <f t="shared" si="5"/>
        <v>--</v>
      </c>
      <c r="U41" s="634" t="str">
        <f t="shared" si="6"/>
        <v>--</v>
      </c>
      <c r="V41" s="635" t="str">
        <f t="shared" si="7"/>
        <v>--</v>
      </c>
      <c r="W41" s="636" t="str">
        <f t="shared" si="8"/>
        <v>--</v>
      </c>
      <c r="X41" s="637" t="str">
        <f t="shared" si="9"/>
        <v>--</v>
      </c>
      <c r="Y41" s="638" t="str">
        <f t="shared" si="10"/>
        <v>--</v>
      </c>
      <c r="Z41" s="639">
        <f t="shared" si="15"/>
      </c>
      <c r="AA41" s="48">
        <f t="shared" si="11"/>
      </c>
      <c r="AB41" s="3"/>
    </row>
    <row r="42" spans="1:28" ht="16.5" customHeight="1" thickBot="1">
      <c r="A42" s="1"/>
      <c r="B42" s="2"/>
      <c r="C42" s="462"/>
      <c r="D42" s="462"/>
      <c r="E42" s="462"/>
      <c r="F42" s="463"/>
      <c r="G42" s="464"/>
      <c r="H42" s="465"/>
      <c r="I42" s="243"/>
      <c r="J42" s="465"/>
      <c r="K42" s="465"/>
      <c r="L42" s="13"/>
      <c r="M42" s="13"/>
      <c r="N42" s="465"/>
      <c r="O42" s="468"/>
      <c r="P42" s="469"/>
      <c r="Q42" s="470"/>
      <c r="R42" s="471"/>
      <c r="S42" s="472"/>
      <c r="T42" s="473"/>
      <c r="U42" s="474"/>
      <c r="V42" s="475"/>
      <c r="W42" s="476"/>
      <c r="X42" s="477"/>
      <c r="Y42" s="478"/>
      <c r="Z42" s="479"/>
      <c r="AA42" s="50"/>
      <c r="AB42" s="3"/>
    </row>
    <row r="43" spans="1:28" ht="16.5" customHeight="1" thickBot="1" thickTop="1">
      <c r="A43" s="1"/>
      <c r="B43" s="2"/>
      <c r="C43" s="215" t="s">
        <v>58</v>
      </c>
      <c r="D43" s="660" t="s">
        <v>147</v>
      </c>
      <c r="E43" s="623"/>
      <c r="F43" s="216"/>
      <c r="G43" s="14"/>
      <c r="H43" s="15"/>
      <c r="I43" s="51"/>
      <c r="J43" s="51"/>
      <c r="K43" s="51"/>
      <c r="L43" s="51"/>
      <c r="M43" s="51"/>
      <c r="N43" s="51"/>
      <c r="O43" s="52"/>
      <c r="P43" s="298">
        <f aca="true" t="shared" si="16" ref="P43:Y43">ROUND(SUM(P20:P42),2)</f>
        <v>0</v>
      </c>
      <c r="Q43" s="299">
        <f t="shared" si="16"/>
        <v>0</v>
      </c>
      <c r="R43" s="300">
        <f t="shared" si="16"/>
        <v>3923.95</v>
      </c>
      <c r="S43" s="300">
        <f t="shared" si="16"/>
        <v>11771.86</v>
      </c>
      <c r="T43" s="301">
        <f t="shared" si="16"/>
        <v>2895.88</v>
      </c>
      <c r="U43" s="302">
        <f t="shared" si="16"/>
        <v>0</v>
      </c>
      <c r="V43" s="302">
        <f t="shared" si="16"/>
        <v>0</v>
      </c>
      <c r="W43" s="303">
        <f t="shared" si="16"/>
        <v>0</v>
      </c>
      <c r="X43" s="304">
        <f t="shared" si="16"/>
        <v>0</v>
      </c>
      <c r="Y43" s="305">
        <f t="shared" si="16"/>
        <v>0</v>
      </c>
      <c r="Z43" s="53"/>
      <c r="AA43" s="627">
        <f>ROUND(SUM(AA20:AA42),2)</f>
        <v>18591.7</v>
      </c>
      <c r="AB43" s="54"/>
    </row>
    <row r="44" spans="1:28" s="230" customFormat="1" ht="9.75" thickTop="1">
      <c r="A44" s="219"/>
      <c r="B44" s="220"/>
      <c r="C44" s="217"/>
      <c r="D44" s="217"/>
      <c r="E44" s="217"/>
      <c r="F44" s="218"/>
      <c r="G44" s="221"/>
      <c r="H44" s="222"/>
      <c r="I44" s="223"/>
      <c r="J44" s="223"/>
      <c r="K44" s="223"/>
      <c r="L44" s="223"/>
      <c r="M44" s="223"/>
      <c r="N44" s="223"/>
      <c r="O44" s="224"/>
      <c r="P44" s="225"/>
      <c r="Q44" s="225"/>
      <c r="R44" s="226"/>
      <c r="S44" s="226"/>
      <c r="T44" s="227"/>
      <c r="U44" s="227"/>
      <c r="V44" s="227"/>
      <c r="W44" s="227"/>
      <c r="X44" s="227"/>
      <c r="Y44" s="227"/>
      <c r="Z44" s="227"/>
      <c r="AA44" s="228"/>
      <c r="AB44" s="229"/>
    </row>
    <row r="45" spans="1:28" s="9" customFormat="1" ht="16.5" customHeight="1" thickBot="1">
      <c r="A45" s="7"/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D39"/>
  <sheetViews>
    <sheetView zoomScale="75" zoomScaleNormal="75" zoomScalePageLayoutView="0" workbookViewId="0" topLeftCell="A1">
      <selection activeCell="M16" sqref="M16"/>
    </sheetView>
  </sheetViews>
  <sheetFormatPr defaultColWidth="11.421875" defaultRowHeight="12.75"/>
  <cols>
    <col min="1" max="2" width="4.140625" style="590" customWidth="1"/>
    <col min="3" max="3" width="5.57421875" style="590" customWidth="1"/>
    <col min="4" max="5" width="13.7109375" style="590" customWidth="1"/>
    <col min="6" max="7" width="25.7109375" style="590" customWidth="1"/>
    <col min="8" max="8" width="7.7109375" style="590" customWidth="1"/>
    <col min="9" max="9" width="12.7109375" style="590" customWidth="1"/>
    <col min="10" max="10" width="11.8515625" style="590" hidden="1" customWidth="1"/>
    <col min="11" max="11" width="16.421875" style="590" customWidth="1"/>
    <col min="12" max="12" width="16.28125" style="590" customWidth="1"/>
    <col min="13" max="15" width="9.7109375" style="590" customWidth="1"/>
    <col min="16" max="16" width="5.8515625" style="590" customWidth="1"/>
    <col min="17" max="18" width="7.00390625" style="590" customWidth="1"/>
    <col min="19" max="19" width="11.7109375" style="590" hidden="1" customWidth="1"/>
    <col min="20" max="21" width="14.00390625" style="590" hidden="1" customWidth="1"/>
    <col min="22" max="22" width="14.28125" style="590" hidden="1" customWidth="1"/>
    <col min="23" max="27" width="14.140625" style="590" hidden="1" customWidth="1"/>
    <col min="28" max="28" width="9.00390625" style="590" customWidth="1"/>
    <col min="29" max="29" width="15.7109375" style="590" customWidth="1"/>
    <col min="30" max="30" width="4.140625" style="590" customWidth="1"/>
    <col min="31" max="16384" width="11.421875" style="590" customWidth="1"/>
  </cols>
  <sheetData>
    <row r="1" spans="1:30" s="497" customFormat="1" ht="26.25">
      <c r="A1" s="97"/>
      <c r="B1" s="97"/>
      <c r="C1" s="97"/>
      <c r="D1" s="97"/>
      <c r="E1" s="97"/>
      <c r="F1" s="97"/>
      <c r="G1" s="97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6"/>
    </row>
    <row r="2" spans="1:30" s="497" customFormat="1" ht="26.25">
      <c r="A2" s="97"/>
      <c r="B2" s="98" t="str">
        <f>+'TOT-0515'!B2</f>
        <v>ANEXO V al Memorándum  D.T.E.E.  N°  326 /2016             .-</v>
      </c>
      <c r="C2" s="99"/>
      <c r="D2" s="99"/>
      <c r="E2" s="99"/>
      <c r="F2" s="99"/>
      <c r="G2" s="99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</row>
    <row r="3" spans="1:30" s="500" customFormat="1" ht="12.75">
      <c r="A3" s="9"/>
      <c r="B3" s="9"/>
      <c r="C3" s="9"/>
      <c r="D3" s="9"/>
      <c r="E3" s="9"/>
      <c r="F3" s="9"/>
      <c r="G3" s="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</row>
    <row r="4" spans="1:30" s="502" customFormat="1" ht="11.25">
      <c r="A4" s="626" t="s">
        <v>17</v>
      </c>
      <c r="B4" s="100"/>
      <c r="C4" s="625"/>
      <c r="D4" s="625"/>
      <c r="E4" s="625"/>
      <c r="F4" s="100"/>
      <c r="G4" s="100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</row>
    <row r="5" spans="1:30" s="502" customFormat="1" ht="11.25">
      <c r="A5" s="626" t="s">
        <v>121</v>
      </c>
      <c r="B5" s="100"/>
      <c r="C5" s="625"/>
      <c r="D5" s="625"/>
      <c r="E5" s="625"/>
      <c r="F5" s="100"/>
      <c r="G5" s="100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</row>
    <row r="6" spans="1:30" s="500" customFormat="1" ht="13.5" thickBot="1">
      <c r="A6" s="499"/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</row>
    <row r="7" spans="1:30" s="500" customFormat="1" ht="13.5" thickTop="1">
      <c r="A7" s="499"/>
      <c r="B7" s="503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5"/>
    </row>
    <row r="8" spans="1:30" s="509" customFormat="1" ht="20.25">
      <c r="A8" s="506"/>
      <c r="B8" s="507"/>
      <c r="C8" s="178"/>
      <c r="D8" s="178"/>
      <c r="E8" s="178"/>
      <c r="F8" s="508" t="s">
        <v>34</v>
      </c>
      <c r="H8" s="178"/>
      <c r="I8" s="506"/>
      <c r="J8" s="506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510"/>
    </row>
    <row r="9" spans="1:30" s="500" customFormat="1" ht="12.75">
      <c r="A9" s="499"/>
      <c r="B9" s="511"/>
      <c r="C9" s="165"/>
      <c r="D9" s="165"/>
      <c r="E9" s="165"/>
      <c r="F9" s="165"/>
      <c r="G9" s="165"/>
      <c r="H9" s="165"/>
      <c r="I9" s="499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512"/>
    </row>
    <row r="10" spans="1:30" s="509" customFormat="1" ht="20.25">
      <c r="A10" s="506"/>
      <c r="B10" s="507"/>
      <c r="C10" s="178"/>
      <c r="D10" s="178"/>
      <c r="E10" s="178"/>
      <c r="F10" s="508" t="s">
        <v>59</v>
      </c>
      <c r="G10" s="178"/>
      <c r="H10" s="178"/>
      <c r="I10" s="506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510"/>
    </row>
    <row r="11" spans="1:30" s="500" customFormat="1" ht="12.75">
      <c r="A11" s="499"/>
      <c r="B11" s="511"/>
      <c r="C11" s="165"/>
      <c r="D11" s="165"/>
      <c r="E11" s="165"/>
      <c r="F11" s="513"/>
      <c r="G11" s="165"/>
      <c r="H11" s="165"/>
      <c r="I11" s="499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512"/>
    </row>
    <row r="12" spans="1:30" s="509" customFormat="1" ht="20.25">
      <c r="A12" s="506"/>
      <c r="B12" s="507"/>
      <c r="C12" s="178"/>
      <c r="D12" s="178"/>
      <c r="E12" s="178"/>
      <c r="F12" s="508" t="s">
        <v>60</v>
      </c>
      <c r="G12" s="514"/>
      <c r="H12" s="506"/>
      <c r="I12" s="506"/>
      <c r="J12" s="178"/>
      <c r="K12" s="178"/>
      <c r="L12" s="506"/>
      <c r="M12" s="506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510"/>
    </row>
    <row r="13" spans="1:30" s="500" customFormat="1" ht="12.75">
      <c r="A13" s="499"/>
      <c r="B13" s="511"/>
      <c r="C13" s="165"/>
      <c r="D13" s="165"/>
      <c r="E13" s="165"/>
      <c r="F13" s="515"/>
      <c r="G13" s="516"/>
      <c r="H13" s="499"/>
      <c r="I13" s="499"/>
      <c r="J13" s="165"/>
      <c r="K13" s="165"/>
      <c r="L13" s="499"/>
      <c r="M13" s="499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512"/>
    </row>
    <row r="14" spans="1:30" s="509" customFormat="1" ht="20.25">
      <c r="A14" s="506"/>
      <c r="B14" s="507"/>
      <c r="C14" s="178"/>
      <c r="D14" s="178"/>
      <c r="E14" s="178"/>
      <c r="F14" s="508" t="s">
        <v>61</v>
      </c>
      <c r="G14" s="179"/>
      <c r="H14" s="179"/>
      <c r="I14" s="180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510"/>
    </row>
    <row r="15" spans="1:30" s="500" customFormat="1" ht="12.75">
      <c r="A15" s="499"/>
      <c r="B15" s="511"/>
      <c r="C15" s="165"/>
      <c r="D15" s="165"/>
      <c r="E15" s="165"/>
      <c r="F15" s="517"/>
      <c r="G15" s="166"/>
      <c r="H15" s="166"/>
      <c r="I15" s="167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512"/>
    </row>
    <row r="16" spans="1:30" s="523" customFormat="1" ht="19.5">
      <c r="A16" s="518"/>
      <c r="B16" s="76" t="str">
        <f>+'TOT-0515'!B14</f>
        <v>Desde el 01 al 31 de mayo de 2015</v>
      </c>
      <c r="C16" s="519"/>
      <c r="D16" s="519"/>
      <c r="E16" s="519"/>
      <c r="F16" s="519"/>
      <c r="G16" s="519"/>
      <c r="H16" s="519"/>
      <c r="I16" s="520"/>
      <c r="J16" s="519"/>
      <c r="K16" s="521"/>
      <c r="L16" s="521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22"/>
    </row>
    <row r="17" spans="1:30" s="500" customFormat="1" ht="14.25" thickBot="1">
      <c r="A17" s="499"/>
      <c r="B17" s="511"/>
      <c r="C17" s="165"/>
      <c r="D17" s="165"/>
      <c r="E17" s="165"/>
      <c r="F17" s="165"/>
      <c r="G17" s="165"/>
      <c r="H17" s="165"/>
      <c r="I17" s="30"/>
      <c r="J17" s="165"/>
      <c r="K17" s="524"/>
      <c r="L17" s="52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512"/>
    </row>
    <row r="18" spans="1:30" s="500" customFormat="1" ht="16.5" customHeight="1" thickBot="1" thickTop="1">
      <c r="A18" s="499"/>
      <c r="B18" s="511"/>
      <c r="C18" s="165"/>
      <c r="D18" s="165"/>
      <c r="E18" s="165"/>
      <c r="F18" s="185" t="s">
        <v>62</v>
      </c>
      <c r="G18" s="186"/>
      <c r="H18" s="526"/>
      <c r="I18" s="527">
        <v>0.848</v>
      </c>
      <c r="J18" s="499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512"/>
    </row>
    <row r="19" spans="1:30" s="500" customFormat="1" ht="16.5" customHeight="1" thickBot="1" thickTop="1">
      <c r="A19" s="499"/>
      <c r="B19" s="511"/>
      <c r="C19" s="165"/>
      <c r="D19" s="165"/>
      <c r="E19" s="165"/>
      <c r="F19" s="189" t="s">
        <v>63</v>
      </c>
      <c r="G19" s="190"/>
      <c r="H19" s="190"/>
      <c r="I19" s="191">
        <v>30</v>
      </c>
      <c r="J19" s="165"/>
      <c r="K19" s="210" t="str">
        <f>IF(I19=30," ",IF(I19=60,"Coeficiente duplicado por tasa de falla &gt;4 Sal. x año/100 km.","REVISAR COEFICIENTE"))</f>
        <v> </v>
      </c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528"/>
      <c r="X19" s="528"/>
      <c r="Y19" s="528"/>
      <c r="Z19" s="528"/>
      <c r="AA19" s="528"/>
      <c r="AB19" s="528"/>
      <c r="AC19" s="528"/>
      <c r="AD19" s="512"/>
    </row>
    <row r="20" spans="1:30" s="653" customFormat="1" ht="16.5" customHeight="1" thickBot="1" thickTop="1">
      <c r="A20" s="649"/>
      <c r="B20" s="650"/>
      <c r="C20" s="651">
        <v>3</v>
      </c>
      <c r="D20" s="651">
        <v>4</v>
      </c>
      <c r="E20" s="651">
        <v>5</v>
      </c>
      <c r="F20" s="651">
        <v>6</v>
      </c>
      <c r="G20" s="651">
        <v>7</v>
      </c>
      <c r="H20" s="651">
        <v>8</v>
      </c>
      <c r="I20" s="651">
        <v>9</v>
      </c>
      <c r="J20" s="651">
        <v>10</v>
      </c>
      <c r="K20" s="651">
        <v>11</v>
      </c>
      <c r="L20" s="651">
        <v>12</v>
      </c>
      <c r="M20" s="651">
        <v>13</v>
      </c>
      <c r="N20" s="651">
        <v>14</v>
      </c>
      <c r="O20" s="651">
        <v>15</v>
      </c>
      <c r="P20" s="651">
        <v>16</v>
      </c>
      <c r="Q20" s="651">
        <v>17</v>
      </c>
      <c r="R20" s="651">
        <v>18</v>
      </c>
      <c r="S20" s="651">
        <v>19</v>
      </c>
      <c r="T20" s="651">
        <v>20</v>
      </c>
      <c r="U20" s="651">
        <v>21</v>
      </c>
      <c r="V20" s="651">
        <v>22</v>
      </c>
      <c r="W20" s="651">
        <v>23</v>
      </c>
      <c r="X20" s="651">
        <v>24</v>
      </c>
      <c r="Y20" s="651">
        <v>25</v>
      </c>
      <c r="Z20" s="651">
        <v>26</v>
      </c>
      <c r="AA20" s="651">
        <v>27</v>
      </c>
      <c r="AB20" s="651">
        <v>28</v>
      </c>
      <c r="AC20" s="651">
        <v>29</v>
      </c>
      <c r="AD20" s="652"/>
    </row>
    <row r="21" spans="1:30" s="538" customFormat="1" ht="33.75" customHeight="1" thickBot="1" thickTop="1">
      <c r="A21" s="529"/>
      <c r="B21" s="530"/>
      <c r="C21" s="201" t="s">
        <v>40</v>
      </c>
      <c r="D21" s="89" t="s">
        <v>120</v>
      </c>
      <c r="E21" s="89" t="s">
        <v>119</v>
      </c>
      <c r="F21" s="200" t="s">
        <v>64</v>
      </c>
      <c r="G21" s="196" t="s">
        <v>15</v>
      </c>
      <c r="H21" s="197" t="s">
        <v>65</v>
      </c>
      <c r="I21" s="200" t="s">
        <v>41</v>
      </c>
      <c r="J21" s="239" t="s">
        <v>43</v>
      </c>
      <c r="K21" s="199" t="s">
        <v>66</v>
      </c>
      <c r="L21" s="199" t="s">
        <v>67</v>
      </c>
      <c r="M21" s="200" t="s">
        <v>68</v>
      </c>
      <c r="N21" s="200" t="s">
        <v>69</v>
      </c>
      <c r="O21" s="93" t="s">
        <v>48</v>
      </c>
      <c r="P21" s="201" t="s">
        <v>70</v>
      </c>
      <c r="Q21" s="200" t="s">
        <v>71</v>
      </c>
      <c r="R21" s="196" t="s">
        <v>72</v>
      </c>
      <c r="S21" s="306" t="s">
        <v>73</v>
      </c>
      <c r="T21" s="531" t="s">
        <v>50</v>
      </c>
      <c r="U21" s="532" t="s">
        <v>51</v>
      </c>
      <c r="V21" s="322" t="s">
        <v>74</v>
      </c>
      <c r="W21" s="533"/>
      <c r="X21" s="331" t="s">
        <v>74</v>
      </c>
      <c r="Y21" s="534"/>
      <c r="Z21" s="535" t="s">
        <v>54</v>
      </c>
      <c r="AA21" s="536" t="s">
        <v>55</v>
      </c>
      <c r="AB21" s="200" t="s">
        <v>56</v>
      </c>
      <c r="AC21" s="200" t="s">
        <v>57</v>
      </c>
      <c r="AD21" s="537"/>
    </row>
    <row r="22" spans="1:30" s="500" customFormat="1" ht="16.5" customHeight="1" thickTop="1">
      <c r="A22" s="499"/>
      <c r="B22" s="511"/>
      <c r="C22" s="539"/>
      <c r="D22" s="539"/>
      <c r="E22" s="539"/>
      <c r="F22" s="540"/>
      <c r="G22" s="541"/>
      <c r="H22" s="541"/>
      <c r="I22" s="541"/>
      <c r="J22" s="542"/>
      <c r="K22" s="540"/>
      <c r="L22" s="541"/>
      <c r="M22" s="540"/>
      <c r="N22" s="540"/>
      <c r="O22" s="541"/>
      <c r="P22" s="541"/>
      <c r="Q22" s="541"/>
      <c r="R22" s="541"/>
      <c r="S22" s="543"/>
      <c r="T22" s="544"/>
      <c r="U22" s="545"/>
      <c r="V22" s="546"/>
      <c r="W22" s="547"/>
      <c r="X22" s="548"/>
      <c r="Y22" s="549"/>
      <c r="Z22" s="550"/>
      <c r="AA22" s="551"/>
      <c r="AB22" s="541"/>
      <c r="AC22" s="552"/>
      <c r="AD22" s="512"/>
    </row>
    <row r="23" spans="1:30" s="500" customFormat="1" ht="16.5" customHeight="1">
      <c r="A23" s="499"/>
      <c r="B23" s="511"/>
      <c r="C23" s="539"/>
      <c r="D23" s="539"/>
      <c r="E23" s="539"/>
      <c r="F23" s="553"/>
      <c r="G23" s="553"/>
      <c r="H23" s="553"/>
      <c r="I23" s="553"/>
      <c r="J23" s="554"/>
      <c r="K23" s="555"/>
      <c r="L23" s="553"/>
      <c r="M23" s="555"/>
      <c r="N23" s="555"/>
      <c r="O23" s="553"/>
      <c r="P23" s="553"/>
      <c r="Q23" s="553"/>
      <c r="R23" s="553"/>
      <c r="S23" s="556"/>
      <c r="T23" s="557"/>
      <c r="U23" s="558"/>
      <c r="V23" s="559"/>
      <c r="W23" s="560"/>
      <c r="X23" s="561"/>
      <c r="Y23" s="562"/>
      <c r="Z23" s="563"/>
      <c r="AA23" s="564"/>
      <c r="AB23" s="553"/>
      <c r="AC23" s="565"/>
      <c r="AD23" s="512"/>
    </row>
    <row r="24" spans="1:30" s="500" customFormat="1" ht="16.5" customHeight="1">
      <c r="A24" s="499"/>
      <c r="B24" s="511"/>
      <c r="C24" s="593">
        <v>6</v>
      </c>
      <c r="D24" s="593">
        <v>288425</v>
      </c>
      <c r="E24" s="593">
        <v>1793</v>
      </c>
      <c r="F24" s="459" t="s">
        <v>135</v>
      </c>
      <c r="G24" s="458" t="s">
        <v>8</v>
      </c>
      <c r="H24" s="594">
        <v>30</v>
      </c>
      <c r="I24" s="620" t="s">
        <v>133</v>
      </c>
      <c r="J24" s="242">
        <f aca="true" t="shared" si="0" ref="J24:J30">H24*$I$18</f>
        <v>25.439999999999998</v>
      </c>
      <c r="K24" s="597">
        <v>42128.39375</v>
      </c>
      <c r="L24" s="597">
        <v>42128.691666666666</v>
      </c>
      <c r="M24" s="24">
        <f aca="true" t="shared" si="1" ref="M24:M30">IF(F24="","",(L24-K24)*24)</f>
        <v>7.149999999906868</v>
      </c>
      <c r="N24" s="25">
        <f aca="true" t="shared" si="2" ref="N24:N30">IF(F24="","",ROUND((L24-K24)*24*60,0))</f>
        <v>429</v>
      </c>
      <c r="O24" s="598" t="s">
        <v>124</v>
      </c>
      <c r="P24" s="23" t="str">
        <f aca="true" t="shared" si="3" ref="P24:P34">IF(F24="","",IF(OR(O24="P",O24="RP"),"--","NO"))</f>
        <v>--</v>
      </c>
      <c r="Q24" s="640" t="str">
        <f aca="true" t="shared" si="4" ref="Q24:Q34">IF(F24="","","--")</f>
        <v>--</v>
      </c>
      <c r="R24" s="23" t="str">
        <f aca="true" t="shared" si="5" ref="R24:R34">IF(F24="","","NO")</f>
        <v>NO</v>
      </c>
      <c r="S24" s="309">
        <f aca="true" t="shared" si="6" ref="S24:S30">$I$19*IF(OR(O24="P",O24="RP"),0.1,1)*IF(R24="SI",1,0.1)</f>
        <v>0.30000000000000004</v>
      </c>
      <c r="T24" s="641">
        <f aca="true" t="shared" si="7" ref="T24:T30">IF(O24="P",J24*S24*ROUND(N24/60,2),"--")</f>
        <v>54.56880000000001</v>
      </c>
      <c r="U24" s="642" t="str">
        <f aca="true" t="shared" si="8" ref="U24:U30">IF(O24="RP",J24*S24*ROUND(N24/60,2)*Q24/100,"--")</f>
        <v>--</v>
      </c>
      <c r="V24" s="328" t="str">
        <f aca="true" t="shared" si="9" ref="V24:V30">IF(AND(O24="F",P24="NO"),J24*S24,"--")</f>
        <v>--</v>
      </c>
      <c r="W24" s="329" t="str">
        <f aca="true" t="shared" si="10" ref="W24:W30">IF(O24="F",J24*S24*ROUND(N24/60,2),"--")</f>
        <v>--</v>
      </c>
      <c r="X24" s="337" t="str">
        <f aca="true" t="shared" si="11" ref="X24:X30">IF(AND(O24="R",P24="NO"),J24*S24*Q24/100,"--")</f>
        <v>--</v>
      </c>
      <c r="Y24" s="338" t="str">
        <f aca="true" t="shared" si="12" ref="Y24:Y30">IF(O24="R",J24*S24*ROUND(N24/60,2)*Q24/100,"--")</f>
        <v>--</v>
      </c>
      <c r="Z24" s="343" t="str">
        <f aca="true" t="shared" si="13" ref="Z24:Z30">IF(O24="RF",J24*S24*ROUND(N24/60,2),"--")</f>
        <v>--</v>
      </c>
      <c r="AA24" s="349" t="str">
        <f aca="true" t="shared" si="14" ref="AA24:AA30">IF(O24="RR",J24*S24*ROUND(N24/60,2)*Q24/100,"--")</f>
        <v>--</v>
      </c>
      <c r="AB24" s="23" t="s">
        <v>125</v>
      </c>
      <c r="AC24" s="566">
        <f aca="true" t="shared" si="15" ref="AC24:AC30">IF(F24="","",SUM(T24:AA24)*IF(AB24="SI",1,2))</f>
        <v>54.56880000000001</v>
      </c>
      <c r="AD24" s="512"/>
    </row>
    <row r="25" spans="1:30" s="500" customFormat="1" ht="16.5" customHeight="1">
      <c r="A25" s="499"/>
      <c r="B25" s="511"/>
      <c r="C25" s="593">
        <v>7</v>
      </c>
      <c r="D25" s="593">
        <v>288426</v>
      </c>
      <c r="E25" s="593">
        <v>1816</v>
      </c>
      <c r="F25" s="459" t="s">
        <v>135</v>
      </c>
      <c r="G25" s="458" t="s">
        <v>136</v>
      </c>
      <c r="H25" s="594">
        <v>30</v>
      </c>
      <c r="I25" s="620" t="s">
        <v>133</v>
      </c>
      <c r="J25" s="242">
        <f t="shared" si="0"/>
        <v>25.439999999999998</v>
      </c>
      <c r="K25" s="597">
        <v>42129.36944444444</v>
      </c>
      <c r="L25" s="597">
        <v>42129.69930555556</v>
      </c>
      <c r="M25" s="24">
        <f t="shared" si="1"/>
        <v>7.9166666668024845</v>
      </c>
      <c r="N25" s="25">
        <f t="shared" si="2"/>
        <v>475</v>
      </c>
      <c r="O25" s="598" t="s">
        <v>124</v>
      </c>
      <c r="P25" s="23" t="str">
        <f t="shared" si="3"/>
        <v>--</v>
      </c>
      <c r="Q25" s="640" t="str">
        <f t="shared" si="4"/>
        <v>--</v>
      </c>
      <c r="R25" s="23" t="str">
        <f t="shared" si="5"/>
        <v>NO</v>
      </c>
      <c r="S25" s="309">
        <f t="shared" si="6"/>
        <v>0.30000000000000004</v>
      </c>
      <c r="T25" s="641">
        <f t="shared" si="7"/>
        <v>60.445440000000005</v>
      </c>
      <c r="U25" s="642" t="str">
        <f t="shared" si="8"/>
        <v>--</v>
      </c>
      <c r="V25" s="328" t="str">
        <f t="shared" si="9"/>
        <v>--</v>
      </c>
      <c r="W25" s="329" t="str">
        <f t="shared" si="10"/>
        <v>--</v>
      </c>
      <c r="X25" s="337" t="str">
        <f t="shared" si="11"/>
        <v>--</v>
      </c>
      <c r="Y25" s="338" t="str">
        <f t="shared" si="12"/>
        <v>--</v>
      </c>
      <c r="Z25" s="343" t="str">
        <f t="shared" si="13"/>
        <v>--</v>
      </c>
      <c r="AA25" s="349" t="str">
        <f t="shared" si="14"/>
        <v>--</v>
      </c>
      <c r="AB25" s="23" t="s">
        <v>125</v>
      </c>
      <c r="AC25" s="566">
        <f t="shared" si="15"/>
        <v>60.445440000000005</v>
      </c>
      <c r="AD25" s="512"/>
    </row>
    <row r="26" spans="1:30" s="500" customFormat="1" ht="16.5" customHeight="1">
      <c r="A26" s="499"/>
      <c r="B26" s="511"/>
      <c r="C26" s="593">
        <v>8</v>
      </c>
      <c r="D26" s="593">
        <v>288428</v>
      </c>
      <c r="E26" s="593">
        <v>1793</v>
      </c>
      <c r="F26" s="459" t="s">
        <v>135</v>
      </c>
      <c r="G26" s="458" t="s">
        <v>8</v>
      </c>
      <c r="H26" s="594">
        <v>30</v>
      </c>
      <c r="I26" s="620" t="s">
        <v>133</v>
      </c>
      <c r="J26" s="242">
        <f t="shared" si="0"/>
        <v>25.439999999999998</v>
      </c>
      <c r="K26" s="597">
        <v>42131.37569444445</v>
      </c>
      <c r="L26" s="597">
        <v>42131.498611111114</v>
      </c>
      <c r="M26" s="24">
        <f t="shared" si="1"/>
        <v>2.9500000000116415</v>
      </c>
      <c r="N26" s="25">
        <f t="shared" si="2"/>
        <v>177</v>
      </c>
      <c r="O26" s="598" t="s">
        <v>124</v>
      </c>
      <c r="P26" s="23" t="str">
        <f t="shared" si="3"/>
        <v>--</v>
      </c>
      <c r="Q26" s="640" t="str">
        <f t="shared" si="4"/>
        <v>--</v>
      </c>
      <c r="R26" s="23" t="str">
        <f t="shared" si="5"/>
        <v>NO</v>
      </c>
      <c r="S26" s="309">
        <f t="shared" si="6"/>
        <v>0.30000000000000004</v>
      </c>
      <c r="T26" s="641">
        <f t="shared" si="7"/>
        <v>22.514400000000002</v>
      </c>
      <c r="U26" s="642" t="str">
        <f t="shared" si="8"/>
        <v>--</v>
      </c>
      <c r="V26" s="328" t="str">
        <f t="shared" si="9"/>
        <v>--</v>
      </c>
      <c r="W26" s="329" t="str">
        <f t="shared" si="10"/>
        <v>--</v>
      </c>
      <c r="X26" s="337" t="str">
        <f t="shared" si="11"/>
        <v>--</v>
      </c>
      <c r="Y26" s="338" t="str">
        <f t="shared" si="12"/>
        <v>--</v>
      </c>
      <c r="Z26" s="343" t="str">
        <f t="shared" si="13"/>
        <v>--</v>
      </c>
      <c r="AA26" s="349" t="str">
        <f t="shared" si="14"/>
        <v>--</v>
      </c>
      <c r="AB26" s="23" t="s">
        <v>125</v>
      </c>
      <c r="AC26" s="566">
        <f t="shared" si="15"/>
        <v>22.514400000000002</v>
      </c>
      <c r="AD26" s="512"/>
    </row>
    <row r="27" spans="1:30" s="500" customFormat="1" ht="16.5" customHeight="1">
      <c r="A27" s="499"/>
      <c r="B27" s="511"/>
      <c r="C27" s="593">
        <v>9</v>
      </c>
      <c r="D27" s="593">
        <v>288429</v>
      </c>
      <c r="E27" s="593">
        <v>1816</v>
      </c>
      <c r="F27" s="459" t="s">
        <v>135</v>
      </c>
      <c r="G27" s="458" t="s">
        <v>136</v>
      </c>
      <c r="H27" s="594">
        <v>30</v>
      </c>
      <c r="I27" s="620" t="s">
        <v>133</v>
      </c>
      <c r="J27" s="242">
        <f t="shared" si="0"/>
        <v>25.439999999999998</v>
      </c>
      <c r="K27" s="597">
        <v>42131.51388888889</v>
      </c>
      <c r="L27" s="597">
        <v>42131.60486111111</v>
      </c>
      <c r="M27" s="24">
        <f t="shared" si="1"/>
        <v>2.1833333332906477</v>
      </c>
      <c r="N27" s="25">
        <f t="shared" si="2"/>
        <v>131</v>
      </c>
      <c r="O27" s="598" t="s">
        <v>124</v>
      </c>
      <c r="P27" s="23" t="str">
        <f t="shared" si="3"/>
        <v>--</v>
      </c>
      <c r="Q27" s="640" t="str">
        <f t="shared" si="4"/>
        <v>--</v>
      </c>
      <c r="R27" s="23" t="str">
        <f t="shared" si="5"/>
        <v>NO</v>
      </c>
      <c r="S27" s="309">
        <f t="shared" si="6"/>
        <v>0.30000000000000004</v>
      </c>
      <c r="T27" s="641">
        <f t="shared" si="7"/>
        <v>16.637760000000004</v>
      </c>
      <c r="U27" s="642" t="str">
        <f t="shared" si="8"/>
        <v>--</v>
      </c>
      <c r="V27" s="328" t="str">
        <f t="shared" si="9"/>
        <v>--</v>
      </c>
      <c r="W27" s="329" t="str">
        <f t="shared" si="10"/>
        <v>--</v>
      </c>
      <c r="X27" s="337" t="str">
        <f t="shared" si="11"/>
        <v>--</v>
      </c>
      <c r="Y27" s="338" t="str">
        <f t="shared" si="12"/>
        <v>--</v>
      </c>
      <c r="Z27" s="343" t="str">
        <f t="shared" si="13"/>
        <v>--</v>
      </c>
      <c r="AA27" s="349" t="str">
        <f t="shared" si="14"/>
        <v>--</v>
      </c>
      <c r="AB27" s="23" t="s">
        <v>125</v>
      </c>
      <c r="AC27" s="566">
        <f t="shared" si="15"/>
        <v>16.637760000000004</v>
      </c>
      <c r="AD27" s="512"/>
    </row>
    <row r="28" spans="1:30" s="500" customFormat="1" ht="16.5" customHeight="1">
      <c r="A28" s="499"/>
      <c r="B28" s="511"/>
      <c r="C28" s="593">
        <v>10</v>
      </c>
      <c r="D28" s="593">
        <v>288871</v>
      </c>
      <c r="E28" s="593">
        <v>4749</v>
      </c>
      <c r="F28" s="459" t="s">
        <v>134</v>
      </c>
      <c r="G28" s="458" t="s">
        <v>9</v>
      </c>
      <c r="H28" s="594">
        <v>15</v>
      </c>
      <c r="I28" s="658" t="s">
        <v>133</v>
      </c>
      <c r="J28" s="242">
        <f t="shared" si="0"/>
        <v>12.719999999999999</v>
      </c>
      <c r="K28" s="597">
        <v>42144.376388888886</v>
      </c>
      <c r="L28" s="597">
        <v>42144.59930555556</v>
      </c>
      <c r="M28" s="24">
        <f t="shared" si="1"/>
        <v>5.35000000015134</v>
      </c>
      <c r="N28" s="25">
        <f t="shared" si="2"/>
        <v>321</v>
      </c>
      <c r="O28" s="598" t="s">
        <v>124</v>
      </c>
      <c r="P28" s="23" t="str">
        <f t="shared" si="3"/>
        <v>--</v>
      </c>
      <c r="Q28" s="640" t="str">
        <f t="shared" si="4"/>
        <v>--</v>
      </c>
      <c r="R28" s="23" t="str">
        <f t="shared" si="5"/>
        <v>NO</v>
      </c>
      <c r="S28" s="309">
        <f t="shared" si="6"/>
        <v>0.30000000000000004</v>
      </c>
      <c r="T28" s="641">
        <f t="shared" si="7"/>
        <v>20.4156</v>
      </c>
      <c r="U28" s="642" t="str">
        <f t="shared" si="8"/>
        <v>--</v>
      </c>
      <c r="V28" s="328" t="str">
        <f t="shared" si="9"/>
        <v>--</v>
      </c>
      <c r="W28" s="329" t="str">
        <f t="shared" si="10"/>
        <v>--</v>
      </c>
      <c r="X28" s="337" t="str">
        <f t="shared" si="11"/>
        <v>--</v>
      </c>
      <c r="Y28" s="338" t="str">
        <f t="shared" si="12"/>
        <v>--</v>
      </c>
      <c r="Z28" s="343" t="str">
        <f t="shared" si="13"/>
        <v>--</v>
      </c>
      <c r="AA28" s="349" t="str">
        <f t="shared" si="14"/>
        <v>--</v>
      </c>
      <c r="AB28" s="23" t="s">
        <v>125</v>
      </c>
      <c r="AC28" s="566">
        <f t="shared" si="15"/>
        <v>20.4156</v>
      </c>
      <c r="AD28" s="512"/>
    </row>
    <row r="29" spans="1:30" s="500" customFormat="1" ht="16.5" customHeight="1">
      <c r="A29" s="499"/>
      <c r="B29" s="511"/>
      <c r="C29" s="593">
        <v>11</v>
      </c>
      <c r="D29" s="593">
        <v>289048</v>
      </c>
      <c r="E29" s="593">
        <v>1787</v>
      </c>
      <c r="F29" s="459" t="s">
        <v>137</v>
      </c>
      <c r="G29" s="458" t="s">
        <v>9</v>
      </c>
      <c r="H29" s="594">
        <v>30</v>
      </c>
      <c r="I29" s="620" t="s">
        <v>133</v>
      </c>
      <c r="J29" s="242">
        <f t="shared" si="0"/>
        <v>25.439999999999998</v>
      </c>
      <c r="K29" s="597">
        <v>42153.36597222222</v>
      </c>
      <c r="L29" s="597">
        <v>42153.6625</v>
      </c>
      <c r="M29" s="24">
        <f t="shared" si="1"/>
        <v>7.116666666639503</v>
      </c>
      <c r="N29" s="25">
        <f t="shared" si="2"/>
        <v>427</v>
      </c>
      <c r="O29" s="598" t="s">
        <v>124</v>
      </c>
      <c r="P29" s="23" t="str">
        <f t="shared" si="3"/>
        <v>--</v>
      </c>
      <c r="Q29" s="640" t="str">
        <f t="shared" si="4"/>
        <v>--</v>
      </c>
      <c r="R29" s="23" t="str">
        <f t="shared" si="5"/>
        <v>NO</v>
      </c>
      <c r="S29" s="309">
        <f t="shared" si="6"/>
        <v>0.30000000000000004</v>
      </c>
      <c r="T29" s="641">
        <f t="shared" si="7"/>
        <v>54.33984</v>
      </c>
      <c r="U29" s="642" t="str">
        <f t="shared" si="8"/>
        <v>--</v>
      </c>
      <c r="V29" s="328" t="str">
        <f t="shared" si="9"/>
        <v>--</v>
      </c>
      <c r="W29" s="329" t="str">
        <f t="shared" si="10"/>
        <v>--</v>
      </c>
      <c r="X29" s="337" t="str">
        <f t="shared" si="11"/>
        <v>--</v>
      </c>
      <c r="Y29" s="338" t="str">
        <f t="shared" si="12"/>
        <v>--</v>
      </c>
      <c r="Z29" s="343" t="str">
        <f t="shared" si="13"/>
        <v>--</v>
      </c>
      <c r="AA29" s="349" t="str">
        <f t="shared" si="14"/>
        <v>--</v>
      </c>
      <c r="AB29" s="23" t="s">
        <v>125</v>
      </c>
      <c r="AC29" s="566">
        <f t="shared" si="15"/>
        <v>54.33984</v>
      </c>
      <c r="AD29" s="512"/>
    </row>
    <row r="30" spans="1:30" s="500" customFormat="1" ht="16.5" customHeight="1">
      <c r="A30" s="499"/>
      <c r="B30" s="511"/>
      <c r="C30" s="593"/>
      <c r="D30" s="593"/>
      <c r="E30" s="593"/>
      <c r="F30" s="459"/>
      <c r="G30" s="458"/>
      <c r="H30" s="594"/>
      <c r="I30" s="595"/>
      <c r="J30" s="242">
        <f t="shared" si="0"/>
        <v>0</v>
      </c>
      <c r="K30" s="597"/>
      <c r="L30" s="597"/>
      <c r="M30" s="24">
        <f t="shared" si="1"/>
      </c>
      <c r="N30" s="25">
        <f t="shared" si="2"/>
      </c>
      <c r="O30" s="598"/>
      <c r="P30" s="23">
        <f t="shared" si="3"/>
      </c>
      <c r="Q30" s="640">
        <f t="shared" si="4"/>
      </c>
      <c r="R30" s="23">
        <f t="shared" si="5"/>
      </c>
      <c r="S30" s="309">
        <f t="shared" si="6"/>
        <v>3</v>
      </c>
      <c r="T30" s="641" t="str">
        <f t="shared" si="7"/>
        <v>--</v>
      </c>
      <c r="U30" s="642" t="str">
        <f t="shared" si="8"/>
        <v>--</v>
      </c>
      <c r="V30" s="328" t="str">
        <f t="shared" si="9"/>
        <v>--</v>
      </c>
      <c r="W30" s="329" t="str">
        <f t="shared" si="10"/>
        <v>--</v>
      </c>
      <c r="X30" s="337" t="str">
        <f t="shared" si="11"/>
        <v>--</v>
      </c>
      <c r="Y30" s="338" t="str">
        <f t="shared" si="12"/>
        <v>--</v>
      </c>
      <c r="Z30" s="343" t="str">
        <f t="shared" si="13"/>
        <v>--</v>
      </c>
      <c r="AA30" s="349" t="str">
        <f t="shared" si="14"/>
        <v>--</v>
      </c>
      <c r="AB30" s="23">
        <f>IF(F30="","","SI")</f>
      </c>
      <c r="AC30" s="566">
        <f t="shared" si="15"/>
      </c>
      <c r="AD30" s="512"/>
    </row>
    <row r="31" spans="1:30" s="500" customFormat="1" ht="16.5" customHeight="1">
      <c r="A31" s="499"/>
      <c r="B31" s="511"/>
      <c r="C31" s="593"/>
      <c r="D31" s="593"/>
      <c r="E31" s="593"/>
      <c r="F31" s="459"/>
      <c r="G31" s="458"/>
      <c r="H31" s="594"/>
      <c r="I31" s="595"/>
      <c r="J31" s="242">
        <f>H31*$I$18</f>
        <v>0</v>
      </c>
      <c r="K31" s="597"/>
      <c r="L31" s="597"/>
      <c r="M31" s="24">
        <f>IF(F31="","",(L31-K31)*24)</f>
      </c>
      <c r="N31" s="25">
        <f>IF(F31="","",ROUND((L31-K31)*24*60,0))</f>
      </c>
      <c r="O31" s="598"/>
      <c r="P31" s="23">
        <f t="shared" si="3"/>
      </c>
      <c r="Q31" s="640">
        <f t="shared" si="4"/>
      </c>
      <c r="R31" s="23">
        <f t="shared" si="5"/>
      </c>
      <c r="S31" s="309">
        <f>$I$19*IF(OR(O31="P",O31="RP"),0.1,1)*IF(R31="SI",1,0.1)</f>
        <v>3</v>
      </c>
      <c r="T31" s="641" t="str">
        <f>IF(O31="P",J31*S31*ROUND(N31/60,2),"--")</f>
        <v>--</v>
      </c>
      <c r="U31" s="642" t="str">
        <f>IF(O31="RP",J31*S31*ROUND(N31/60,2)*Q31/100,"--")</f>
        <v>--</v>
      </c>
      <c r="V31" s="328" t="str">
        <f>IF(AND(O31="F",P31="NO"),J31*S31,"--")</f>
        <v>--</v>
      </c>
      <c r="W31" s="329" t="str">
        <f>IF(O31="F",J31*S31*ROUND(N31/60,2),"--")</f>
        <v>--</v>
      </c>
      <c r="X31" s="337" t="str">
        <f>IF(AND(O31="R",P31="NO"),J31*S31*Q31/100,"--")</f>
        <v>--</v>
      </c>
      <c r="Y31" s="338" t="str">
        <f>IF(O31="R",J31*S31*ROUND(N31/60,2)*Q31/100,"--")</f>
        <v>--</v>
      </c>
      <c r="Z31" s="343" t="str">
        <f>IF(O31="RF",J31*S31*ROUND(N31/60,2),"--")</f>
        <v>--</v>
      </c>
      <c r="AA31" s="349" t="str">
        <f>IF(O31="RR",J31*S31*ROUND(N31/60,2)*Q31/100,"--")</f>
        <v>--</v>
      </c>
      <c r="AB31" s="23">
        <f>IF(F31="","","SI")</f>
      </c>
      <c r="AC31" s="566">
        <f>IF(F31="","",SUM(T31:AA31)*IF(AB31="SI",1,2))</f>
      </c>
      <c r="AD31" s="512"/>
    </row>
    <row r="32" spans="1:30" s="500" customFormat="1" ht="16.5" customHeight="1">
      <c r="A32" s="499"/>
      <c r="B32" s="511"/>
      <c r="C32" s="593"/>
      <c r="D32" s="593"/>
      <c r="E32" s="593"/>
      <c r="F32" s="459"/>
      <c r="G32" s="458"/>
      <c r="H32" s="594"/>
      <c r="I32" s="595"/>
      <c r="J32" s="242">
        <f>H32*$I$18</f>
        <v>0</v>
      </c>
      <c r="K32" s="597"/>
      <c r="L32" s="597"/>
      <c r="M32" s="24">
        <f>IF(F32="","",(L32-K32)*24)</f>
      </c>
      <c r="N32" s="25">
        <f>IF(F32="","",ROUND((L32-K32)*24*60,0))</f>
      </c>
      <c r="O32" s="598"/>
      <c r="P32" s="23">
        <f t="shared" si="3"/>
      </c>
      <c r="Q32" s="640">
        <f t="shared" si="4"/>
      </c>
      <c r="R32" s="23">
        <f t="shared" si="5"/>
      </c>
      <c r="S32" s="309">
        <f>$I$19*IF(OR(O32="P",O32="RP"),0.1,1)*IF(R32="SI",1,0.1)</f>
        <v>3</v>
      </c>
      <c r="T32" s="641" t="str">
        <f>IF(O32="P",J32*S32*ROUND(N32/60,2),"--")</f>
        <v>--</v>
      </c>
      <c r="U32" s="642" t="str">
        <f>IF(O32="RP",J32*S32*ROUND(N32/60,2)*Q32/100,"--")</f>
        <v>--</v>
      </c>
      <c r="V32" s="328" t="str">
        <f>IF(AND(O32="F",P32="NO"),J32*S32,"--")</f>
        <v>--</v>
      </c>
      <c r="W32" s="329" t="str">
        <f>IF(O32="F",J32*S32*ROUND(N32/60,2),"--")</f>
        <v>--</v>
      </c>
      <c r="X32" s="337" t="str">
        <f>IF(AND(O32="R",P32="NO"),J32*S32*Q32/100,"--")</f>
        <v>--</v>
      </c>
      <c r="Y32" s="338" t="str">
        <f>IF(O32="R",J32*S32*ROUND(N32/60,2)*Q32/100,"--")</f>
        <v>--</v>
      </c>
      <c r="Z32" s="343" t="str">
        <f>IF(O32="RF",J32*S32*ROUND(N32/60,2),"--")</f>
        <v>--</v>
      </c>
      <c r="AA32" s="349" t="str">
        <f>IF(O32="RR",J32*S32*ROUND(N32/60,2)*Q32/100,"--")</f>
        <v>--</v>
      </c>
      <c r="AB32" s="23">
        <f>IF(F32="","","SI")</f>
      </c>
      <c r="AC32" s="566">
        <f>IF(F32="","",SUM(T32:AA32)*IF(AB32="SI",1,2))</f>
      </c>
      <c r="AD32" s="512"/>
    </row>
    <row r="33" spans="1:30" s="500" customFormat="1" ht="16.5" customHeight="1">
      <c r="A33" s="499"/>
      <c r="B33" s="511"/>
      <c r="C33" s="593"/>
      <c r="D33" s="593"/>
      <c r="E33" s="593"/>
      <c r="F33" s="459"/>
      <c r="G33" s="458"/>
      <c r="H33" s="594"/>
      <c r="I33" s="595"/>
      <c r="J33" s="242">
        <f>H33*$I$18</f>
        <v>0</v>
      </c>
      <c r="K33" s="597"/>
      <c r="L33" s="597"/>
      <c r="M33" s="24">
        <f>IF(F33="","",(L33-K33)*24)</f>
      </c>
      <c r="N33" s="25">
        <f>IF(F33="","",ROUND((L33-K33)*24*60,0))</f>
      </c>
      <c r="O33" s="598"/>
      <c r="P33" s="23">
        <f t="shared" si="3"/>
      </c>
      <c r="Q33" s="640">
        <f t="shared" si="4"/>
      </c>
      <c r="R33" s="23">
        <f t="shared" si="5"/>
      </c>
      <c r="S33" s="309">
        <f>$I$19*IF(OR(O33="P",O33="RP"),0.1,1)*IF(R33="SI",1,0.1)</f>
        <v>3</v>
      </c>
      <c r="T33" s="641" t="str">
        <f>IF(O33="P",J33*S33*ROUND(N33/60,2),"--")</f>
        <v>--</v>
      </c>
      <c r="U33" s="642" t="str">
        <f>IF(O33="RP",J33*S33*ROUND(N33/60,2)*Q33/100,"--")</f>
        <v>--</v>
      </c>
      <c r="V33" s="328" t="str">
        <f>IF(AND(O33="F",P33="NO"),J33*S33,"--")</f>
        <v>--</v>
      </c>
      <c r="W33" s="329" t="str">
        <f>IF(O33="F",J33*S33*ROUND(N33/60,2),"--")</f>
        <v>--</v>
      </c>
      <c r="X33" s="337" t="str">
        <f>IF(AND(O33="R",P33="NO"),J33*S33*Q33/100,"--")</f>
        <v>--</v>
      </c>
      <c r="Y33" s="338" t="str">
        <f>IF(O33="R",J33*S33*ROUND(N33/60,2)*Q33/100,"--")</f>
        <v>--</v>
      </c>
      <c r="Z33" s="343" t="str">
        <f>IF(O33="RF",J33*S33*ROUND(N33/60,2),"--")</f>
        <v>--</v>
      </c>
      <c r="AA33" s="349" t="str">
        <f>IF(O33="RR",J33*S33*ROUND(N33/60,2)*Q33/100,"--")</f>
        <v>--</v>
      </c>
      <c r="AB33" s="23">
        <f>IF(F33="","","SI")</f>
      </c>
      <c r="AC33" s="566">
        <f>IF(F33="","",SUM(T33:AA33)*IF(AB33="SI",1,2))</f>
      </c>
      <c r="AD33" s="512"/>
    </row>
    <row r="34" spans="1:30" s="500" customFormat="1" ht="16.5" customHeight="1">
      <c r="A34" s="499"/>
      <c r="B34" s="511"/>
      <c r="C34" s="593"/>
      <c r="D34" s="593"/>
      <c r="E34" s="593"/>
      <c r="F34" s="459"/>
      <c r="G34" s="458"/>
      <c r="H34" s="594"/>
      <c r="I34" s="595"/>
      <c r="J34" s="242">
        <f>H34*$I$18</f>
        <v>0</v>
      </c>
      <c r="K34" s="597"/>
      <c r="L34" s="597"/>
      <c r="M34" s="24">
        <f>IF(F34="","",(L34-K34)*24)</f>
      </c>
      <c r="N34" s="25">
        <f>IF(F34="","",ROUND((L34-K34)*24*60,0))</f>
      </c>
      <c r="O34" s="598"/>
      <c r="P34" s="23">
        <f t="shared" si="3"/>
      </c>
      <c r="Q34" s="640">
        <f t="shared" si="4"/>
      </c>
      <c r="R34" s="23">
        <f t="shared" si="5"/>
      </c>
      <c r="S34" s="309">
        <f>$I$19*IF(OR(O34="P",O34="RP"),0.1,1)*IF(R34="SI",1,0.1)</f>
        <v>3</v>
      </c>
      <c r="T34" s="641" t="str">
        <f>IF(O34="P",J34*S34*ROUND(N34/60,2),"--")</f>
        <v>--</v>
      </c>
      <c r="U34" s="642" t="str">
        <f>IF(O34="RP",J34*S34*ROUND(N34/60,2)*Q34/100,"--")</f>
        <v>--</v>
      </c>
      <c r="V34" s="328" t="str">
        <f>IF(AND(O34="F",P34="NO"),J34*S34,"--")</f>
        <v>--</v>
      </c>
      <c r="W34" s="329" t="str">
        <f>IF(O34="F",J34*S34*ROUND(N34/60,2),"--")</f>
        <v>--</v>
      </c>
      <c r="X34" s="337" t="str">
        <f>IF(AND(O34="R",P34="NO"),J34*S34*Q34/100,"--")</f>
        <v>--</v>
      </c>
      <c r="Y34" s="338" t="str">
        <f>IF(O34="R",J34*S34*ROUND(N34/60,2)*Q34/100,"--")</f>
        <v>--</v>
      </c>
      <c r="Z34" s="343" t="str">
        <f>IF(O34="RF",J34*S34*ROUND(N34/60,2),"--")</f>
        <v>--</v>
      </c>
      <c r="AA34" s="349" t="str">
        <f>IF(O34="RR",J34*S34*ROUND(N34/60,2)*Q34/100,"--")</f>
        <v>--</v>
      </c>
      <c r="AB34" s="23">
        <f>IF(F34="","","SI")</f>
      </c>
      <c r="AC34" s="566">
        <f>IF(F34="","",SUM(T34:AA34)*IF(AB34="SI",1,2))</f>
      </c>
      <c r="AD34" s="512"/>
    </row>
    <row r="35" spans="1:30" s="500" customFormat="1" ht="16.5" customHeight="1" thickBot="1">
      <c r="A35" s="499"/>
      <c r="B35" s="511"/>
      <c r="C35" s="596"/>
      <c r="D35" s="596"/>
      <c r="E35" s="596"/>
      <c r="F35" s="596"/>
      <c r="G35" s="596"/>
      <c r="H35" s="596"/>
      <c r="I35" s="596"/>
      <c r="J35" s="568"/>
      <c r="K35" s="596"/>
      <c r="L35" s="596"/>
      <c r="M35" s="567"/>
      <c r="N35" s="567"/>
      <c r="O35" s="596"/>
      <c r="P35" s="596"/>
      <c r="Q35" s="596"/>
      <c r="R35" s="596"/>
      <c r="S35" s="599"/>
      <c r="T35" s="600"/>
      <c r="U35" s="601"/>
      <c r="V35" s="602"/>
      <c r="W35" s="603"/>
      <c r="X35" s="604"/>
      <c r="Y35" s="605"/>
      <c r="Z35" s="606"/>
      <c r="AA35" s="607"/>
      <c r="AB35" s="596"/>
      <c r="AC35" s="569"/>
      <c r="AD35" s="512"/>
    </row>
    <row r="36" spans="1:30" s="500" customFormat="1" ht="16.5" customHeight="1" thickBot="1" thickTop="1">
      <c r="A36" s="499"/>
      <c r="B36" s="511"/>
      <c r="C36" s="570" t="s">
        <v>58</v>
      </c>
      <c r="D36" s="661" t="s">
        <v>139</v>
      </c>
      <c r="E36" s="221"/>
      <c r="F36" s="216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571">
        <f aca="true" t="shared" si="16" ref="T36:AA36">SUM(T22:T35)</f>
        <v>228.92184000000006</v>
      </c>
      <c r="U36" s="572">
        <f t="shared" si="16"/>
        <v>0</v>
      </c>
      <c r="V36" s="573">
        <f t="shared" si="16"/>
        <v>0</v>
      </c>
      <c r="W36" s="573">
        <f t="shared" si="16"/>
        <v>0</v>
      </c>
      <c r="X36" s="574">
        <f t="shared" si="16"/>
        <v>0</v>
      </c>
      <c r="Y36" s="574">
        <f t="shared" si="16"/>
        <v>0</v>
      </c>
      <c r="Z36" s="575">
        <f t="shared" si="16"/>
        <v>0</v>
      </c>
      <c r="AA36" s="576">
        <f t="shared" si="16"/>
        <v>0</v>
      </c>
      <c r="AB36" s="577"/>
      <c r="AC36" s="578">
        <f>ROUND(SUM(AC22:AC35),2)</f>
        <v>228.92</v>
      </c>
      <c r="AD36" s="512"/>
    </row>
    <row r="37" spans="1:30" s="586" customFormat="1" ht="9.75" thickTop="1">
      <c r="A37" s="579"/>
      <c r="B37" s="580"/>
      <c r="C37" s="581"/>
      <c r="D37" s="581"/>
      <c r="E37" s="581"/>
      <c r="F37" s="218"/>
      <c r="G37" s="582"/>
      <c r="H37" s="582"/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S37" s="582"/>
      <c r="T37" s="583"/>
      <c r="U37" s="583"/>
      <c r="V37" s="583"/>
      <c r="W37" s="583"/>
      <c r="X37" s="583"/>
      <c r="Y37" s="583"/>
      <c r="Z37" s="583"/>
      <c r="AA37" s="583"/>
      <c r="AB37" s="582"/>
      <c r="AC37" s="584"/>
      <c r="AD37" s="585"/>
    </row>
    <row r="38" spans="1:30" s="500" customFormat="1" ht="16.5" customHeight="1" thickBot="1">
      <c r="A38" s="499"/>
      <c r="B38" s="587"/>
      <c r="C38" s="588"/>
      <c r="D38" s="588"/>
      <c r="E38" s="588"/>
      <c r="F38" s="588"/>
      <c r="G38" s="588"/>
      <c r="H38" s="588"/>
      <c r="I38" s="588"/>
      <c r="J38" s="588"/>
      <c r="K38" s="588"/>
      <c r="L38" s="588"/>
      <c r="M38" s="588"/>
      <c r="N38" s="588"/>
      <c r="O38" s="588"/>
      <c r="P38" s="588"/>
      <c r="Q38" s="588"/>
      <c r="R38" s="588"/>
      <c r="S38" s="588"/>
      <c r="T38" s="588"/>
      <c r="U38" s="588"/>
      <c r="V38" s="588"/>
      <c r="W38" s="588"/>
      <c r="X38" s="588"/>
      <c r="Y38" s="588"/>
      <c r="Z38" s="588"/>
      <c r="AA38" s="588"/>
      <c r="AB38" s="588"/>
      <c r="AC38" s="588"/>
      <c r="AD38" s="589"/>
    </row>
    <row r="39" spans="2:30" ht="16.5" customHeight="1" thickTop="1">
      <c r="B39" s="591"/>
      <c r="C39" s="591"/>
      <c r="D39" s="591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2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D48"/>
  <sheetViews>
    <sheetView zoomScale="75" zoomScaleNormal="75" zoomScalePageLayoutView="0" workbookViewId="0" topLeftCell="A1">
      <selection activeCell="I17" sqref="I17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5" width="13.8515625" style="0" customWidth="1"/>
    <col min="6" max="7" width="25.7109375" style="0" customWidth="1"/>
    <col min="8" max="8" width="7.7109375" style="0" customWidth="1"/>
    <col min="9" max="9" width="12.7109375" style="0" customWidth="1"/>
    <col min="10" max="10" width="11.8515625" style="0" hidden="1" customWidth="1"/>
    <col min="11" max="11" width="16.421875" style="0" customWidth="1"/>
    <col min="12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5.7109375" style="0" customWidth="1"/>
    <col min="30" max="30" width="4.00390625" style="0" customWidth="1"/>
  </cols>
  <sheetData>
    <row r="1" spans="5:30" s="97" customFormat="1" ht="26.25"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453"/>
    </row>
    <row r="2" spans="2:30" s="97" customFormat="1" ht="26.25">
      <c r="B2" s="98" t="str">
        <f>+'TOT-0515'!B2</f>
        <v>ANEXO V al Memorándum  D.T.E.E.  N°  326 /2016             .-</v>
      </c>
      <c r="C2" s="99"/>
      <c r="D2" s="99"/>
      <c r="E2" s="158"/>
      <c r="F2" s="158"/>
      <c r="G2" s="9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</row>
    <row r="3" spans="5:30" s="9" customFormat="1" ht="12.75"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</row>
    <row r="4" spans="1:30" s="100" customFormat="1" ht="11.25">
      <c r="A4" s="626" t="s">
        <v>17</v>
      </c>
      <c r="C4" s="625"/>
      <c r="D4" s="625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</row>
    <row r="5" spans="1:30" s="100" customFormat="1" ht="11.25">
      <c r="A5" s="626" t="s">
        <v>121</v>
      </c>
      <c r="C5" s="625"/>
      <c r="D5" s="625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</row>
    <row r="6" spans="1:30" s="9" customFormat="1" ht="13.5" thickBo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</row>
    <row r="7" spans="1:30" s="9" customFormat="1" ht="13.5" thickTop="1">
      <c r="A7" s="156"/>
      <c r="B7" s="15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1"/>
    </row>
    <row r="8" spans="1:30" s="102" customFormat="1" ht="20.25">
      <c r="A8" s="175"/>
      <c r="B8" s="176"/>
      <c r="C8" s="164"/>
      <c r="D8" s="164"/>
      <c r="E8" s="164"/>
      <c r="F8" s="19" t="s">
        <v>34</v>
      </c>
      <c r="H8" s="164"/>
      <c r="I8" s="175"/>
      <c r="J8" s="175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77"/>
    </row>
    <row r="9" spans="1:30" s="102" customFormat="1" ht="7.5" customHeight="1">
      <c r="A9" s="175"/>
      <c r="B9" s="176"/>
      <c r="C9" s="164"/>
      <c r="D9" s="164"/>
      <c r="E9" s="164"/>
      <c r="F9" s="19"/>
      <c r="H9" s="164"/>
      <c r="I9" s="175"/>
      <c r="J9" s="175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77"/>
    </row>
    <row r="10" spans="1:30" s="9" customFormat="1" ht="7.5" customHeight="1">
      <c r="A10" s="156"/>
      <c r="B10" s="162"/>
      <c r="C10" s="27"/>
      <c r="D10" s="27"/>
      <c r="E10" s="27"/>
      <c r="F10" s="27"/>
      <c r="G10" s="27"/>
      <c r="H10" s="27"/>
      <c r="I10" s="15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31"/>
    </row>
    <row r="11" spans="1:30" s="102" customFormat="1" ht="20.25">
      <c r="A11" s="175"/>
      <c r="B11" s="176"/>
      <c r="C11" s="164"/>
      <c r="D11" s="164"/>
      <c r="E11" s="164"/>
      <c r="F11" s="204" t="s">
        <v>75</v>
      </c>
      <c r="G11" s="164"/>
      <c r="H11" s="164"/>
      <c r="I11" s="175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77"/>
    </row>
    <row r="12" spans="1:30" s="102" customFormat="1" ht="8.25" customHeight="1">
      <c r="A12" s="175"/>
      <c r="B12" s="176"/>
      <c r="C12" s="164"/>
      <c r="D12" s="164"/>
      <c r="E12" s="164"/>
      <c r="F12" s="204"/>
      <c r="G12" s="164"/>
      <c r="H12" s="164"/>
      <c r="I12" s="175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77"/>
    </row>
    <row r="13" spans="1:30" s="9" customFormat="1" ht="8.25" customHeight="1">
      <c r="A13" s="156"/>
      <c r="B13" s="162"/>
      <c r="C13" s="27"/>
      <c r="D13" s="27"/>
      <c r="E13" s="27"/>
      <c r="F13" s="111"/>
      <c r="G13" s="166"/>
      <c r="H13" s="166"/>
      <c r="I13" s="167"/>
      <c r="J13" s="165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31"/>
    </row>
    <row r="14" spans="1:30" s="109" customFormat="1" ht="19.5">
      <c r="A14" s="181"/>
      <c r="B14" s="76" t="str">
        <f>+'TOT-0515'!B14</f>
        <v>Desde el 01 al 31 de mayo de 2015</v>
      </c>
      <c r="C14" s="182"/>
      <c r="D14" s="182"/>
      <c r="E14" s="182"/>
      <c r="F14" s="182"/>
      <c r="G14" s="182"/>
      <c r="H14" s="182"/>
      <c r="I14" s="183"/>
      <c r="J14" s="182"/>
      <c r="K14" s="106"/>
      <c r="L14" s="106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4"/>
    </row>
    <row r="15" spans="1:30" s="83" customFormat="1" ht="8.25" customHeight="1">
      <c r="A15" s="80"/>
      <c r="B15" s="81"/>
      <c r="C15" s="80"/>
      <c r="D15" s="80"/>
      <c r="E15" s="80"/>
      <c r="F15" s="617"/>
      <c r="G15" s="618"/>
      <c r="H15" s="619"/>
      <c r="I15" s="80"/>
      <c r="K15" s="85"/>
      <c r="L15" s="86"/>
      <c r="M15" s="21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2"/>
    </row>
    <row r="16" spans="1:30" s="9" customFormat="1" ht="8.25" customHeight="1" thickBot="1">
      <c r="A16" s="156"/>
      <c r="B16" s="162"/>
      <c r="C16" s="27"/>
      <c r="D16" s="27"/>
      <c r="E16" s="27"/>
      <c r="F16" s="27"/>
      <c r="G16" s="27"/>
      <c r="H16" s="27"/>
      <c r="I16" s="64"/>
      <c r="J16" s="27"/>
      <c r="K16" s="172"/>
      <c r="L16" s="173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31"/>
    </row>
    <row r="17" spans="1:30" s="9" customFormat="1" ht="16.5" customHeight="1" thickBot="1" thickTop="1">
      <c r="A17" s="156"/>
      <c r="B17" s="162"/>
      <c r="C17" s="27"/>
      <c r="D17" s="27"/>
      <c r="E17" s="27"/>
      <c r="F17" s="185" t="s">
        <v>62</v>
      </c>
      <c r="G17" s="186"/>
      <c r="H17" s="187"/>
      <c r="I17" s="188">
        <v>0.243</v>
      </c>
      <c r="J17" s="156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31"/>
    </row>
    <row r="18" spans="1:30" s="9" customFormat="1" ht="16.5" customHeight="1" thickBot="1" thickTop="1">
      <c r="A18" s="156"/>
      <c r="B18" s="162"/>
      <c r="C18" s="27"/>
      <c r="D18" s="27"/>
      <c r="E18" s="27"/>
      <c r="F18" s="189" t="s">
        <v>63</v>
      </c>
      <c r="G18" s="190"/>
      <c r="H18" s="190"/>
      <c r="I18" s="191">
        <f>30*'TOT-0515'!B13</f>
        <v>30</v>
      </c>
      <c r="J18" s="27"/>
      <c r="K18" s="210" t="str">
        <f>IF(I18=30," ",IF(I18=60,"Coeficiente duplicado por tasa de falla &gt;4 Sal. x año/100 km.","REVISAR COEFICIENTE"))</f>
        <v> 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168"/>
      <c r="X18" s="168"/>
      <c r="Y18" s="168"/>
      <c r="Z18" s="168"/>
      <c r="AA18" s="168"/>
      <c r="AB18" s="168"/>
      <c r="AC18" s="168"/>
      <c r="AD18" s="31"/>
    </row>
    <row r="19" spans="1:30" s="83" customFormat="1" ht="8.25" customHeight="1" thickTop="1">
      <c r="A19" s="80"/>
      <c r="B19" s="81"/>
      <c r="C19" s="80"/>
      <c r="D19" s="80"/>
      <c r="E19" s="80"/>
      <c r="F19" s="617"/>
      <c r="G19" s="618"/>
      <c r="H19" s="619"/>
      <c r="I19" s="80"/>
      <c r="K19" s="85"/>
      <c r="L19" s="86"/>
      <c r="M19" s="21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2"/>
    </row>
    <row r="20" spans="1:30" s="648" customFormat="1" ht="15" customHeight="1" thickBot="1">
      <c r="A20" s="654"/>
      <c r="B20" s="655"/>
      <c r="C20" s="656">
        <v>3</v>
      </c>
      <c r="D20" s="656">
        <v>4</v>
      </c>
      <c r="E20" s="656">
        <v>5</v>
      </c>
      <c r="F20" s="656">
        <v>6</v>
      </c>
      <c r="G20" s="656">
        <v>7</v>
      </c>
      <c r="H20" s="656">
        <v>8</v>
      </c>
      <c r="I20" s="656">
        <v>9</v>
      </c>
      <c r="J20" s="656">
        <v>10</v>
      </c>
      <c r="K20" s="656">
        <v>11</v>
      </c>
      <c r="L20" s="656">
        <v>12</v>
      </c>
      <c r="M20" s="656">
        <v>13</v>
      </c>
      <c r="N20" s="656">
        <v>14</v>
      </c>
      <c r="O20" s="656">
        <v>15</v>
      </c>
      <c r="P20" s="656">
        <v>16</v>
      </c>
      <c r="Q20" s="656">
        <v>17</v>
      </c>
      <c r="R20" s="656">
        <v>18</v>
      </c>
      <c r="S20" s="656">
        <v>19</v>
      </c>
      <c r="T20" s="656">
        <v>20</v>
      </c>
      <c r="U20" s="656">
        <v>21</v>
      </c>
      <c r="V20" s="656">
        <v>22</v>
      </c>
      <c r="W20" s="656">
        <v>23</v>
      </c>
      <c r="X20" s="656">
        <v>24</v>
      </c>
      <c r="Y20" s="656">
        <v>25</v>
      </c>
      <c r="Z20" s="656">
        <v>26</v>
      </c>
      <c r="AA20" s="656">
        <v>27</v>
      </c>
      <c r="AB20" s="656">
        <v>28</v>
      </c>
      <c r="AC20" s="656">
        <v>29</v>
      </c>
      <c r="AD20" s="657"/>
    </row>
    <row r="21" spans="1:30" s="96" customFormat="1" ht="33.75" customHeight="1" thickBot="1" thickTop="1">
      <c r="A21" s="192"/>
      <c r="B21" s="193"/>
      <c r="C21" s="195" t="s">
        <v>40</v>
      </c>
      <c r="D21" s="89" t="s">
        <v>120</v>
      </c>
      <c r="E21" s="89" t="s">
        <v>119</v>
      </c>
      <c r="F21" s="200" t="s">
        <v>64</v>
      </c>
      <c r="G21" s="196" t="s">
        <v>15</v>
      </c>
      <c r="H21" s="197" t="s">
        <v>65</v>
      </c>
      <c r="I21" s="198" t="s">
        <v>41</v>
      </c>
      <c r="J21" s="239" t="s">
        <v>43</v>
      </c>
      <c r="K21" s="199" t="s">
        <v>66</v>
      </c>
      <c r="L21" s="199" t="s">
        <v>67</v>
      </c>
      <c r="M21" s="200" t="s">
        <v>68</v>
      </c>
      <c r="N21" s="200" t="s">
        <v>69</v>
      </c>
      <c r="O21" s="93" t="s">
        <v>48</v>
      </c>
      <c r="P21" s="201" t="s">
        <v>70</v>
      </c>
      <c r="Q21" s="200" t="s">
        <v>71</v>
      </c>
      <c r="R21" s="196" t="s">
        <v>72</v>
      </c>
      <c r="S21" s="306" t="s">
        <v>73</v>
      </c>
      <c r="T21" s="292" t="s">
        <v>50</v>
      </c>
      <c r="U21" s="316" t="s">
        <v>51</v>
      </c>
      <c r="V21" s="322" t="s">
        <v>74</v>
      </c>
      <c r="W21" s="323"/>
      <c r="X21" s="331" t="s">
        <v>74</v>
      </c>
      <c r="Y21" s="332"/>
      <c r="Z21" s="340" t="s">
        <v>54</v>
      </c>
      <c r="AA21" s="346" t="s">
        <v>55</v>
      </c>
      <c r="AB21" s="198" t="s">
        <v>56</v>
      </c>
      <c r="AC21" s="198" t="s">
        <v>57</v>
      </c>
      <c r="AD21" s="194"/>
    </row>
    <row r="22" spans="1:30" s="9" customFormat="1" ht="16.5" customHeight="1" thickTop="1">
      <c r="A22" s="156"/>
      <c r="B22" s="162"/>
      <c r="C22" s="16"/>
      <c r="D22" s="16"/>
      <c r="E22" s="16"/>
      <c r="F22" s="21"/>
      <c r="G22" s="21"/>
      <c r="H22" s="21"/>
      <c r="I22" s="21"/>
      <c r="J22" s="244"/>
      <c r="K22" s="22"/>
      <c r="L22" s="21"/>
      <c r="M22" s="22"/>
      <c r="N22" s="22"/>
      <c r="O22" s="21"/>
      <c r="P22" s="21"/>
      <c r="Q22" s="21"/>
      <c r="R22" s="21"/>
      <c r="S22" s="307"/>
      <c r="T22" s="311"/>
      <c r="U22" s="317"/>
      <c r="V22" s="324"/>
      <c r="W22" s="325"/>
      <c r="X22" s="333"/>
      <c r="Y22" s="334"/>
      <c r="Z22" s="341"/>
      <c r="AA22" s="347"/>
      <c r="AB22" s="21"/>
      <c r="AC22" s="55"/>
      <c r="AD22" s="31"/>
    </row>
    <row r="23" spans="1:30" s="9" customFormat="1" ht="16.5" customHeight="1">
      <c r="A23" s="156"/>
      <c r="B23" s="162"/>
      <c r="C23" s="16"/>
      <c r="D23" s="16"/>
      <c r="E23" s="16"/>
      <c r="F23" s="17"/>
      <c r="G23" s="17"/>
      <c r="H23" s="17"/>
      <c r="I23" s="17"/>
      <c r="J23" s="245"/>
      <c r="K23" s="18"/>
      <c r="L23" s="17"/>
      <c r="M23" s="18"/>
      <c r="N23" s="18"/>
      <c r="O23" s="17"/>
      <c r="P23" s="17"/>
      <c r="Q23" s="17"/>
      <c r="R23" s="17"/>
      <c r="S23" s="308"/>
      <c r="T23" s="312"/>
      <c r="U23" s="318"/>
      <c r="V23" s="326"/>
      <c r="W23" s="327"/>
      <c r="X23" s="335"/>
      <c r="Y23" s="336"/>
      <c r="Z23" s="342"/>
      <c r="AA23" s="348"/>
      <c r="AB23" s="17"/>
      <c r="AC23" s="202"/>
      <c r="AD23" s="31"/>
    </row>
    <row r="24" spans="1:30" s="9" customFormat="1" ht="16.5" customHeight="1">
      <c r="A24" s="156"/>
      <c r="B24" s="162"/>
      <c r="C24" s="593">
        <v>12</v>
      </c>
      <c r="D24" s="593">
        <v>288877</v>
      </c>
      <c r="E24" s="593">
        <v>4970</v>
      </c>
      <c r="F24" s="459" t="s">
        <v>138</v>
      </c>
      <c r="G24" s="458" t="s">
        <v>9</v>
      </c>
      <c r="H24" s="659">
        <v>15</v>
      </c>
      <c r="I24" s="659" t="s">
        <v>133</v>
      </c>
      <c r="J24" s="242">
        <f aca="true" t="shared" si="0" ref="J24:J43">H24*$I$17</f>
        <v>3.645</v>
      </c>
      <c r="K24" s="597">
        <v>42145.294444444444</v>
      </c>
      <c r="L24" s="597">
        <v>42145.79236111111</v>
      </c>
      <c r="M24" s="24">
        <f aca="true" t="shared" si="1" ref="M24:M43">IF(F24="","",(L24-K24)*24)</f>
        <v>11.950000000011642</v>
      </c>
      <c r="N24" s="25">
        <f aca="true" t="shared" si="2" ref="N24:N43">IF(F24="","",ROUND((L24-K24)*24*60,0))</f>
        <v>717</v>
      </c>
      <c r="O24" s="598" t="s">
        <v>124</v>
      </c>
      <c r="P24" s="23" t="str">
        <f>IF(F24="","",IF(OR(O24="P",O24="RP"),"--","NO"))</f>
        <v>--</v>
      </c>
      <c r="Q24" s="640" t="str">
        <f aca="true" t="shared" si="3" ref="Q24:Q43">IF(F24="","","--")</f>
        <v>--</v>
      </c>
      <c r="R24" s="23" t="s">
        <v>125</v>
      </c>
      <c r="S24" s="309">
        <f aca="true" t="shared" si="4" ref="S24:S43">$I$18*IF(OR(O24="P",O24="RP"),0.1,1)*IF(R24="SI",1,0.1)</f>
        <v>3</v>
      </c>
      <c r="T24" s="313">
        <f aca="true" t="shared" si="5" ref="T24:T43">IF(O24="P",J24*S24*ROUND(N24/60,2),"--")</f>
        <v>130.67325</v>
      </c>
      <c r="U24" s="319" t="str">
        <f aca="true" t="shared" si="6" ref="U24:U43">IF(O24="RP",J24*S24*ROUND(N24/60,2)*Q24/100,"--")</f>
        <v>--</v>
      </c>
      <c r="V24" s="328" t="str">
        <f aca="true" t="shared" si="7" ref="V24:V43">IF(AND(O24="F",P24="NO"),J24*S24,"--")</f>
        <v>--</v>
      </c>
      <c r="W24" s="329" t="str">
        <f aca="true" t="shared" si="8" ref="W24:W43">IF(O24="F",J24*S24*ROUND(N24/60,2),"--")</f>
        <v>--</v>
      </c>
      <c r="X24" s="337" t="str">
        <f aca="true" t="shared" si="9" ref="X24:X43">IF(AND(O24="R",P24="NO"),J24*S24*Q24/100,"--")</f>
        <v>--</v>
      </c>
      <c r="Y24" s="338" t="str">
        <f aca="true" t="shared" si="10" ref="Y24:Y43">IF(O24="R",J24*S24*ROUND(N24/60,2)*Q24/100,"--")</f>
        <v>--</v>
      </c>
      <c r="Z24" s="343" t="str">
        <f aca="true" t="shared" si="11" ref="Z24:Z43">IF(O24="RF",J24*S24*ROUND(N24/60,2),"--")</f>
        <v>--</v>
      </c>
      <c r="AA24" s="349" t="str">
        <f aca="true" t="shared" si="12" ref="AA24:AA43">IF(O24="RR",J24*S24*ROUND(N24/60,2)*Q24/100,"--")</f>
        <v>--</v>
      </c>
      <c r="AB24" s="23" t="str">
        <f aca="true" t="shared" si="13" ref="AB24:AB43">IF(F24="","","SI")</f>
        <v>SI</v>
      </c>
      <c r="AC24" s="56">
        <f aca="true" t="shared" si="14" ref="AC24:AC43">IF(F24="","",SUM(T24:AA24)*IF(AB24="SI",1,2))</f>
        <v>130.67325</v>
      </c>
      <c r="AD24" s="361"/>
    </row>
    <row r="25" spans="1:30" s="9" customFormat="1" ht="16.5" customHeight="1">
      <c r="A25" s="156"/>
      <c r="B25" s="162"/>
      <c r="C25" s="593"/>
      <c r="D25" s="593"/>
      <c r="E25" s="593"/>
      <c r="F25" s="459"/>
      <c r="G25" s="458"/>
      <c r="H25" s="594"/>
      <c r="I25" s="595"/>
      <c r="J25" s="242">
        <f t="shared" si="0"/>
        <v>0</v>
      </c>
      <c r="K25" s="597"/>
      <c r="L25" s="597"/>
      <c r="M25" s="24">
        <f t="shared" si="1"/>
      </c>
      <c r="N25" s="25">
        <f t="shared" si="2"/>
      </c>
      <c r="O25" s="598"/>
      <c r="P25" s="23">
        <f aca="true" t="shared" si="15" ref="P25:P43">IF(F25="","",IF(OR(O25="P",O25="RP"),"--","NO"))</f>
      </c>
      <c r="Q25" s="640">
        <f t="shared" si="3"/>
      </c>
      <c r="R25" s="23">
        <f aca="true" t="shared" si="16" ref="R25:R43">IF(F25="","","NO")</f>
      </c>
      <c r="S25" s="309">
        <f t="shared" si="4"/>
        <v>3</v>
      </c>
      <c r="T25" s="313" t="str">
        <f t="shared" si="5"/>
        <v>--</v>
      </c>
      <c r="U25" s="319" t="str">
        <f t="shared" si="6"/>
        <v>--</v>
      </c>
      <c r="V25" s="328" t="str">
        <f t="shared" si="7"/>
        <v>--</v>
      </c>
      <c r="W25" s="329" t="str">
        <f t="shared" si="8"/>
        <v>--</v>
      </c>
      <c r="X25" s="337" t="str">
        <f t="shared" si="9"/>
        <v>--</v>
      </c>
      <c r="Y25" s="338" t="str">
        <f t="shared" si="10"/>
        <v>--</v>
      </c>
      <c r="Z25" s="343" t="str">
        <f t="shared" si="11"/>
        <v>--</v>
      </c>
      <c r="AA25" s="349" t="str">
        <f t="shared" si="12"/>
        <v>--</v>
      </c>
      <c r="AB25" s="23">
        <f t="shared" si="13"/>
      </c>
      <c r="AC25" s="56">
        <f t="shared" si="14"/>
      </c>
      <c r="AD25" s="361"/>
    </row>
    <row r="26" spans="1:30" s="9" customFormat="1" ht="16.5" customHeight="1">
      <c r="A26" s="156"/>
      <c r="B26" s="162"/>
      <c r="C26" s="593"/>
      <c r="D26" s="593"/>
      <c r="E26" s="593"/>
      <c r="F26" s="459"/>
      <c r="G26" s="458"/>
      <c r="H26" s="594"/>
      <c r="I26" s="595"/>
      <c r="J26" s="242">
        <f t="shared" si="0"/>
        <v>0</v>
      </c>
      <c r="K26" s="597"/>
      <c r="L26" s="597"/>
      <c r="M26" s="24">
        <f t="shared" si="1"/>
      </c>
      <c r="N26" s="25">
        <f t="shared" si="2"/>
      </c>
      <c r="O26" s="598"/>
      <c r="P26" s="23">
        <f t="shared" si="15"/>
      </c>
      <c r="Q26" s="640">
        <f t="shared" si="3"/>
      </c>
      <c r="R26" s="23">
        <f t="shared" si="16"/>
      </c>
      <c r="S26" s="309">
        <f t="shared" si="4"/>
        <v>3</v>
      </c>
      <c r="T26" s="313" t="str">
        <f t="shared" si="5"/>
        <v>--</v>
      </c>
      <c r="U26" s="319" t="str">
        <f t="shared" si="6"/>
        <v>--</v>
      </c>
      <c r="V26" s="328" t="str">
        <f t="shared" si="7"/>
        <v>--</v>
      </c>
      <c r="W26" s="329" t="str">
        <f t="shared" si="8"/>
        <v>--</v>
      </c>
      <c r="X26" s="337" t="str">
        <f t="shared" si="9"/>
        <v>--</v>
      </c>
      <c r="Y26" s="338" t="str">
        <f t="shared" si="10"/>
        <v>--</v>
      </c>
      <c r="Z26" s="343" t="str">
        <f t="shared" si="11"/>
        <v>--</v>
      </c>
      <c r="AA26" s="349" t="str">
        <f t="shared" si="12"/>
        <v>--</v>
      </c>
      <c r="AB26" s="23">
        <f t="shared" si="13"/>
      </c>
      <c r="AC26" s="56">
        <f t="shared" si="14"/>
      </c>
      <c r="AD26" s="361"/>
    </row>
    <row r="27" spans="1:30" s="9" customFormat="1" ht="16.5" customHeight="1">
      <c r="A27" s="156"/>
      <c r="B27" s="162"/>
      <c r="C27" s="593"/>
      <c r="D27" s="593"/>
      <c r="E27" s="593"/>
      <c r="F27" s="459"/>
      <c r="G27" s="458"/>
      <c r="H27" s="594"/>
      <c r="I27" s="595"/>
      <c r="J27" s="242">
        <f t="shared" si="0"/>
        <v>0</v>
      </c>
      <c r="K27" s="597"/>
      <c r="L27" s="597"/>
      <c r="M27" s="24">
        <f t="shared" si="1"/>
      </c>
      <c r="N27" s="25">
        <f t="shared" si="2"/>
      </c>
      <c r="O27" s="598"/>
      <c r="P27" s="23">
        <f t="shared" si="15"/>
      </c>
      <c r="Q27" s="640">
        <f t="shared" si="3"/>
      </c>
      <c r="R27" s="23">
        <f t="shared" si="16"/>
      </c>
      <c r="S27" s="309">
        <f t="shared" si="4"/>
        <v>3</v>
      </c>
      <c r="T27" s="313" t="str">
        <f t="shared" si="5"/>
        <v>--</v>
      </c>
      <c r="U27" s="319" t="str">
        <f t="shared" si="6"/>
        <v>--</v>
      </c>
      <c r="V27" s="328" t="str">
        <f t="shared" si="7"/>
        <v>--</v>
      </c>
      <c r="W27" s="329" t="str">
        <f t="shared" si="8"/>
        <v>--</v>
      </c>
      <c r="X27" s="337" t="str">
        <f t="shared" si="9"/>
        <v>--</v>
      </c>
      <c r="Y27" s="338" t="str">
        <f t="shared" si="10"/>
        <v>--</v>
      </c>
      <c r="Z27" s="343" t="str">
        <f t="shared" si="11"/>
        <v>--</v>
      </c>
      <c r="AA27" s="349" t="str">
        <f t="shared" si="12"/>
        <v>--</v>
      </c>
      <c r="AB27" s="23">
        <f t="shared" si="13"/>
      </c>
      <c r="AC27" s="56">
        <f t="shared" si="14"/>
      </c>
      <c r="AD27" s="361"/>
    </row>
    <row r="28" spans="1:30" s="9" customFormat="1" ht="16.5" customHeight="1">
      <c r="A28" s="156"/>
      <c r="B28" s="162"/>
      <c r="C28" s="593"/>
      <c r="D28" s="593"/>
      <c r="E28" s="593"/>
      <c r="F28" s="459"/>
      <c r="G28" s="458"/>
      <c r="H28" s="594"/>
      <c r="I28" s="595"/>
      <c r="J28" s="242">
        <f t="shared" si="0"/>
        <v>0</v>
      </c>
      <c r="K28" s="597"/>
      <c r="L28" s="597"/>
      <c r="M28" s="24">
        <f t="shared" si="1"/>
      </c>
      <c r="N28" s="25">
        <f t="shared" si="2"/>
      </c>
      <c r="O28" s="598"/>
      <c r="P28" s="23">
        <f t="shared" si="15"/>
      </c>
      <c r="Q28" s="640">
        <f t="shared" si="3"/>
      </c>
      <c r="R28" s="23">
        <f t="shared" si="16"/>
      </c>
      <c r="S28" s="309">
        <f t="shared" si="4"/>
        <v>3</v>
      </c>
      <c r="T28" s="313" t="str">
        <f t="shared" si="5"/>
        <v>--</v>
      </c>
      <c r="U28" s="319" t="str">
        <f t="shared" si="6"/>
        <v>--</v>
      </c>
      <c r="V28" s="328" t="str">
        <f t="shared" si="7"/>
        <v>--</v>
      </c>
      <c r="W28" s="329" t="str">
        <f t="shared" si="8"/>
        <v>--</v>
      </c>
      <c r="X28" s="337" t="str">
        <f t="shared" si="9"/>
        <v>--</v>
      </c>
      <c r="Y28" s="338" t="str">
        <f t="shared" si="10"/>
        <v>--</v>
      </c>
      <c r="Z28" s="343" t="str">
        <f t="shared" si="11"/>
        <v>--</v>
      </c>
      <c r="AA28" s="349" t="str">
        <f t="shared" si="12"/>
        <v>--</v>
      </c>
      <c r="AB28" s="23">
        <f t="shared" si="13"/>
      </c>
      <c r="AC28" s="56">
        <f t="shared" si="14"/>
      </c>
      <c r="AD28" s="361"/>
    </row>
    <row r="29" spans="1:30" s="9" customFormat="1" ht="16.5" customHeight="1">
      <c r="A29" s="156"/>
      <c r="B29" s="162"/>
      <c r="C29" s="593"/>
      <c r="D29" s="593"/>
      <c r="E29" s="593"/>
      <c r="F29" s="459"/>
      <c r="G29" s="458"/>
      <c r="H29" s="594"/>
      <c r="I29" s="595"/>
      <c r="J29" s="242">
        <f t="shared" si="0"/>
        <v>0</v>
      </c>
      <c r="K29" s="597"/>
      <c r="L29" s="597"/>
      <c r="M29" s="24">
        <f t="shared" si="1"/>
      </c>
      <c r="N29" s="25">
        <f t="shared" si="2"/>
      </c>
      <c r="O29" s="598"/>
      <c r="P29" s="23">
        <f t="shared" si="15"/>
      </c>
      <c r="Q29" s="640">
        <f t="shared" si="3"/>
      </c>
      <c r="R29" s="23">
        <f t="shared" si="16"/>
      </c>
      <c r="S29" s="309">
        <f t="shared" si="4"/>
        <v>3</v>
      </c>
      <c r="T29" s="313" t="str">
        <f t="shared" si="5"/>
        <v>--</v>
      </c>
      <c r="U29" s="319" t="str">
        <f t="shared" si="6"/>
        <v>--</v>
      </c>
      <c r="V29" s="328" t="str">
        <f t="shared" si="7"/>
        <v>--</v>
      </c>
      <c r="W29" s="329" t="str">
        <f t="shared" si="8"/>
        <v>--</v>
      </c>
      <c r="X29" s="337" t="str">
        <f t="shared" si="9"/>
        <v>--</v>
      </c>
      <c r="Y29" s="338" t="str">
        <f t="shared" si="10"/>
        <v>--</v>
      </c>
      <c r="Z29" s="343" t="str">
        <f t="shared" si="11"/>
        <v>--</v>
      </c>
      <c r="AA29" s="349" t="str">
        <f t="shared" si="12"/>
        <v>--</v>
      </c>
      <c r="AB29" s="23">
        <f t="shared" si="13"/>
      </c>
      <c r="AC29" s="56">
        <f t="shared" si="14"/>
      </c>
      <c r="AD29" s="361"/>
    </row>
    <row r="30" spans="1:30" s="9" customFormat="1" ht="16.5" customHeight="1">
      <c r="A30" s="156"/>
      <c r="B30" s="162"/>
      <c r="C30" s="593"/>
      <c r="D30" s="593"/>
      <c r="E30" s="593"/>
      <c r="F30" s="459"/>
      <c r="G30" s="458"/>
      <c r="H30" s="594"/>
      <c r="I30" s="595"/>
      <c r="J30" s="242">
        <f t="shared" si="0"/>
        <v>0</v>
      </c>
      <c r="K30" s="597"/>
      <c r="L30" s="597"/>
      <c r="M30" s="24">
        <f t="shared" si="1"/>
      </c>
      <c r="N30" s="25">
        <f t="shared" si="2"/>
      </c>
      <c r="O30" s="598"/>
      <c r="P30" s="23">
        <f t="shared" si="15"/>
      </c>
      <c r="Q30" s="640">
        <f t="shared" si="3"/>
      </c>
      <c r="R30" s="23">
        <f t="shared" si="16"/>
      </c>
      <c r="S30" s="309">
        <f t="shared" si="4"/>
        <v>3</v>
      </c>
      <c r="T30" s="313" t="str">
        <f t="shared" si="5"/>
        <v>--</v>
      </c>
      <c r="U30" s="319" t="str">
        <f t="shared" si="6"/>
        <v>--</v>
      </c>
      <c r="V30" s="328" t="str">
        <f t="shared" si="7"/>
        <v>--</v>
      </c>
      <c r="W30" s="329" t="str">
        <f t="shared" si="8"/>
        <v>--</v>
      </c>
      <c r="X30" s="337" t="str">
        <f t="shared" si="9"/>
        <v>--</v>
      </c>
      <c r="Y30" s="338" t="str">
        <f t="shared" si="10"/>
        <v>--</v>
      </c>
      <c r="Z30" s="343" t="str">
        <f t="shared" si="11"/>
        <v>--</v>
      </c>
      <c r="AA30" s="349" t="str">
        <f t="shared" si="12"/>
        <v>--</v>
      </c>
      <c r="AB30" s="23">
        <f t="shared" si="13"/>
      </c>
      <c r="AC30" s="56">
        <f t="shared" si="14"/>
      </c>
      <c r="AD30" s="31"/>
    </row>
    <row r="31" spans="1:30" s="9" customFormat="1" ht="16.5" customHeight="1">
      <c r="A31" s="156"/>
      <c r="B31" s="162"/>
      <c r="C31" s="593"/>
      <c r="D31" s="593"/>
      <c r="E31" s="593"/>
      <c r="F31" s="459"/>
      <c r="G31" s="458"/>
      <c r="H31" s="594"/>
      <c r="I31" s="595"/>
      <c r="J31" s="242">
        <f t="shared" si="0"/>
        <v>0</v>
      </c>
      <c r="K31" s="597"/>
      <c r="L31" s="597"/>
      <c r="M31" s="24">
        <f t="shared" si="1"/>
      </c>
      <c r="N31" s="25">
        <f t="shared" si="2"/>
      </c>
      <c r="O31" s="598"/>
      <c r="P31" s="23">
        <f t="shared" si="15"/>
      </c>
      <c r="Q31" s="640">
        <f t="shared" si="3"/>
      </c>
      <c r="R31" s="23">
        <f t="shared" si="16"/>
      </c>
      <c r="S31" s="309">
        <f t="shared" si="4"/>
        <v>3</v>
      </c>
      <c r="T31" s="313" t="str">
        <f t="shared" si="5"/>
        <v>--</v>
      </c>
      <c r="U31" s="319" t="str">
        <f t="shared" si="6"/>
        <v>--</v>
      </c>
      <c r="V31" s="328" t="str">
        <f t="shared" si="7"/>
        <v>--</v>
      </c>
      <c r="W31" s="329" t="str">
        <f t="shared" si="8"/>
        <v>--</v>
      </c>
      <c r="X31" s="337" t="str">
        <f t="shared" si="9"/>
        <v>--</v>
      </c>
      <c r="Y31" s="338" t="str">
        <f t="shared" si="10"/>
        <v>--</v>
      </c>
      <c r="Z31" s="343" t="str">
        <f t="shared" si="11"/>
        <v>--</v>
      </c>
      <c r="AA31" s="349" t="str">
        <f t="shared" si="12"/>
        <v>--</v>
      </c>
      <c r="AB31" s="23">
        <f t="shared" si="13"/>
      </c>
      <c r="AC31" s="56">
        <f t="shared" si="14"/>
      </c>
      <c r="AD31" s="31"/>
    </row>
    <row r="32" spans="1:30" s="9" customFormat="1" ht="16.5" customHeight="1">
      <c r="A32" s="156"/>
      <c r="B32" s="162"/>
      <c r="C32" s="593"/>
      <c r="D32" s="593"/>
      <c r="E32" s="593"/>
      <c r="F32" s="459"/>
      <c r="G32" s="458"/>
      <c r="H32" s="594"/>
      <c r="I32" s="595"/>
      <c r="J32" s="242">
        <f t="shared" si="0"/>
        <v>0</v>
      </c>
      <c r="K32" s="597"/>
      <c r="L32" s="597"/>
      <c r="M32" s="24">
        <f t="shared" si="1"/>
      </c>
      <c r="N32" s="25">
        <f t="shared" si="2"/>
      </c>
      <c r="O32" s="598"/>
      <c r="P32" s="23">
        <f t="shared" si="15"/>
      </c>
      <c r="Q32" s="640">
        <f t="shared" si="3"/>
      </c>
      <c r="R32" s="23">
        <f t="shared" si="16"/>
      </c>
      <c r="S32" s="309">
        <f t="shared" si="4"/>
        <v>3</v>
      </c>
      <c r="T32" s="313" t="str">
        <f t="shared" si="5"/>
        <v>--</v>
      </c>
      <c r="U32" s="319" t="str">
        <f t="shared" si="6"/>
        <v>--</v>
      </c>
      <c r="V32" s="328" t="str">
        <f t="shared" si="7"/>
        <v>--</v>
      </c>
      <c r="W32" s="329" t="str">
        <f t="shared" si="8"/>
        <v>--</v>
      </c>
      <c r="X32" s="337" t="str">
        <f t="shared" si="9"/>
        <v>--</v>
      </c>
      <c r="Y32" s="338" t="str">
        <f t="shared" si="10"/>
        <v>--</v>
      </c>
      <c r="Z32" s="343" t="str">
        <f t="shared" si="11"/>
        <v>--</v>
      </c>
      <c r="AA32" s="349" t="str">
        <f t="shared" si="12"/>
        <v>--</v>
      </c>
      <c r="AB32" s="23">
        <f t="shared" si="13"/>
      </c>
      <c r="AC32" s="56">
        <f t="shared" si="14"/>
      </c>
      <c r="AD32" s="31"/>
    </row>
    <row r="33" spans="1:30" s="9" customFormat="1" ht="16.5" customHeight="1">
      <c r="A33" s="156"/>
      <c r="B33" s="162"/>
      <c r="C33" s="593"/>
      <c r="D33" s="593"/>
      <c r="E33" s="593"/>
      <c r="F33" s="459"/>
      <c r="G33" s="458"/>
      <c r="H33" s="594"/>
      <c r="I33" s="595"/>
      <c r="J33" s="242">
        <f t="shared" si="0"/>
        <v>0</v>
      </c>
      <c r="K33" s="597"/>
      <c r="L33" s="597"/>
      <c r="M33" s="24">
        <f t="shared" si="1"/>
      </c>
      <c r="N33" s="25">
        <f t="shared" si="2"/>
      </c>
      <c r="O33" s="598"/>
      <c r="P33" s="23">
        <f t="shared" si="15"/>
      </c>
      <c r="Q33" s="640">
        <f t="shared" si="3"/>
      </c>
      <c r="R33" s="23">
        <f t="shared" si="16"/>
      </c>
      <c r="S33" s="309">
        <f t="shared" si="4"/>
        <v>3</v>
      </c>
      <c r="T33" s="313" t="str">
        <f t="shared" si="5"/>
        <v>--</v>
      </c>
      <c r="U33" s="319" t="str">
        <f t="shared" si="6"/>
        <v>--</v>
      </c>
      <c r="V33" s="328" t="str">
        <f t="shared" si="7"/>
        <v>--</v>
      </c>
      <c r="W33" s="329" t="str">
        <f t="shared" si="8"/>
        <v>--</v>
      </c>
      <c r="X33" s="337" t="str">
        <f t="shared" si="9"/>
        <v>--</v>
      </c>
      <c r="Y33" s="338" t="str">
        <f t="shared" si="10"/>
        <v>--</v>
      </c>
      <c r="Z33" s="343" t="str">
        <f t="shared" si="11"/>
        <v>--</v>
      </c>
      <c r="AA33" s="349" t="str">
        <f t="shared" si="12"/>
        <v>--</v>
      </c>
      <c r="AB33" s="23">
        <f t="shared" si="13"/>
      </c>
      <c r="AC33" s="56">
        <f t="shared" si="14"/>
      </c>
      <c r="AD33" s="31"/>
    </row>
    <row r="34" spans="1:30" s="9" customFormat="1" ht="16.5" customHeight="1">
      <c r="A34" s="156"/>
      <c r="B34" s="162"/>
      <c r="C34" s="593"/>
      <c r="D34" s="593"/>
      <c r="E34" s="593"/>
      <c r="F34" s="459"/>
      <c r="G34" s="458"/>
      <c r="H34" s="594"/>
      <c r="I34" s="595"/>
      <c r="J34" s="242">
        <f t="shared" si="0"/>
        <v>0</v>
      </c>
      <c r="K34" s="597"/>
      <c r="L34" s="597"/>
      <c r="M34" s="24">
        <f t="shared" si="1"/>
      </c>
      <c r="N34" s="25">
        <f t="shared" si="2"/>
      </c>
      <c r="O34" s="598"/>
      <c r="P34" s="23">
        <f t="shared" si="15"/>
      </c>
      <c r="Q34" s="640">
        <f t="shared" si="3"/>
      </c>
      <c r="R34" s="23">
        <f t="shared" si="16"/>
      </c>
      <c r="S34" s="309">
        <f t="shared" si="4"/>
        <v>3</v>
      </c>
      <c r="T34" s="313" t="str">
        <f t="shared" si="5"/>
        <v>--</v>
      </c>
      <c r="U34" s="319" t="str">
        <f t="shared" si="6"/>
        <v>--</v>
      </c>
      <c r="V34" s="328" t="str">
        <f t="shared" si="7"/>
        <v>--</v>
      </c>
      <c r="W34" s="329" t="str">
        <f t="shared" si="8"/>
        <v>--</v>
      </c>
      <c r="X34" s="337" t="str">
        <f t="shared" si="9"/>
        <v>--</v>
      </c>
      <c r="Y34" s="338" t="str">
        <f t="shared" si="10"/>
        <v>--</v>
      </c>
      <c r="Z34" s="343" t="str">
        <f t="shared" si="11"/>
        <v>--</v>
      </c>
      <c r="AA34" s="349" t="str">
        <f t="shared" si="12"/>
        <v>--</v>
      </c>
      <c r="AB34" s="23">
        <f t="shared" si="13"/>
      </c>
      <c r="AC34" s="56">
        <f t="shared" si="14"/>
      </c>
      <c r="AD34" s="31"/>
    </row>
    <row r="35" spans="1:30" s="9" customFormat="1" ht="16.5" customHeight="1">
      <c r="A35" s="156"/>
      <c r="B35" s="162"/>
      <c r="C35" s="593"/>
      <c r="D35" s="593"/>
      <c r="E35" s="593"/>
      <c r="F35" s="459"/>
      <c r="G35" s="458"/>
      <c r="H35" s="594"/>
      <c r="I35" s="595"/>
      <c r="J35" s="242">
        <f t="shared" si="0"/>
        <v>0</v>
      </c>
      <c r="K35" s="597"/>
      <c r="L35" s="597"/>
      <c r="M35" s="24">
        <f t="shared" si="1"/>
      </c>
      <c r="N35" s="25">
        <f t="shared" si="2"/>
      </c>
      <c r="O35" s="598"/>
      <c r="P35" s="23">
        <f t="shared" si="15"/>
      </c>
      <c r="Q35" s="640">
        <f t="shared" si="3"/>
      </c>
      <c r="R35" s="23">
        <f t="shared" si="16"/>
      </c>
      <c r="S35" s="309">
        <f t="shared" si="4"/>
        <v>3</v>
      </c>
      <c r="T35" s="313" t="str">
        <f t="shared" si="5"/>
        <v>--</v>
      </c>
      <c r="U35" s="319" t="str">
        <f t="shared" si="6"/>
        <v>--</v>
      </c>
      <c r="V35" s="328" t="str">
        <f t="shared" si="7"/>
        <v>--</v>
      </c>
      <c r="W35" s="329" t="str">
        <f t="shared" si="8"/>
        <v>--</v>
      </c>
      <c r="X35" s="337" t="str">
        <f t="shared" si="9"/>
        <v>--</v>
      </c>
      <c r="Y35" s="338" t="str">
        <f t="shared" si="10"/>
        <v>--</v>
      </c>
      <c r="Z35" s="343" t="str">
        <f t="shared" si="11"/>
        <v>--</v>
      </c>
      <c r="AA35" s="349" t="str">
        <f t="shared" si="12"/>
        <v>--</v>
      </c>
      <c r="AB35" s="23">
        <f t="shared" si="13"/>
      </c>
      <c r="AC35" s="56">
        <f t="shared" si="14"/>
      </c>
      <c r="AD35" s="31"/>
    </row>
    <row r="36" spans="1:30" s="9" customFormat="1" ht="16.5" customHeight="1">
      <c r="A36" s="156"/>
      <c r="B36" s="162"/>
      <c r="C36" s="593"/>
      <c r="D36" s="593"/>
      <c r="E36" s="593"/>
      <c r="F36" s="459"/>
      <c r="G36" s="458"/>
      <c r="H36" s="594"/>
      <c r="I36" s="595"/>
      <c r="J36" s="242">
        <f t="shared" si="0"/>
        <v>0</v>
      </c>
      <c r="K36" s="597"/>
      <c r="L36" s="597"/>
      <c r="M36" s="24">
        <f t="shared" si="1"/>
      </c>
      <c r="N36" s="25">
        <f t="shared" si="2"/>
      </c>
      <c r="O36" s="598"/>
      <c r="P36" s="23">
        <f t="shared" si="15"/>
      </c>
      <c r="Q36" s="640">
        <f t="shared" si="3"/>
      </c>
      <c r="R36" s="23">
        <f t="shared" si="16"/>
      </c>
      <c r="S36" s="309">
        <f t="shared" si="4"/>
        <v>3</v>
      </c>
      <c r="T36" s="313" t="str">
        <f t="shared" si="5"/>
        <v>--</v>
      </c>
      <c r="U36" s="319" t="str">
        <f t="shared" si="6"/>
        <v>--</v>
      </c>
      <c r="V36" s="328" t="str">
        <f t="shared" si="7"/>
        <v>--</v>
      </c>
      <c r="W36" s="329" t="str">
        <f t="shared" si="8"/>
        <v>--</v>
      </c>
      <c r="X36" s="337" t="str">
        <f t="shared" si="9"/>
        <v>--</v>
      </c>
      <c r="Y36" s="338" t="str">
        <f t="shared" si="10"/>
        <v>--</v>
      </c>
      <c r="Z36" s="343" t="str">
        <f t="shared" si="11"/>
        <v>--</v>
      </c>
      <c r="AA36" s="349" t="str">
        <f t="shared" si="12"/>
        <v>--</v>
      </c>
      <c r="AB36" s="23">
        <f t="shared" si="13"/>
      </c>
      <c r="AC36" s="56">
        <f t="shared" si="14"/>
      </c>
      <c r="AD36" s="31"/>
    </row>
    <row r="37" spans="1:30" s="9" customFormat="1" ht="16.5" customHeight="1">
      <c r="A37" s="156"/>
      <c r="B37" s="162"/>
      <c r="C37" s="593"/>
      <c r="D37" s="593"/>
      <c r="E37" s="593"/>
      <c r="F37" s="459"/>
      <c r="G37" s="458"/>
      <c r="H37" s="594"/>
      <c r="I37" s="595"/>
      <c r="J37" s="242">
        <f t="shared" si="0"/>
        <v>0</v>
      </c>
      <c r="K37" s="597"/>
      <c r="L37" s="597"/>
      <c r="M37" s="24">
        <f t="shared" si="1"/>
      </c>
      <c r="N37" s="25">
        <f t="shared" si="2"/>
      </c>
      <c r="O37" s="598"/>
      <c r="P37" s="23">
        <f t="shared" si="15"/>
      </c>
      <c r="Q37" s="640">
        <f t="shared" si="3"/>
      </c>
      <c r="R37" s="23">
        <f t="shared" si="16"/>
      </c>
      <c r="S37" s="309">
        <f t="shared" si="4"/>
        <v>3</v>
      </c>
      <c r="T37" s="313" t="str">
        <f t="shared" si="5"/>
        <v>--</v>
      </c>
      <c r="U37" s="319" t="str">
        <f t="shared" si="6"/>
        <v>--</v>
      </c>
      <c r="V37" s="328" t="str">
        <f t="shared" si="7"/>
        <v>--</v>
      </c>
      <c r="W37" s="329" t="str">
        <f t="shared" si="8"/>
        <v>--</v>
      </c>
      <c r="X37" s="337" t="str">
        <f t="shared" si="9"/>
        <v>--</v>
      </c>
      <c r="Y37" s="338" t="str">
        <f t="shared" si="10"/>
        <v>--</v>
      </c>
      <c r="Z37" s="343" t="str">
        <f t="shared" si="11"/>
        <v>--</v>
      </c>
      <c r="AA37" s="349" t="str">
        <f t="shared" si="12"/>
        <v>--</v>
      </c>
      <c r="AB37" s="23">
        <f t="shared" si="13"/>
      </c>
      <c r="AC37" s="56">
        <f t="shared" si="14"/>
      </c>
      <c r="AD37" s="31"/>
    </row>
    <row r="38" spans="1:30" s="9" customFormat="1" ht="16.5" customHeight="1">
      <c r="A38" s="156"/>
      <c r="B38" s="162"/>
      <c r="C38" s="593"/>
      <c r="D38" s="593"/>
      <c r="E38" s="593"/>
      <c r="F38" s="459"/>
      <c r="G38" s="458"/>
      <c r="H38" s="594"/>
      <c r="I38" s="595"/>
      <c r="J38" s="242">
        <f t="shared" si="0"/>
        <v>0</v>
      </c>
      <c r="K38" s="597"/>
      <c r="L38" s="597"/>
      <c r="M38" s="24">
        <f t="shared" si="1"/>
      </c>
      <c r="N38" s="25">
        <f t="shared" si="2"/>
      </c>
      <c r="O38" s="598"/>
      <c r="P38" s="23">
        <f t="shared" si="15"/>
      </c>
      <c r="Q38" s="640">
        <f t="shared" si="3"/>
      </c>
      <c r="R38" s="23">
        <f t="shared" si="16"/>
      </c>
      <c r="S38" s="309">
        <f t="shared" si="4"/>
        <v>3</v>
      </c>
      <c r="T38" s="313" t="str">
        <f t="shared" si="5"/>
        <v>--</v>
      </c>
      <c r="U38" s="319" t="str">
        <f t="shared" si="6"/>
        <v>--</v>
      </c>
      <c r="V38" s="328" t="str">
        <f t="shared" si="7"/>
        <v>--</v>
      </c>
      <c r="W38" s="329" t="str">
        <f t="shared" si="8"/>
        <v>--</v>
      </c>
      <c r="X38" s="337" t="str">
        <f t="shared" si="9"/>
        <v>--</v>
      </c>
      <c r="Y38" s="338" t="str">
        <f t="shared" si="10"/>
        <v>--</v>
      </c>
      <c r="Z38" s="343" t="str">
        <f t="shared" si="11"/>
        <v>--</v>
      </c>
      <c r="AA38" s="349" t="str">
        <f t="shared" si="12"/>
        <v>--</v>
      </c>
      <c r="AB38" s="23">
        <f t="shared" si="13"/>
      </c>
      <c r="AC38" s="56">
        <f t="shared" si="14"/>
      </c>
      <c r="AD38" s="31"/>
    </row>
    <row r="39" spans="1:30" s="9" customFormat="1" ht="16.5" customHeight="1">
      <c r="A39" s="156"/>
      <c r="B39" s="162"/>
      <c r="C39" s="593"/>
      <c r="D39" s="593"/>
      <c r="E39" s="593"/>
      <c r="F39" s="459"/>
      <c r="G39" s="458"/>
      <c r="H39" s="594"/>
      <c r="I39" s="595"/>
      <c r="J39" s="242">
        <f t="shared" si="0"/>
        <v>0</v>
      </c>
      <c r="K39" s="597"/>
      <c r="L39" s="597"/>
      <c r="M39" s="24">
        <f t="shared" si="1"/>
      </c>
      <c r="N39" s="25">
        <f t="shared" si="2"/>
      </c>
      <c r="O39" s="598"/>
      <c r="P39" s="23">
        <f t="shared" si="15"/>
      </c>
      <c r="Q39" s="640">
        <f t="shared" si="3"/>
      </c>
      <c r="R39" s="23">
        <f t="shared" si="16"/>
      </c>
      <c r="S39" s="309">
        <f t="shared" si="4"/>
        <v>3</v>
      </c>
      <c r="T39" s="313" t="str">
        <f t="shared" si="5"/>
        <v>--</v>
      </c>
      <c r="U39" s="319" t="str">
        <f t="shared" si="6"/>
        <v>--</v>
      </c>
      <c r="V39" s="328" t="str">
        <f t="shared" si="7"/>
        <v>--</v>
      </c>
      <c r="W39" s="329" t="str">
        <f t="shared" si="8"/>
        <v>--</v>
      </c>
      <c r="X39" s="337" t="str">
        <f t="shared" si="9"/>
        <v>--</v>
      </c>
      <c r="Y39" s="338" t="str">
        <f t="shared" si="10"/>
        <v>--</v>
      </c>
      <c r="Z39" s="343" t="str">
        <f t="shared" si="11"/>
        <v>--</v>
      </c>
      <c r="AA39" s="349" t="str">
        <f t="shared" si="12"/>
        <v>--</v>
      </c>
      <c r="AB39" s="23">
        <f t="shared" si="13"/>
      </c>
      <c r="AC39" s="56">
        <f t="shared" si="14"/>
      </c>
      <c r="AD39" s="31"/>
    </row>
    <row r="40" spans="1:30" s="9" customFormat="1" ht="16.5" customHeight="1">
      <c r="A40" s="156"/>
      <c r="B40" s="162"/>
      <c r="C40" s="593"/>
      <c r="D40" s="593"/>
      <c r="E40" s="593"/>
      <c r="F40" s="459"/>
      <c r="G40" s="458"/>
      <c r="H40" s="594"/>
      <c r="I40" s="595"/>
      <c r="J40" s="242">
        <f t="shared" si="0"/>
        <v>0</v>
      </c>
      <c r="K40" s="597"/>
      <c r="L40" s="597"/>
      <c r="M40" s="24">
        <f t="shared" si="1"/>
      </c>
      <c r="N40" s="25">
        <f t="shared" si="2"/>
      </c>
      <c r="O40" s="598"/>
      <c r="P40" s="23">
        <f t="shared" si="15"/>
      </c>
      <c r="Q40" s="640">
        <f t="shared" si="3"/>
      </c>
      <c r="R40" s="23">
        <f t="shared" si="16"/>
      </c>
      <c r="S40" s="309">
        <f t="shared" si="4"/>
        <v>3</v>
      </c>
      <c r="T40" s="313" t="str">
        <f t="shared" si="5"/>
        <v>--</v>
      </c>
      <c r="U40" s="319" t="str">
        <f t="shared" si="6"/>
        <v>--</v>
      </c>
      <c r="V40" s="328" t="str">
        <f t="shared" si="7"/>
        <v>--</v>
      </c>
      <c r="W40" s="329" t="str">
        <f t="shared" si="8"/>
        <v>--</v>
      </c>
      <c r="X40" s="337" t="str">
        <f t="shared" si="9"/>
        <v>--</v>
      </c>
      <c r="Y40" s="338" t="str">
        <f t="shared" si="10"/>
        <v>--</v>
      </c>
      <c r="Z40" s="343" t="str">
        <f t="shared" si="11"/>
        <v>--</v>
      </c>
      <c r="AA40" s="349" t="str">
        <f t="shared" si="12"/>
        <v>--</v>
      </c>
      <c r="AB40" s="23">
        <f t="shared" si="13"/>
      </c>
      <c r="AC40" s="56">
        <f t="shared" si="14"/>
      </c>
      <c r="AD40" s="31"/>
    </row>
    <row r="41" spans="1:30" s="9" customFormat="1" ht="16.5" customHeight="1">
      <c r="A41" s="156"/>
      <c r="B41" s="162"/>
      <c r="C41" s="593"/>
      <c r="D41" s="593"/>
      <c r="E41" s="593"/>
      <c r="F41" s="459"/>
      <c r="G41" s="458"/>
      <c r="H41" s="594"/>
      <c r="I41" s="595"/>
      <c r="J41" s="242">
        <f t="shared" si="0"/>
        <v>0</v>
      </c>
      <c r="K41" s="597"/>
      <c r="L41" s="597"/>
      <c r="M41" s="24">
        <f t="shared" si="1"/>
      </c>
      <c r="N41" s="25">
        <f t="shared" si="2"/>
      </c>
      <c r="O41" s="598"/>
      <c r="P41" s="23">
        <f t="shared" si="15"/>
      </c>
      <c r="Q41" s="640">
        <f t="shared" si="3"/>
      </c>
      <c r="R41" s="23">
        <f t="shared" si="16"/>
      </c>
      <c r="S41" s="309">
        <f t="shared" si="4"/>
        <v>3</v>
      </c>
      <c r="T41" s="313" t="str">
        <f t="shared" si="5"/>
        <v>--</v>
      </c>
      <c r="U41" s="319" t="str">
        <f t="shared" si="6"/>
        <v>--</v>
      </c>
      <c r="V41" s="328" t="str">
        <f t="shared" si="7"/>
        <v>--</v>
      </c>
      <c r="W41" s="329" t="str">
        <f t="shared" si="8"/>
        <v>--</v>
      </c>
      <c r="X41" s="337" t="str">
        <f t="shared" si="9"/>
        <v>--</v>
      </c>
      <c r="Y41" s="338" t="str">
        <f t="shared" si="10"/>
        <v>--</v>
      </c>
      <c r="Z41" s="343" t="str">
        <f t="shared" si="11"/>
        <v>--</v>
      </c>
      <c r="AA41" s="349" t="str">
        <f t="shared" si="12"/>
        <v>--</v>
      </c>
      <c r="AB41" s="23">
        <f t="shared" si="13"/>
      </c>
      <c r="AC41" s="56">
        <f t="shared" si="14"/>
      </c>
      <c r="AD41" s="31"/>
    </row>
    <row r="42" spans="1:30" s="9" customFormat="1" ht="16.5" customHeight="1">
      <c r="A42" s="156"/>
      <c r="B42" s="162"/>
      <c r="C42" s="593"/>
      <c r="D42" s="593"/>
      <c r="E42" s="593"/>
      <c r="F42" s="459"/>
      <c r="G42" s="458"/>
      <c r="H42" s="594"/>
      <c r="I42" s="595"/>
      <c r="J42" s="242">
        <f t="shared" si="0"/>
        <v>0</v>
      </c>
      <c r="K42" s="597"/>
      <c r="L42" s="597"/>
      <c r="M42" s="24">
        <f t="shared" si="1"/>
      </c>
      <c r="N42" s="25">
        <f t="shared" si="2"/>
      </c>
      <c r="O42" s="598"/>
      <c r="P42" s="23">
        <f t="shared" si="15"/>
      </c>
      <c r="Q42" s="640">
        <f t="shared" si="3"/>
      </c>
      <c r="R42" s="23">
        <f t="shared" si="16"/>
      </c>
      <c r="S42" s="309">
        <f t="shared" si="4"/>
        <v>3</v>
      </c>
      <c r="T42" s="313" t="str">
        <f t="shared" si="5"/>
        <v>--</v>
      </c>
      <c r="U42" s="319" t="str">
        <f t="shared" si="6"/>
        <v>--</v>
      </c>
      <c r="V42" s="328" t="str">
        <f t="shared" si="7"/>
        <v>--</v>
      </c>
      <c r="W42" s="329" t="str">
        <f t="shared" si="8"/>
        <v>--</v>
      </c>
      <c r="X42" s="337" t="str">
        <f t="shared" si="9"/>
        <v>--</v>
      </c>
      <c r="Y42" s="338" t="str">
        <f t="shared" si="10"/>
        <v>--</v>
      </c>
      <c r="Z42" s="343" t="str">
        <f t="shared" si="11"/>
        <v>--</v>
      </c>
      <c r="AA42" s="349" t="str">
        <f t="shared" si="12"/>
        <v>--</v>
      </c>
      <c r="AB42" s="23">
        <f t="shared" si="13"/>
      </c>
      <c r="AC42" s="56">
        <f t="shared" si="14"/>
      </c>
      <c r="AD42" s="31"/>
    </row>
    <row r="43" spans="1:30" s="9" customFormat="1" ht="16.5" customHeight="1">
      <c r="A43" s="156"/>
      <c r="B43" s="162"/>
      <c r="C43" s="593"/>
      <c r="D43" s="593"/>
      <c r="E43" s="593"/>
      <c r="F43" s="459"/>
      <c r="G43" s="458"/>
      <c r="H43" s="594"/>
      <c r="I43" s="595"/>
      <c r="J43" s="242">
        <f t="shared" si="0"/>
        <v>0</v>
      </c>
      <c r="K43" s="597"/>
      <c r="L43" s="597"/>
      <c r="M43" s="24">
        <f t="shared" si="1"/>
      </c>
      <c r="N43" s="25">
        <f t="shared" si="2"/>
      </c>
      <c r="O43" s="598"/>
      <c r="P43" s="23">
        <f t="shared" si="15"/>
      </c>
      <c r="Q43" s="640">
        <f t="shared" si="3"/>
      </c>
      <c r="R43" s="23">
        <f t="shared" si="16"/>
      </c>
      <c r="S43" s="309">
        <f t="shared" si="4"/>
        <v>3</v>
      </c>
      <c r="T43" s="313" t="str">
        <f t="shared" si="5"/>
        <v>--</v>
      </c>
      <c r="U43" s="319" t="str">
        <f t="shared" si="6"/>
        <v>--</v>
      </c>
      <c r="V43" s="328" t="str">
        <f t="shared" si="7"/>
        <v>--</v>
      </c>
      <c r="W43" s="329" t="str">
        <f t="shared" si="8"/>
        <v>--</v>
      </c>
      <c r="X43" s="337" t="str">
        <f t="shared" si="9"/>
        <v>--</v>
      </c>
      <c r="Y43" s="338" t="str">
        <f t="shared" si="10"/>
        <v>--</v>
      </c>
      <c r="Z43" s="343" t="str">
        <f t="shared" si="11"/>
        <v>--</v>
      </c>
      <c r="AA43" s="349" t="str">
        <f t="shared" si="12"/>
        <v>--</v>
      </c>
      <c r="AB43" s="23">
        <f t="shared" si="13"/>
      </c>
      <c r="AC43" s="56">
        <f t="shared" si="14"/>
      </c>
      <c r="AD43" s="31"/>
    </row>
    <row r="44" spans="1:30" s="9" customFormat="1" ht="16.5" customHeight="1" thickBot="1">
      <c r="A44" s="156"/>
      <c r="B44" s="162"/>
      <c r="C44" s="596"/>
      <c r="D44" s="596"/>
      <c r="E44" s="596"/>
      <c r="F44" s="596"/>
      <c r="G44" s="596"/>
      <c r="H44" s="596"/>
      <c r="I44" s="596"/>
      <c r="J44" s="246"/>
      <c r="K44" s="596"/>
      <c r="L44" s="596"/>
      <c r="M44" s="26"/>
      <c r="N44" s="26"/>
      <c r="O44" s="596"/>
      <c r="P44" s="596"/>
      <c r="Q44" s="596"/>
      <c r="R44" s="596"/>
      <c r="S44" s="310"/>
      <c r="T44" s="314"/>
      <c r="U44" s="320"/>
      <c r="V44" s="352"/>
      <c r="W44" s="353"/>
      <c r="X44" s="354"/>
      <c r="Y44" s="355"/>
      <c r="Z44" s="344"/>
      <c r="AA44" s="350"/>
      <c r="AB44" s="26"/>
      <c r="AC44" s="203"/>
      <c r="AD44" s="31"/>
    </row>
    <row r="45" spans="1:30" s="9" customFormat="1" ht="16.5" customHeight="1" thickBot="1" thickTop="1">
      <c r="A45" s="156"/>
      <c r="B45" s="162"/>
      <c r="C45" s="215" t="s">
        <v>58</v>
      </c>
      <c r="D45" s="660" t="s">
        <v>139</v>
      </c>
      <c r="E45" s="623"/>
      <c r="F45" s="21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315">
        <f aca="true" t="shared" si="17" ref="T45:AA45">SUM(T22:T44)</f>
        <v>130.67325</v>
      </c>
      <c r="U45" s="321">
        <f t="shared" si="17"/>
        <v>0</v>
      </c>
      <c r="V45" s="330">
        <f t="shared" si="17"/>
        <v>0</v>
      </c>
      <c r="W45" s="330">
        <f t="shared" si="17"/>
        <v>0</v>
      </c>
      <c r="X45" s="339">
        <f t="shared" si="17"/>
        <v>0</v>
      </c>
      <c r="Y45" s="339">
        <f t="shared" si="17"/>
        <v>0</v>
      </c>
      <c r="Z45" s="345">
        <f t="shared" si="17"/>
        <v>0</v>
      </c>
      <c r="AA45" s="351">
        <f t="shared" si="17"/>
        <v>0</v>
      </c>
      <c r="AB45" s="28"/>
      <c r="AC45" s="231">
        <f>ROUND(SUM(AC22:AC44),2)</f>
        <v>130.67</v>
      </c>
      <c r="AD45" s="31"/>
    </row>
    <row r="46" spans="1:30" s="232" customFormat="1" ht="9.75" thickTop="1">
      <c r="A46" s="233"/>
      <c r="B46" s="234"/>
      <c r="C46" s="217"/>
      <c r="D46" s="217"/>
      <c r="E46" s="217"/>
      <c r="F46" s="218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6"/>
      <c r="U46" s="236"/>
      <c r="V46" s="236"/>
      <c r="W46" s="236"/>
      <c r="X46" s="236"/>
      <c r="Y46" s="236"/>
      <c r="Z46" s="236"/>
      <c r="AA46" s="236"/>
      <c r="AB46" s="235"/>
      <c r="AC46" s="237"/>
      <c r="AD46" s="238"/>
    </row>
    <row r="47" spans="1:30" s="9" customFormat="1" ht="16.5" customHeight="1" thickBot="1">
      <c r="A47" s="156"/>
      <c r="B47" s="169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1"/>
    </row>
    <row r="48" spans="2:30" ht="16.5" customHeight="1" thickTop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4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S110"/>
  <sheetViews>
    <sheetView zoomScale="75" zoomScaleNormal="75" zoomScalePageLayoutView="0" workbookViewId="0" topLeftCell="A1">
      <selection activeCell="I50" sqref="I50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17.7109375" style="0" customWidth="1"/>
    <col min="12" max="12" width="33.28125" style="0" customWidth="1"/>
    <col min="13" max="13" width="8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97" customFormat="1" ht="39.75" customHeight="1">
      <c r="P1" s="366"/>
    </row>
    <row r="2" spans="1:16" s="97" customFormat="1" ht="30" customHeight="1">
      <c r="A2" s="157"/>
      <c r="B2" s="621" t="str">
        <f>'TOT-0515'!B2</f>
        <v>ANEXO V al Memorándum  D.T.E.E.  N°  326 /2016             .-</v>
      </c>
      <c r="C2" s="621"/>
      <c r="D2" s="621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4" s="100" customFormat="1" ht="12.75">
      <c r="A3" s="626" t="s">
        <v>122</v>
      </c>
      <c r="B3" s="9"/>
      <c r="C3" s="9"/>
      <c r="D3" s="9"/>
    </row>
    <row r="4" spans="1:4" s="100" customFormat="1" ht="11.25">
      <c r="A4" s="626" t="s">
        <v>149</v>
      </c>
      <c r="B4" s="205"/>
      <c r="C4" s="205"/>
      <c r="D4" s="205"/>
    </row>
    <row r="5" spans="1:4" s="9" customFormat="1" ht="13.5" thickBot="1">
      <c r="A5" s="626"/>
      <c r="B5" s="205"/>
      <c r="C5" s="205"/>
      <c r="D5" s="205"/>
    </row>
    <row r="6" spans="1:16" s="9" customFormat="1" ht="13.5" thickTop="1">
      <c r="A6" s="7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s="102" customFormat="1" ht="20.25">
      <c r="A7" s="38"/>
      <c r="B7" s="101"/>
      <c r="C7" s="38"/>
      <c r="D7" s="19" t="s">
        <v>34</v>
      </c>
      <c r="G7" s="38"/>
      <c r="H7" s="38"/>
      <c r="I7" s="38"/>
      <c r="J7" s="38"/>
      <c r="K7" s="38"/>
      <c r="L7" s="38"/>
      <c r="M7" s="38"/>
      <c r="N7" s="38"/>
      <c r="O7" s="38"/>
      <c r="P7" s="103"/>
    </row>
    <row r="8" spans="1:16" ht="15">
      <c r="A8" s="1"/>
      <c r="B8" s="247"/>
      <c r="C8" s="63"/>
      <c r="D8" s="367"/>
      <c r="E8" s="63"/>
      <c r="F8" s="61"/>
      <c r="G8" s="63"/>
      <c r="H8" s="63"/>
      <c r="I8" s="63"/>
      <c r="J8" s="63"/>
      <c r="K8" s="63"/>
      <c r="L8" s="63"/>
      <c r="M8" s="63"/>
      <c r="N8" s="63"/>
      <c r="O8" s="63"/>
      <c r="P8" s="251"/>
    </row>
    <row r="9" spans="1:19" s="102" customFormat="1" ht="20.25">
      <c r="A9" s="38"/>
      <c r="B9" s="368"/>
      <c r="C9"/>
      <c r="D9" s="20" t="s">
        <v>144</v>
      </c>
      <c r="E9" s="369"/>
      <c r="F9" s="369"/>
      <c r="G9" s="369"/>
      <c r="H9" s="370"/>
      <c r="I9" s="369"/>
      <c r="J9" s="369"/>
      <c r="K9" s="369"/>
      <c r="L9" s="369"/>
      <c r="M9" s="369"/>
      <c r="N9" s="369"/>
      <c r="O9" s="369"/>
      <c r="P9" s="371"/>
      <c r="Q9" s="206"/>
      <c r="R9" s="164"/>
      <c r="S9" s="164"/>
    </row>
    <row r="10" spans="1:19" s="9" customFormat="1" ht="12.75">
      <c r="A10" s="7"/>
      <c r="B10" s="37"/>
      <c r="C10" s="7"/>
      <c r="D10" s="57"/>
      <c r="E10" s="27"/>
      <c r="F10" s="27"/>
      <c r="G10" s="27"/>
      <c r="H10" s="156"/>
      <c r="I10" s="27"/>
      <c r="J10" s="27"/>
      <c r="K10" s="27"/>
      <c r="L10" s="27"/>
      <c r="M10" s="27"/>
      <c r="N10" s="27"/>
      <c r="O10" s="27"/>
      <c r="P10" s="31"/>
      <c r="Q10" s="27"/>
      <c r="R10" s="27"/>
      <c r="S10" s="163"/>
    </row>
    <row r="11" spans="1:19" s="109" customFormat="1" ht="19.5">
      <c r="A11" s="40"/>
      <c r="B11" s="209" t="str">
        <f>+'TOT-0515'!B14</f>
        <v>Desde el 01 al 31 de mayo de 2015</v>
      </c>
      <c r="C11" s="131"/>
      <c r="D11" s="183"/>
      <c r="E11" s="183"/>
      <c r="F11" s="183"/>
      <c r="G11" s="183"/>
      <c r="H11" s="183"/>
      <c r="I11" s="131"/>
      <c r="J11" s="183"/>
      <c r="K11" s="183"/>
      <c r="L11" s="183"/>
      <c r="M11" s="183"/>
      <c r="N11" s="183"/>
      <c r="O11" s="183"/>
      <c r="P11" s="372"/>
      <c r="Q11" s="373"/>
      <c r="R11" s="373"/>
      <c r="S11" s="373"/>
    </row>
    <row r="12" spans="1:19" ht="15">
      <c r="A12" s="1"/>
      <c r="B12" s="247"/>
      <c r="C12" s="63"/>
      <c r="D12" s="59"/>
      <c r="E12" s="59"/>
      <c r="F12" s="59"/>
      <c r="G12" s="59"/>
      <c r="H12" s="374"/>
      <c r="I12" s="63"/>
      <c r="J12" s="59"/>
      <c r="K12" s="59"/>
      <c r="L12" s="59"/>
      <c r="M12" s="59"/>
      <c r="N12" s="59"/>
      <c r="O12" s="59"/>
      <c r="P12" s="60"/>
      <c r="Q12" s="4"/>
      <c r="R12" s="4"/>
      <c r="S12" s="375"/>
    </row>
    <row r="13" spans="1:19" ht="18" customHeight="1">
      <c r="A13" s="1"/>
      <c r="B13" s="247"/>
      <c r="C13" s="63"/>
      <c r="D13" s="59"/>
      <c r="E13" s="59"/>
      <c r="F13" s="59"/>
      <c r="G13" s="59"/>
      <c r="H13" s="71"/>
      <c r="I13" s="71"/>
      <c r="J13" s="59"/>
      <c r="K13" s="59"/>
      <c r="P13" s="60"/>
      <c r="Q13" s="4"/>
      <c r="R13" s="4"/>
      <c r="S13" s="375"/>
    </row>
    <row r="14" spans="1:19" ht="18" customHeight="1">
      <c r="A14" s="1"/>
      <c r="B14" s="247"/>
      <c r="C14" s="63"/>
      <c r="D14" s="58"/>
      <c r="E14" s="376"/>
      <c r="F14" s="59"/>
      <c r="G14" s="59"/>
      <c r="H14" s="71"/>
      <c r="I14" s="71"/>
      <c r="J14" s="59"/>
      <c r="K14" s="59"/>
      <c r="P14" s="60"/>
      <c r="Q14" s="4"/>
      <c r="R14" s="4"/>
      <c r="S14" s="375"/>
    </row>
    <row r="15" spans="1:16" ht="16.5" thickBot="1">
      <c r="A15" s="1"/>
      <c r="B15" s="247"/>
      <c r="C15" s="377" t="s">
        <v>79</v>
      </c>
      <c r="D15" s="61"/>
      <c r="E15" s="248"/>
      <c r="F15" s="249"/>
      <c r="G15" s="63"/>
      <c r="H15" s="63"/>
      <c r="I15" s="63"/>
      <c r="J15" s="62"/>
      <c r="K15" s="62"/>
      <c r="L15" s="250"/>
      <c r="M15" s="63"/>
      <c r="N15" s="63"/>
      <c r="O15" s="63"/>
      <c r="P15" s="251"/>
    </row>
    <row r="16" spans="1:16" ht="16.5" thickBot="1">
      <c r="A16" s="1"/>
      <c r="B16" s="247"/>
      <c r="C16" s="252"/>
      <c r="D16" s="61"/>
      <c r="E16" s="248"/>
      <c r="F16" s="249"/>
      <c r="G16" s="63"/>
      <c r="H16" s="63"/>
      <c r="L16" s="663" t="s">
        <v>76</v>
      </c>
      <c r="M16" s="664">
        <v>11.322</v>
      </c>
      <c r="N16" s="378"/>
      <c r="O16" s="63"/>
      <c r="P16" s="251"/>
    </row>
    <row r="17" spans="1:16" ht="15.75">
      <c r="A17" s="1"/>
      <c r="B17" s="247"/>
      <c r="C17" s="252"/>
      <c r="D17" s="62" t="s">
        <v>80</v>
      </c>
      <c r="E17" s="253">
        <f>MID(B11,16,2)*24</f>
        <v>744</v>
      </c>
      <c r="F17" s="63" t="s">
        <v>81</v>
      </c>
      <c r="G17" s="59"/>
      <c r="H17" s="379"/>
      <c r="I17" s="380" t="s">
        <v>82</v>
      </c>
      <c r="J17" s="381">
        <v>243.513</v>
      </c>
      <c r="K17" s="362"/>
      <c r="L17" s="665" t="s">
        <v>77</v>
      </c>
      <c r="M17" s="382">
        <v>8.497</v>
      </c>
      <c r="N17" s="383"/>
      <c r="O17" s="63"/>
      <c r="P17" s="251"/>
    </row>
    <row r="18" spans="1:16" ht="16.5" thickBot="1">
      <c r="A18" s="1"/>
      <c r="B18" s="247"/>
      <c r="C18" s="252"/>
      <c r="D18" s="62" t="s">
        <v>83</v>
      </c>
      <c r="E18" s="255">
        <v>0.025</v>
      </c>
      <c r="F18" s="59"/>
      <c r="G18" s="59"/>
      <c r="H18" s="384"/>
      <c r="I18" s="385" t="s">
        <v>84</v>
      </c>
      <c r="J18" s="386">
        <v>0.848</v>
      </c>
      <c r="K18" s="387"/>
      <c r="L18" s="666" t="s">
        <v>78</v>
      </c>
      <c r="M18" s="388">
        <v>8.497</v>
      </c>
      <c r="N18" s="389"/>
      <c r="O18" s="63"/>
      <c r="P18" s="251"/>
    </row>
    <row r="19" spans="1:16" ht="15.75">
      <c r="A19" s="1"/>
      <c r="B19" s="247"/>
      <c r="C19" s="252"/>
      <c r="D19" s="62"/>
      <c r="E19" s="255"/>
      <c r="F19" s="59"/>
      <c r="G19" s="59"/>
      <c r="H19" s="59"/>
      <c r="I19" s="59"/>
      <c r="L19" s="250"/>
      <c r="M19" s="63"/>
      <c r="N19" s="63"/>
      <c r="O19" s="63"/>
      <c r="P19" s="251"/>
    </row>
    <row r="20" spans="1:16" ht="15">
      <c r="A20" s="1"/>
      <c r="B20" s="247"/>
      <c r="C20" s="58" t="s">
        <v>85</v>
      </c>
      <c r="D20" s="66"/>
      <c r="E20" s="248"/>
      <c r="F20" s="249"/>
      <c r="G20" s="63"/>
      <c r="H20" s="63"/>
      <c r="I20" s="63"/>
      <c r="J20" s="62"/>
      <c r="K20" s="62"/>
      <c r="L20" s="250"/>
      <c r="M20" s="63"/>
      <c r="N20" s="63"/>
      <c r="O20" s="63"/>
      <c r="P20" s="251"/>
    </row>
    <row r="21" spans="1:16" ht="15">
      <c r="A21" s="1"/>
      <c r="B21" s="247"/>
      <c r="C21" s="63"/>
      <c r="D21" s="63"/>
      <c r="E21" s="63"/>
      <c r="F21" s="63"/>
      <c r="G21" s="63"/>
      <c r="H21" s="256"/>
      <c r="I21" s="63"/>
      <c r="J21" s="63"/>
      <c r="K21" s="63"/>
      <c r="L21" s="63"/>
      <c r="M21" s="63"/>
      <c r="N21" s="63"/>
      <c r="O21" s="63"/>
      <c r="P21" s="251"/>
    </row>
    <row r="22" spans="1:16" ht="15">
      <c r="A22" s="1"/>
      <c r="B22" s="247"/>
      <c r="C22" s="63"/>
      <c r="D22" s="62" t="s">
        <v>86</v>
      </c>
      <c r="E22" s="63"/>
      <c r="F22" s="256" t="s">
        <v>20</v>
      </c>
      <c r="G22" s="63"/>
      <c r="H22" s="61"/>
      <c r="I22" s="390">
        <v>64933.87</v>
      </c>
      <c r="J22" s="63"/>
      <c r="K22" s="63"/>
      <c r="L22" s="391"/>
      <c r="M22" s="63"/>
      <c r="N22" s="63"/>
      <c r="O22" s="63"/>
      <c r="P22" s="251"/>
    </row>
    <row r="23" spans="1:16" ht="15">
      <c r="A23" s="1"/>
      <c r="B23" s="247"/>
      <c r="C23" s="63"/>
      <c r="D23" s="63"/>
      <c r="E23" s="63"/>
      <c r="F23" s="256" t="s">
        <v>87</v>
      </c>
      <c r="G23" s="63"/>
      <c r="H23" s="61"/>
      <c r="I23" s="390">
        <v>456.01</v>
      </c>
      <c r="J23" s="63"/>
      <c r="K23" s="63"/>
      <c r="L23" s="391"/>
      <c r="M23" s="63"/>
      <c r="N23" s="63"/>
      <c r="O23" s="63"/>
      <c r="P23" s="251"/>
    </row>
    <row r="24" spans="1:16" ht="15">
      <c r="A24" s="1"/>
      <c r="B24" s="247"/>
      <c r="C24" s="63"/>
      <c r="D24" s="63"/>
      <c r="E24" s="63"/>
      <c r="F24" s="256" t="s">
        <v>3</v>
      </c>
      <c r="G24" s="63"/>
      <c r="H24" s="61"/>
      <c r="I24" s="392">
        <v>0</v>
      </c>
      <c r="J24" s="63"/>
      <c r="K24" s="63"/>
      <c r="L24" s="391"/>
      <c r="M24" s="63"/>
      <c r="N24" s="63"/>
      <c r="O24" s="63"/>
      <c r="P24" s="251"/>
    </row>
    <row r="25" spans="1:16" ht="15.75" thickBot="1">
      <c r="A25" s="1"/>
      <c r="B25" s="247"/>
      <c r="C25" s="63"/>
      <c r="D25" s="63"/>
      <c r="E25" s="63"/>
      <c r="F25" s="63"/>
      <c r="G25" s="63"/>
      <c r="H25" s="256"/>
      <c r="I25" s="63"/>
      <c r="J25" s="63"/>
      <c r="K25" s="63"/>
      <c r="L25" s="63"/>
      <c r="M25" s="63"/>
      <c r="N25" s="63"/>
      <c r="O25" s="63"/>
      <c r="P25" s="251"/>
    </row>
    <row r="26" spans="2:16" ht="20.25" thickBot="1" thickTop="1">
      <c r="B26" s="247"/>
      <c r="C26" s="70"/>
      <c r="H26" s="393" t="s">
        <v>88</v>
      </c>
      <c r="I26" s="144">
        <f>SUM(I22:I25)</f>
        <v>65389.880000000005</v>
      </c>
      <c r="L26" s="67"/>
      <c r="M26" s="67"/>
      <c r="N26" s="68"/>
      <c r="O26" s="69"/>
      <c r="P26" s="257"/>
    </row>
    <row r="27" spans="2:16" ht="15.75" thickTop="1">
      <c r="B27" s="247"/>
      <c r="C27" s="70"/>
      <c r="D27" s="66"/>
      <c r="E27" s="66"/>
      <c r="F27" s="72"/>
      <c r="G27" s="67"/>
      <c r="H27" s="67"/>
      <c r="I27" s="67"/>
      <c r="J27" s="67"/>
      <c r="K27" s="67"/>
      <c r="L27" s="67"/>
      <c r="M27" s="67"/>
      <c r="N27" s="68"/>
      <c r="O27" s="69"/>
      <c r="P27" s="257"/>
    </row>
    <row r="28" spans="2:16" ht="15">
      <c r="B28" s="247"/>
      <c r="C28" s="58" t="s">
        <v>89</v>
      </c>
      <c r="D28" s="66"/>
      <c r="E28" s="66"/>
      <c r="F28" s="72"/>
      <c r="G28" s="67"/>
      <c r="H28" s="67"/>
      <c r="I28" s="67"/>
      <c r="J28" s="67"/>
      <c r="K28" s="67"/>
      <c r="L28" s="67"/>
      <c r="M28" s="67"/>
      <c r="N28" s="68"/>
      <c r="O28" s="69"/>
      <c r="P28" s="257"/>
    </row>
    <row r="29" spans="2:16" ht="15">
      <c r="B29" s="247"/>
      <c r="C29" s="70"/>
      <c r="D29" s="66"/>
      <c r="E29" s="66"/>
      <c r="F29" s="72"/>
      <c r="G29" s="67"/>
      <c r="H29" s="67"/>
      <c r="I29" s="67"/>
      <c r="J29" s="67"/>
      <c r="K29" s="67"/>
      <c r="L29" s="67"/>
      <c r="M29" s="67"/>
      <c r="N29" s="68"/>
      <c r="O29" s="69"/>
      <c r="P29" s="257"/>
    </row>
    <row r="30" spans="2:16" ht="15.75">
      <c r="B30" s="247"/>
      <c r="C30" s="70"/>
      <c r="D30" s="394" t="s">
        <v>90</v>
      </c>
      <c r="E30" s="395" t="s">
        <v>16</v>
      </c>
      <c r="F30" s="396" t="s">
        <v>91</v>
      </c>
      <c r="G30" s="397"/>
      <c r="H30" s="615" t="s">
        <v>116</v>
      </c>
      <c r="I30" s="614" t="s">
        <v>115</v>
      </c>
      <c r="J30" s="610"/>
      <c r="K30" s="420"/>
      <c r="L30" s="398" t="s">
        <v>2</v>
      </c>
      <c r="N30" s="68"/>
      <c r="O30" s="69"/>
      <c r="P30" s="257"/>
    </row>
    <row r="31" spans="2:16" ht="15.75">
      <c r="B31" s="247"/>
      <c r="C31" s="70"/>
      <c r="D31" s="399" t="s">
        <v>4</v>
      </c>
      <c r="E31" s="400">
        <v>132</v>
      </c>
      <c r="F31" s="401">
        <v>31</v>
      </c>
      <c r="G31" s="402"/>
      <c r="H31" s="403">
        <f>F31*$J$17*$E$17/100</f>
        <v>56163.83832</v>
      </c>
      <c r="I31" s="404">
        <v>0</v>
      </c>
      <c r="J31" s="612" t="s">
        <v>141</v>
      </c>
      <c r="K31" s="406"/>
      <c r="L31" s="407">
        <f>SUM(H31:K31)</f>
        <v>56163.83832</v>
      </c>
      <c r="M31" s="67"/>
      <c r="N31" s="68"/>
      <c r="O31" s="69"/>
      <c r="P31" s="257"/>
    </row>
    <row r="32" spans="2:16" ht="15.75">
      <c r="B32" s="247"/>
      <c r="C32" s="70"/>
      <c r="D32" s="427" t="s">
        <v>5</v>
      </c>
      <c r="E32" s="66">
        <v>132</v>
      </c>
      <c r="F32" s="72">
        <v>110.3</v>
      </c>
      <c r="G32" s="67"/>
      <c r="H32" s="262">
        <f>F32*$J$17*$E$17/100</f>
        <v>199834.560216</v>
      </c>
      <c r="I32" s="444">
        <v>17519</v>
      </c>
      <c r="J32" s="611" t="s">
        <v>141</v>
      </c>
      <c r="K32" s="254"/>
      <c r="L32" s="428">
        <f>SUM(H32:K32)</f>
        <v>217353.560216</v>
      </c>
      <c r="M32" s="67"/>
      <c r="N32" s="68"/>
      <c r="O32" s="69"/>
      <c r="P32" s="257"/>
    </row>
    <row r="33" spans="2:16" ht="15.75">
      <c r="B33" s="247"/>
      <c r="C33" s="70"/>
      <c r="D33" s="427" t="s">
        <v>6</v>
      </c>
      <c r="E33" s="66">
        <v>132</v>
      </c>
      <c r="F33" s="72">
        <v>185.6</v>
      </c>
      <c r="G33" s="67"/>
      <c r="H33" s="262">
        <f>F33*$J$17*$E$17/100</f>
        <v>336258.335232</v>
      </c>
      <c r="I33" s="444">
        <v>13181</v>
      </c>
      <c r="J33" s="611" t="s">
        <v>141</v>
      </c>
      <c r="K33" s="254"/>
      <c r="L33" s="428">
        <f>SUM(H33:K33)</f>
        <v>349439.335232</v>
      </c>
      <c r="M33" s="67"/>
      <c r="N33" s="68"/>
      <c r="O33" s="69"/>
      <c r="P33" s="257"/>
    </row>
    <row r="34" spans="2:16" ht="15.75">
      <c r="B34" s="247"/>
      <c r="C34" s="70"/>
      <c r="D34" s="408" t="s">
        <v>7</v>
      </c>
      <c r="E34" s="409">
        <v>132</v>
      </c>
      <c r="F34" s="410">
        <v>7</v>
      </c>
      <c r="G34" s="411"/>
      <c r="H34" s="412">
        <f>F34*$J$17*$E$17/100</f>
        <v>12682.157040000002</v>
      </c>
      <c r="I34" s="413">
        <v>0</v>
      </c>
      <c r="J34" s="613" t="s">
        <v>141</v>
      </c>
      <c r="K34" s="415"/>
      <c r="L34" s="416">
        <f>SUM(H34:K34)</f>
        <v>12682.157040000002</v>
      </c>
      <c r="M34" s="67"/>
      <c r="N34" s="68"/>
      <c r="O34" s="69"/>
      <c r="P34" s="257"/>
    </row>
    <row r="35" spans="2:16" ht="15">
      <c r="B35" s="247"/>
      <c r="C35" s="70"/>
      <c r="D35" s="66"/>
      <c r="E35" s="66"/>
      <c r="F35" s="258"/>
      <c r="G35" s="67"/>
      <c r="I35" s="73"/>
      <c r="J35" s="254"/>
      <c r="K35" s="254"/>
      <c r="L35" s="417">
        <f>SUM(L31:L34)</f>
        <v>635638.890808</v>
      </c>
      <c r="M35" s="67"/>
      <c r="N35" s="68"/>
      <c r="O35" s="69"/>
      <c r="P35" s="257"/>
    </row>
    <row r="36" spans="2:16" ht="15">
      <c r="B36" s="247"/>
      <c r="C36" s="70"/>
      <c r="D36" s="66"/>
      <c r="E36" s="66"/>
      <c r="F36" s="258"/>
      <c r="G36" s="67"/>
      <c r="I36" s="73"/>
      <c r="J36" s="254"/>
      <c r="K36" s="254"/>
      <c r="L36" s="259"/>
      <c r="M36" s="67"/>
      <c r="N36" s="68"/>
      <c r="O36" s="69"/>
      <c r="P36" s="257"/>
    </row>
    <row r="37" spans="2:16" ht="15.75">
      <c r="B37" s="247"/>
      <c r="C37" s="70"/>
      <c r="D37" s="394" t="s">
        <v>92</v>
      </c>
      <c r="E37" s="395" t="s">
        <v>93</v>
      </c>
      <c r="F37" s="445" t="s">
        <v>103</v>
      </c>
      <c r="G37" s="446"/>
      <c r="H37" s="616" t="s">
        <v>117</v>
      </c>
      <c r="J37" s="418" t="s">
        <v>94</v>
      </c>
      <c r="K37" s="419"/>
      <c r="L37" s="420" t="s">
        <v>44</v>
      </c>
      <c r="M37" s="395" t="s">
        <v>16</v>
      </c>
      <c r="N37" s="421" t="s">
        <v>95</v>
      </c>
      <c r="O37" s="422"/>
      <c r="P37" s="257"/>
    </row>
    <row r="38" spans="2:16" ht="15">
      <c r="B38" s="247"/>
      <c r="C38" s="70"/>
      <c r="D38" s="399" t="s">
        <v>10</v>
      </c>
      <c r="E38" s="400" t="s">
        <v>104</v>
      </c>
      <c r="F38" s="447">
        <v>30</v>
      </c>
      <c r="G38" s="448"/>
      <c r="H38" s="407">
        <f>+F38*$J$18*$E$17</f>
        <v>18927.359999999997</v>
      </c>
      <c r="J38" s="423" t="s">
        <v>105</v>
      </c>
      <c r="K38" s="405"/>
      <c r="L38" s="402" t="s">
        <v>106</v>
      </c>
      <c r="M38" s="424">
        <v>132</v>
      </c>
      <c r="N38" s="425">
        <f>M16*E17</f>
        <v>8423.568</v>
      </c>
      <c r="O38" s="426"/>
      <c r="P38" s="257"/>
    </row>
    <row r="39" spans="2:16" ht="15">
      <c r="B39" s="247"/>
      <c r="C39" s="70"/>
      <c r="D39" s="427" t="s">
        <v>13</v>
      </c>
      <c r="E39" s="66" t="s">
        <v>107</v>
      </c>
      <c r="F39" s="449">
        <v>88</v>
      </c>
      <c r="G39" s="450"/>
      <c r="H39" s="428">
        <f>+F39*$J$18*$E$17</f>
        <v>55520.255999999994</v>
      </c>
      <c r="J39" s="429" t="s">
        <v>11</v>
      </c>
      <c r="K39" s="430"/>
      <c r="L39" s="67" t="s">
        <v>108</v>
      </c>
      <c r="M39" s="68">
        <v>33</v>
      </c>
      <c r="N39" s="431">
        <f>+M17*E17*2</f>
        <v>12643.536</v>
      </c>
      <c r="O39" s="432"/>
      <c r="P39" s="257"/>
    </row>
    <row r="40" spans="2:16" ht="15">
      <c r="B40" s="247"/>
      <c r="C40" s="70"/>
      <c r="D40" s="427" t="s">
        <v>11</v>
      </c>
      <c r="E40" s="66" t="s">
        <v>9</v>
      </c>
      <c r="F40" s="449">
        <v>7.5</v>
      </c>
      <c r="G40" s="450"/>
      <c r="H40" s="428">
        <f>+F40*$J$18*$E$17</f>
        <v>4731.839999999999</v>
      </c>
      <c r="J40" s="429" t="s">
        <v>12</v>
      </c>
      <c r="K40" s="430"/>
      <c r="L40" s="67" t="s">
        <v>109</v>
      </c>
      <c r="M40" s="68">
        <v>33</v>
      </c>
      <c r="N40" s="431">
        <f>3*M17*E17</f>
        <v>18965.304</v>
      </c>
      <c r="O40" s="432"/>
      <c r="P40" s="257"/>
    </row>
    <row r="41" spans="2:16" ht="15">
      <c r="B41" s="247"/>
      <c r="C41" s="70"/>
      <c r="D41" s="427" t="s">
        <v>12</v>
      </c>
      <c r="E41" s="66" t="s">
        <v>9</v>
      </c>
      <c r="F41" s="449">
        <v>15</v>
      </c>
      <c r="G41" s="450"/>
      <c r="H41" s="428">
        <f>+F41*$J$18*$E$17</f>
        <v>9463.679999999998</v>
      </c>
      <c r="J41" s="429" t="s">
        <v>14</v>
      </c>
      <c r="K41" s="430"/>
      <c r="L41" s="67" t="s">
        <v>110</v>
      </c>
      <c r="M41" s="68">
        <v>13.2</v>
      </c>
      <c r="N41" s="431">
        <f>+M18*E17*6</f>
        <v>37930.608</v>
      </c>
      <c r="O41" s="432"/>
      <c r="P41" s="257"/>
    </row>
    <row r="42" spans="2:16" ht="15">
      <c r="B42" s="247"/>
      <c r="C42" s="70"/>
      <c r="D42" s="408" t="s">
        <v>14</v>
      </c>
      <c r="E42" s="409" t="s">
        <v>111</v>
      </c>
      <c r="F42" s="451">
        <v>30</v>
      </c>
      <c r="G42" s="452"/>
      <c r="H42" s="428">
        <f>+F42*$J$18*$E$17</f>
        <v>18927.359999999997</v>
      </c>
      <c r="J42" s="429" t="s">
        <v>10</v>
      </c>
      <c r="K42" s="430"/>
      <c r="L42" s="67" t="s">
        <v>112</v>
      </c>
      <c r="M42" s="68"/>
      <c r="N42" s="431">
        <f>+M17*E17+M18*E17*2</f>
        <v>18965.304</v>
      </c>
      <c r="O42" s="432"/>
      <c r="P42" s="257"/>
    </row>
    <row r="43" spans="2:16" ht="15">
      <c r="B43" s="247"/>
      <c r="C43" s="70"/>
      <c r="D43" s="66"/>
      <c r="E43" s="66"/>
      <c r="F43" s="258"/>
      <c r="G43" s="67"/>
      <c r="H43" s="417">
        <f>SUM(H38:H42)</f>
        <v>107570.49599999998</v>
      </c>
      <c r="J43" s="433" t="s">
        <v>13</v>
      </c>
      <c r="K43" s="414"/>
      <c r="L43" s="411" t="s">
        <v>113</v>
      </c>
      <c r="M43" s="434"/>
      <c r="N43" s="435">
        <f>(M16+M17+M18*5)*E17</f>
        <v>46354.176</v>
      </c>
      <c r="O43" s="436"/>
      <c r="P43" s="257"/>
    </row>
    <row r="44" spans="2:16" ht="15">
      <c r="B44" s="247"/>
      <c r="C44" s="70"/>
      <c r="D44" s="66"/>
      <c r="E44" s="66"/>
      <c r="F44" s="258"/>
      <c r="G44" s="67"/>
      <c r="I44" s="73"/>
      <c r="J44" s="254"/>
      <c r="K44" s="254"/>
      <c r="L44" s="259"/>
      <c r="M44" s="67"/>
      <c r="N44" s="437">
        <f>SUM(N38:N43)</f>
        <v>143282.496</v>
      </c>
      <c r="O44" s="422"/>
      <c r="P44" s="257"/>
    </row>
    <row r="45" spans="2:16" ht="12.75" customHeight="1" thickBot="1">
      <c r="B45" s="247"/>
      <c r="C45" s="70"/>
      <c r="D45" s="66"/>
      <c r="E45" s="66"/>
      <c r="F45" s="72"/>
      <c r="G45" s="67"/>
      <c r="H45" s="73"/>
      <c r="I45" s="66"/>
      <c r="J45" s="66"/>
      <c r="K45" s="66"/>
      <c r="L45" s="67"/>
      <c r="M45" s="67"/>
      <c r="N45" s="68"/>
      <c r="O45" s="69"/>
      <c r="P45" s="257"/>
    </row>
    <row r="46" spans="2:16" ht="20.25" thickBot="1" thickTop="1">
      <c r="B46" s="247"/>
      <c r="C46" s="70"/>
      <c r="D46" s="66"/>
      <c r="E46" s="66"/>
      <c r="F46" s="72"/>
      <c r="G46" s="67"/>
      <c r="H46" s="438" t="s">
        <v>96</v>
      </c>
      <c r="I46" s="439">
        <f>+H43+N44+L35</f>
        <v>886491.882808</v>
      </c>
      <c r="J46" s="66"/>
      <c r="K46" s="438" t="s">
        <v>145</v>
      </c>
      <c r="L46" s="439">
        <v>275758.167952</v>
      </c>
      <c r="M46" s="67"/>
      <c r="N46" s="68"/>
      <c r="O46" s="69"/>
      <c r="P46" s="257"/>
    </row>
    <row r="47" spans="2:16" ht="15.75" thickTop="1">
      <c r="B47" s="247"/>
      <c r="C47" s="70"/>
      <c r="D47" s="66"/>
      <c r="E47" s="66"/>
      <c r="F47" s="72"/>
      <c r="G47" s="67"/>
      <c r="H47" s="73"/>
      <c r="I47" s="66"/>
      <c r="J47" s="66"/>
      <c r="K47" s="66"/>
      <c r="L47" s="67"/>
      <c r="M47" s="67"/>
      <c r="N47" s="68"/>
      <c r="O47" s="69"/>
      <c r="P47" s="257"/>
    </row>
    <row r="48" spans="2:16" ht="15.75">
      <c r="B48" s="247"/>
      <c r="C48" s="440" t="s">
        <v>97</v>
      </c>
      <c r="D48" s="66"/>
      <c r="E48" s="66"/>
      <c r="F48" s="72"/>
      <c r="G48" s="67"/>
      <c r="H48" s="73"/>
      <c r="I48" s="66"/>
      <c r="J48" s="66"/>
      <c r="K48" s="66"/>
      <c r="L48" s="67"/>
      <c r="M48" s="67"/>
      <c r="N48" s="68"/>
      <c r="O48" s="69"/>
      <c r="P48" s="257"/>
    </row>
    <row r="49" spans="2:16" ht="15.75" thickBot="1">
      <c r="B49" s="247"/>
      <c r="C49" s="70"/>
      <c r="D49" s="66"/>
      <c r="E49" s="66"/>
      <c r="F49" s="72"/>
      <c r="G49" s="67"/>
      <c r="H49" s="73"/>
      <c r="I49" s="66"/>
      <c r="J49" s="66"/>
      <c r="K49" s="66"/>
      <c r="L49" s="67"/>
      <c r="M49" s="67"/>
      <c r="N49" s="68"/>
      <c r="O49" s="69"/>
      <c r="P49" s="257"/>
    </row>
    <row r="50" spans="2:16" ht="20.25" thickBot="1" thickTop="1">
      <c r="B50" s="247"/>
      <c r="C50" s="70"/>
      <c r="D50" s="207" t="s">
        <v>98</v>
      </c>
      <c r="F50" s="260"/>
      <c r="G50" s="63"/>
      <c r="H50" s="143" t="s">
        <v>99</v>
      </c>
      <c r="I50" s="441">
        <f>E18*L46</f>
        <v>6893.9541988</v>
      </c>
      <c r="J50" s="59"/>
      <c r="K50" s="59" t="s">
        <v>146</v>
      </c>
      <c r="O50" s="59"/>
      <c r="P50" s="257"/>
    </row>
    <row r="51" spans="2:16" ht="21.75" thickTop="1">
      <c r="B51" s="247"/>
      <c r="C51" s="70"/>
      <c r="F51" s="261"/>
      <c r="G51" s="38"/>
      <c r="I51" s="59"/>
      <c r="J51" s="59"/>
      <c r="O51" s="59"/>
      <c r="P51" s="257"/>
    </row>
    <row r="52" spans="2:16" ht="15">
      <c r="B52" s="247"/>
      <c r="C52" s="58" t="s">
        <v>100</v>
      </c>
      <c r="E52" s="59"/>
      <c r="F52" s="59"/>
      <c r="G52" s="59"/>
      <c r="H52" s="59"/>
      <c r="I52" s="67"/>
      <c r="J52" s="67"/>
      <c r="K52" s="67"/>
      <c r="L52" s="67"/>
      <c r="M52" s="67"/>
      <c r="N52" s="68"/>
      <c r="O52" s="69"/>
      <c r="P52" s="257"/>
    </row>
    <row r="53" spans="2:16" ht="15">
      <c r="B53" s="247"/>
      <c r="C53" s="70"/>
      <c r="D53" s="65" t="s">
        <v>101</v>
      </c>
      <c r="E53" s="262">
        <f>10*I26*I50/I46</f>
        <v>5085.154715202995</v>
      </c>
      <c r="F53" s="442"/>
      <c r="H53" s="59"/>
      <c r="I53" s="67"/>
      <c r="J53" s="67"/>
      <c r="K53" s="67"/>
      <c r="L53" s="67"/>
      <c r="M53" s="67"/>
      <c r="N53" s="68"/>
      <c r="O53" s="69"/>
      <c r="P53" s="257"/>
    </row>
    <row r="54" spans="2:16" ht="15">
      <c r="B54" s="247"/>
      <c r="C54" s="70"/>
      <c r="D54" s="59"/>
      <c r="E54" s="59"/>
      <c r="J54" s="67"/>
      <c r="K54" s="67"/>
      <c r="L54" s="67"/>
      <c r="M54" s="67"/>
      <c r="N54" s="68"/>
      <c r="O54" s="69"/>
      <c r="P54" s="257"/>
    </row>
    <row r="55" spans="2:16" ht="15">
      <c r="B55" s="247"/>
      <c r="C55" s="70"/>
      <c r="D55" s="59" t="s">
        <v>114</v>
      </c>
      <c r="E55" s="59"/>
      <c r="F55" s="59"/>
      <c r="G55" s="59"/>
      <c r="H55" s="59"/>
      <c r="M55" s="67"/>
      <c r="N55" s="68"/>
      <c r="O55" s="69"/>
      <c r="P55" s="257"/>
    </row>
    <row r="56" spans="2:16" ht="15.75" thickBot="1">
      <c r="B56" s="247"/>
      <c r="C56" s="70"/>
      <c r="D56" s="59"/>
      <c r="E56" s="59"/>
      <c r="F56" s="59"/>
      <c r="G56" s="59"/>
      <c r="H56" s="59"/>
      <c r="M56" s="67"/>
      <c r="N56" s="68"/>
      <c r="O56" s="69"/>
      <c r="P56" s="257"/>
    </row>
    <row r="57" spans="2:16" ht="20.25" thickBot="1" thickTop="1">
      <c r="B57" s="247"/>
      <c r="C57" s="70"/>
      <c r="D57" s="66"/>
      <c r="E57" s="66"/>
      <c r="F57" s="72"/>
      <c r="G57" s="67"/>
      <c r="H57" s="208" t="s">
        <v>102</v>
      </c>
      <c r="I57" s="443">
        <f>IF($E$53&gt;3*I50,3*I50,$E$53)</f>
        <v>5085.154715202995</v>
      </c>
      <c r="J57" s="67"/>
      <c r="K57" s="67"/>
      <c r="L57" s="67"/>
      <c r="M57" s="67"/>
      <c r="N57" s="68"/>
      <c r="O57" s="69"/>
      <c r="P57" s="257"/>
    </row>
    <row r="58" spans="2:16" ht="16.5" thickBot="1" thickTop="1">
      <c r="B58" s="263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5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1" r:id="rId4"/>
  <headerFooter alignWithMargins="0">
    <oddFooter>&amp;L&amp;"Times New Roman,Normal"&amp;8&amp;Z&amp;F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2015-08-28T13:18:34Z</cp:lastPrinted>
  <dcterms:created xsi:type="dcterms:W3CDTF">2000-10-04T20:14:32Z</dcterms:created>
  <dcterms:modified xsi:type="dcterms:W3CDTF">2016-08-09T14:16:15Z</dcterms:modified>
  <cp:category/>
  <cp:version/>
  <cp:contentType/>
  <cp:contentStatus/>
</cp:coreProperties>
</file>